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 coding" sheetId="1" r:id="rId4"/>
    <sheet state="visible" name="Validation summary" sheetId="2" r:id="rId5"/>
    <sheet state="visible" name="File Links" sheetId="3" r:id="rId6"/>
    <sheet state="visible" name="ES calculations" sheetId="4" r:id="rId7"/>
    <sheet state="visible" name="Data validation" sheetId="5" r:id="rId8"/>
  </sheets>
  <definedNames>
    <definedName hidden="1" localSheetId="0" name="_xlnm._FilterDatabase">'COS coding'!$A$1:$BC$1933</definedName>
    <definedName hidden="1" localSheetId="0" name="Z_BB09DBFA_6CD5_41DB_B679_F845FD17F921_.wvu.FilterData">'COS coding'!$A$2:$BC$1415</definedName>
    <definedName hidden="1" localSheetId="0" name="Z_0FA1AA6F_C912_4980_A389_9EC0A934BD66_.wvu.FilterData">'COS coding'!$A$2:$AY$1415</definedName>
  </definedNames>
  <calcPr/>
  <customWorkbookViews>
    <customWorkbookView activeSheetId="0" maximized="1" windowHeight="0" windowWidth="0" guid="{BB09DBFA-6CD5-41DB-B679-F845FD17F921}" name="Filter 2"/>
    <customWorkbookView activeSheetId="0" maximized="1" windowHeight="0" windowWidth="0" guid="{0FA1AA6F-C912-4980-A389-9EC0A934BD66}" name="Missing PDFs"/>
  </customWorkbookViews>
  <pivotCaches>
    <pivotCache cacheId="0" r:id="rId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3">
      <text>
        <t xml:space="preserve">This should be verbatim from the article, but can be pieced together. Information from tables should be reported, e.g. "(in Table 2: r = .xx, p &lt; .0x)"</t>
      </text>
    </comment>
    <comment authorId="0" ref="AC1087">
      <text>
        <t xml:space="preserve">How is there no claim for this validated row? @lukas.roeseler@uni-muenster.de
_Assigned to lukas.roeseler@uni-muenster.de_
	-Sarah “AJ” Ashcroft-Jones</t>
      </text>
    </comment>
    <comment authorId="0" ref="AF1078">
      <text>
        <t xml:space="preserve">These cells look strange, t test reported, d ES selected, and no page number @lukas.roeseler@uni-muenster.de
_Assigned to lukas.roeseler@uni-muenster.de_
	-Sarah “AJ” Ashcroft-Jones</t>
      </text>
    </comment>
    <comment authorId="0" ref="E394">
      <text>
        <t xml:space="preserve">@lukas.roeseler@uni-muenster.de this row has lots of NA values - doesn't appear this effect was replicated? SHould it be included?
	-Sarah “AJ” Ashcroft-Jones</t>
      </text>
    </comment>
    <comment authorId="0" ref="AQ1447">
      <text>
        <t xml:space="preserve">Are we happy to include Boyce studies without reports, just relying on their csv? Or ask Boyce for the reports?
	-Lukas Wallrich</t>
      </text>
    </comment>
    <comment authorId="0" ref="AC1418">
      <text>
        <t xml:space="preserve">NB: Example where F-conversion is inflated vs calculated Cohen's d. (r = .74 vs .61)
	-Lukas Wallrich</t>
      </text>
    </comment>
    <comment authorId="0" ref="AL1425">
      <text>
        <t xml:space="preserve">Do we agree that nested is no when participant averages are analysed? In that case, there is dependency in the raw data, but not in the data entered into the test - should be clarified in instructions.
	-Lukas Wallrich</t>
      </text>
    </comment>
    <comment authorId="0" ref="X1745">
      <text>
        <t xml:space="preserve">The report only shows chart, but data &amp; code are available to show the remainder. How far do we go in this? It should enter FReD - but marked as not codable?
	-Lukas Wallrich</t>
      </text>
    </comment>
    <comment authorId="0" ref="A1804">
      <text>
        <t xml:space="preserve">These are secondary effects - to be revisited once we decide whether to code them in large-scale projects. Will reset them to awaiting validation for clarity
	-Lukas Wallrich</t>
      </text>
    </comment>
    <comment authorId="0" ref="AR1894">
      <text>
        <t xml:space="preserve">@roeseler.lukas@gmail.com - this is an extreme example, where the p-value calculated from their converted r is significant (p = .028). For the annotator at least we need to find a way to avoid flipping replication results ... not sure where to best note it for this entry, but might be a good test case to keep in mind.
	-Lukas Wallrich</t>
      </text>
    </comment>
    <comment authorId="0" ref="AX1418">
      <text>
        <t xml:space="preserve">Thinking of having this sent back so that they can code the missing and also provide the repr_r variables because they would have needed them for validation and at the same time they are the most important for me.
	-Lukas Röseler</t>
      </text>
    </comment>
    <comment authorId="0" ref="AH1884">
      <text>
        <t xml:space="preserve">@roeseler.lukas@gmail.com can you pls decide whether this conversion is acceptable? It's a small step further than what we usually do (as only SE, not SD is reported). I'm quite confident that it is correct, but we can also leave it with 1.85 as the unstandardised mean diff for consistency.
	-Lukas Wallrich</t>
      </text>
    </comment>
    <comment authorId="0" ref="AB926">
      <text>
        <t xml:space="preserve">@sarahashjones@gmail.com can you please check why there are no descriptions? Is this a copy-paste issue?
	-Lukas Röseler
I've checked the original sheet and no, this is not a copy-paste error. It was hard to notice it when scrolling through because the tags run across almost all cells but there is little to no data in the description column. Everything I have is present here as well. We may have to make a call on this, returning it to coders is not viable for a Friday deadline I think. -anxiously makes more notes for next weeks meeting about coder improvements-
	-Sarah “AJ” Ashcroft-Jones</t>
      </text>
    </comment>
    <comment authorId="0" ref="A550">
      <text>
        <t xml:space="preserve">like "FReD but not COS"
	-Lukas Röseler</t>
      </text>
    </comment>
    <comment authorId="0" ref="A537">
      <text>
        <t xml:space="preserve">likely "FReD but not COS"
	-Lukas Röseler</t>
      </text>
    </comment>
    <comment authorId="0" ref="A84">
      <text>
        <t xml:space="preserve">like "FReD but not COS"
	-Lukas Röseler</t>
      </text>
    </comment>
    <comment authorId="0" ref="A146">
      <text>
        <t xml:space="preserve">shouldn't be empty
	-Lukas Röseler</t>
      </text>
    </comment>
    <comment authorId="0" ref="K361">
      <text>
        <t xml:space="preserve">@sarahashjones@gmail.com
_Assigned to sarahashjones@gmail.com_
	-Sarah “AJ” Ashcroft-Jones
@lukas.roeseler@uni-muenster.de  Having reviewed, I'm not certain what you mean between the 2011 and 2010 paper. I think the original paper was published in Dec 2010 and so the citation sits as 2011 but online is listed as 2010 (reflecting the two stage publication dates of online versus "in print"). Please clarify - as I think I am missing the point here!
_Reassigned to lukas.roeseler@uni-muenster.de_
	-Sarah “AJ” Ashcroft-Jones</t>
      </text>
    </comment>
    <comment authorId="0" ref="P787">
      <text>
        <t xml:space="preserve">@lukas.wallrich@gmail.com the link leads to the wrong file. Can you check this please?
_Assigned to lukas.wallrich@gmail.com_
	-Lukas Röseler</t>
      </text>
    </comment>
    <comment authorId="0" ref="A467">
      <text>
        <t xml:space="preserve">very time-consuming, requires understanding of dozens of findings
https://drive.google.com/file/d/14GutnAtB1f13xcVqwnhfc_-RMT6AP_5B/view
https://pdf.sciencedirectassets.com/272387/1-s2.0-S0022103124X00025/1-s2.0-S0022103124000313/main.pdf?X-Amz-Security-Token=IQoJb3JpZ2luX2VjEFMaCXVzLWVhc3QtMSJHMEUCIAst9JOcriy6wH%2Br3I%2B32lOwlhwi3KNPbWfM5coLQjaNAiEAwlNSzDfD5gmexGmBlkGGNCoc9GH47bYTdHPpDPll0g4qswUIXBAFGgwwNTkwMDM1NDY4NjUiDLqELqKFxWfYmwOPwiqQBTxEKDlKD02RD0uATrOXjYq6WMjWRDlZM5UVwE4wwndLJP4VPMnux%2Fa17gc1ZIl77Pl%2FQ%2BFwjLFGMLmCLKVRXKwqWh%2BOWvhB1mmy7Ey0ECLdPXQAai%2Fc%2FFis%2BlkPHH260RjwGGZQts7SIxlp9sr3DbXYtAINy8Xd78vnlDF0qKh7psnj4hvvlJGmbalmrtePtStG7Pw5CRNak5st30BhJTSHJioN7cU5EI1waQgRehy7aBzt441wlnSMiyC3h1SiWJmOIbtBXQKsyMnoS2lyj6vMFXuQENgJcS8ECE5atVAbdvujwesZFvtiB98JMwAQ3Pr40HUS3GxFGltewyV%2FJLjugNd6XKO5jM2hVFhkiHJQGyTHSod%2F7LCtp17xlcWLYGRADvfvuftxI75G27EIe4Oyy20AYzl5CsgSPRni9F3hMw7a9aoGaU%2Fftk6B4U9ACTlkuNHWF0YmQPjLS5rxIASYCCeW1jQcUXa5z5BiTsLyHDzjBN1W9Hl94Ky6QJaiRaLGa40%2BSFyLzLY7oV0nyop9maD%2Fmbv1OlquCwmm3DqmRg%2Fwcce7S1PdaGYXoCWPTLDoaAkvBdHj6YNUZIOpzjyXCSeHy4S3mUjL0Bnoj94JwiO8E2BdDQDnJYog1Dwn8Y97ll72ZKHRv97Cp1xHG%2B5dIlH0rn6SAkESJ6Ocul2p%2BDKrHlLx%2Br6ItXq6aLBzuwFwpx8vF1zN%2FiQTJ02eMI%2B8X%2BUXhCOqSPFrNceOZ0nYRvoDS%2B%2BHOn50AdoWs5kPqxzH6wgK2YHidgFS3dFiUm%2FGMTaUJzoFYUQPub%2BokqxwWrygxy10I43J02kA9AZjafQh9Btq1Hl82nrns19Mxi7Eq23OhrIJLTSbIhp3Q4MTMPDN3bwGOrEBO%2BqHG%2FPIwy0f3rVPU1WD8gSghvfqs9xzsOYe3iELJ00sexjIl6FG%2Fy5leeN37vgB7xZXdtQpZCh3YNrq5aJKQYJijSb6l3Se51ir6Qm5UoBqbQEZ4Y6mlVDRlXIk2Ogp3xlQHcure5QkXysW9bFUDDqsdTl%2BAJ%2FT3f8HplzBAwFYqBsDauFvmM6tvw1PVrtgDWDOZ%2F3aJB%2FQqT1PKVMUJY8qPCtoR9RbVwCXxi%2FiGGow&amp;X-Amz-Algorithm=AWS4-HMAC-SHA256&amp;X-Amz-Date=20250127T120043Z&amp;X-Amz-SignedHeaders=host&amp;X-Amz-Expires=300&amp;X-Amz-Credential=ASIAQ3PHCVTYW6RZXVK3%2F20250127%2Fus-east-1%2Fs3%2Faws4_request&amp;X-Amz-Signature=1d662d625bf9f66c0237c3abad268a9c485239d17f2ac9b8f142f9ae5535a087&amp;hash=d06df1258a5567def35c0c8dfdaf1adf184025ae9f2b4f623e265375272713bd&amp;host=68042c943591013ac2b2430a89b270f6af2c76d8dfd086a07176afe7c76c2c61&amp;pii=S00
	-Lukas Röseler
@sarahashjones@gmail.com Could you try to validate this, possibly as a sort of test run (you go through the discrepancies and send all your questions to me for discussion and refinement of the validation instructions)?
	-Lukas Röseler
On my list - where do you want this on my priorities?
	-Sarah “AJ” Ashcroft-Jones</t>
      </text>
    </comment>
    <comment authorId="0" ref="A707">
      <text>
        <t xml:space="preserve">@sarahashjones@gmail.com : Can you please explain: I cannot find the entries curatescience283 in their individual sheets, where do they come from? 
- Ray: https://docs.google.com/spreadsheets/d/1t7O_4Y4NOYsOc0OjHpinNaatCiFKUdvgiYMWVJ6O9aA/edit?gid=1230360337#gid=1230360337
- Diego: https://docs.google.com/spreadsheets/d/1Y36BxwuLJfF9P-vR8hWR6KK3nzrQbYA5zym1_HigeoM/edit?gid=1230360337#gid=1230360337
	-Lukas Röseler
Also, how come they are labelled in id (col F) as _1 and _2 when they were coded independently and refer to the same "sub-finding"?
	-Lukas Röseler</t>
      </text>
    </comment>
    <comment authorId="0" ref="A446">
      <text>
        <t xml:space="preserve">On hold: paper under revision revision due to bug in code
	-Lukas Röseler</t>
      </text>
    </comment>
    <comment authorId="0" ref="A503">
      <text>
        <t xml:space="preserve">no data provided by Ray, are you on this @sarahashjones@gmail.com ?
	-Lukas Röseler
I will email for all rows - it was a paper aviability issue looking at the emails. I will provide all papers and ge them back form him. I have Radoslaw and Diego doing the same at the moment.
One total reaction
Lukas Röseler reacted with 👍 at 2025-01-28 01:33 am
	-Sarah “AJ” Ashcroft-Jones</t>
      </text>
    </comment>
    <comment authorId="0" ref="A348">
      <text>
        <t xml:space="preserve">@sarahashjones@gmail.com please reassign this entry to a coder
_Assigned to sarahashjones@gmail.com_
	-Lukas Röseler</t>
      </text>
    </comment>
    <comment authorId="0" ref="A115">
      <text>
        <t xml:space="preserve">@sarahashjones@gmail.com can you please share the code that Vidhi provided or put this on our list of entries to assign to someone again in February?
	-Lukas Röseler
Will investigate /reassign - Vidhi is not one of the coders I had contact with but will see what I can see!
	-Sarah “AJ” Ashcroft-Jones
Ah - these rows I believe were reassigned to Aleks (which are present and accounted for) - as Vidhi only coded 5 and then dropped out. The fact that they are here and empty under Vidhis name is  copy paste error in my part I assume, apologies! They are matched to 5 rows from Mario who also dropped out. Marios rows were reassigned to Nikolay, who dropped out of coding, and are now with Daniel for coding. Aren't you glad you outsourced this nonsense - aha!
One total reaction
Lukas Röseler reacted with 😅 at 2025-01-31 04:43 am
	-Sarah “AJ” Ashcroft-Jones
Essentially - Vidhi is not on these - they are with Daniel (who got any feedback we had at the time) for double coding and will be submitted within the week.
	-Sarah “AJ” Ashcroft-Jones</t>
      </text>
    </comment>
    <comment authorId="0" ref="A420">
      <text>
        <t xml:space="preserve">No access to replication paper
	-Lukas Röseler</t>
      </text>
    </comment>
    <comment authorId="0" ref="A178">
      <text>
        <t xml:space="preserve">Vidhi didn't code anything
	-Lukas Röseler
@sarahashjones@gmail.com Can you please tag me here or send me a DM on slack if Radoslaw or Vidhi send data that is here?
	-Lukas Röseler
Radoslaw is working on it - will investigate Vidhi for you, I was never in touch with them (it was before I came onboard) but can see what I have on their sheet.
One total reaction
Lukas Röseler reacted with 👍 at 2025-01-27 07:13 am
	-Sarah “AJ” Ashcroft-Jones
Vidhis rows are out with Daniel (see above)
	-Sarah “AJ” Ashcroft-Jones</t>
      </text>
    </comment>
    <comment authorId="0" ref="A159">
      <text>
        <t xml:space="preserve">waiting for Radoslaw's data, you are on this, right? @sarahashjones@gmail.com
	-Lukas Röseler
Yes - he is working on it!
One total reaction
Lukas Röseler reacted with 👍 at 2025-01-27 07:13 am
	-Sarah “AJ” Ashcroft-Jones
added!
	-Sarah “AJ” Ashcroft-Jones</t>
      </text>
    </comment>
    <comment authorId="0" ref="A153">
      <text>
        <t xml:space="preserve">Radoslaw didn't code anything
	-Lukas Röseler
He is coding them now!
One total reaction
Lukas Röseler reacted with 👍 at 2025-01-27 07:13 am
	-Sarah “AJ” Ashcroft-Jones
added!
	-Sarah “AJ” Ashcroft-Jones</t>
      </text>
    </comment>
    <comment authorId="0" ref="Q1885">
      <text>
        <t xml:space="preserve">@sarahashjones@gmail.com Can you explain in COS FReD Admin why this part is empty? Shouldn't it be the same for all entries?
_Assigned to sarahashjones@gmail.com_
	-Lukas Röseler
Yes it should - I think that's more of an oversight on may part than a coder error. I will backfill across the largescale projects.
	-Sarah “AJ” Ashcroft-Jones</t>
      </text>
    </comment>
    <comment authorId="0" ref="A718">
      <text>
        <t xml:space="preserve">An incorrect entry was coded here. This has nothing to do with ego depletion. @sarahashjones@gmail.com can you please check whether this is due to copying or whether diego didn't actually code the right study?
	-Lukas Röseler
On it!
	-Sarah “AJ” Ashcroft-Jones
Not  copy paste error - he coded the wrong study by the looks of it. I will double back and ask him to redo those rows!
One total reaction
Lukas Röseler reacted with 👍 at 2025-01-24 05:23 am
	-Sarah “AJ” Ashcroft-Jones
Emailed
	-Sarah “AJ” Ashcroft-Jones
Thank you! Please comment here when the new data has arrived so that I can proceed with validation (and change "status" to "awaiting validation")
	-Lukas Röseler</t>
      </text>
    </comment>
    <comment authorId="0" ref="A679">
      <text>
        <t xml:space="preserve">This row and next row: Interaction + group-effect was coded. Both are based on the sample. Keep both or use only specific comparison? (=2nd row)?
	-Lukas Röseler</t>
      </text>
    </comment>
  </commentList>
</comments>
</file>

<file path=xl/sharedStrings.xml><?xml version="1.0" encoding="utf-8"?>
<sst xmlns="http://schemas.openxmlformats.org/spreadsheetml/2006/main" count="59809" uniqueCount="12379">
  <si>
    <t>id</t>
  </si>
  <si>
    <t>contributors</t>
  </si>
  <si>
    <t>date_entered</t>
  </si>
  <si>
    <t>date_updated</t>
  </si>
  <si>
    <t>notes_coder</t>
  </si>
  <si>
    <t>notes_validation</t>
  </si>
  <si>
    <t>ref_original</t>
  </si>
  <si>
    <t>doi_original</t>
  </si>
  <si>
    <t>study_original</t>
  </si>
  <si>
    <t>ref_replication</t>
  </si>
  <si>
    <t>doi_replication</t>
  </si>
  <si>
    <t>osf_link</t>
  </si>
  <si>
    <t>study_replication</t>
  </si>
  <si>
    <t>exclusion</t>
  </si>
  <si>
    <t>discipline</t>
  </si>
  <si>
    <t>effect</t>
  </si>
  <si>
    <t>tags</t>
  </si>
  <si>
    <t>description</t>
  </si>
  <si>
    <t>claim_text_orig</t>
  </si>
  <si>
    <t>claim_text_orig_page</t>
  </si>
  <si>
    <t>n_original</t>
  </si>
  <si>
    <t>es_orig_value</t>
  </si>
  <si>
    <t>es_orig_estype</t>
  </si>
  <si>
    <t>pval_value_o</t>
  </si>
  <si>
    <t>pval_type_o</t>
  </si>
  <si>
    <t>pval_tails_o</t>
  </si>
  <si>
    <t>n_replication</t>
  </si>
  <si>
    <t>es_rep_value</t>
  </si>
  <si>
    <t>es_rep_estype</t>
  </si>
  <si>
    <t>pval_value_r</t>
  </si>
  <si>
    <t>pval_type_r</t>
  </si>
  <si>
    <t>pval_tails_r</t>
  </si>
  <si>
    <t>status</t>
  </si>
  <si>
    <t>approach</t>
  </si>
  <si>
    <t>coder_1</t>
  </si>
  <si>
    <t>coder_2</t>
  </si>
  <si>
    <t>entry</t>
  </si>
  <si>
    <t>ref_o</t>
  </si>
  <si>
    <t>doi_o</t>
  </si>
  <si>
    <t>study_o</t>
  </si>
  <si>
    <t>file_o</t>
  </si>
  <si>
    <t>link_o</t>
  </si>
  <si>
    <t>ref_r</t>
  </si>
  <si>
    <t>doi_r</t>
  </si>
  <si>
    <t>url_r</t>
  </si>
  <si>
    <t>study_r</t>
  </si>
  <si>
    <t>file_r</t>
  </si>
  <si>
    <t>label_r</t>
  </si>
  <si>
    <t>link_r</t>
  </si>
  <si>
    <t>claim_text_o</t>
  </si>
  <si>
    <t>claim_page_o</t>
  </si>
  <si>
    <t>n_o</t>
  </si>
  <si>
    <t>es_value_o</t>
  </si>
  <si>
    <t>es_type_o</t>
  </si>
  <si>
    <t>es_repr_o</t>
  </si>
  <si>
    <t>nested_o</t>
  </si>
  <si>
    <t>prereg_o</t>
  </si>
  <si>
    <t>n_r</t>
  </si>
  <si>
    <t>es_value_r</t>
  </si>
  <si>
    <t>es_type_r</t>
  </si>
  <si>
    <t>es_repr_r</t>
  </si>
  <si>
    <t>nested_r</t>
  </si>
  <si>
    <t>prereg_r</t>
  </si>
  <si>
    <t>closeness_r</t>
  </si>
  <si>
    <t>feedback_for_coder</t>
  </si>
  <si>
    <t>validator</t>
  </si>
  <si>
    <t xml:space="preserve"> </t>
  </si>
  <si>
    <t>- assigned: the entry has been assigned to a coder
- help needed: there is an unresolved conflict
- validated - chosen: the entry has been validated and marked as the one to remain in the final dataset
- validated - discarded: the entry has been used for validation and is now inferior or redundant to the chosen entry for the same finding
- validated - FReD but not COS: applies to replication studies that do not contain statistical test (e.g., replications in the qualitative humanities)</t>
  </si>
  <si>
    <t>for data matching. DO NOT EDIT - keep blank for new rows</t>
  </si>
  <si>
    <t>Sample id. DO NOT CHANGE. If you add samples, copy and add _b, _c etc</t>
  </si>
  <si>
    <t>*Add* your name when you edit the row</t>
  </si>
  <si>
    <t>(dd/mm/yyyy)</t>
  </si>
  <si>
    <t>general data entry notes, e.g., re access issues or study selection</t>
  </si>
  <si>
    <t>only used by core team</t>
  </si>
  <si>
    <t>Copy APA style from Google Scholar (or similar), without DOI</t>
  </si>
  <si>
    <t>without URL prefix, so starting with 10.xx</t>
  </si>
  <si>
    <t>Number of study in paper, e.g., 1 or 2A</t>
  </si>
  <si>
    <t>file-name for O PDF - only edit if DOI is missing</t>
  </si>
  <si>
    <t>Link to R results - only when DOI missing or for aggregate report</t>
  </si>
  <si>
    <t>file-name for R PDF - only edit if DOI is missing</t>
  </si>
  <si>
    <t>How does R identify as replication in title or abstract? Usually "replication" but report different wording if used</t>
  </si>
  <si>
    <t>Reason for study exclusion (usually only if R is not a replication)</t>
  </si>
  <si>
    <t>Which broad field does the finding come from - e.g., Social Psychology or Labor Economics</t>
  </si>
  <si>
    <t>x</t>
  </si>
  <si>
    <t>tags to increase findability - e.g. keywords from abstract</t>
  </si>
  <si>
    <t>Description of the effect under investigation (e.g., x is associated with y, x leads to y), possibly a part of the original publication's title (abstract claim)</t>
  </si>
  <si>
    <t>The authors’ key statistical result and its interpretation</t>
  </si>
  <si>
    <t>Page number(s) for claim_text_o</t>
  </si>
  <si>
    <t>O's sample size [used for the critical test, i.e., after exclusion criteria have been applied], must contain only one value and must not contain text</t>
  </si>
  <si>
    <t>original effect size value, must contain only one value and must not contain text</t>
  </si>
  <si>
    <t>original effect size type (e.g., d, r, r², etasq)</t>
  </si>
  <si>
    <t>Reproducible origin/calculation method for es_value_o ("p. xx" when reported, link when available online - e.g., OSF, otherwise calculation process)</t>
  </si>
  <si>
    <t>The reported p-value associated with the original finding, must contain only one value and must not contain text</t>
  </si>
  <si>
    <t>How is p-val reported?
"=" (e) / "&lt;" (l) / "&gt;" (g) or combined (le, ge)?
for example "p &lt;= .05" should be coded as "le"</t>
  </si>
  <si>
    <t>How many tails associated with the p-value, taking on values of one, two, or unknown
one: 1
two: 2
unknown / not specified: NA
missing: not coded</t>
  </si>
  <si>
    <t>Is pval based on a test that accounts for dependence between observations (e.g., multilevel, repeated measures)</t>
  </si>
  <si>
    <t>Link to preregistration of O (only search for "regist")</t>
  </si>
  <si>
    <t>R's sample size [used for the critical test, i.e., after exclusion criteria have been applied], must contain only one value and must not contain text</t>
  </si>
  <si>
    <t>replication effect size value, must contain only one value and must not contain text</t>
  </si>
  <si>
    <t>replication effect size type</t>
  </si>
  <si>
    <t>Reproducible origin/calculation method for es_value_r ("p. xx" when reported, otherwise calculation process)</t>
  </si>
  <si>
    <t>The reported p-value associated with the replication finding, must contain only one value and must not contain text</t>
  </si>
  <si>
    <t>How many tails associated with the p-value, taking on values of one, two, or unknown
one: 1
two: 2
unknown: NA
missing: not coded</t>
  </si>
  <si>
    <t>Link to preregistration of R (only search for "regist")</t>
  </si>
  <si>
    <t>NA: unknown
1: internal: all central features are highly similar AND conducted by at least one of the original researchers
2: close/direct: central features are highly similar AND none of the original authors is involved
3: conceptual/constructive/extension: central features are different, theoretically relevant aspects are the same; authorship overlap is irrelevant</t>
  </si>
  <si>
    <t>name of the person who validated the entry</t>
  </si>
  <si>
    <t>validated - discarded</t>
  </si>
  <si>
    <t>double</t>
  </si>
  <si>
    <t>Maureen</t>
  </si>
  <si>
    <t>2zgf9_1</t>
  </si>
  <si>
    <t>2zgf9</t>
  </si>
  <si>
    <t>Kateri McRae, Daniel Lumian, Mallory C. Kidwell, Johanna Cohoon, Lilian Hummer</t>
  </si>
  <si>
    <t>1.1.2023</t>
  </si>
  <si>
    <t>coding tasks 2zgf9_1, bth36_1, and 7vgkq_1 are similar; the partial-eta squared reported in the replication paper of 0.226 is different from the value in OSF registries of 0.313, hence requires validation; Psychological science has not been listed as one of the disciplines, hence categorizing them as political science</t>
  </si>
  <si>
    <t>Cunningham, W. A., Van Bavel, J. J., &amp; Johnsen, I. R. (2008). Affective flexibility: evaluative processing goals shape amygdala activity. Psychological Science, 19(2), 152-160.</t>
  </si>
  <si>
    <t>10.1111/j.1467-9280.2008.02061.x</t>
  </si>
  <si>
    <t>10.1111--j.1467-9280.2008.02061.x.pdf</t>
  </si>
  <si>
    <t>McRae, K., &amp; Lumian, D. S. (2023, September 28). Replication of WA Cunningham, JJ Van Bavel, IR Johnsen  (2008, PS 19 (2)). https://doi.org/10.17605/OSF.IO/2ZGF9</t>
  </si>
  <si>
    <t>10.17605/OSF.IO/2ZGF9</t>
  </si>
  <si>
    <t>10.17605--osf.io--2zgf9.pdf</t>
  </si>
  <si>
    <t>replication attempt</t>
  </si>
  <si>
    <t>Political Science</t>
  </si>
  <si>
    <t>affective flexibility, amygdala, valence, stimulus</t>
  </si>
  <si>
    <t>interaction between scanning condition (positive or negative) and stimulus valence</t>
  </si>
  <si>
    <t>"results were consistent with the idea of affective flexibility. There was a significant interaction between scanning condition (positive or negative) and stimulus valence (postscan ratings of positivity or negativity), F(1, 11) = 9.67, p &lt; .01, prep = .95"</t>
  </si>
  <si>
    <t>p. 7</t>
  </si>
  <si>
    <t>F test statistic</t>
  </si>
  <si>
    <t>l (&lt;)</t>
  </si>
  <si>
    <t>2 (two)</t>
  </si>
  <si>
    <t>no</t>
  </si>
  <si>
    <t>etasq</t>
  </si>
  <si>
    <t>p. 6</t>
  </si>
  <si>
    <t>yes</t>
  </si>
  <si>
    <t>https://doi.org/10.17605/OSF.IO/2ZGF9</t>
  </si>
  <si>
    <t>2 - close</t>
  </si>
  <si>
    <t>LR</t>
  </si>
  <si>
    <t>Jyoti</t>
  </si>
  <si>
    <t>Kateri McRae, Daniel Lumian, Mallory C. Kidwell, Johanna Cohoon, Lilian Hummer, Jyoti Bhogal</t>
  </si>
  <si>
    <t>no replication report available but only a post completion registration</t>
  </si>
  <si>
    <t>Cognitive Psychology</t>
  </si>
  <si>
    <t>affective flexibility, amygdala, positive names, negative names</t>
  </si>
  <si>
    <t>unavailable</t>
  </si>
  <si>
    <t>3 - conceptual</t>
  </si>
  <si>
    <t>validated - chosen</t>
  </si>
  <si>
    <t>Nikita</t>
  </si>
  <si>
    <t>39xuw_1</t>
  </si>
  <si>
    <t>39xuw</t>
  </si>
  <si>
    <t>1. Values for the REPLICATION statistical inferences were taken from Files uploaded to OSF by a link: https://osf.io/39xuw/files/osfstorage. I merged them in the corresponding PDF</t>
  </si>
  <si>
    <t xml:space="preserve">corrected N from 150 to 137 </t>
  </si>
  <si>
    <t>Schaffer, J., &amp; Knobe, J. (2012). Contrastive knowledge surveyed. Noûs, 46(4), 675-708.</t>
  </si>
  <si>
    <t>10.1111/j.1468-0068.2010.00795.x</t>
  </si>
  <si>
    <t>10.1111--j.1468-0068.2010.00795.x.pdf</t>
  </si>
  <si>
    <t>Wilkenfeld, D. A., &amp; Hernández-Conde, J. V. (2017, September 12). Schaffer and Knobe Replication. https://doi.org/10.17605/OSF.IO/39XUW</t>
  </si>
  <si>
    <t>10.17605/OSF.IO/39XUW</t>
  </si>
  <si>
    <t>10.17605--osf.io--39xuw.pdf</t>
  </si>
  <si>
    <t>Replication</t>
  </si>
  <si>
    <t>Experimental Philosophy</t>
  </si>
  <si>
    <t>Contrast sensitivity of knowledge ascription (contrastivism)</t>
  </si>
  <si>
    <t>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</si>
  <si>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 </t>
  </si>
  <si>
    <t>"Participants in the thief contrast condition tended to agree with the knowledge ascription they received (mean rating: 4.6), while participants in the jewel contrast condition tended to disagree with the knowledge ascription they received (mean rating: 3.1)."</t>
  </si>
  <si>
    <t>t(98) = 3.4</t>
  </si>
  <si>
    <t>test statistic</t>
  </si>
  <si>
    <t>p.31</t>
  </si>
  <si>
    <t>e (=)</t>
  </si>
  <si>
    <t>NA</t>
  </si>
  <si>
    <t>d</t>
  </si>
  <si>
    <r>
      <rPr/>
      <t xml:space="preserve">p.2 of </t>
    </r>
    <r>
      <rPr>
        <color rgb="FF1155CC"/>
        <u/>
      </rPr>
      <t>https://osf.io/k2cna</t>
    </r>
  </si>
  <si>
    <t>https://osf.io/39xuw</t>
  </si>
  <si>
    <t>Husnain</t>
  </si>
  <si>
    <t xml:space="preserve">1. The tags are not given explicitly so I have inferred from the introduction of orignal paper. 2. The effect size is not reprted in the orignal study while replication has reported it's own and the effect size of replication study the infered effect size is cohen's d 0.687. 3. The replication paper has reported cohen's d  for the replicated study without the p value, however, it presented p valur for test stastic without the value of t. </t>
  </si>
  <si>
    <t>contrastive knowledge</t>
  </si>
  <si>
    <t>contrastive model, invariantist models, contextualist models, knowlege acriptions, conversational context</t>
  </si>
  <si>
    <t>Thief contrast codition tend to agree more compared to jewel contrast condition with knowledge ascription</t>
  </si>
  <si>
    <t>"N = 100 people spending time in the Canberra Centre Mall in Canberra, Australia, t (98) = 3.4, p = .001."</t>
  </si>
  <si>
    <t>p. 16</t>
  </si>
  <si>
    <t>3.4</t>
  </si>
  <si>
    <t>p. 16, 31</t>
  </si>
  <si>
    <t>0.001</t>
  </si>
  <si>
    <t>NA (not reported)</t>
  </si>
  <si>
    <t>0.584</t>
  </si>
  <si>
    <t>Cohen's d</t>
  </si>
  <si>
    <t>p. 1,2</t>
  </si>
  <si>
    <t>7vgkq_1</t>
  </si>
  <si>
    <t>7vgkq</t>
  </si>
  <si>
    <t>Kateri McRae, Mallory C. Kidwell, Johanna Cohoon, Daniel Lumian, Lilian Hummer, TESS-Experiments</t>
  </si>
  <si>
    <t>McRae, K., Lumian, D. S., &amp;  T. (2023, September 28). Materials. https://doi.org/10.17605/OSF.IO/7VGKQ</t>
  </si>
  <si>
    <t>10.17605/OSF.IO/7VGKQ</t>
  </si>
  <si>
    <t>10.17605--osf.io--7vgkq.pdf</t>
  </si>
  <si>
    <t>https://doi.org/10.17605/OSF.IO/7VGKQ</t>
  </si>
  <si>
    <t>Kateri McRae, Mallory C. Kidwell, Johanna Cohoon, Daniel Lumian, Lilian Hummer, TESS-Experiments, Jyoti Bhogal</t>
  </si>
  <si>
    <t>Nikolay</t>
  </si>
  <si>
    <t>acykd_1</t>
  </si>
  <si>
    <t>acykd</t>
  </si>
  <si>
    <t>Nikolay Petrov</t>
  </si>
  <si>
    <t>original sample size is 42, but 1 was excluded afterwards (p. 137)</t>
  </si>
  <si>
    <r>
      <rPr>
        <rFont val="Arial"/>
      </rPr>
      <t xml:space="preserve">- Please type "NA" if you could not find "regis" in the manuscript.
- Good catch with the N = 41!
- This is the preregistration: </t>
    </r>
    <r>
      <rPr>
        <rFont val="Arial"/>
        <color rgb="FF1155CC"/>
        <u/>
      </rPr>
      <t>https://osf.io/8urxv</t>
    </r>
    <r>
      <rPr>
        <rFont val="Arial"/>
      </rPr>
      <t xml:space="preserve"> It is linked at the top of the entry</t>
    </r>
  </si>
  <si>
    <t>Mussweiler, T., &amp; Englich, B. (2005). Subliminal anchoring: Judgmental consequences and underlying mechanisms. Organizational Behavior and Human Decision Processes, 98(2), 133-143.</t>
  </si>
  <si>
    <t>10.1016/j.obhdp.2004.12.002</t>
  </si>
  <si>
    <t>Röseler, L., Schütz, A., Burlakovas, E., Dück, M., Fels, S., Janiczek, S., … Seida, C. (2022, September 15). Replication Mussweiler &amp; Englich, 2005, Study 2. https://doi.org/10.17605/OSF.IO/ACYKD</t>
  </si>
  <si>
    <t>10.17605/OSF.IO/ACYKD</t>
  </si>
  <si>
    <t>10.17605--osf.io--acykd.pdf</t>
  </si>
  <si>
    <t>replication</t>
  </si>
  <si>
    <t>Judgment and Decision Making</t>
  </si>
  <si>
    <t>subliminal anchoring</t>
  </si>
  <si>
    <t>anchoring, subliminal priming, judgment bias, decision-making</t>
  </si>
  <si>
    <t>estimates for numeric judgments are assimilated toward anchor values, even when these anchors are presented subliminally and outside of conscious awareness</t>
  </si>
  <si>
    <t>Participants who were presented with the high anchor value estimated the car price to be higher (M = 21,219 Euro) than those presented with the low anchor value (M = 17,150 Euro), t(39) = 2.02, p &lt; .05, r = .31.</t>
  </si>
  <si>
    <t>r</t>
  </si>
  <si>
    <t>p. 137</t>
  </si>
  <si>
    <t>p. 3</t>
  </si>
  <si>
    <t>1 (one)</t>
  </si>
  <si>
    <t>https://pdf.sciencedirectassets.com/272387/1-s2.0-S0022103120X00060/1-s2.0-S0022103120304066/main.pdf?X-Amz-Security-Token=IQoJb3JpZ2luX2VjEBgaCXVzLWVhc3QtMSJGMEQCICnHJqcNsP62IhJ5t%2BlQbccPwseA76qFfK6Rgkom8dtRAiB1LS%2BiM%2B0b%2BvwiyOom715iyNnHeXVQbXmSm95pdglacyq8BQjR%2F%2F%2F%2F%2F%2F%2F%2F%2F%2F8BEAUaDDA1OTAwMzU0Njg2NSIMmoze3y0Q1yERk%2B0lKpAF0gYTSXrqATr%2FlouJQrzfzrF%2B%2BHvghuPve%2FIY6N1xxaQBobJn18bDe0NKhRM4T2mvBEFjCOaVSqmUoM3%2F%2BmGL%2BTAQq6mB%2F5aQpDiqXVVnBGSq5%2F03UsrB78W9ZYcX3HuqmMRCwLpHPAIgIHd9zQtRRFGwk6RR%2ByNdrZ7EqjeWgcIKuyAr9%2Bj0JJ74pqGzqA1bFSaiBMqqZjviAxsq%2FjIO4yKprM2jCQw%2B%2FbZMITGLBdecPGFvQADAleUhJZgsYDQbMSkktZJ6E%2FJW5MtMzDJ3LrlhsdSqiHd28N4%2FJtYL8gNCs%2F9wK3a1s%2BQvM838pcLinkI8unVh1Gcvfxjbq6fYI6x4hCc7UZUEXs%2BEd%2Bo1x9GFvp3tcM%2BwJYlAa%2BEE%2FZcco8Dj58jnqzyOal0dDMeeWOjHL3y8xqwOE69icvonadJhHFVwONEoA1aox7vcITDF0spX53bm8Off4OeJ4bHC6QFHjIgBmUnwwVhqwcTI1CofN%2BPxww0zY3oNg4NrIO%2B5IVffRucPE9pztEeVHOdsmVPWyRlEFrjQ3aVJiYpL6TVfW3VfFLrAFifjveRxLAGB28CYsVXmTUz0Qxq6JRu7SlmaRNP2YnG7ipXXbiuZbwrorkm%2BxDc3uzBAI3Z82HTq1%2FmzxXw3SDN8%2FgQpgwWMXmWr%2F%2BckEKS7a7j2988ql%2B%2Fy%2BqfrHVJ5rVoDXKUgDUP6rR3X1ejf1UZwyc8ja5HXFbPfOefIT%2FsnbjIx3Ff255FID0Z6RGepP7orcagCAcWl7CBXLkbWM%2BaP6Oi1ITpYGOPrwvSeRMyKPH2NmAiiWZE5l0m%2FTJGJ0tND%2FrcK%2BOlvjkyuEOx33q4BZeSRwvKBTPBeeTtjgd9K%2BGRMok%2Fe5xEw28zvugY6sgH0sfyibldLqTratcbSkw7B9kA7YzvSU7Iyhc8zjvj18adk0B6r39A2zAda5VndB8QXUitJ8361WDPVPzGMTek%2Fl5bziH%2FtLRb2uo30VQ5T74JJWTp8l6Rs7L5pQAvE%2FQTclPBuc%2BZrz7CkEfVLz%2FJt0xicBVpzawZjnQzXuFBfBBbMr%2FWdBHYYpRqC6jMqh3zJIYsu9ZeQkzwiXFbF14t%2BITCuLmhK4klb9H3%2BQ4iKcUaK&amp;X-Amz-Algorithm=AWS4-HMAC-SHA256&amp;X-Amz-Date=20241213T084150Z&amp;X-Amz-SignedHeaders=host&amp;X-Amz-Expires=300&amp;X-Amz-Credential=ASIAQ3PHCVTYUWRHKPES%2F20241213%2Fus-east-1%2Fs3%2Faws4_request&amp;X-Amz-Signature=33924dc8199c3da89949ad504da4000be209df455000e1a7e4fee4140f60b1b1&amp;hash=6979ab83d6e022fd52840830bb00b033291cf8235f9e721ac49f027cf55e995c&amp;host=68042c943591013ac2b2430a89b270f6af2c76d8dfd086a07176afe7c76c2c61&amp;pii=S0022103120304066&amp;tid=spdf-0273d28f-03b4-4283-8694-d21fc2577d91&amp;sid=18412b78662c794bb67b6200a74126f2bac9gxrqb&amp;type=client&amp;tsoh=d3d3LnNjaWVuY2VkaXJlY3QuY29t&amp;ua=010859005455035b5a&amp;rr=8f14a84b18840c73&amp;cc=bg#link_ir0025</t>
  </si>
  <si>
    <r>
      <rPr>
        <rFont val="Arial"/>
      </rPr>
      <t xml:space="preserve">- Please type "NA" if you could not find "regis" in the manuscript.
- Good catch with the N = 41!
- This is the preregistration: </t>
    </r>
    <r>
      <rPr>
        <rFont val="Arial"/>
        <color rgb="FF1155CC"/>
        <u/>
      </rPr>
      <t>https://osf.io/8urxv</t>
    </r>
    <r>
      <rPr>
        <rFont val="Arial"/>
      </rPr>
      <t xml:space="preserve"> It is linked at the top of the entry</t>
    </r>
  </si>
  <si>
    <t>Hakile</t>
  </si>
  <si>
    <t>Hakile Resulbegoviq</t>
  </si>
  <si>
    <t>informative failure to replicate</t>
  </si>
  <si>
    <t>updated reference_r to report instead of the OSF page</t>
  </si>
  <si>
    <r>
      <rPr>
        <rFont val="Calibri"/>
        <sz val="11.0"/>
      </rPr>
      <t xml:space="preserve">Röseler, L., Schütz, A., Blank, P. A., Dück, M., Fels, S., Kupfer, J., ... &amp; Seida, C. (2021). Evidence against subliminal anchoring: Two close, highly powered, preregistered, and failed replication attempts. Journal of Experimental Social Psychology, 92, 104066. </t>
    </r>
    <r>
      <rPr>
        <rFont val="Calibri"/>
        <color rgb="FF1155CC"/>
        <sz val="11.0"/>
        <u/>
      </rPr>
      <t>https://doi.org/10.1016/j.jesp.2020.104066</t>
    </r>
  </si>
  <si>
    <t>10.1016/j.jesp.2020.104066</t>
  </si>
  <si>
    <t>Social Psychology</t>
  </si>
  <si>
    <t>Subliminal anchoring</t>
  </si>
  <si>
    <t>Anchoring; Heuristics; Comparison; Selective accessibility; Assimilation</t>
  </si>
  <si>
    <t>Subliminally presented numerical anchors influence judgment, causing estimates to shift toward the anchor values without participants being consciously aware of the anchors.</t>
  </si>
  <si>
    <t>https://osf.io/8urxv</t>
  </si>
  <si>
    <t>Feedback for Hakile:
- The degreees of freedom for the t test are 39, indicating that N = 41
- the number of tails was actually not reported (it does not say anywhere whether it is one-tailed or two-tailed but was coded as 2)
- I could not find the d = 0.71 on p. 137 or anywhere in the manuscript.
- Please type "NA" if you could not find "regis" in the manuscript.
- Please rather use text for the claim that includes statistical elements, such as the effect on p. 137 under "results and discussion"
- This is the preregistration: https://osf.io/8urxv It is linked at the top of the entry. You linked the "post completion" registration.</t>
  </si>
  <si>
    <t>Sarah</t>
  </si>
  <si>
    <t>additional_studies1_1</t>
  </si>
  <si>
    <t>additional_studies1_a</t>
  </si>
  <si>
    <t>SAJ</t>
  </si>
  <si>
    <t>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 https://doi.org/10.1007/s11858-016-0819-3</t>
  </si>
  <si>
    <t>10.1007/s11858-016-0819-3</t>
  </si>
  <si>
    <t>García-Cerdá, C., Segura, C., &amp; Ferrando, I. (2024). Influence of the Type of Mathematical Problems on Students’ and Pre-service Teachers’ Interest and Performance. A Replication and Elaboration Study. Implementation and Replication Studies in Mathematics Education, 1(aop), 1-35. https://doi.org/10.1163/26670127-bja10017</t>
  </si>
  <si>
    <t>10.1163/26670127-bja10017</t>
  </si>
  <si>
    <t>Title - "A replication and elaboration study"
Abstract - "... the process of conceptual replication of Rellensmann and Schukajlow’s (2017) research..."</t>
  </si>
  <si>
    <t>Education</t>
  </si>
  <si>
    <t>interest in mathematics</t>
  </si>
  <si>
    <t>mathematics, interest, students, pre-service teachers, diagnostic competence, real-world problems, performance, problem-solving</t>
  </si>
  <si>
    <t>Influence of the Type of Mathematical Problems on Students’ Interest</t>
  </si>
  <si>
    <t>A t-test for dependent samples indicated that the difference in students’ interest in the two problem types was statistically significant [t(99) = −2.96, p &lt; 0.01].</t>
  </si>
  <si>
    <t>p &lt; 0.01</t>
  </si>
  <si>
    <t>𝜒2(2) = 9.99</t>
  </si>
  <si>
    <t>preprint p. 22
Kendells W = X2/N(K-1), X2 = 9.99, N = 80, K = 3
W = 9.99/ (80*(3-1)), W = 9.99/ (160), W ~ 0.06</t>
  </si>
  <si>
    <t>Alexsandr</t>
  </si>
  <si>
    <t>Aleksandr Pravednikov</t>
  </si>
  <si>
    <t>Claim text_r We observe that, in terms of means, there are no great differences in interest according to the type of problem. For students intramathematical problems were the most interesting (Mi = 2.77, SDi = 1.25), followed by word problems (Mw = 2.75, SDw = 1.18), and finally by modelling problems (Mm = 2.66, SDm = 1.26). - Table 1.  To analyse whether the differences are significant, a hypothesis test was performed. Given that the means of interest did not follow, according to the results of the Shapiro-Wilk test, a normal distribution in any of the three types of problems, we applied Friedman’s non-parametric test. Thus, we obtained that there were differences between at least two types of problems (𝜒𝜒2(2)=9.99, p &lt; 0.01). A post hoc analysis, using the Nemenyi test, ensured that there were significant differences in task-specific interest between word and modelling problems (p &lt; 0.05), but not between the other combinations. [...] Page 21-22</t>
  </si>
  <si>
    <t>Educational Sciences</t>
  </si>
  <si>
    <t>Students</t>
  </si>
  <si>
    <t>Influence of the Type of Mathematical Problems on Students’ and Pre-service Teachers’ Interest and Performance</t>
  </si>
  <si>
    <t>Students reported a mean level of interest of Madj = 2.71 (SDadj = 0.90) in solving problems with a connection to reality and Madj = 2.91 (SDadj = 1.00) in solving problems without a connection to reality when the impact of task difficulty was controlled for (Table 2). Means and standard errors for students’ interest are graphically displayed in Fig. 4.  A t-test for dependent samples indicated that the difference in students’ interest in the two problem types was statistically significant [t(99) = −2.96, p &lt; 0.01]. Cohen’s d = 0.30 indicated a small effect. This means that, contrary to our expectations, students reported more interest in solving problems without a connection to reality thann in problems with a connection to reality.</t>
  </si>
  <si>
    <t>7(373)</t>
  </si>
  <si>
    <t>&lt; 0.01</t>
  </si>
  <si>
    <t>p &lt; 0.05</t>
  </si>
  <si>
    <t>additional_studies1_b</t>
  </si>
  <si>
    <t>this effect was not explored in the original paper</t>
  </si>
  <si>
    <t>Influence of the Type of Mathematical Problems on Pre-service Teachers’ Interest</t>
  </si>
  <si>
    <t>A t-test for dependent samples showed a significant difference in pre-service teachers’ judgments of students’ interest in solving the two types of problems [t(162) = 14.33, p &lt; 0.01]. Cohen’s d = 1.12</t>
  </si>
  <si>
    <t xml:space="preserve">𝜒2(2) = 16.54
</t>
  </si>
  <si>
    <t>Kendells W = X2/N(K-1), X2 = 16.54, N = 80, K = 3
W = 16.54/ (80*(3-1)), W = 16.54/ (160), W ~ 0.1</t>
  </si>
  <si>
    <t>Claim text_r Table 2 shows the average situational interest of 80 pre-service teachers according to the connection to the reality of the problems. We observe that, for pre-service teachers, word problems were the most interesting (Mw = 3.28, SDw = 1.22), followed by modelling problems (Mm = 3.11, SDm = 1.25) and, finally, intramathematical problems (Mi = 2.92, SDi = 1.24). Again, we conducted a hypothesis test to analyse whether there were significant differences in interest according to the connection with the reality of the problems. The means of interest did not follow a normal distribution either, so we obtained that there are significant differences between at least two types of problems (𝜒𝜒2(2)=16.54, p &lt; 0.01) by applying Friedman’s test. Nemenyi’s test ensured that there were significant differences in task-specific interest between word and modelling problems (p &lt; 0.05), and between intramathematical and word problems (p &lt; 0.01). There were no significant differences between intramathematical and modelling problems (p = 0.46), indicating that word problems were significantly more interesting for pre-service teachers.  [...] Page 22-23</t>
  </si>
  <si>
    <t>Pre-service teachers</t>
  </si>
  <si>
    <t>Pre-service teachers predicted a mean of Madj = 3.18 (SDadj = 0.48) for students’ interest in problems with a connection to reality and Madj = 2.47 (SDadj = 0.60) for their interest in problems without a connection to reality (Table 2). Means and standard errors for pre-service teachers’ judgments are also graphically displayed in Fig. 4. A t-test for dependent samples showed a significant difference in pre-service teachers’ judgments of students’ interest in solving the two types of problems [t(162) = 14.33, p &lt; 0.01]. Cohen’s d = 1.12 indicated a large effect. As hypothesized, this means that pre-service teachers believed that solving problems with a connection to reality triggered more interest in students than solving problems without a connection to reality.</t>
  </si>
  <si>
    <t>additional_studies1_c</t>
  </si>
  <si>
    <t>discarded because this is an extension that cannot be paired up with an original finding</t>
  </si>
  <si>
    <t>Influence of the Type of Mathematical Problems on Student Performance</t>
  </si>
  <si>
    <t>W</t>
  </si>
  <si>
    <t>Kendells W = X2/N(K-1), X2 = 43.61, N = 80, K = 3
W = 43.61/ (80*(3-1)), W = 43.61/ (160), W ~ 0.27</t>
  </si>
  <si>
    <t>extension</t>
  </si>
  <si>
    <t>additional_studies1_d</t>
  </si>
  <si>
    <t>Influence of the Type of Mathematical Problems on Pre-service Teacher Performance</t>
  </si>
  <si>
    <t>Kendells W = X2/N(K-1), X2 = 108.75, N = 80, K = 3
W = 108.75/ (80*(3-1)), W = 108.75/ (160), W ~ 0.68</t>
  </si>
  <si>
    <t>additional_studies1_e</t>
  </si>
  <si>
    <t>Influence of the Type of Mathematical Problems on Student Interest*Performance relationship</t>
  </si>
  <si>
    <t>intramathematical problem r = 0.25, word problem r = 0.29, modelling problem r = 0.31</t>
  </si>
  <si>
    <t>intramathematical problem p &lt; 0.05, word problem p &lt; 0.01, modelling problem p &lt; 0.01</t>
  </si>
  <si>
    <t>additional_studies1_f</t>
  </si>
  <si>
    <t>Influence of the Type of Mathematical Problems on Pre-service Teacher Interest*Performance relationship</t>
  </si>
  <si>
    <t>intramathematical problem r = 0.48, word problem r = 0.28, modelling problem r = 0.35</t>
  </si>
  <si>
    <t>intramathematical problem p &lt; 0.01, word problem p &lt; 0.01, modelling problem p &lt; 0.01</t>
  </si>
  <si>
    <t>assigned</t>
  </si>
  <si>
    <t>Daniel</t>
  </si>
  <si>
    <t>additional_studies10</t>
  </si>
  <si>
    <t>additional_studies10_d</t>
  </si>
  <si>
    <t>Daniel Manrique-Castano</t>
  </si>
  <si>
    <t>The coding of this study was extremely challenging for me and I could not complete it. I feel that the replication study is extremely unclear in describing what effects they are trying to replicate. Although the replication article provides the information for the original research article (DM&amp;D column) in Tables 3 and 4 (p. 11), it is extremely difficult for me to track this information in the original research article. The replication does not specify which of the multiple comparisons they are referring to. In the lines I have filled in, I have been able to infer that the information refers only to the Spanish test. I spent several hours trying to decipher the information, but I am really frustrated because I would need much more time to read the article and the supplementary information to try to understand the issue. For this reason, I do not feel confident to complete the task. Sample size: The replication article reports a sample size of 19. This corresponds exclusively to the group of L2 Spanish speakers. However, my understanding is that the group of native Spanish speakers (n = 6) is also included in the comparisons. Again, it is extremely unclear which comparison the replication is trying to replicate. Therefore, I report 25 as the sample size in the lines I filled in. These entries, and the replication in general, need careful revision.</t>
  </si>
  <si>
    <t>10.1111/lang.12161</t>
  </si>
  <si>
    <t>A preregistered, close replication of Darcy et al. (2016)</t>
  </si>
  <si>
    <t>Linguistics</t>
  </si>
  <si>
    <t>Production accuracy - /e/ format</t>
  </si>
  <si>
    <t>language processing, inhibitory control, second language, phonological processing</t>
  </si>
  <si>
    <t>The study measured the production accuracy of  /e/ format using a delayed sentence repetition task.</t>
  </si>
  <si>
    <t>1.26 / 0.38</t>
  </si>
  <si>
    <t>https://osf.io/w4gj2</t>
  </si>
  <si>
    <t>additional_studies10_e</t>
  </si>
  <si>
    <t>Production accuracy - /ei̯/ ~ /e/</t>
  </si>
  <si>
    <t>The study measured the production accuracy of  /ei/ ~ /e/ format using a delayed sentence repetition task.</t>
  </si>
  <si>
    <t>Instead, they produced both vowels as a monophthongal /e/, with very little formant movement (1.18 for diphthongs vs. 0.92 for monophthongs, SD = 0.36), t(18) = 1.92, p = .071, r = .17, but distinguished them through duration.</t>
  </si>
  <si>
    <t>p. 17</t>
  </si>
  <si>
    <t>t(18) = 1.92</t>
  </si>
  <si>
    <t>p. 11</t>
  </si>
  <si>
    <t>additional_studies10_f</t>
  </si>
  <si>
    <t>Production accuracy - /ei̯/ z score</t>
  </si>
  <si>
    <t>The study measured the production accuracy of  /ei/ ~ z score format using a delayed sentence repetition task.</t>
  </si>
  <si>
    <t>2.27 / 0.85</t>
  </si>
  <si>
    <t>additional_studies10_g</t>
  </si>
  <si>
    <t>Production accuracy - Consonant accuracy</t>
  </si>
  <si>
    <t>The study measured the production accuracy for consonants using a delayed sentence repetition task.</t>
  </si>
  <si>
    <t>4.50 / 2.31</t>
  </si>
  <si>
    <t>additional_studies10_1</t>
  </si>
  <si>
    <t>additional_studies10_a</t>
  </si>
  <si>
    <t>Claim text_r. Table 8, p. 14 Retrieval–induced inhibition: 1.02 (0.23), [...] Results of the current replication for the partial correlation analyses did not indicate statistically significant relationships, and effect sizes were small with 95% CIs crossing through zero. p. 16</t>
  </si>
  <si>
    <t>Darcy, I., Mora, J. C., &amp; Daidone, D. (2016). The role of inhibitory control in second language phonological processing. Language Learning, 66, 741–773. https://doi.org/10.1111/lang.12161</t>
  </si>
  <si>
    <t>Huensch, A. (2024). Clarifying the role of inhibitory control in L2 phonological processing: A preregistered, close replication of Darcy et al.(2016). Studies in Second Language Acquisition, 1-21. https://doi.org/10.1017/S0272263124000238</t>
  </si>
  <si>
    <t>10.1017/S0272263124000238</t>
  </si>
  <si>
    <t>close replication</t>
  </si>
  <si>
    <t>Second Language Phonological Processing</t>
  </si>
  <si>
    <t>Role of inhibitory control in L2 phonological processing (Retrieval–induced inhibition)</t>
  </si>
  <si>
    <t>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</si>
  <si>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close</t>
  </si>
  <si>
    <t>additional_studies10_b</t>
  </si>
  <si>
    <t>Claim text_r. Table 8, p. 14 ABX error (vowels) 19.2 (13.2) [...] Results of the current replication for the partial correlation analyses did not indicate statistically significant relationships, and effect sizes were small with 95% CIs crossing through zero. p. 16</t>
  </si>
  <si>
    <t>coded as nested due to hierarchical regression; a fourth effect is reported for the replication but NA for the original study; p_val_tails_r coded as one because it says in the note "as reported in DM&amp;D", where p-values are one-tailed. Note that in the table two-tailed CIs are reported</t>
  </si>
  <si>
    <t>Role of inhibitory control in L2 phonological processing (ABX error (vowels))</t>
  </si>
  <si>
    <t>partial r</t>
  </si>
  <si>
    <t>p. 23</t>
  </si>
  <si>
    <t>p. 15, Table 10</t>
  </si>
  <si>
    <t>additional_studies10_c</t>
  </si>
  <si>
    <t>Claim text_r. Table 8, p. 14  Vowel production z score: –2.27 (0.85)[...] Results of the current replication for the partial correlation analyses did not indicate statistically significant relationships, and effect sizes were small with 95% CIs crossing through zero. p. 16</t>
  </si>
  <si>
    <t>Role of inhibitory control in L2 phonological processing (Vowel production z score)</t>
  </si>
  <si>
    <t>g (&gt;)</t>
  </si>
  <si>
    <t>Claim text_r. Table 8, p. 14 Consonant production (max. 8): 4.50 (2.31) [...] Results of the current replication for the partial correlation analyses did not indicate statistically significant relationships, and effect sizes were small with 95% CIs crossing through zero. p. 16</t>
  </si>
  <si>
    <t>Role of inhibitory control in L2 phonological processing (Consonant production (max. 8))</t>
  </si>
  <si>
    <t>10.1111--lang.12161.pdf</t>
  </si>
  <si>
    <t>The study measured the perceptual processing of Spanish vowels using the speeded ABX categorization
task.</t>
  </si>
  <si>
    <t>The test subconditions consE and vowelE did not differ from each other (Merr = 4.6%, CI = 1.0–8.2; and Merr = 3.6%, CI = 0–7.2, respectively), but they triggered significantly fewer errors than the nonnative consS and vowelS subconditions (Merr = 24.0%, CI = 20.4–27.6; and Merr = 19.1%, CI = 15.5–22.7, respectively).	p. 13, 14	25	0.955	d	19.1 / 20	0.1	l (&lt;)	NA (not reported)	yes		58	1.45	d	19.2 / 13.2				yes	https://osf.io/w4gj2	2 - close
	additional_studies10_b	Daniel Manrique-Castano		26/01/2025	The coding of this study was extremely challenging for me and I could not complete it. I feel that the replication study is extremely unclear in describing what effects they are trying to replicate. Although the replication article provides the information for the original research article (DM&amp;D column) in Tables 3 and 4 (p. 11), it is extremely difficult for me to track this information in the original research article. The replication does not specify which of the multiple comparisons they are referring to. In the lines I have filled in, I have been able to infer that the information refers only to the Spanish test. I spent several hours trying to decipher the information, but I am really frustrated because I would need much more time to read the article and the supplementary information to try to understand the issue. For this reason, I do not feel confident to complete the task. Sample size: The replication article reports a sample size of 19. This corresponds exclusively to the group of L2 Spanish speakers. However, my understanding is that the group of native Spanish speakers (n = 6) is also included in the comparisons. Again, it is extremely unclear which comparison the replication is trying to replicate. Therefore, I report 25 as the sample size in the lines I filled in. These entries, and the replication in general, need careful revision. 			10.1111/lang.12161										A preregistered, close replication of Darcy et al. (2016)"</t>
  </si>
  <si>
    <t>Perceptual processing - Spanish Consonant</t>
  </si>
  <si>
    <t>The study measured the perceptual processing of Spanish consonants using the speeded ABX categorization task.</t>
  </si>
  <si>
    <t>The test subconditions consE and vowelE did not differ from each other (Merr = 4.6%, CI = 1.0–8.2; and Merr = 3.6%, CI = 0–7.2, respectively), but they triggered significantly fewer errors than the nonnative consS and vowelS subconditions (Merr = 24.0%, CI = 20.4–27.6; and Merr = 19.1%, CI = 15.5–22.7, respectively).	p. 13, 14	25	1.04	d	24.0 / 23.0	0.1	l (&lt;)	NA (not reported)	yes		58	1.2	d	16.8 / 14				yes	https://osf.io/w4gj2	2 - close
	additional_studies10_c	Daniel Manrique-Castano		26/01/2025	The coding of this study was extremely challenging for me and I could not complete it. I feel that the replication study is extremely unclear in describing what effects they are trying to replicate. Although the replication article provides the information for the original research article (DM&amp;D column) in Tables 3 and 4 (p. 11), it is extremely difficult for me to track this information in the original research article. The replication does not specify which of the multiple comparisons they are referring to. In the lines I have filled in, I have been able to infer that the information refers only to the Spanish test. I spent several hours trying to decipher the information, but I am really frustrated because I would need much more time to read the article and the supplementary information to try to understand the issue. For this reason, I do not feel confident to complete the task. Sample size: The replication article reports a sample size of 19. This corresponds exclusively to the group of L2 Spanish speakers. However, my understanding is that the group of native Spanish speakers (n = 6) is also included in the comparisons. Again, it is extremely unclear which comparison the replication is trying to replicate. Therefore, I report 25 as the sample size in the lines I filled in. These entries, and the replication in general, need careful revision. 			10.1111/lang.12161										A preregistered, close replication of Darcy et al. (2016)"</t>
  </si>
  <si>
    <t>Production accuracy - /ei/ format</t>
  </si>
  <si>
    <t>The study measured the production accuracy of  /ei/ format using a delayed sentence repetition task.</t>
  </si>
  <si>
    <t>The two groups differed in the amount of formant movement during vowel production. The L2 Spanish learners were found to produce the Spanish diphthong /ei/ with much less formant movement (M = 1.18, SD = 0.55) than native controls (M = 3.19, SD = 0.71), as shown in Figure 2, Mann-Whitney U = 113.0, z = 3.56, p &lt; .001, r = .71..</t>
  </si>
  <si>
    <t>Fabienne</t>
  </si>
  <si>
    <t>additional_studies11_1</t>
  </si>
  <si>
    <t>additional_studies11</t>
  </si>
  <si>
    <t>Julia Fabienne Sandkühler</t>
  </si>
  <si>
    <t>replication N refers to number of couples</t>
  </si>
  <si>
    <t>Saxey, M. T., LeBaron-Black, A. B., &amp; Curran, M. A. (2022). The Sooner, the Better? Couples' First Financial Discussion, Relationship Quality, and Financial Conflict in Emerging Adulthood. Journal of Financial Therapy, 13 (1) 2. https://doi.org/10.4148/1944-9771.1299</t>
  </si>
  <si>
    <t>10.4148/1944-9771.1299</t>
  </si>
  <si>
    <t>10.4148--1944-9771.1299.pdf</t>
  </si>
  <si>
    <t>Saxey, M. T., LeBaron‐Black, A. B., Inman, N. F., Yorgason, J. B., &amp; Holmes, E. K. (2024). The earlier couples first discussed finances, the better? A dyadic, longitudinal replication and extension. Family Relations. https://doi.org/10.1111/fare.13030</t>
  </si>
  <si>
    <t>10.1111/fare.13030</t>
  </si>
  <si>
    <t>.pdf</t>
  </si>
  <si>
    <t>dyadic, longitudinal replication and extension</t>
  </si>
  <si>
    <t>emerging adulthood; financial communication; financial conflict; financial discussion, relationship quality</t>
  </si>
  <si>
    <t>Indirect effect present for relationship quality (replication: cross-sectional, wives' answers, effect on themselves)</t>
  </si>
  <si>
    <t>Indirect effect present for relationship quality: “initiating financial discussion earlier in a romantic relationship may benefit relationship quality—through financial communication” (most emphasised claim in original)</t>
  </si>
  <si>
    <t>beta</t>
  </si>
  <si>
    <t>beta (std)</t>
  </si>
  <si>
    <t>p. 2538</t>
  </si>
  <si>
    <t>additional_studies11_b</t>
  </si>
  <si>
    <t>Indirect effect present for relationship quality (replication: cross-sectional, wives' answers, effect on partner)</t>
  </si>
  <si>
    <t>additional_studies11_c</t>
  </si>
  <si>
    <t>Indirect effect present for relationship quality (replication: cross-sectional, husbands' answers, effect on themselves)</t>
  </si>
  <si>
    <t>additional_studies11_d</t>
  </si>
  <si>
    <t>Indirect effect present for relationship quality (replication: cross-sectional, husbands' answers, effect on partner)</t>
  </si>
  <si>
    <t>additional_studies11_e</t>
  </si>
  <si>
    <t>Indirect effect present for relationship quality (replication: longitudinal, wives' answers, effect on themselves)</t>
  </si>
  <si>
    <t>additional_studies11_f</t>
  </si>
  <si>
    <t>Indirect effect present for relationship quality (replication: longitudinal, wives' answers, effect on partner)</t>
  </si>
  <si>
    <t>additional_studies11_g</t>
  </si>
  <si>
    <t>Indirect effect present for relationship quality (replication: longitudinal, husbands' answers, effect on themselves)</t>
  </si>
  <si>
    <t>additional_studies11_h</t>
  </si>
  <si>
    <t>Indirect effect present for relationship quality (replication: longitudinal, husbands' answers, effect on partner)</t>
  </si>
  <si>
    <t>additional_studies11_i</t>
  </si>
  <si>
    <t>No direct effect present for relationship quality (replication: cross-sectional, wives' answers, effect on themselves)</t>
  </si>
  <si>
    <t>No direct effect present for relationship quality: “Nonetheless, couples’ first financial discussion was not directly associated with their relationship quality.” (however not emphasised in original)</t>
  </si>
  <si>
    <t>p. 2536</t>
  </si>
  <si>
    <t>additional_studies11_j</t>
  </si>
  <si>
    <t>No direct effect present for relationship quality (replication: cross-sectional, wives' answers, effect on partner)</t>
  </si>
  <si>
    <t>additional_studies11_k</t>
  </si>
  <si>
    <t>No direct effect present for relationship quality (replication: cross-sectional, husbands' answers, effect on themselves)</t>
  </si>
  <si>
    <t>additional_studies11_l</t>
  </si>
  <si>
    <t>No direct effect present for relationship quality (replication: cross-sectional, husbands' answers, effect on partner)</t>
  </si>
  <si>
    <t>additional_studies11_m</t>
  </si>
  <si>
    <t>No direct effect present for relationship quality (replication: longitudinal, wives' answers, effect on themselves)</t>
  </si>
  <si>
    <t>additional_studies11_n</t>
  </si>
  <si>
    <t>No direct effect present for relationship quality (replication: longitudinal, wives' answers, effect on partner)</t>
  </si>
  <si>
    <t>additional_studies11_o</t>
  </si>
  <si>
    <t>No direct effect present for relationship quality (replication: longitudinal, husbands' answers, effect on themselves)</t>
  </si>
  <si>
    <t>additional_studies11_p</t>
  </si>
  <si>
    <t>No direct effect present for relationship quality (replication: longitudinal, husbands' answers, effect on partner)</t>
  </si>
  <si>
    <t>additional_studies11_q</t>
  </si>
  <si>
    <t>Indirect effect present for financial conflict (replication: cross-sectional, wives' answers, effect on themselves)</t>
  </si>
  <si>
    <t>Indirect effect present for financial conflict: "The pathway from the first financial discussion to financial conflict through financial communication was significant (β = -.06; p &lt; .001)" (however not emphasised in original)</t>
  </si>
  <si>
    <t>p. 2537</t>
  </si>
  <si>
    <t>additional_studies11_r</t>
  </si>
  <si>
    <t>Indirect effect present for financial conflict (replication: cross-sectional, wives' answers, effect on partner)</t>
  </si>
  <si>
    <t>additional_studies11_s</t>
  </si>
  <si>
    <t>Indirect effect present for financial conflict (replication: cross-sectional, husbands' answers, effect on themselves)</t>
  </si>
  <si>
    <t>additional_studies11_t</t>
  </si>
  <si>
    <t>Indirect effect present for financial conflict (replication: cross-sectional, husbands' answers, effect on partner)</t>
  </si>
  <si>
    <t>additional_studies11_u</t>
  </si>
  <si>
    <t>Indirect effect present for financial conflict (replication: longitudinal, wives' answers, effect on themselves)</t>
  </si>
  <si>
    <t>additional_studies11_v</t>
  </si>
  <si>
    <t>Indirect effect present for financial conflict (replication: longitudinal, wives' answers, effect on partner)</t>
  </si>
  <si>
    <t>additional_studies11_w</t>
  </si>
  <si>
    <t>Indirect effect present for financial conflict (replication: longitudinal husbands' answers, effect on themselves)</t>
  </si>
  <si>
    <t>additional_studies11_x</t>
  </si>
  <si>
    <t>Indirect effect present for financial conflict (replication: longitudinal husbands' answers, effect on partner)</t>
  </si>
  <si>
    <t>additional_studies11_y</t>
  </si>
  <si>
    <t>Direct effect present for financial conflict (replication: cross-sectional, wives' answers, effect on themselves)</t>
  </si>
  <si>
    <t>Direct effect present for financial conflict: “However, having an earlier first financial discussion as a couple was also positively associated with financial conflict.” (p. 1, emphasised in original) (also p. 11: "The pathway from the first financial discussion to financial conflict through financial communication was significant (β = -.06; p &lt; .001), but the direct effect was also significant (p &lt; .05).")</t>
  </si>
  <si>
    <t>additional_studies11_z</t>
  </si>
  <si>
    <t>Direct effect present for financial conflict (replication: cross-sectional, wives' answers, effect on partner)</t>
  </si>
  <si>
    <t>additional_studies11_za</t>
  </si>
  <si>
    <t>Direct effect present for financial conflict (replication: cross-sectional, husbands' answers, effect on themselves)</t>
  </si>
  <si>
    <t>additional_studies11_zb</t>
  </si>
  <si>
    <t>Direct effect present for financial conflict (replication: cross-sectional, husbands' answers, effect on partner)</t>
  </si>
  <si>
    <t>additional_studies11_zc</t>
  </si>
  <si>
    <t>Direct effect present for financial conflict (replication: longitudinal, wives' answers, effect on themselves)</t>
  </si>
  <si>
    <t>p. 2539</t>
  </si>
  <si>
    <t>additional_studies11_zd</t>
  </si>
  <si>
    <t>Direct effect present for financial conflict (replication: longitudinal, wives' answers, effect on partner)</t>
  </si>
  <si>
    <t>additional_studies11_ze</t>
  </si>
  <si>
    <t>Direct effect present for financial conflict (replication: longitudinal, husbands' answers, effect on themselves)</t>
  </si>
  <si>
    <t>additional_studies11_zf</t>
  </si>
  <si>
    <t>Direct effect present for financial conflict (replication: longitudinal, husbands' answers, effect on partner)</t>
  </si>
  <si>
    <t>additional_studies11_a</t>
  </si>
  <si>
    <t>many different effect sizes and models, I chose the first ones; also, R has dyads and also includes effects from one partner to the other</t>
  </si>
  <si>
    <t>First Financial Discussion Effect</t>
  </si>
  <si>
    <t>Effect of Financial Communication on Relationship Satisfaction</t>
  </si>
  <si>
    <t>couples’ first financial discussion was directly associated with their financial communication (β = .23; p &lt; .001)</t>
  </si>
  <si>
    <t>p. 13</t>
  </si>
  <si>
    <t>pp. 10-11 wives</t>
  </si>
  <si>
    <t>1 - internal</t>
  </si>
  <si>
    <t>pp. 10-11 husbands</t>
  </si>
  <si>
    <t>Effect of Financial Communication on Reducing Financial Disagreements</t>
  </si>
  <si>
    <t>couples’ first financial discussion was directly associated with their ... financial conflict (β = .07; p &lt; .05).</t>
  </si>
  <si>
    <t>Antony</t>
  </si>
  <si>
    <t>additional_studies12_1</t>
  </si>
  <si>
    <t>additional_studies12</t>
  </si>
  <si>
    <t>Antony Casula</t>
  </si>
  <si>
    <t xml:space="preserve">Sample sizes extracted from df. </t>
  </si>
  <si>
    <t>- missed the study number
- make sure to review and correct text that is copied (special characters were missing)</t>
  </si>
  <si>
    <t>Stellar, J. E., Gordon, A., Anderson, C. L., Piff, P. K., McNeil, G. D., &amp; Keltner, D. (2018). Awe and humility. Journal of Personality and Social Psychology, 114(2), 258–269. https://doi.org/10.1037/pspi0000109</t>
  </si>
  <si>
    <t>10.1037/pspi0000109</t>
  </si>
  <si>
    <t>10.1037--pspi0000109.pdf</t>
  </si>
  <si>
    <t>Bertrand, A., Kimmel, J., Duhamel, S., Puel, H., Schifano, A., &amp; Wood, É. (2024). A Replication Study to Evaluate the Effects of Awe on Humility. McGill Science Undergraduate Research Journal, 19(1), 39-45. https://doi.org/10.26443/msurj.v19i1.231</t>
  </si>
  <si>
    <r>
      <rPr>
        <rFont val="Calibri"/>
        <color rgb="FF1155CC"/>
        <sz val="11.0"/>
        <u/>
      </rPr>
      <t>10.26443/msurj.v19i1.231</t>
    </r>
  </si>
  <si>
    <t>10.26443--msurj.v19i1.231.pdf</t>
  </si>
  <si>
    <t>awe, humilty, vastness, world views</t>
  </si>
  <si>
    <t>"Inducing awe led participants to present a more balanced view of their strengths and
weaknesses to others (Study 3)."</t>
  </si>
  <si>
    <t>"awe and neutral conditions had a different balance between disclosing their strengths and weaknesses, t(84) = 2.38, p = .02."</t>
  </si>
  <si>
    <t>t(84) = 2.38</t>
  </si>
  <si>
    <t>test statistics</t>
  </si>
  <si>
    <t>p. 263</t>
  </si>
  <si>
    <t>t(69) = –0.34</t>
  </si>
  <si>
    <t>p.41</t>
  </si>
  <si>
    <t>Replication might be preregistered, unclear. They mention that data exclusion was not preregistered, so they did not do it. However, I don't find a link to their preregistration.</t>
  </si>
  <si>
    <t>There is a reporting error in the paper: N = 85 but t(84) and df = N-2.
Feedback for Fabienne
- make sure to review and correct text that is copied (special characters were missing)
- you entered N = 85 with t(84) and Ntotal = 85. I was about to correct it to N = 86 because N = t-2 for two sample t tests but there appears to be an error in the manuscript in the reporting of the DFs.
- I could not find the effect size cohen's d that you entered (d = .57) in the original report so I replaced it with the test statistic. Please make sure to use only data from the original report for the _o variables
- As you linked a website to calculate Cohen's d: We added a sheet to the spreadsheet which allows for effect size calculation that you can use next time, but test statistics would have been fine here, too!</t>
  </si>
  <si>
    <r>
      <rPr>
        <rFont val="Calibri"/>
        <color rgb="FF1155CC"/>
        <sz val="11.0"/>
        <u/>
      </rPr>
      <t>10.26443/msurj.v19i1.231</t>
    </r>
  </si>
  <si>
    <t>humility, awe, emotion, self-concept</t>
  </si>
  <si>
    <t>Awe leads to humility</t>
  </si>
  <si>
    <t>Feedback for Fabienne
- make sure to review and correct text that is copied (special characters were missing)
- you entered N = 85 with t(84) and Ntotal = 85. I was about to correct it to N = 86 because N = t-2 for two sample t tests but there appears to be an error in the manuscript in the reporting of the DFs.
- I could not find the effect size cohen's d that you entered (d = .57) in the original report so I replaced it with the test statistic. Please make sure to use only data from the original report for the _o variables
- As you linked a website to calculate Cohen's d: We added a sheet to the spreadsheet which allows for effect size calculation that you can use next time, but test statistics would have been fine here, too!</t>
  </si>
  <si>
    <t>additional_studies12_b</t>
  </si>
  <si>
    <r>
      <rPr>
        <rFont val="Calibri"/>
        <color rgb="FF1155CC"/>
        <sz val="11.0"/>
        <u/>
      </rPr>
      <t>10.26443/msurj.v19i1.231</t>
    </r>
  </si>
  <si>
    <t>"More specific analyses revealed that participants in the awe condition discussed significantly fewer strengths (M=1.20, SD=.53) before choosing to write about their weaknesses than participants in the neutral condition (M =1.48, SD=.44), t(84)=2.64, p= .01,..."</t>
  </si>
  <si>
    <t>t(84)=2.64</t>
  </si>
  <si>
    <t>t(91) = 0.85,</t>
  </si>
  <si>
    <r>
      <rPr>
        <rFont val="Calibri"/>
        <color rgb="FF1155CC"/>
        <sz val="11.0"/>
        <u/>
      </rPr>
      <t>10.26443/msurj.v19i1.231</t>
    </r>
  </si>
  <si>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 </t>
  </si>
  <si>
    <t>additional_studies12_c</t>
  </si>
  <si>
    <r>
      <rPr>
        <rFont val="Calibri"/>
        <color rgb="FF1155CC"/>
        <sz val="11.0"/>
        <u/>
      </rPr>
      <t>10.26443/msurj.v19i1.231</t>
    </r>
  </si>
  <si>
    <t>"...there was no effect of condition on the number of weaknesses participants listed (awe: M= .82, SD =.58; neutral: M = .79, SD=.49), t(84)=.27, p =.79."</t>
  </si>
  <si>
    <t>t(84)=.27</t>
  </si>
  <si>
    <t>t(82)=0.5</t>
  </si>
  <si>
    <t>additional_studies125_1</t>
  </si>
  <si>
    <t>additional_studies125</t>
  </si>
  <si>
    <t>1. In the orignal study, I have used claims from the page 1 because they were well summarised. However, I have reported results seprately for effect size and P value</t>
  </si>
  <si>
    <t>Changed label_r to "replication" instead of "Close Replication"; added tags that are also found in paper, changed n to 39; changed nested_o to yes, changed p_val_tails; changed pval_value_o to 0.025</t>
  </si>
  <si>
    <t>Johnston, W., Dolan, K., Reid, N., Coughlan, G. F., &amp; Caulfield, B. (2018). Investigating the effects of maximal anaerobic fatigue on dynamic postural control using the Y-Balance Test. Journal of science and medicine in sport, 21(1), 103-108. https://doi.org/10.1016/j.jsams.2017.06.007</t>
  </si>
  <si>
    <t>10.1016/j.jsams.2017.06.007</t>
  </si>
  <si>
    <t>10.1016--j.jsams.2017.06.007.pdf</t>
  </si>
  <si>
    <t>Byrne, C., Murphy, J., &amp; Warne, J. P. (2024). Replication Study: Investigating the effects of maximal anaerobic fatigue on dynamic postural control using the Y-Balance Test. Journal of Science and Medicine in Sport. https://doi.org/10.1016/j.jsams.2024.07.018</t>
  </si>
  <si>
    <t>10.1016/j.jsams.2024.07.018</t>
  </si>
  <si>
    <t>10.1016--j.jsams.2024.07.018.pdf</t>
  </si>
  <si>
    <t xml:space="preserve">Science and Medicine in Sport </t>
  </si>
  <si>
    <t>maximal anaerobic fatigue</t>
  </si>
  <si>
    <t>Dynamic postural control, Dynamic balance, Y-Balance Test, Fatigue, Replication, Balance, Anterior reach direction, Posterolateral reach direction, Posteromedial reach direction</t>
  </si>
  <si>
    <t>Maximal anaerobic fatigue significantly reduces Y-Balance Test scores in ANT</t>
  </si>
  <si>
    <t>"Post-hoc paired sample t-tests demonstrated that all three reach directions demonstrated statistically significant differences between pre-fatigue and the first post-fatigue measurement (ANT: p = 0.019, PM: p = 0.004, PL: p = 0.003)"</t>
  </si>
  <si>
    <t>p. 1, 3</t>
  </si>
  <si>
    <t>F(3, 57) = 3.818</t>
  </si>
  <si>
    <t>0.159</t>
  </si>
  <si>
    <t>p.4</t>
  </si>
  <si>
    <t>0.002</t>
  </si>
  <si>
    <t>- please report test statistics with all details: F(x, y) = value (and not just the value)</t>
  </si>
  <si>
    <t>LR, Sophie</t>
  </si>
  <si>
    <t>additional_studies125_an</t>
  </si>
  <si>
    <r>
      <rPr/>
      <t xml:space="preserve">1. The initial registration of the protocol is under the link: </t>
    </r>
    <r>
      <rPr>
        <color rgb="FF1155CC"/>
        <u/>
      </rPr>
      <t xml:space="preserve">https://osf.io/kqdpm
</t>
    </r>
    <r>
      <rPr/>
      <t>2. Since one-way rmANOVA was used, the Nested option is "Yes"
3. Degree of freedon for original study was calculated based on number of time measurements (4) and participants (20)</t>
    </r>
  </si>
  <si>
    <r>
      <rPr/>
      <t xml:space="preserve">Byrne, C., Murphy, J., &amp; Warne, J. P. (2024). Replication Study: Investigating the effects of maximal anaerobic fatigue on dynamic postural control using the Y-Balance Test. Journal of Science and Medicine in Sport. </t>
    </r>
    <r>
      <rPr>
        <color rgb="FF1155CC"/>
        <u/>
      </rPr>
      <t>https://doi.org/10.1016/j.jsams.2024.07.018</t>
    </r>
  </si>
  <si>
    <t>Medicine</t>
  </si>
  <si>
    <t>Dynamic postural control</t>
  </si>
  <si>
    <t>Investigating the effects of maximal anaerobic fatigue on dynamic postural control with Y Balance test by comparing pre-fatigue and post-fatigue (0, 10, 20 min) in anterior direction</t>
  </si>
  <si>
    <r>
      <rPr>
        <rFont val="Arial"/>
        <color theme="1"/>
      </rPr>
      <t xml:space="preserve">"A repeated measures ANOVA with a Greenhouse-Geisser correction determined that the mean reach distances for the </t>
    </r>
    <r>
      <rPr>
        <rFont val="Arial"/>
        <b/>
        <color theme="1"/>
      </rPr>
      <t xml:space="preserve">anterior </t>
    </r>
    <r>
      <rPr>
        <rFont val="Arial"/>
        <color theme="1"/>
      </rPr>
      <t>(F = 3.818, p = 0.025) reach directions were statistically significantly different between time points."</t>
    </r>
  </si>
  <si>
    <t>p.3</t>
  </si>
  <si>
    <t>https://osf.io/5beqa</t>
  </si>
  <si>
    <t>- please choose "NA" for pval_tails, when the paper does not clearly state it. Even if an F-Test is used</t>
  </si>
  <si>
    <t>additional_studies125_b</t>
  </si>
  <si>
    <t>changed pval_value_o to 0.0004
here it says not replicated, therefore other entry for this claim was chosen and this discarded</t>
  </si>
  <si>
    <t>Johnston, W., Dolan, K., Reid, N., Coughlan, G. F., &amp; Caulfield, B. (2018). Investigating the effects of maximal anaerobic fatigue on dynamic postural control using the Y-Balance Test. Journal of science and medicine in sport, 21(1), 103-108. https://doi.org/10.1016/j.jsams.2017.06.008</t>
  </si>
  <si>
    <t>Not replicated</t>
  </si>
  <si>
    <t>Dynamic postural control, Dynamic balance, Y-Balance Test, Fatigue</t>
  </si>
  <si>
    <t>Maximal anaerobic fatigue significantly reduces Y-Balance Test scores in PM</t>
  </si>
  <si>
    <t>- please describe notes in more detail (e.g., what do you mean with "not replicated"
- please do not code values for claims for which no replication finding exists
- please look closely in the replication paper since here the finding was replicated</t>
  </si>
  <si>
    <t>additional_studies125_c</t>
  </si>
  <si>
    <t xml:space="preserve">I dont understand this claim, seems to be the same as above with a different p-value that I cannot find in the original paper. </t>
  </si>
  <si>
    <t>Johnston, W., Dolan, K., Reid, N., Coughlan, G. F., &amp; Caulfield, B. (2018). Investigating the effects of maximal anaerobic fatigue on dynamic postural control using the Y-Balance Test. Journal of science and medicine in sport, 21(1), 103-108. https://doi.org/10.1016/j.jsams.2017.06.009</t>
  </si>
  <si>
    <t>Maximal anaerobic fatigue significantly reduces Y-Balance Test scores in PL</t>
  </si>
  <si>
    <t>0.003</t>
  </si>
  <si>
    <t>awaiting validation</t>
  </si>
  <si>
    <t>additional_studies125_d</t>
  </si>
  <si>
    <t xml:space="preserve">changed n to 39
</t>
  </si>
  <si>
    <t>Johnston, W., Dolan, K., Reid, N., Coughlan, G. F., &amp; Caulfield, B. (2018). Investigating the effects of maximal anaerobic fatigue on dynamic postural control using the Y-Balance Test. Journal of science and medicine in sport, 21(1), 103-108. https://doi.org/10.1016/j.jsams.2017.06.010</t>
  </si>
  <si>
    <t>Dynamic postural control for ANT returned to pre-fatigue level with least significant</t>
  </si>
  <si>
    <t>"The anterior reach direction returned to pre-fatigue levels within 10 min (p = 0.632). The posteromedial reach direction returned to pre-fatigue levels within 20 min (p = 0.236), while the posterolateral direction maintained a statistically significant difference at 20 min (p = 0.023)"</t>
  </si>
  <si>
    <t>p. 1, 4</t>
  </si>
  <si>
    <t>0.632</t>
  </si>
  <si>
    <t>- please watch out for the n that was included in analysis and not the n before exclusions were made</t>
  </si>
  <si>
    <t>additional_studies125_e</t>
  </si>
  <si>
    <t>Johnston, W., Dolan, K., Reid, N., Coughlan, G. F., &amp; Caulfield, B. (2018). Investigating the effects of maximal anaerobic fatigue on dynamic postural control using the Y-Balance Test. Journal of science and medicine in sport, 21(1), 103-108. https://doi.org/10.1016/j.jsams.2017.06.011</t>
  </si>
  <si>
    <t>Dynamic postural control for PM returned to pre-fatigue level with less</t>
  </si>
  <si>
    <t>0.236</t>
  </si>
  <si>
    <t>additional_studies125_f</t>
  </si>
  <si>
    <t>Johnston, W., Dolan, K., Reid, N., Coughlan, G. F., &amp; Caulfield, B. (2018). Investigating the effects of maximal anaerobic fatigue on dynamic postural control using the Y-Balance Test. Journal of science and medicine in sport, 21(1), 103-108. https://doi.org/10.1016/j.jsams.2017.06.012</t>
  </si>
  <si>
    <t>Dynamic postural control for PL returned to pre-fatigue level with most</t>
  </si>
  <si>
    <t>0.023</t>
  </si>
  <si>
    <t>additional_studies125_g</t>
  </si>
  <si>
    <t>Johnston, W., Dolan, K., Reid, N., Coughlan, G. F., &amp; Caulfield, B. (2018). Investigating the effects of maximal anaerobic fatigue on dynamic postural control using the Y-Balance Test. Journal of science and medicine in sport, 21(1), 103-108. https://doi.org/10.1016/j.jsams.2017.06.013</t>
  </si>
  <si>
    <t>Intraclass correlation coefficients for the Y-Balance Test indicate good intra-session reliability for ANT</t>
  </si>
  <si>
    <t>additional_studies125_h</t>
  </si>
  <si>
    <t>Johnston, W., Dolan, K., Reid, N., Coughlan, G. F., &amp; Caulfield, B. (2018). Investigating the effects of maximal anaerobic fatigue on dynamic postural control using the Y-Balance Test. Journal of science and medicine in sport, 21(1), 103-108. https://doi.org/10.1016/j.jsams.2017.06.014</t>
  </si>
  <si>
    <t>Intraclass correlation coefficients for the Y-Balance Test indicate best intra-session reliability for PM</t>
  </si>
  <si>
    <t>additional_studies125_i</t>
  </si>
  <si>
    <t>Johnston, W., Dolan, K., Reid, N., Coughlan, G. F., &amp; Caulfield, B. (2018). Investigating the effects of maximal anaerobic fatigue on dynamic postural control using the Y-Balance Test. Journal of science and medicine in sport, 21(1), 103-108. https://doi.org/10.1016/j.jsams.2017.06.015</t>
  </si>
  <si>
    <t>Intraclass correlation coefficients for the Y-Balance Test indicate least intra-session reliability PL</t>
  </si>
  <si>
    <t>additional_studies125_pl</t>
  </si>
  <si>
    <r>
      <rPr>
        <rFont val="Calibri"/>
        <sz val="11.0"/>
      </rPr>
      <t xml:space="preserve">1. The initial registration of the protocol is under the link: </t>
    </r>
    <r>
      <rPr>
        <rFont val="Calibri"/>
        <color rgb="FF1155CC"/>
        <sz val="11.0"/>
        <u/>
      </rPr>
      <t xml:space="preserve">https://osf.io/kqdpm
</t>
    </r>
    <r>
      <rPr>
        <rFont val="Calibri"/>
        <sz val="11.0"/>
      </rPr>
      <t>2. Since one-way rmANOVA was used, the Nested option is "Yes"
3. Degree of freedon for original study was calculated based on number of time measurements (4) and participants (20)</t>
    </r>
  </si>
  <si>
    <t>Investigating the effects of maximal anaerobic fatigue on dynamic postural control with Y Balance test by comparing pre-fatigue and post-fatigue (0, 10, 20 min) in posteromedial direction</t>
  </si>
  <si>
    <r>
      <rPr>
        <rFont val="Calibri"/>
        <color theme="1"/>
        <sz val="11.0"/>
      </rPr>
      <t xml:space="preserve">"The </t>
    </r>
    <r>
      <rPr>
        <rFont val="Calibri"/>
        <b/>
        <color theme="1"/>
        <sz val="11.0"/>
      </rPr>
      <t xml:space="preserve">posteromedial </t>
    </r>
    <r>
      <rPr>
        <rFont val="Calibri"/>
        <color theme="1"/>
        <sz val="11.0"/>
      </rPr>
      <t>reach direction was approaching significance (F = 2.215, p = 0.059)."</t>
    </r>
  </si>
  <si>
    <t>F(3, 57) = 2.215</t>
  </si>
  <si>
    <t>- do not code tests as one-tailed unless it is explicitly said in the text (eg "one-tailed)</t>
  </si>
  <si>
    <t>additional_studies125_pm</t>
  </si>
  <si>
    <r>
      <rPr>
        <rFont val="Calibri"/>
        <sz val="11.0"/>
      </rPr>
      <t xml:space="preserve">1. The initial registration of the protocol is under the link: </t>
    </r>
    <r>
      <rPr>
        <rFont val="Calibri"/>
        <color rgb="FF1155CC"/>
        <sz val="11.0"/>
        <u/>
      </rPr>
      <t xml:space="preserve">https://osf.io/kqdpm
</t>
    </r>
    <r>
      <rPr>
        <rFont val="Calibri"/>
        <sz val="11.0"/>
      </rPr>
      <t>2. Since one-way rmANOVA was used, the Nested option is "Yes"
3. Degree of freedon for original study was calculated based on number of time measurements (4) and participants (20)</t>
    </r>
  </si>
  <si>
    <t>the values from the replication study that were put in are from a different finding, not replicating reach distance but reach direction</t>
  </si>
  <si>
    <r>
      <rPr>
        <rFont val="Calibri"/>
        <sz val="11.0"/>
      </rPr>
      <t xml:space="preserve">Johnston, W., Dolan, K., Reid, N., Coughlan, G. F., &amp; Caulfield, B. (2018). Investigating the effects of maximal anaerobic fatigue on dynamic postural control using the Y-Balance Test. Journal of science and medicine in sport, 21(1), 103-108. </t>
    </r>
    <r>
      <rPr>
        <rFont val="Calibri"/>
        <color rgb="FF1155CC"/>
        <sz val="11.0"/>
        <u/>
      </rPr>
      <t>https://doi.org/10.1016/j.jsams.2017.06.007</t>
    </r>
  </si>
  <si>
    <t>Investigating the effects of maximal anaerobic fatigue on dynamic postural control with Y Balance test by comparing pre-fatigue and post-fatigue (0, 10, 20 min) in posterolateral direction</t>
  </si>
  <si>
    <r>
      <rPr>
        <rFont val="Calibri"/>
        <color theme="1"/>
        <sz val="11.0"/>
      </rPr>
      <t xml:space="preserve">"A repeated measures ANOVA with a Greenhouse-Geisser correction determined that the mean reach distances for the </t>
    </r>
    <r>
      <rPr>
        <rFont val="Calibri"/>
        <b/>
        <color theme="1"/>
        <sz val="11.0"/>
      </rPr>
      <t xml:space="preserve">posterolateral </t>
    </r>
    <r>
      <rPr>
        <rFont val="Calibri"/>
        <color theme="1"/>
        <sz val="11.0"/>
      </rPr>
      <t>(F = 6.503, P = 0.0004) reach directions were statistically significantly different between time points."</t>
    </r>
  </si>
  <si>
    <t>F(3, 57) = 6.503</t>
  </si>
  <si>
    <t>additional_studies13_1</t>
  </si>
  <si>
    <t>additional_studies13</t>
  </si>
  <si>
    <t xml:space="preserve">This is not a replication:
 original study relied on testing and neuropsychological performance (Visual Reproductions immediate recall/ Visual Reproductions delayed recall/ Verbal Paired Associates I /Verbal Paired Associates II/ Simple Reaction Time efficiency / Continuous Performance/ Test omissions) while newer one based on the APOE ε4 and ε2 presence in the brain. I extracted results, but didn't extract precise statistics. 
Claim text_r. Combat by APOE ε4. Table 2 shows the associations between PTSD symptom severity and combat exposure and covariates (age and sex; ancestry substructure PCs were also included in the model but are not shown in the table for simplicity) in each age group and ancestry cohort. As expected, PTSD severity was strongly associated with combat exposure. It was also negatively associated with age in the middle-age and old-age cohorts, but age was positively associated with PTSD in the young age group. Sex was not significantly related to PTSD severity, but this may be due to low power as the sample was primarily male. Table 2 also shows the main and interactive effects of combat and APOE ε4 on PTSD severity. There were no main effects of APOE ε4 on current PTSD severity in any of the cohorts (P &gt; 0.07). There were no combat by APOE ε4 interactions in any of the age or ancestry cohorts (P ≥ 0.18). Head injury by APOE ε4. We next examined the potential role of head injury in place of combat in the APOE ε4 interaction models. Head injury was associated with current PTSD severity in every age group in both the AA and EUR cohorts (P ≤ 6.03   10–13; Table 2). There was one nominally significant interaction for head injury by ε4 in the young AA cohort (P = 0.042); however, this did not survive a multiple testing correction. [...] p.555 </t>
  </si>
  <si>
    <t>Vasterling, J. J., Aslan, M., Lee, L. O., Proctor, S. P., Ko, J., Jacob, S., &amp; Concato, J. (2018). Longitudinal Associations among Posttraumatic Stress Disorder Symptoms, Traumatic Brain Injury, and Neurocognitive Functioning in Army Soldiers Deployed to the Iraq War. Journal of the International Neuropsychological Society, 24(4), 311–323. doi:10.1017/S1355617717001059</t>
  </si>
  <si>
    <t>10.1017/S1355617717001059</t>
  </si>
  <si>
    <t>Wolf, E. J., Miller, M. W., Zhang, R., Sherva, R., Harrington, K. M., Fonda, J. R., ... &amp; Logue, M. W. (2024). No replication of Alzheimer’s disease genetics as a moderator of the association between combat exposure and PTSD risk in 138,592 combat veterans. Nature Mental Health, 1-9. https://doi.org/10.1038/s44220-024-00225-1</t>
  </si>
  <si>
    <t>10.1038/s44220-024-00225-1</t>
  </si>
  <si>
    <t xml:space="preserve">original study relied on testing and neuropsychological performance (Visual Reproductions immediate recall/ Visual Reproductions delayed recall/ Verbal Paired Associates I /Verbal Paired Associates II/ Simple Reaction Time efficiency / Continuous Performance/ Test omissions) while newer one based on the APOE ε4 and ε2 presence in the brain. I extracted results, but didn't extract precise statistics. 
</t>
  </si>
  <si>
    <t>Hypothesis 1, 2, 3</t>
  </si>
  <si>
    <t>Alzheimer’s disease genetics as a moderator of the association between combat exposure and PTSD risk</t>
  </si>
  <si>
    <t>Results: Autoregressive analyses indicated that visual reproduction scores were inversely related to subsequent PTSD symptom severity at subsequent assessments. Conversely, increases in PTSD symptom severity over each measurement interval were associated with poorer verbal and/or visual recall at the end of each interval, and less efficient reaction time at post-deployment. TBI, primarily mild in this sample, was associated with adverse PTSD symptom outcomes at both post-deployment and long-term follow-up. [...] Table 3,4, and 5</t>
  </si>
  <si>
    <t>1, 6, 7, 8, 9</t>
  </si>
  <si>
    <t>NA: unknown</t>
  </si>
  <si>
    <t>The replication study is not a true replication of the original study. The replication study performs an analysis of APOE ε4 and ε2 genes (an Alzheimer’s disease polygenic risk score) in post-traumatic stress. The original study does not deal with this. Instead, it investigates the associations among PTSD, neurocognitive performance, and TBI following military deployment.</t>
  </si>
  <si>
    <t>10.1017--s1355617717001059.pdf</t>
  </si>
  <si>
    <t>additional_studies14_1</t>
  </si>
  <si>
    <t>additional_studies14</t>
  </si>
  <si>
    <t>Claim text_r. Hypothesis testing. Table 5 and Fig. 4 show the Cramer’s V correlations between the covariates and the selected media collection. The variance stems from the 60 different parameter combinations tested. According to Cohen [41, 42], a correlation of 0.5 is high, 0.3 is medium, and 0.1 is small1. Hence, our results show a high correlation between the supervisor and the choice of media collection, but only a small correlation between the supervisor’s own choice of media collection and the worker’s choice. Consequently, the hypothesis on the supervisor’s social influence holds (H1a), whereas its particularization in the imitation hypothesis (H1b) does not hold. As coworkers and physical location show a small correlation with the media collection choice, the hypothesis about the coworkers’ social influence does not hold (H2), whereas the negligible association with the physical association does hold (H3). [...] p.9</t>
  </si>
  <si>
    <t>Watson-Manheim, M. B., &amp; Bélanger, F. (2007). Communication media repertoires: Dealing with the multiplicity of media choices. MIS quarterly, 267-293. https://doi.org/10.2307/25148791</t>
  </si>
  <si>
    <t>10.2307/25148791</t>
  </si>
  <si>
    <t>Hüllmann, J. A., &amp; Krebber, S. (2021). Replication Study: Investigating Media Choice and Types of Media Collections of Distributed Workers Using Digital Traces. Available at SSRN 3816626. http://dx.doi.org/10.2139/ssrn.3816626</t>
  </si>
  <si>
    <t>10.2139/ssrn.3816626</t>
  </si>
  <si>
    <t>Even though theoretically relevant aspects of the studies are the same, the original study relied on qualitative methodology, hence there is no quantitative data to compare the studies.</t>
  </si>
  <si>
    <t>Communication Science</t>
  </si>
  <si>
    <t>Media Choice and Types of Media Collections</t>
  </si>
  <si>
    <t>The replication article is related to the original article. However, I do not believe that we can report a quantitative replication attempt. Although the original research article reports some rounded percentages for the use of communication media, I believe that this is a way of illustrating the qualitative information they present in the original research article. This is not comparable to the approach taken in the replication attempts. In other words, replication is a quantitative approach to replicating an original qualitative approach.</t>
  </si>
  <si>
    <t>10.2307--25148791.pdf</t>
  </si>
  <si>
    <t>help needed</t>
  </si>
  <si>
    <t>additional_studies15_1</t>
  </si>
  <si>
    <t>additional_studies15</t>
  </si>
  <si>
    <t>sample size unclear</t>
  </si>
  <si>
    <t>Gettinger, M., Kratochwill, T. R., Eubanks, A., Foy, A., &amp; Levin, J. R. (2021). Academic and behavior combined support: Evaluation of an integrated supplemental intervention for early elementary students. Journal of School Psychology, 89, 1-19. https://doi.org/10.1016/j.jsp.2021.09.004</t>
  </si>
  <si>
    <t>10.1016/j.jsp.2021.09.004</t>
  </si>
  <si>
    <t>10.1016--j.jsp.2021.09.004.pdf</t>
  </si>
  <si>
    <t>Gettinger, M., Kratochwill, T. R., Levin, J. R., Eubanks, A., &amp; Foy, A. (2024). Academic and behavior combined support: A single-case practice-based replication study. Journal of School Psychology, 104, 101307. https://doi.org/10.1016/j.jsp.2024.101307</t>
  </si>
  <si>
    <t>10.1016/j.jsp.2024.101307</t>
  </si>
  <si>
    <t>10.1016--j.jsp.2024.101307.pdf</t>
  </si>
  <si>
    <t>Academic and Behavior Combined Support, integrated supplemental intervention , Oral reading fluency outcomes, engaged behavior, disruptive behavior</t>
  </si>
  <si>
    <t>"..integrated supplemental intervention for early elementary students [...] (produces) significant improvement from baseline to intervention for both reading and behavior outcomes."</t>
  </si>
  <si>
    <t>"A randomization test conducted on these data revealed a statistically significant change in level across students following the introduction of the intervention (p = .001), from a baseline mean of 60.0 WCPM to an intervention mean of 91.2."</t>
  </si>
  <si>
    <t>hedges' g</t>
  </si>
  <si>
    <t>p.24-25</t>
  </si>
  <si>
    <t>p.8</t>
  </si>
  <si>
    <t>The claim does not fit to the reported d, d should be 2.8 for this case</t>
  </si>
  <si>
    <t xml:space="preserve">Did not include followup, which is present in replication but not the original. </t>
  </si>
  <si>
    <t>"Replication" in title</t>
  </si>
  <si>
    <t>Supplemental support, Oral reading fluency, Engagement</t>
  </si>
  <si>
    <t>Academic and Behavior Combined Support (ABC Support)</t>
  </si>
  <si>
    <t>"Visual and statistical analyses revealed significant improvement from baseline to intervention for both reading and (...) outcomes.", Reading outcome, STANDARD reading passages: "The visual analysis was supported by a multiple-baseline randomization test that yielded a statistically significant increase in WCPM from baseline (M = 59.3) to intervention (M = 72.0), p = .006. The average effect-size d was 1.33, with an associated g of 1.21 and adjusted NAP of 0.57."</t>
  </si>
  <si>
    <t>1 and 12</t>
  </si>
  <si>
    <t>p. 12</t>
  </si>
  <si>
    <t>p. 8</t>
  </si>
  <si>
    <t>Please only provide a numer for N (you wrote 1 and 12) and if you cannot, write an explanation into the notes variable or explain where it comes from.</t>
  </si>
  <si>
    <t>additional_studies15_b</t>
  </si>
  <si>
    <t>Follow up (2 to 5 weeks after intervention) of preceding row's effect (compared to baseline-pre intervention)</t>
  </si>
  <si>
    <t xml:space="preserve">I think some of the p-values might actually be &lt; and not = .001 as reported. Did not include followup, which is present in replication but not the original. </t>
  </si>
  <si>
    <t>"Visual and statistical analyses revealed significant improvement from baseline to intervention for both reading and (...) outcomes.", Reading outcome, TRAINING reading passages: "A randomization test conducted on these data revealed a statistically significant change in level across students following the introduction of the intervention (p = .001), from a baseline mean of 60.0 WCPM to an intervention mean of 91.2. The average effectsize d was 2.80, with an associated g of 2.53 and adjusted NAP of 0.94."</t>
  </si>
  <si>
    <t>1 and 13</t>
  </si>
  <si>
    <t>additional_studies15_c</t>
  </si>
  <si>
    <t>"...there was a statistically significant increase in frequency of engaged behavior (p = .001), from an average of 63% engagement during baseline to 82% during intervention."</t>
  </si>
  <si>
    <t>25-26</t>
  </si>
  <si>
    <t>p.26</t>
  </si>
  <si>
    <t>p.9</t>
  </si>
  <si>
    <t>"Visual and statistical analyses revealed significant improvement from baseline to intervention for both (...) and behaviour outcomes." Behaviour outcome ENGAGED behaviour: "analyses. Specifically, there was a statistically significant increase in frequency of engaged behavior (p = .001), from an average of 63% engagement during baseline to 82% during intervention. The average effect-size d was 1.14, the average g was 1.03, and the average adjusted NAP was 0.55."</t>
  </si>
  <si>
    <t>1 and 15</t>
  </si>
  <si>
    <t>p. 15</t>
  </si>
  <si>
    <t>p. 9</t>
  </si>
  <si>
    <t>additional_studies15_d</t>
  </si>
  <si>
    <t>p.10</t>
  </si>
  <si>
    <t>"Visual and statistical analyses revealed significant improvement from baseline to intervention for both (...) and behaviour outcomes." Behaviour outcome DISRUPTIVE behaviour: "There was a statistically significant decrease in students’ disruptive behavior (p = .001), from an average of 18% occurrence during baseline to 7% during intervention. The average effect-size d was 􀀀 0.85, with an associated g of 􀀀 0.76 and average adjusted NAP of 0.50."</t>
  </si>
  <si>
    <t>p. 10</t>
  </si>
  <si>
    <t>additional_studies15_e</t>
  </si>
  <si>
    <t>"There was a statistically significant decrease in students' disruptive behavior (p = .001), from an average of 18% occurrence during baseline to 7% during intervention. "</t>
  </si>
  <si>
    <t>−0.76</t>
  </si>
  <si>
    <t>−0.91</t>
  </si>
  <si>
    <t>additional_studies15_f</t>
  </si>
  <si>
    <t>−1.07</t>
  </si>
  <si>
    <t>additional_studies16</t>
  </si>
  <si>
    <t>additional_studies16_b</t>
  </si>
  <si>
    <t>The replication and original articles were extremely clear in their reporting of evaluated effects and effect sizes.</t>
  </si>
  <si>
    <t>10.1016/j.learninstruc.2018.05.004</t>
  </si>
  <si>
    <t>10.1016--j.learninstruc.2018.05.004.pdf</t>
  </si>
  <si>
    <t>Solheim, O. J., Foldnes, N., Walgermo, B. R., Bjerke, K. K., Birkedal, I. K., Uppstad, P. H., &amp; Lundetræ, K. (2024). Closing the Gap: A Conceptual Replication of an Early Reading Intervention. Journal of Research on Educational Effectiveness, 1-23. https://doi.org/10.1080/19345747.2024.2333735</t>
  </si>
  <si>
    <t>Closing the Gap: A Conceptual Replication of an Early Reading Intervention</t>
  </si>
  <si>
    <t>Sentence reading / Reading comprehension</t>
  </si>
  <si>
    <t>reading intervention; at-risk students; reading difficulties.</t>
  </si>
  <si>
    <t>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</si>
  <si>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p. 70</t>
  </si>
  <si>
    <t>Hedges'g</t>
  </si>
  <si>
    <t>p. 73</t>
  </si>
  <si>
    <t>additional_studies16_c</t>
  </si>
  <si>
    <t>Solheim, O. J., Foldnes, N., Walgermo, B. R., Bjerke, K. K., Birkedal, I. K., Uppstad, P. H., &amp; Lundetræ, K. (2024). Closing the Gap: A Conceptual Replication of an Early Reading Intervention. Journal of Research on Educational Effectiveness, 1-23. https://doi.org/10.1080/19345747.2024.2333736</t>
  </si>
  <si>
    <t>Spelling</t>
  </si>
  <si>
    <t>Spelling was measured by 14 items. For all items, the tester read a short sentence containing the target word, for example, “It was a difficult test. Write ‘test’”. The number of correctly spelled words was measured (maximum=14).	Significant ceiling effects were observed for the intervention children on all outcomes, with proportion of the sample censored from above as follows: word reading, 21.4%, sentence reading, 35.1%, spelling, 9.4%, and letter writing, 56.5%. See also table 4</t>
  </si>
  <si>
    <t>additional_studies16_1</t>
  </si>
  <si>
    <t>additional_studies16_a</t>
  </si>
  <si>
    <t xml:space="preserve">For statistics I used Conceptual replication, reduced sample, because it's closer to the original study in terms of compliance
Claim text_r. Results of the original try-out study and the conceptual replication are compared in Table 6. Intervention estimates were positive for all outcome measures. However, the estimate for reading comprehension did not reach statistical significance on the .05 level (p = .073). Finally, we excluded all intervention students that received 50 or fewer intervention sessions (23.3% of the intervention students) and reran Tobit models and recalculated effect sizes. In these follow up analysis the intervention effect was significant for all three intervention outcomes and effect sizes increased. For word reading Hedges’ g increased from 0.31 to 0.36, for reading comprehension the effect size increased from 0.41 to 0.58 and for spelling the effect size increased from 0.46 to 0.54.[...] p. 16 [...] 
Word Reading, Conceptual replication: Estimate: 0.90, SE: 0.45, p: .047, Hedges' g: 0.31, 95% CI: [0.02, 0.61]
Word Reading, Conceptual replication, reduced sample: Estimate: 1.03, SE: 0.48, p: .031, Hedges' g: 0.36, 95% CI: [0.05, 0.68]
</t>
  </si>
  <si>
    <t>Solheim, O. J., Frijters, J. C., Lundetræ, K., &amp; Uppstad, P. H. (2018). Effectiveness of an early reading intervention in a semi-transparent orthography: A group randomised control. Learning and Instruction, 58, 65–79. https://doi.org/10.1016/j.learninstruc.2018.05.004</t>
  </si>
  <si>
    <t>Solheim, O. J., Foldnes, N., Walgermo, B. R., Bjerke, K. K., Birkedal, I. K., Uppstad, P. H., &amp; Lundetræ, K. (2024). Closing the Gap: A Conceptual Replication of an Early Reading Intervention. Journal of Research on Educational Effectiveness, 1-23. https://doi.org/10.1080/19345747.2024.2333734</t>
  </si>
  <si>
    <t>10.1080/19345747.2024.2333734</t>
  </si>
  <si>
    <t>Education Science</t>
  </si>
  <si>
    <t>Intervention vs. Control, Word reading</t>
  </si>
  <si>
    <t>Early Reading Intervention</t>
  </si>
  <si>
    <t>Word Reading: Estimate: 3.29, SE: 1.08, pnorm: .002, 95% CI: [1.22, 5.66] Table 4 [...] Intervention effect sizes relative to control. Table 5.</t>
  </si>
  <si>
    <t>70,73</t>
  </si>
  <si>
    <t>p = 0.02</t>
  </si>
  <si>
    <t>p = 0.031</t>
  </si>
  <si>
    <t>internal</t>
  </si>
  <si>
    <t>For statistics I used Conceptual replication, reduced sample, because it's closer to the original study in terms of compliance
Claim text_r. Results of the original try-out study and the conceptual replication are compared in Table 6. Intervention estimates were positive for all outcome measures. However, the estimate for reading comprehension did not reach statistical significance on the .05 level (p = .073). Finally, we excluded all intervention students that received 50 or fewer intervention sessions (23.3% of the intervention students) and reran Tobit models and recalculated effect sizes. In these follow up analysis the intervention effect was significant for all three intervention outcomes and effect sizes increased. For word reading Hedges’ g increased from 0.31 to 0.36, for reading comprehension the effect size increased from 0.41 to 0.58 and for spelling the effect size increased from 0.46 to 0.54.[...] p. 16 16 [...] 
Reading Comprehension, Conceptual replication: Estimate: 1.19, SE: 0.67, p: .073, Hedges' g: 0.41, 95% CI: [0.09, 0.81]
Reading Comprehension, Conceptual replication, reduced sample: Estimate: 0.94, SE: 0.39, p: .015, Hedges' g: 0.58, 95% CI: [0.17, 0.97]</t>
  </si>
  <si>
    <t>Intervention vs. Control, Reading comprehension</t>
  </si>
  <si>
    <t>Sentence Reading: Estimate: 2.64, SE: 0.98, pnorm: .007, 95% CI: [0.71, 4.56] Table 4 and Intervention effect sizes relative to control. Table 5.</t>
  </si>
  <si>
    <t>p = 0.07</t>
  </si>
  <si>
    <t>p = 0.015</t>
  </si>
  <si>
    <t>For statistics I used Conceptual replication, reduced sample, because it's closer to the original study in terms of complia
Claim text_r. Results of the original try-out study and the conceptual replication are compared in Table 6. Intervention estimates were positive for all outcome measures. However, the estimate for reading comprehension did not reach statistical significance on the .05 level (p = .073). Finally, we excluded all intervention students that received 50 or fewer intervention sessions (23.3% of the intervention students) and reran Tobit models and recalculated effect sizes. In these follow up analysis the intervention effect was significant for all three intervention outcomes and effect sizes increased. For word reading Hedges’ g increased from 0.31 to 0.36, for reading comprehension the effect size increased from 0.41 to 0.58 and for spelling the effect size increased from 0.46 to 0.54.[...] p. 16 [...] 
Spelling, Conceptual replication: Estimate: 1.81, SE: 0.45, p: .000, Hedges' g: 0.46, 95% CI: [0.20, 0.73]
Spelling, Conceptual replication, reduced sample: Estimate: 2.09, SE: 0.46, p: .000, Hedges' g: 0.54, 95% CI: [0.27, 0.82]</t>
  </si>
  <si>
    <t>Intervention vs. Control, Spelling</t>
  </si>
  <si>
    <t>Spelling: Estimate: 3.23, SE: 1.09, pnorm: &lt;.001, 95% CI: [1.20, 5.86] Table 4 and Intervention effect sizes relative to control. Table 5.</t>
  </si>
  <si>
    <t>p = 0.00</t>
  </si>
  <si>
    <t>Conceptual Replication</t>
  </si>
  <si>
    <t>Word reading</t>
  </si>
  <si>
    <t>"Word reading was measured with 8 words ranging from easy to difficult presented on the tablet, one at a time. The words represented a variety of letters and letter sequences (CV, VC, CVC, VCC, VCC, CVCV, CVCC, CVCVC). The students were asked to read the word aloud. If they managed to sound out or recognize the word, the tester scored it as correct on the tablet. The test was discontinued after two subsequent errors.</t>
  </si>
  <si>
    <r>
      <rPr>
        <rFont val="Arial"/>
        <color theme="1"/>
      </rPr>
      <t xml:space="preserve">"Significant ceiling effects were observed for the intervention children on all outcomes, with proportion of the sample censored from above as follows: word reading, 21.4%, sentence reading, 35.1%, spelling, 9.4%, and letter writing, 56.5%." </t>
    </r>
    <r>
      <rPr>
        <rFont val="Arial"/>
        <b/>
        <color theme="1"/>
      </rPr>
      <t>See also table 4</t>
    </r>
  </si>
  <si>
    <t>additional_studies17</t>
  </si>
  <si>
    <t>additional_studies17_b</t>
  </si>
  <si>
    <t>The replication is clear on what affects is trying to replicate from the original research article. I reported as sample size the number of publication analized.</t>
  </si>
  <si>
    <t>10.3102/0013189X13507104</t>
  </si>
  <si>
    <t>10.3102--0013189x13507104.pdf</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</si>
  <si>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https://doi.org/10.1177/07419325241240068</t>
  </si>
  <si>
    <t>A Conceptual Replication</t>
  </si>
  <si>
    <t>Effect of time to publication (moderator variable) in outcome-reporting bias.</t>
  </si>
  <si>
    <t>quantitative research methodology, meta-analysis, special education, publication bias, scientific publications</t>
  </si>
  <si>
    <t>The authors investigated whether the time to publication had an effect on publication bias.</t>
  </si>
  <si>
    <t>Not one of these moderator analyses was statistically significant (all p’s &gt; .20; see Table 3)</t>
  </si>
  <si>
    <t>chi-square</t>
  </si>
  <si>
    <t>χ2(1) = 1.62</t>
  </si>
  <si>
    <t>χ2(1) = 1.35</t>
  </si>
  <si>
    <t>https://osf.io/yhk47.</t>
  </si>
  <si>
    <t>additional_studies17_c</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</si>
  <si>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https://doi.org/10.1177/07419325241240069</t>
  </si>
  <si>
    <t>Effect of sample size (moderator variable) in outcome-reporting bias.</t>
  </si>
  <si>
    <t>The authors investigated whether the sample size had an effect on publication bias.</t>
  </si>
  <si>
    <t>χ2(1) = 0.53</t>
  </si>
  <si>
    <t>χ2(1) = 6.15</t>
  </si>
  <si>
    <t>additional_studies17_d</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</si>
  <si>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https://doi.org/10.1177/07419325241240070</t>
  </si>
  <si>
    <t>Effect of number of statistical tests (moderator variable) in outcome-reporting bias.</t>
  </si>
  <si>
    <t>The authors investigated whether number of statistical tests had an effect on publication bias.</t>
  </si>
  <si>
    <t>χ2(1) = 0.51</t>
  </si>
  <si>
    <t>χ2(1) = 2.48</t>
  </si>
  <si>
    <t>additional_studies17_e</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</si>
  <si>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https://doi.org/10.1177/07419325241240071</t>
  </si>
  <si>
    <t>Effect of type of outcome measure (moderator variable) in outcome-reporting bias.</t>
  </si>
  <si>
    <t>The authors investigated whether the type of outcome measure had an effect on publication bias.</t>
  </si>
  <si>
    <t>χ2(1) = 0.37</t>
  </si>
  <si>
    <t>χ2(1) = 8.70</t>
  </si>
  <si>
    <t>additional_studies17_1</t>
  </si>
  <si>
    <t>additional_studies17_a</t>
  </si>
  <si>
    <t xml:space="preserve">Claim text_r.  Years to publication, 2 years or less: Odds Ratio: 0.65, 95% CI: [0.38, 1.11], χ²(1), p: 1.35, .25
[...] Table 3, p.8 </t>
  </si>
  <si>
    <t>Pigott T. D., Valentine J. C., Polanin J. R., Williams R. T., Canada D. D. (2013). Outcome-reporting bias in education research. Educational Researcher, 42(8), 424–432. https://doi.org/10.3102/0013189X13507104</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</si>
  <si>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https://doi.org/10.1177/07419325241240067</t>
  </si>
  <si>
    <t>10.1177/07419325241240067</t>
  </si>
  <si>
    <t>Outcome within 2 years</t>
  </si>
  <si>
    <t>Outcome-Reporting Bias in Special Education Intervention Research</t>
  </si>
  <si>
    <t xml:space="preserve">Time to publication, Within 2 years: OR: 2.00, 95% CI: [1.34, 3.00], χ²(1), p: 1.62, .20 Table 3
</t>
  </si>
  <si>
    <t>OR</t>
  </si>
  <si>
    <t>p = 0.20</t>
  </si>
  <si>
    <t>p = 0.25</t>
  </si>
  <si>
    <t xml:space="preserve">Claim text_r.  Years to publication, More than 2 years: Odds Ratio: 1.88, 95% CI: [1.22, 2.92]
[...] Table 3, p.8 </t>
  </si>
  <si>
    <t>More than 2 years</t>
  </si>
  <si>
    <t>Time to publication, More than 2 years: OR: 2.97, 95% CI: [1.89, 4.66] Table 3</t>
  </si>
  <si>
    <t xml:space="preserve">Claim text_r. Sample size, &lt;79: Odds Ratio: 1.46, 95% CI: [1.00, 2.46], χ²(1), p: 6.15, .01
[...] Table 3, p.8 </t>
  </si>
  <si>
    <t>Sample size less than 100 (79)</t>
  </si>
  <si>
    <t xml:space="preserve">Sample size, &lt;100: OR: 2.35, 95% CI: [1.65, 3.36], χ²(1), p: 0.53, .47 Table 3
</t>
  </si>
  <si>
    <t>p = 0.47</t>
  </si>
  <si>
    <t>p = 0.01</t>
  </si>
  <si>
    <t xml:space="preserve">Claim text_r. Sample size, ≥79: Odds Ratio: 1.57, 95% CI: [0.90, 2.36]
 Table 3, p.8 </t>
  </si>
  <si>
    <t>Sample size equal or more 100 (79)</t>
  </si>
  <si>
    <t xml:space="preserve">Sample size, ≥100: OR: 3.05, 95% CI: [1.66, 5.55] Table 3
</t>
  </si>
  <si>
    <t xml:space="preserve">Claim text_r. Number of statistical tests, &lt;23: Odds Ratio: 1.16, 95% CI: [0.69, 2.00], χ²(1), p: 2.48, .12
 [...] Table 3, p.8 </t>
  </si>
  <si>
    <t>Number of statistical significance tests &lt; 14 (21)</t>
  </si>
  <si>
    <t xml:space="preserve">Number of statistical significance tests, ≤14: OR: 2.68, 95% CI: [1.76, 4.08], χ²(1), p: 0.51, .48 Table 3
</t>
  </si>
  <si>
    <t>p = 0.48</t>
  </si>
  <si>
    <t>p = 0.12</t>
  </si>
  <si>
    <t>additional_studies17_f</t>
  </si>
  <si>
    <t xml:space="preserve">Claim text_r. Number of statistical tests, ≥23: Odds Ratio: 1.43, 95% CI: [0.92, 2.22]
 Table 3, p.8 </t>
  </si>
  <si>
    <t>Number of statistical significance tests more or eq 14 (21)</t>
  </si>
  <si>
    <t xml:space="preserve">Number of statistical significance tests, &gt;14: OR: 2.16, 95% CI: [1.41, 3.30] Table 3
</t>
  </si>
  <si>
    <t>additional_studies17_g</t>
  </si>
  <si>
    <t xml:space="preserve">Claim text_r. Type of outcome, Academic achievement: Odds Ratio: 2.27, 95% CI: [1.58, 3.26], χ²(1), p: 8.70, p&lt;.01
 Table 3, p.8 </t>
  </si>
  <si>
    <t>Academic achievement</t>
  </si>
  <si>
    <t xml:space="preserve">Type of outcome measure, Academic achievement: OR: 2.46, 95% CI: [1.71, 3.52], χ²(1), p: 0.37, .55 Table 3
</t>
  </si>
  <si>
    <t>p = 0.45</t>
  </si>
  <si>
    <t>additional_studies17_h</t>
  </si>
  <si>
    <t>Claim text_r. Type of outcome, Social-emotional/behavioral: Odds Ratio: 0.55, 95% CI: [0.30, 1.00] [...] Table 3, p.8</t>
  </si>
  <si>
    <t>Socioemotional-behavioral</t>
  </si>
  <si>
    <t>Type of outcome measure, Socioemotional-behavioral: OR: 1.99, 95% CI: [1.13, 3.53] Table 3</t>
  </si>
  <si>
    <t>Odds ratio for publish findings</t>
  </si>
  <si>
    <t>Overall odds ratio that significant and nonsignificant findings reported in special education dissertations would also be reported in corresponding journal publications</t>
  </si>
  <si>
    <t>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</si>
  <si>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p. 428</t>
  </si>
  <si>
    <t>odds ratio</t>
  </si>
  <si>
    <t>Vidhi</t>
  </si>
  <si>
    <t>additional_studies18_1</t>
  </si>
  <si>
    <t>additional_studies18</t>
  </si>
  <si>
    <t>Same results but there were contextual differences.</t>
  </si>
  <si>
    <t>These need to be reassigned and coded, they are missing effects</t>
  </si>
  <si>
    <t>Kanwit, M., &amp; Geeslin, K. L. (2014). The interpretation of Spanish subjunctive and indicative forms in adverbial clauses: A cross-sectional study. Studies in Second Language Acquisition, 36(3), 487-533. https:://doi.org/10.1017/S0272263114000126</t>
  </si>
  <si>
    <t>10.1017/S0272263114000126</t>
  </si>
  <si>
    <t>Gudmestad, A., Edmonds, A., Henderson, C., &amp; Lindqvist, C. (2024). The interpretation of verbal moods in Spanish: A close replication of Kanwit and Geeslin (2014). Studies in Second Language Acquisition, 1–18. https://doi.org/10.1017/S027226312400010X</t>
  </si>
  <si>
    <t>10.1017/S027226312400010X</t>
  </si>
  <si>
    <t>N/A</t>
  </si>
  <si>
    <t>Interpretation of sociolinguistic variation</t>
  </si>
  <si>
    <t>language learning, second language, subjunctive, adverbial clauses, verbal moods</t>
  </si>
  <si>
    <t>interpretation of verbal moods in Spanish</t>
  </si>
  <si>
    <t>Non-native speakers' interpretation align with grammatical rules at higher proficiency.</t>
  </si>
  <si>
    <t>needs to be calculted</t>
  </si>
  <si>
    <t>r code</t>
  </si>
  <si>
    <t>p &lt; 0.001</t>
  </si>
  <si>
    <t>Advanced learners interpret indicative forms similarly to non-native speakers.</t>
  </si>
  <si>
    <t>Learners rely on linguistic factors to interpret languages.</t>
  </si>
  <si>
    <t>interpretation of verbal moods in second language learning</t>
  </si>
  <si>
    <t xml:space="preserve"> interpretation of verbal moods in Spanish</t>
  </si>
  <si>
    <t>additional_studies19_1</t>
  </si>
  <si>
    <t>additional_studies19</t>
  </si>
  <si>
    <t>I have encountered some issues in fully understanding the papers, as they extend significantly beyond my field of expertise. Both experiments seem to involve simulations as their primary analyses, with results focusing on comparisons between different models.
Additionally, the reported results fall outside the range of effects selectable in the "es_type" column.</t>
  </si>
  <si>
    <t>simulation study, no new data was collected but merely "generated"</t>
  </si>
  <si>
    <t>Dishop, C. R. (2022). Spurious inference in consensus emergence modeling due to the distinguishability problem. Psychological Methods. Advance online publication. https://doi.org/10.1037/met0000511</t>
  </si>
  <si>
    <t>10.1037/met0000511</t>
  </si>
  <si>
    <t>10.1037--met0000511.pdf</t>
  </si>
  <si>
    <r>
      <rPr>
        <rFont val="Calibri"/>
        <sz val="11.0"/>
      </rPr>
      <t xml:space="preserve">Lang, J. W. B., &amp; Bliese, P. D. (2024). The plausibility of alternative data-generating mechanisms: Comment on and attempt at replication of Dishop (2022).Psychological Methods. Advance online publication. </t>
    </r>
    <r>
      <rPr>
        <rFont val="Calibri"/>
        <color rgb="FF1155CC"/>
        <sz val="11.0"/>
        <u/>
      </rPr>
      <t>https://doi.org/10.1037/met0000650</t>
    </r>
  </si>
  <si>
    <t>10.1037/met0000650</t>
  </si>
  <si>
    <t>10.1037--met0000650.pdf</t>
  </si>
  <si>
    <t>no new data was collected</t>
  </si>
  <si>
    <t>The same value in the replication paper seems to be used to replicate Table D1 and Figure D1A. There are three replication sections: replications 1, 2 and 3. I only looked closely at section 1 due to time constraints. I briefly read and thought about what I think are all the relevant parts of the original paper and the replication paper.</t>
  </si>
  <si>
    <r>
      <rPr>
        <rFont val="Calibri"/>
        <sz val="11.0"/>
      </rPr>
      <t xml:space="preserve">Lang, J. W. B., &amp; Bliese, P. D. (2024). The plausibility of alternative data-generating mechanisms: Comment on and attempt at replication of Dishop (2022).Psychological Methods. Advance online publication. </t>
    </r>
    <r>
      <rPr>
        <rFont val="Calibri"/>
        <color rgb="FF1155CC"/>
        <sz val="11.0"/>
        <u/>
      </rPr>
      <t>https://doi.org/10.1037/met0000650</t>
    </r>
  </si>
  <si>
    <t>"Comment on and Attempt at Replication" in title</t>
  </si>
  <si>
    <t>Methods</t>
  </si>
  <si>
    <t>consensus emergence models, inference, type I error, monte carlo, groups</t>
  </si>
  <si>
    <t>Table D1</t>
  </si>
  <si>
    <t>Copied from replication paper (p. 7) because would have taken too long otherwise: "In Figure 1, notice that our simulated data differ substantially from the graphs in Figure D1. Specifically, our data do not uniformly start around a single point and show a pattern over time with some indication of dissensus in certain groups (see Figure 1). More importantly, applying CEMs to these data yielded a positive δ of 0.12 reflecting the observed pattern of dissensus in Figure 1. Our results are substantially different from the reported estimates for δ of −0.48 (Table D1) and −0.82 (Figure D1A) both in terms of magnitude and sign."</t>
  </si>
  <si>
    <t>delta</t>
  </si>
  <si>
    <t>p. 7 replication paper</t>
  </si>
  <si>
    <t>additional_studies19_b</t>
  </si>
  <si>
    <r>
      <rPr>
        <rFont val="Calibri"/>
        <sz val="11.0"/>
      </rPr>
      <t xml:space="preserve">Lang, J. W. B., &amp; Bliese, P. D. (2024). The plausibility of alternative data-generating mechanisms: Comment on and attempt at replication of Dishop (2022).Psychological Methods. Advance online publication. </t>
    </r>
    <r>
      <rPr>
        <rFont val="Calibri"/>
        <color rgb="FF1155CC"/>
        <sz val="11.0"/>
        <u/>
      </rPr>
      <t>https://doi.org/10.1037/met0000650</t>
    </r>
  </si>
  <si>
    <t>Figure D1A</t>
  </si>
  <si>
    <t>additional_studies19_c</t>
  </si>
  <si>
    <t xml:space="preserve">There are three replication sections: replications 1, 2 and 3. I only looked closely at section 1 due to time constraints. I briefly read and thought about what I think are all the relevant parts of the original paper and the replication paper.
</t>
  </si>
  <si>
    <r>
      <rPr>
        <rFont val="Calibri"/>
        <sz val="11.0"/>
      </rPr>
      <t xml:space="preserve">Lang, J. W. B., &amp; Bliese, P. D. (2024). The plausibility of alternative data-generating mechanisms: Comment on and attempt at replication of Dishop (2022).Psychological Methods. Advance online publication. </t>
    </r>
    <r>
      <rPr>
        <rFont val="Calibri"/>
        <color rgb="FF1155CC"/>
        <sz val="11.0"/>
        <u/>
      </rPr>
      <t>https://doi.org/10.1037/met0000650</t>
    </r>
  </si>
  <si>
    <t>Figure D1B</t>
  </si>
  <si>
    <t>additional_studies2_1</t>
  </si>
  <si>
    <t>additional_studies2</t>
  </si>
  <si>
    <t>I entered adjusted ORs as reported in the paper in this table. The paper also reports unadjusted ORs. I calculated (unadjusted) ORs myself in the hope of providing more precise p-values. However, they were not exactly the same as in the paper, so I did not include the p-values here. In order to save time, I did not attempt to calculate the p-value for the adjusted ORs but I could if desired.</t>
  </si>
  <si>
    <t>I calculated N</t>
  </si>
  <si>
    <t>Taipale, H., Solmi, M., Lähteenvuo, M., Tanskanen, A., Correll, C. U., &amp; Tiihonen, J. (2021). Antipsychotic use and risk of breast cancer in women with schizophrenia: a nationwide nested case-control study in Finland. The Lancet Psychiatry, 8(10), 883-891. https://doi.org/10.1016/S2215-0366(21)00241-8</t>
  </si>
  <si>
    <t>10.1016/S2215-0366(21)00241-8</t>
  </si>
  <si>
    <t>10.1016--s2215-0366(21)00241-8.pdf</t>
  </si>
  <si>
    <t>Solmi, M., Lähteenvuo, M., Tanskanen, A., Corbeil, O., Mittendorfer-Rutz, E., Correll, C. U., ... &amp; Taipale, H. (2024). Antipsychotic Use and Risk of Breast Cancer in Women With Severe Mental Illness: Replication of a Nationwide Nested Case–Control Database Study. Schizophrenia Bulletin, sbae058. https://doi.org/10.1093/schbul/sbae058</t>
  </si>
  <si>
    <t>10.1093/schbul/sbae058</t>
  </si>
  <si>
    <t xml:space="preserve">Prolactin-increasing antipsychotics' effect on breast cancer
</t>
  </si>
  <si>
    <t>prolactin/hyperprolactinemia/schizoaffective disorder/bipolar disorder/psychotic disorder/psychiatry</t>
  </si>
  <si>
    <t>"Long-term exposure to prolactin-increasing, but not to prolactin sparing, antipsychotics is significantly associated with increased odds of breast cancer."</t>
  </si>
  <si>
    <t>1-4 years: "When compared with less than 1 year of exposure to prolactin-increasing antipsychotics (all other antipsychotics), 1–4 years of exposure was not associated with an increased risk (...)</t>
  </si>
  <si>
    <t>p. 887</t>
  </si>
  <si>
    <t>unsure</t>
  </si>
  <si>
    <t>p. 1475</t>
  </si>
  <si>
    <t>additional_studies2_b</t>
  </si>
  <si>
    <t>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</si>
  <si>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additional_studies2_c</t>
  </si>
  <si>
    <t xml:space="preserve">Prolactin-sparing antipsychotics' effect on breast cancer
</t>
  </si>
  <si>
    <t>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</si>
  <si>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additional_studies2_d</t>
  </si>
  <si>
    <t>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</si>
  <si>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additional_studies2_a</t>
  </si>
  <si>
    <t>p-value was not explicitly provided, but since the CI includes 1, the p-value is greater than 0.05</t>
  </si>
  <si>
    <t>10.17605--osf.io--e5k4j.pdf</t>
  </si>
  <si>
    <t>Prolactin-Induced Breast Cancer Risk"</t>
  </si>
  <si>
    <t>prolactin/hyperprolactinemia/schizoaffective
disorder/bipolar disorder/psychotic disorder/psychiatry</t>
  </si>
  <si>
    <t>≥5 years of exposure to prolactin-increasing antipsychotics</t>
  </si>
  <si>
    <t>Women who were exposed to prolactin-increasing antipsychotics for five or more years had a 56% higher odds of developing breast cancer compared to those with less than one year of exposure.</t>
  </si>
  <si>
    <t>p. 1471</t>
  </si>
  <si>
    <t xml:space="preserve">1–4 years of exposure to prolactin-increasing antipsychotics </t>
  </si>
  <si>
    <t xml:space="preserve"> Women with 1–4 years of exposure had an insignificant increase in breast cancer risk,</t>
  </si>
  <si>
    <t>additional_studies20_1</t>
  </si>
  <si>
    <t>additional_studies20</t>
  </si>
  <si>
    <t>R_research question 2</t>
  </si>
  <si>
    <t>Gerlicher, A. M. V., Tüscher, O., &amp; Kalisch, R. (2018). Dopamine-dependent prefrontal reactivations explain long-term benefit of fear extinction. Nature communications, 9(1), 4294. https://doi.org/10.1038/s41467-018-06785-y</t>
  </si>
  <si>
    <t>10.1038/s41467-018-06785-y</t>
  </si>
  <si>
    <t>10.1038--s41467-018-06785-y.pdf</t>
  </si>
  <si>
    <t>Andres, E., Chuan-Peng, H., Gerlicher, A. M., Meyer, B., Tüscher, O., &amp; Kalisch, R. (2024). Replication study on the role of dopamine-dependent prefrontal reactivations in human extinction memory retrieval. Nature Communications, 15(1), 2699. https://doi.org/10.1038/s41467-024-46936-y</t>
  </si>
  <si>
    <t>10.1038/s41467-024-46936-y</t>
  </si>
  <si>
    <t>10.1038--s41467-024-46936-y.pdf</t>
  </si>
  <si>
    <t>Neuroscience</t>
  </si>
  <si>
    <t>Fear extintion</t>
  </si>
  <si>
    <t>Fear extintion, vmPFC, L-DOPA</t>
  </si>
  <si>
    <t>"number of postextinction reactivations of an extinction learning-related vmPFC pattern (day 2)
predicts extinction memory retrieval at test (day 3)."</t>
  </si>
  <si>
    <t>"Critically, the number of potential vmPFC pattern reactivations during the 45-min postextinction scan negatively predicted CRs at test on day 3"</t>
  </si>
  <si>
    <t xml:space="preserve">https://osf.io/x64cn/ </t>
  </si>
  <si>
    <t>did not replicate successfully. There were four replicated claims. I briefly looked at all of them but only coded two due to time constraints. I should also double check the Ns but did not do this for the same reason. I think they are slightly wrong for some of the claims.</t>
  </si>
  <si>
    <t>- If there are multiple rows for one finding, please rename "id" to id_b, id_c, etc. for the newly created rows.</t>
  </si>
  <si>
    <r>
      <rPr>
        <rFont val="Calibri"/>
        <sz val="11.0"/>
      </rPr>
      <t xml:space="preserve">Andres, E., Chuan-Peng, H., Gerlicher, A. M., Meyer, B., Tüscher, O., &amp; Kalisch, R. (2024). Replication study on the role of dopamine-dependent prefrontal reactivations in human extinction memory retrieval. Nature Communications, 15(1), 2699. </t>
    </r>
    <r>
      <rPr>
        <rFont val="Calibri"/>
        <color rgb="FF1155CC"/>
        <sz val="11.0"/>
        <u/>
      </rPr>
      <t>https://doi.org/10.1038/s41467-024-46936-y</t>
    </r>
  </si>
  <si>
    <t xml:space="preserve">"Dopamine-dependent prefrontal reactivations explain long-term benefit of fear extinction" </t>
  </si>
  <si>
    <t>"spontaneous post-extinction vmPFC reactivations predict extinction memory retrieval" (45 MINUTES after extinction) (replication paper p. 1)</t>
  </si>
  <si>
    <t>45 minutes: "Critically, the number of potential vmPFC pattern reactivations during the 45-min postextinction scan negatively predicted CRs at test on day 3 (multiple linear regression: β45 min = −0.13, SE = 0.03, T30 = −4.05, P = 0.0003; n = 35; Fig. 2b; for control analyses, see Supplementary Figs. 2, 3). That is, more CS+ offset-related vmPFC reactivations were associated with improved extinction memory retrieval (i.e., reduced CRs) at test. Reactivations during the scans 10 or 90 min after extinction did not significantly predict CRs (β10 min = −0.01, SE = 0.04, T30 = −0.17, P = 0.86; β90 min = 0.06, SE = 0.04, T30 = 1.71, P = 0.10)." (original paper p.3), "spontaneous post-extinction vmPFC reactivations predict extinction memory retrieval" (45 MINUTES after extinction) (replication paper p. 1)</t>
  </si>
  <si>
    <t>p. 4</t>
  </si>
  <si>
    <t>osf.io/x64cn</t>
  </si>
  <si>
    <t>replicated successfully. There were four replicated claims. I briefly looked at all of them but only coded two due to time constraints. I should also double check the Ns but did not do this for the same reason. I think they are slightly wrong for some of the claims.</t>
  </si>
  <si>
    <r>
      <rPr>
        <rFont val="Calibri"/>
        <sz val="11.0"/>
      </rPr>
      <t xml:space="preserve">Andres, E., Chuan-Peng, H., Gerlicher, A. M., Meyer, B., Tüscher, O., &amp; Kalisch, R. (2024). Replication study on the role of dopamine-dependent prefrontal reactivations in human extinction memory retrieval. Nature Communications, 15(1), 2699. </t>
    </r>
    <r>
      <rPr>
        <rFont val="Calibri"/>
        <color rgb="FF1155CC"/>
        <sz val="11.0"/>
        <u/>
      </rPr>
      <t>https://doi.org/10.1038/s41467-024-46936-y</t>
    </r>
  </si>
  <si>
    <t>"spontaneous post-extinction vmPFC reactivations predict extinction memory retrieval" (90 MINUTES after extinction) (replication paper p. 1)</t>
  </si>
  <si>
    <t>90 minutes: "Critically, the number of potential vmPFC pattern reactivations during the 45-min postextinction scan negatively predicted CRs at test on day 3 (multiple linear regression: β45 min = −0.13, SE = 0.03, T30 = −4.05, P = 0.0003; n = 35; Fig. 2b; for control analyses, see Supplementary Figs. 2, 3). That is, more CS+ offset-related vmPFC reactivations were associated with improved extinction memory retrieval (i.e., reduced CRs) at test. Reactivations during the scans 10 or 90 min after extinction did not significantly predict CRs (β10 min = −0.01, SE = 0.04, T30 = −0.17, P = 0.86; β90 min = 0.06, SE = 0.04, T30 = 1.71, P = 0.10)." (original paper p.3),  "spontaneous post-extinction vmPFC reactivations predict extinction memory retrieval" (90 MINUTES after extinction) (replication paper p. 1)</t>
  </si>
  <si>
    <r>
      <rPr>
        <rFont val="Calibri"/>
        <sz val="11.0"/>
      </rPr>
      <t xml:space="preserve">Andres, E., Chuan-Peng, H., Gerlicher, A. M., Meyer, B., Tüscher, O., &amp; Kalisch, R. (2024). Replication study on the role of dopamine-dependent prefrontal reactivations in human extinction memory retrieval. Nature Communications, 15(1), 2699. </t>
    </r>
    <r>
      <rPr>
        <rFont val="Calibri"/>
        <color rgb="FF1155CC"/>
        <sz val="11.0"/>
        <u/>
      </rPr>
      <t>https://doi.org/10.1038/s41467-024-46936-y</t>
    </r>
  </si>
  <si>
    <t>"L-DOPA administration significantly enhances retrieval" (replication paper p. 1)</t>
  </si>
  <si>
    <r>
      <rPr>
        <rFont val="Calibri"/>
        <sz val="11.0"/>
      </rPr>
      <t xml:space="preserve">Andres, E., Chuan-Peng, H., Gerlicher, A. M., Meyer, B., Tüscher, O., &amp; Kalisch, R. (2024). Replication study on the role of dopamine-dependent prefrontal reactivations in human extinction memory retrieval. Nature Communications, 15(1), 2699. </t>
    </r>
    <r>
      <rPr>
        <rFont val="Calibri"/>
        <color rgb="FF1155CC"/>
        <sz val="11.0"/>
        <u/>
      </rPr>
      <t>https://doi.org/10.1038/s41467-024-46936-y</t>
    </r>
  </si>
  <si>
    <t>"L-DOPA administration significantly enhances retrieval and that this is MEDIATED by enhancement of the number of vmPFC reactivations" (replication paper p. 1)</t>
  </si>
  <si>
    <t>additional_studies20_b</t>
  </si>
  <si>
    <t>feedback: please review copied text and correct it (a "=" was missing)
notes:
- format in es value column has changed to drop-down</t>
  </si>
  <si>
    <t>"Reactivations during the scans 10 [...] min after extinction did not significantly predict CRs "</t>
  </si>
  <si>
    <t>https://osf.io/x64cn/</t>
  </si>
  <si>
    <t>feedback: please review copied text and correct it (a "=" was missing)</t>
  </si>
  <si>
    <t>additional_studies20_c</t>
  </si>
  <si>
    <t>- format in es value column has changed to drop-down</t>
  </si>
  <si>
    <t>"Reactivations during the scans [...] 90 min after extinction did not significantly predict CRs "</t>
  </si>
  <si>
    <t>−0.10</t>
  </si>
  <si>
    <t>additional_studies20_d</t>
  </si>
  <si>
    <t>R_research question 1</t>
  </si>
  <si>
    <t>- corrected page number (2 instead of 3)
- format in es value column has changed to drop-down</t>
  </si>
  <si>
    <t>".....pharmacologically enhancing dopaminergic activity during extinction consolidation [...] improves extinction memory retrieval at test."</t>
  </si>
  <si>
    <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</si>
  <si>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Partial etasq</t>
  </si>
  <si>
    <t>p. 2</t>
  </si>
  <si>
    <t xml:space="preserve">F(1,53) = 0.02 </t>
  </si>
  <si>
    <t>additional_studies20_e</t>
  </si>
  <si>
    <t>R_research question 3</t>
  </si>
  <si>
    <t>"Critically, L-DOPA also increases the number of vmPFC pattern reactivations, and this effect mediates the effect of L-DOPA on extinction memory retrieval. "</t>
  </si>
  <si>
    <t>"postextinction L-DOPA administration significantly increased the number of potential CS+ offset-related vmPFC pattern reactivations (time × group: F(3,114) = 3.51, P = 0.02, partial η2 = 0.09; n = 40), particularly 45 min after extinction"</t>
  </si>
  <si>
    <t>p. 5</t>
  </si>
  <si>
    <t xml:space="preserve">F(1,44) = 0.48 </t>
  </si>
  <si>
    <t>p.5</t>
  </si>
  <si>
    <t>additional_studies21_1</t>
  </si>
  <si>
    <t>additional_studies21</t>
  </si>
  <si>
    <t>The central features of the replicated study are highly similar with the original study. The differences in some of the results are due to contextual differences.</t>
  </si>
  <si>
    <t>Harper, L. M., &amp; Kim, Y. (2018). Attitudinal, normative, and resource factors affecting psychologists’ intentions to adopt an open data badge: An empirical analysis. International Journal of Information Management, 41(8), 23–32. https://doi.org/10.1016/j.ijinfomgt.2018.03.001</t>
  </si>
  <si>
    <t>10.1016/j.ijinfomgt.2018.03.001</t>
  </si>
  <si>
    <t>Xu, J., &amp; Zhang, R. (2024). Attitudinal, Normative, and Resource Factors Affecting Communication Scholars’ Data Sharing: A Replication Study. Media and Communication, 12. https://doi.org/10.17645/mac.7666</t>
  </si>
  <si>
    <t>10.17645/mac.7666</t>
  </si>
  <si>
    <t>The authors tested the robustness and validity of the original findings.</t>
  </si>
  <si>
    <t>Behavioral intentions</t>
  </si>
  <si>
    <t>Communication scholars, open science, theory of planned behavior</t>
  </si>
  <si>
    <t>factors affecting psychologists’ intentions to adopt an open data badge</t>
  </si>
  <si>
    <t>Attitude toward the adoption of open data badges was the strongest predictor of psychologists' behavioral intention to adopt the badge (β = 0.415, p &lt; 0.001). A positive attitude significantly increased psychologists' intentions to adopt an open science badge.</t>
  </si>
  <si>
    <t>additional_studies21_2</t>
  </si>
  <si>
    <t>additional_studies22</t>
  </si>
  <si>
    <t>Norm on data sharing significantly influenced behavioral intention (β = 0.201, p &lt; 0.001).</t>
  </si>
  <si>
    <t>additional_studies21_3</t>
  </si>
  <si>
    <t>additional_studies23</t>
  </si>
  <si>
    <t>Harper, L. M., &amp; Kim, Y. (2018). Attitudinal, normative, and resource factors affecting psychologists’ intentions to adopt an open data badge: An empirical analysis. International Journal of Information Management, 41(8), 23–32. https://doi.org/10.1016/j.ijinfomgt.2018.03.002</t>
  </si>
  <si>
    <t>Xu, J., &amp; Zhang, R. (2024). Attitudinal, Normative, and Resource Factors Affecting Communication Scholars’ Data Sharing: A Replication Study. Media and Communication, 12. https://doi.org/10.17645/mac.7667</t>
  </si>
  <si>
    <t>10.17645/mac.7667</t>
  </si>
  <si>
    <t>Perceived effort had a negative influence on behavioral intention  (β = -0.226, p &lt; 0.001).</t>
  </si>
  <si>
    <t>additional_studies21_4</t>
  </si>
  <si>
    <t>additional_studies24</t>
  </si>
  <si>
    <t>Harper, L. M., &amp; Kim, Y. (2018). Attitudinal, normative, and resource factors affecting psychologists’ intentions to adopt an open data badge: An empirical analysis. International Journal of Information Management, 41(8), 23–32. https://doi.org/10.1016/j.ijinfomgt.2018.03.003</t>
  </si>
  <si>
    <t>Xu, J., &amp; Zhang, R. (2024). Attitudinal, Normative, and Resource Factors Affecting Communication Scholars’ Data Sharing: A Replication Study. Media and Communication, 12. https://doi.org/10.17645/mac.7668</t>
  </si>
  <si>
    <t>10.17645/mac.7668</t>
  </si>
  <si>
    <t>Open science journal pressure did not have significant effects on behavioral intention  (β = 0.001, p &gt; 0.05).</t>
  </si>
  <si>
    <t>p &gt; 0.05</t>
  </si>
  <si>
    <t>additional_studies21_5</t>
  </si>
  <si>
    <t>additional_studies25</t>
  </si>
  <si>
    <t>Harper, L. M., &amp; Kim, Y. (2018). Attitudinal, normative, and resource factors affecting psychologists’ intentions to adopt an open data badge: An empirical analysis. International Journal of Information Management, 41(8), 23–32. https://doi.org/10.1016/j.ijinfomgt.2018.03.004</t>
  </si>
  <si>
    <t>Xu, J., &amp; Zhang, R. (2024). Attitudinal, Normative, and Resource Factors Affecting Communication Scholars’ Data Sharing: A Replication Study. Media and Communication, 12. https://doi.org/10.17645/mac.7669</t>
  </si>
  <si>
    <t>10.17645/mac.7669</t>
  </si>
  <si>
    <t>The availability of a data repository did not have significant effects on behavioral intention (β = 0.062, p &gt; 0.05).</t>
  </si>
  <si>
    <t>additional_studies22_1</t>
  </si>
  <si>
    <t>Both the experiments are not based on statistical analyses but on rough comparison between means. R_Paper obtained by the author through ResearchGate</t>
  </si>
  <si>
    <t>Cordeiro, M. C., Kodak, T., Reidy, J., Stoppleworth, A., Zelinski, K., &amp; Jainga, A. (2022). Comparison of mastery criteria applied to individual targets and stimulus sets on acquisition of tacts, intraverbals, and listener responses. Journal of Applied Behavior Analysis, 55(4), 1258–1279. https://doi.org/10.1002/jaba.946</t>
  </si>
  <si>
    <t>10.1002/jaba.946</t>
  </si>
  <si>
    <t>10.1002--jaba.946.pdf</t>
  </si>
  <si>
    <t>Chang, H., Nainani, T., &amp; Kim, J. Y. (2024). Comparison of Acquisition Criteria Applied to Individual and Sets of Tacts: A Systematic Replication. Behavior Analysis in Practice, 1-6. https://doi.org/10.1007/s40617-024-00933-1</t>
  </si>
  <si>
    <t>10.1007/s40617-024-00933-1</t>
  </si>
  <si>
    <t>10.1007--s40617-024-00933-1.pdf</t>
  </si>
  <si>
    <t>Systematic Replication</t>
  </si>
  <si>
    <t>Comprehensive Application of Behavior Analysis to Schooling model, acquisition criteria, mastery criteria, Tact training, Response maintenance</t>
  </si>
  <si>
    <t xml:space="preserve">Results showed the target mastery criterion required fewer sessions of tact training for 3 of 5 participants and AVCD training for both participants. </t>
  </si>
  <si>
    <t>To acquire 10 operants, all four participants required fewer instructional trials in the Operant compared to the Set Analysis condition.</t>
  </si>
  <si>
    <t>Claims need validation (I do not have access to the original paper)</t>
  </si>
  <si>
    <r>
      <rPr>
        <rFont val="Calibri"/>
        <sz val="11.0"/>
      </rPr>
      <t xml:space="preserve">Chang, H., Nainani, T., &amp; Kim, J. Y. (2024). Comparison of Acquisition Criteria Applied to Individual and Sets of Tacts: A Systematic Replication. Behavior Analysis in Practice, 1-6. </t>
    </r>
    <r>
      <rPr>
        <rFont val="Calibri"/>
        <color rgb="FF1155CC"/>
        <sz val="11.0"/>
        <u/>
      </rPr>
      <t>https://doi.org/10.1007/s40617-024-00933-1</t>
    </r>
  </si>
  <si>
    <t>autism spectrum disorder, false positives, listener training, mastery criteria, tact, training</t>
  </si>
  <si>
    <t>The Operant Analysis condition requires fewer instructional trials than the Set Analysis condition.</t>
  </si>
  <si>
    <t>"Josh required 30, Tim required 21, and Connor required eight additional sessions of instruction to reach mastery in the set condition in comparison to the target condition. Omar’s and Billy’s results showed minimal differences between conditions, and they required only one or two additional session(s) of instruction, respectively, to acquire all targets in the set condition in comparison to the target condition."</t>
  </si>
  <si>
    <r>
      <rPr>
        <rFont val="Calibri"/>
        <sz val="11.0"/>
      </rPr>
      <t xml:space="preserve">p. 8, see my calculation here: </t>
    </r>
    <r>
      <rPr>
        <rFont val="Calibri"/>
        <color rgb="FF1155CC"/>
        <sz val="11.0"/>
        <u/>
      </rPr>
      <t>https://docs.google.com/spreadsheets/d/1Da93yd8SPd-GwqOb8HCKeN1Hobk77X3_1anZLPku0G0/edit?usp=sharing</t>
    </r>
  </si>
  <si>
    <r>
      <rPr>
        <rFont val="Calibri"/>
        <sz val="11.0"/>
      </rPr>
      <t xml:space="preserve">p. 8, see my calculation here: </t>
    </r>
    <r>
      <rPr>
        <rFont val="Calibri"/>
        <color rgb="FF1155CC"/>
        <sz val="11.0"/>
        <u/>
      </rPr>
      <t>https://docs.google.com/spreadsheets/d/1Da93yd8SPd-GwqOb8HCKeN1Hobk77X3_1anZLPku0G0/edit?usp=sharing</t>
    </r>
  </si>
  <si>
    <t>additional_studies22_b</t>
  </si>
  <si>
    <t>Null result in original, replicated successfully according to replication authors</t>
  </si>
  <si>
    <r>
      <rPr>
        <rFont val="Calibri"/>
        <sz val="11.0"/>
      </rPr>
      <t xml:space="preserve">Chang, H., Nainani, T., &amp; Kim, J. Y. (2024). Comparison of Acquisition Criteria Applied to Individual and Sets of Tacts: A Systematic Replication. Behavior Analysis in Practice, 1-6. </t>
    </r>
    <r>
      <rPr>
        <rFont val="Calibri"/>
        <color rgb="FF1155CC"/>
        <sz val="11.0"/>
        <u/>
      </rPr>
      <t>https://doi.org/10.1007/s40617-024-00933-1</t>
    </r>
  </si>
  <si>
    <t>Maintenance is similar between Operant Analysis and Set Analysis conditions.</t>
  </si>
  <si>
    <t>"Maintenance was similar across conditions and experiments"</t>
  </si>
  <si>
    <t>additional_studies23_1</t>
  </si>
  <si>
    <t>There were 2 studies in the replication study, but only the first study replicated the original study. The second study was an extension.</t>
  </si>
  <si>
    <t>Valdesolo, P., &amp; DeSteno, D. (2007). Moral hypocrisy: Social groups and the flexibility of virtue. Psychological science, 18(8), 689-690. https://doi.org/10.1111/j.1467-9280.2007.01961.x</t>
  </si>
  <si>
    <t>10.1111/j.1467-9280.2007.01961.x</t>
  </si>
  <si>
    <t>Robertson, C. E., Akles, M., &amp; Van Bavel, J. J.(in press). Preregistered Replication and Extension of "Moral Hypocrisy: Social Groups and the Flexibility of Virtue". Psychological Science. https://doi.org/10.31234/osf.io/453js</t>
  </si>
  <si>
    <t>10.1177/09567976241246552</t>
  </si>
  <si>
    <t>The study identifies as a replication in the title.</t>
  </si>
  <si>
    <t>Psychology</t>
  </si>
  <si>
    <t>The nature of hipocrisy</t>
  </si>
  <si>
    <t>Moral hipocrisy, intergroup bias, in-group, out-group</t>
  </si>
  <si>
    <t>tendency for people to consider themselves morally good while behaving selfishly (moral hypocrisy)</t>
  </si>
  <si>
    <t>Hipocrisy was evident at both in-group and out-group levels F(1, 72) = 11.75, p = .001, d = 1.11. Participants perceived their own transgressions and those of in-group members more favorably compared to others.</t>
  </si>
  <si>
    <t>p = .001</t>
  </si>
  <si>
    <t>p = 0.66</t>
  </si>
  <si>
    <t>additional_studies24_1</t>
  </si>
  <si>
    <t>Study 2 was an extension in the replicated paper.</t>
  </si>
  <si>
    <t>Epley, N., Waytz, A., Akalis, S., &amp; Cacioppo, J. T. (2008). When we need a human: Motivational determinants of anthropomorphism. Social cognition, 26(2), 143-155. https://doi.org/10.1521/soco.2008.26.2.143</t>
  </si>
  <si>
    <t>10.1521/soco.2008.26.2.143</t>
  </si>
  <si>
    <t>Xiao, Q., Elsherif, M., Chu, H. Y., Tang, M. C., Wong, T. H. A., Wu, Y., ... &amp; Feldman, G. Revisiting the positive association between loneliness and anthropomorphism with an extension to belief in free will: A Registered Report replication and extension of Epley et al.(2008). http://dx.doi.org/10.17605/OSF.IO/2SB7X</t>
  </si>
  <si>
    <t>10.1037/cns0000401</t>
  </si>
  <si>
    <t>Motivational determinants of anthropomorphism</t>
  </si>
  <si>
    <t>Anthropomorphism, agents, motivation, traits</t>
  </si>
  <si>
    <t>positive association between loneliness and anthropomorphism</t>
  </si>
  <si>
    <t>Loneliness was positively associated with attributing social connection to nonhuman gadgets (r = -.18, p = .02)</t>
  </si>
  <si>
    <t>p = .02</t>
  </si>
  <si>
    <t>p = .261</t>
  </si>
  <si>
    <t>additional_studies25_1</t>
  </si>
  <si>
    <t>BF values are reported in the replication study.</t>
  </si>
  <si>
    <t>Scott, M. (2013). Corollary discharge provides the sensory content of inner speech. Psychological science, 24(9), 1824-1830. https://doi.org/10.1177/0956797613478614</t>
  </si>
  <si>
    <t>10.1177/0956797613478614</t>
  </si>
  <si>
    <t>Delem, M., Stauffert, N., Nguyen, N., Debarnot, U., Guillot, A., &amp; Nalborczyk, L. (2024, March 27). Does the corollary discharge provide the sensory content of inner speech? A preregistered direct replication and extension of Scott  (2013). https://doi.org/10.31234/osf.io/abps9</t>
  </si>
  <si>
    <t>Sensory attenuation</t>
  </si>
  <si>
    <t>Perception, motor processes, speech, motor simulation</t>
  </si>
  <si>
    <t>Corollary discharge provides the sensory content of inner speech</t>
  </si>
  <si>
    <t>Inner speech attenuates the sensory impact of matching external sounds, demonstrating that corollary discharge is a key mechanism in inner speech.</t>
  </si>
  <si>
    <t>needs to be calculated</t>
  </si>
  <si>
    <t>p = .00115</t>
  </si>
  <si>
    <t>Greater attenuation in the matching condition suggests that sensory attenuation is specifically tied to the congruence between inner speech and external auditory inputs, reinforcing the role of motor-to-sensory prediction</t>
  </si>
  <si>
    <t>p &lt; .05</t>
  </si>
  <si>
    <t>Inner speech attenuation mirrors overt speech mechanisms, supporting corollary discharge theory</t>
  </si>
  <si>
    <t>p = .00265</t>
  </si>
  <si>
    <t>additional_studies26_1</t>
  </si>
  <si>
    <t>additional_studies26</t>
  </si>
  <si>
    <t>"Claim text" column reports the single outcome item involved in the effect, since there is no individual claim for each item, but only a general claim and the table with single effects. Each effect is estimated putting as covariates age, gender, political orientation, religiosity, education, and income.</t>
  </si>
  <si>
    <t>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</si>
  <si>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10.1016/j.jenvp.2022.101868</t>
  </si>
  <si>
    <t>10.1016--j.jenvp.2022.101868.pdf</t>
  </si>
  <si>
    <t>Tedaldi, E., Syropoulos, S., &amp; Markowitz, E. M. (2024). Re-examining feelings of responsibility as a predictor of climate belief and worry: A replication across 31 countries. Journal of Environmental Psychology, 102289. https://doi.org/10.1016/j.jenvp.2024.102289</t>
  </si>
  <si>
    <t>10.1016/j.jenvp.2024.102289</t>
  </si>
  <si>
    <t>10.1016--j.jenvp.2024.102289.pdf</t>
  </si>
  <si>
    <t xml:space="preserve">climate change responsibility, pro-environmental attitudes, meta-analysis </t>
  </si>
  <si>
    <t>"we find that perceived responsibility to address climate change relates to 10 different pro-environmental outcomes."</t>
  </si>
  <si>
    <t>Table 2: "Climate change worry"</t>
  </si>
  <si>
    <t>b (unstd)</t>
  </si>
  <si>
    <t>https://osf.io/jqpm8/?view_only=38a5b79a4f2a49b0a0b1a74c6afc8677</t>
  </si>
  <si>
    <t>https://aspredicted.org/3KR_RSK</t>
  </si>
  <si>
    <t>Radoslaw</t>
  </si>
  <si>
    <t>additional_studies26_a</t>
  </si>
  <si>
    <t>1-s2.0-S0272494424000628-main.pdf</t>
  </si>
  <si>
    <t>perceived responsibility</t>
  </si>
  <si>
    <t xml:space="preserve">Climate change, Perceived responsibility, Proenvironmental outcomes, European social survey, Sustainability, </t>
  </si>
  <si>
    <t>effect of perceived responsibility to address climate change (...) on worry about chlimate change</t>
  </si>
  <si>
    <t>Climate change worry ...b = .16, SE =.01</t>
  </si>
  <si>
    <t>nothing filled out, should code again</t>
  </si>
  <si>
    <t>additional_studies26_b</t>
  </si>
  <si>
    <t>effect of perceived responsibility to address climate change (...) on belief climate change is caused by humans</t>
  </si>
  <si>
    <t>Climate change caused by humans, ..., .b = 07 SE = 0.01</t>
  </si>
  <si>
    <t>Table 2: "Climate change (is) caused by humans"</t>
  </si>
  <si>
    <t>https://osf.io/jqpm8/?view_only=38a5b79a4f2a49b0a0b1a74c6afc8679</t>
  </si>
  <si>
    <t>additional_studies27_1</t>
  </si>
  <si>
    <t>additional_studies27</t>
  </si>
  <si>
    <t>There is no data since both the O_study and te replication are systematic review with no meta-analysis. Furthermore, the replication is a master thesis.</t>
  </si>
  <si>
    <t>Schenk, M., &amp; Miltenberger, R. (2019). A review of behavioral interventions to enhance sports performance. Behavioral Interventions, 34(2), 248–279. https://doi.org/10.1002/bin.1659</t>
  </si>
  <si>
    <t>10.1002/bin.1659</t>
  </si>
  <si>
    <t>10.1002--bin.1659.pdf</t>
  </si>
  <si>
    <t>Macias Mendoza, S. (2024). A Replication of a Systematic Review of Behavioral Interventions in Sports. [Master's thesis, Youngstown State University]. OhioLINK Electronic Theses and Dissertations Center. http://rave.ohiolink.edu/etdc/view?acc_num=ysu1714739251583684</t>
  </si>
  <si>
    <t>Sports Sciences</t>
  </si>
  <si>
    <t>behavioral interventions, sports performance</t>
  </si>
  <si>
    <t>mendoza.2024.pdf</t>
  </si>
  <si>
    <t>literature review</t>
  </si>
  <si>
    <t>additional_studies28_1</t>
  </si>
  <si>
    <t>additional_studies28</t>
  </si>
  <si>
    <t>May, A. C., Burrows, K., Figueroa-Hall, L. K., Kirlic, N., White, E. J., Smith, R., ... &amp; T1000 Investigators. (2021). Sex differences in circulating inflammatory mediators as a function of substance use disorder. Drug and alcohol dependence, 221, 108610., https://doi.org/10.1016/j.drugalcdep.2021.108610</t>
  </si>
  <si>
    <t>10.1016/j.drugalcdep.2021.108610</t>
  </si>
  <si>
    <t>10.1016--j.drugalcdep.2021.108610.pdf</t>
  </si>
  <si>
    <t>Stewart, J. L., Burrows, K., May, A. C., McNaughton, B. A., Smith, R., Kuplicki, R., ... &amp; Figueroa-Hall, L. (2024). C-Reactive Protein Concentrations Diverge as a Function of Substance Use Disorder: A Pre-Registered Replication in a Clinical Sample. Drug and Alcohol Dependence, 111323. https://doi.org/10.1016/j.drugalcdep.2024.111323</t>
  </si>
  <si>
    <t>10.1016/j.drugalcdep.2024.111323</t>
  </si>
  <si>
    <t>10.1016--j.drugalcdep.2024.111323.pdf</t>
  </si>
  <si>
    <t>substance use disorder,  C-reactive protein,  interleukin 8 ,  body mass index , sex differences, Cytokines</t>
  </si>
  <si>
    <t>"Within females, SUD + exhibited higher IL-8 and IL-10 but lower CRP levels than SUD-. In contrast, SUD was not associated with biomarker levels in males."</t>
  </si>
  <si>
    <t>"In females, higher interleukin 8 [..] levels were linked to presence of SUD." (substance use disorder)</t>
  </si>
  <si>
    <t>https://aspredicted.org/</t>
  </si>
  <si>
    <t>additional_studies28_a</t>
  </si>
  <si>
    <t>1-s2.0-S0376871624002448-main.pdf</t>
  </si>
  <si>
    <t>biomarkes of substace use diorder</t>
  </si>
  <si>
    <t xml:space="preserve">Substance use disorder, Depression, Inflammation, Cytokines, Chemokines, Interleukin-8, Interleukin-10, C-reactive protein, Tumor necrosis factor-alpha, </t>
  </si>
  <si>
    <t>level of C-reactive protein in femals with substance use disorder</t>
  </si>
  <si>
    <t>CRP. Predictors explained 45 % of the variance (Adjusted R2 =.45)</t>
  </si>
  <si>
    <t>F</t>
  </si>
  <si>
    <t>additional_studies28_b</t>
  </si>
  <si>
    <t>level of interleukin 8 in females with substance use disorder</t>
  </si>
  <si>
    <t>IL-8. Predictors explained 15 % of the variance (Adjusted R2 =.15)</t>
  </si>
  <si>
    <t>additional_studies28_c</t>
  </si>
  <si>
    <t>level of interleukin 10 in females with substance use disorder</t>
  </si>
  <si>
    <t>IL-10. Predictors explained 9% of the variance (Adjusted R2
=.09)</t>
  </si>
  <si>
    <t>"In females, higher interleukin [...] 10 levels were linked to presence of SUD." (substance use disorder)</t>
  </si>
  <si>
    <t>"In females, higher C-reactive protein levels were linked to absence of SUD." (substance use disorder)</t>
  </si>
  <si>
    <t>additional_studies28_d</t>
  </si>
  <si>
    <t>No specific claim. Interleukin 8 in males</t>
  </si>
  <si>
    <t>p.6</t>
  </si>
  <si>
    <t>additional_studies28_e</t>
  </si>
  <si>
    <t>No specific claim. Interleukin10 in males</t>
  </si>
  <si>
    <t>additional_studies28_f</t>
  </si>
  <si>
    <t>No specific claim. C-reactive protein levels in males</t>
  </si>
  <si>
    <t>−.03</t>
  </si>
  <si>
    <t>additional_studies29_1</t>
  </si>
  <si>
    <t>additional_studies29</t>
  </si>
  <si>
    <t>Feedback for Vidhi:
'- please change "date_entered" to the day that you worked on the entry
- Ref_replication was not in APA format and doi_r was missing
- label "systematic replication" was missing
- can you please explain why you did not extract any statistics? There was no note in "notes_coder"</t>
  </si>
  <si>
    <t>Renda, C. R., Rung, J. M., Hinnenkamp, J. E., Lenzini, S. N., &amp; Madden, G. J. (2018). Impulsive choice and pre-exposure to delays: IV. Effects of delay-and immediacy-exposure training relative to maturational changes in impulsivity. Journal of the Experimental Analysis of Behavior, 109, 587–599. https://doi.org/10.1002/jeab.432</t>
  </si>
  <si>
    <t>10.1002/jeab.432</t>
  </si>
  <si>
    <r>
      <rPr>
        <rFont val="Arial"/>
        <color rgb="FF222222"/>
      </rPr>
      <t xml:space="preserve">Fox, A. E. (2024). Immediate Reinforcement Training Has Moderate Effect on Delay Discounting Behavior in Rats: A Systematic Replication. The Psychological Record, 1-6. </t>
    </r>
    <r>
      <rPr>
        <rFont val="Arial"/>
        <color rgb="FF1155CC"/>
        <u/>
      </rPr>
      <t>https://doi.org/10.1007/s40732-024-00597-x</t>
    </r>
  </si>
  <si>
    <t>10.1007/s40732-024-00597-x</t>
  </si>
  <si>
    <t>systematic replication</t>
  </si>
  <si>
    <t>Immediate Reinforcement Training and Delay Discounting Behavior in Rats</t>
  </si>
  <si>
    <t xml:space="preserve">After validating this entry for 30 minutes, I could not find out why Aleksandr chose the 15-s delay effect for the original and the overall effect for the replication. I replaced it with the overall delay (15 + 30s).
Feedback for Aleksandr:
- description was missing
- please do not conduct effect size conversions but only copy what is in the paper. You may do calculations using the sheet in the table. If you do so, please save one sheet for each calculation
- if you do not choose the first result from the original study, please write in the notes_coder why you chose the particular finding over another
</t>
  </si>
  <si>
    <r>
      <rPr>
        <rFont val="Arial"/>
        <color rgb="FF222222"/>
      </rPr>
      <t xml:space="preserve">Fox, A. E. (2024). Immediate Reinforcement Training Has Moderate Effect on Delay Discounting Behavior in Rats: A Systematic Replication. The Psychological Record, 1-6. </t>
    </r>
    <r>
      <rPr>
        <rFont val="Arial"/>
        <color rgb="FF1155CC"/>
        <u/>
      </rPr>
      <t>https://doi.org/10.1007/s40732-024-00597-x</t>
    </r>
  </si>
  <si>
    <t>LLR, IE, CONT</t>
  </si>
  <si>
    <t>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</si>
  <si>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 z = 2.81, N = 34</t>
  </si>
  <si>
    <t xml:space="preserve">The article uses — z = 1.73, p = .08 — a. r needs to be calculated using z and both sample groups size (17 in both), so we have r = 1,73/ √34 =0,297
</t>
  </si>
  <si>
    <t>z = 2.08, p = .04</t>
  </si>
  <si>
    <t>The artcile uses z = 2.08, sample size of both groups 48. r = 2.08/√48 = 0.300</t>
  </si>
  <si>
    <t xml:space="preserve">Feedback for Aleksandr:
- description was missing
- please do not conduct effect size conversions but only copy what is in the paper. You may do calculations using the sheet in the table. If you do so, please save one sheet for each calculation
- if you do not choose the first result from the original study, please write in the notes_coder why you chose the particular finding over another
</t>
  </si>
  <si>
    <t>The replication attempt cites the original article but it is not a direct replication. It uses the same research paradigm but a direct comparison between the results is not suitable.</t>
  </si>
  <si>
    <t>10.1002--jeab.432.pdf</t>
  </si>
  <si>
    <t>Fox, A.E. Immediate Reinforcement Training Has Moderate Effect on Delay Discounting Behavior in Rats: A Systematic Replication. Psychol Rec (2024). https://doi.org/10.1007/s40732-024-00597-x</t>
  </si>
  <si>
    <t>A Systematic Replication</t>
  </si>
  <si>
    <t>additional_studies3_1</t>
  </si>
  <si>
    <t>additional_studies3</t>
  </si>
  <si>
    <t>not sure if close or conceptual is more accurate</t>
  </si>
  <si>
    <t>Castro, A. A., Hur, J., &amp; Berenbaum, H. (2022). A bifactor approach to modeling the structure of repetitive thinking: Replication and extension. Personality and Individual Differences, 189, 111472. https://doi.org/10.1016/j.paid.2021.111472</t>
  </si>
  <si>
    <t>10.1016/j.paid.2021.111472</t>
  </si>
  <si>
    <t>10.1016--j.paid.2021.111472.pdf</t>
  </si>
  <si>
    <t>Liu, K., Wright, M. E., Cole, L. A., &amp; Warren, S. L. (2024). Bi-factor model of repetitive thinking: Replication and extension. Personality and Individual Differences, 226, 112692. https://doi.org/10.1016/j.paid.2024.112692</t>
  </si>
  <si>
    <t>10.1016/j.paid.2024.112692</t>
  </si>
  <si>
    <t>Differential Psychology</t>
  </si>
  <si>
    <t>Structure of worry and rumination</t>
  </si>
  <si>
    <t>bifactor/worry/rumination/structure/repetitive thinking</t>
  </si>
  <si>
    <t>bi-factor structure of repetitive thinking with both shared variance in repetitive thinking and unique variance specific to each form of repetitive thinking, specifically worry, rumination, and reflection</t>
  </si>
  <si>
    <t>Content-specific bifactor model had a better fit than single factor model</t>
  </si>
  <si>
    <t>&gt; χ2(11) = 2302.6</t>
  </si>
  <si>
    <t>&gt; χ2 (4) = 50.16, p &lt; .001</t>
  </si>
  <si>
    <t>p. 2+3</t>
  </si>
  <si>
    <t>additional_studies3_b</t>
  </si>
  <si>
    <t>Content-specific bifactor model had a better fit than content-specific model</t>
  </si>
  <si>
    <t>χ2(12) = 206.24</t>
  </si>
  <si>
    <t>additional_studies3_c</t>
  </si>
  <si>
    <t>Content-specific bifactor model had a better fit than valence model</t>
  </si>
  <si>
    <t>additional_studies3_d</t>
  </si>
  <si>
    <t>Content-specific bifactor model had a better fit than valence bifactor model</t>
  </si>
  <si>
    <t>χ2(11) = 2302.6</t>
  </si>
  <si>
    <t>χ2 (4) = 50.16, p &lt; .001</t>
  </si>
  <si>
    <t>additional_studies3_a</t>
  </si>
  <si>
    <t>Effect size was calculated.</t>
  </si>
  <si>
    <t>Replication and extensions</t>
  </si>
  <si>
    <t>Repetitive Negative Thinking (RNT)</t>
  </si>
  <si>
    <t>Worry, Rumination, Reflection, Big Five, Depression, Anxiety, Emotion regulation, Emotional awareness</t>
  </si>
  <si>
    <t>General Repetitive Thinking Facto</t>
  </si>
  <si>
    <t>Findings indicate that the general repetitive thinking factor is primarily tapping a lack of control over unwanted thoughts associated with repetitive thinking​</t>
  </si>
  <si>
    <t>Worry-Specific Factor</t>
  </si>
  <si>
    <t>It was not associated with anhedonic depression, but it was positively associated with neuroticism, increased intolerance of uncertainty, and diminished openness.</t>
  </si>
  <si>
    <t>Rumination-Specific Factor</t>
  </si>
  <si>
    <t>This factor was strongly associated with emotion nonacceptance, suggesting that it captures the inability to accept past emotional responses.</t>
  </si>
  <si>
    <t>Reflection-Specific Factor</t>
  </si>
  <si>
    <t>It was also positively associated with attention to emotion, suggesting that this factor captures a tendency for contemplative self-analysis.</t>
  </si>
  <si>
    <t>additional_studies30_1</t>
  </si>
  <si>
    <t>additional_studies30</t>
  </si>
  <si>
    <t>Pérez, A., Potocki, A., Stadtler, M., Macedo-Rouet, M., Paul, J., Salmerón, L., &amp; Rouet, J. F. (2018). Fostering teenagers' assessment of information reliability: Effects of a classroom intervention focused on critical source dimensions. Learning and Instruction, 58, 53-64. https://doi.org/10.1016/j.learninstruc.2018.04.006</t>
  </si>
  <si>
    <t>10.1016/j.learninstruc.2018.04.006</t>
  </si>
  <si>
    <t>Martínez, M. A., Saux, G., Londra, F., &amp; Burin, D. I. (2024). Effects of a classroom intervention on college students’ sourcing skills: replication and extension study. Discourse Processes, 1–26. https://doi.org/10.1080/0163853X.2024.2339738</t>
  </si>
  <si>
    <t>10.1080/0163853X.2024.2339738</t>
  </si>
  <si>
    <t>Education Sciences</t>
  </si>
  <si>
    <t>knowledge application task, group</t>
  </si>
  <si>
    <t>Effects of a classroom intervention on college students’ sourcing skills</t>
  </si>
  <si>
    <t>Martínez, M. A., Saux, G., Londra, F., &amp; Burin, D. I. (2024). Effects of a classroom intervention on college students’ sourcing skills: replication and extension study. Discourse Processes, 1-26.</t>
  </si>
  <si>
    <t>replication and extension</t>
  </si>
  <si>
    <t>The three main effects were significant: group, χ2 (1)=5.49, p &lt; .05, dv=0.09,</t>
  </si>
  <si>
    <t>dv</t>
  </si>
  <si>
    <t>p. 59</t>
  </si>
  <si>
    <t>p.266</t>
  </si>
  <si>
    <t>https://osf.io/8ga4s?view_only=38d7630a8c6e4eb6aee200540eec175d</t>
  </si>
  <si>
    <t>additional_studies30_b</t>
  </si>
  <si>
    <t>knowledge application task, phase</t>
  </si>
  <si>
    <t>Phase χ2 (2)=9.17, p &lt; .05, dv=0.08</t>
  </si>
  <si>
    <t>−0.21</t>
  </si>
  <si>
    <t>additional_studies30_c</t>
  </si>
  <si>
    <t>knowledge application task, condition</t>
  </si>
  <si>
    <t>condition, χ2 (3)=62.69, p &lt; .001, dv=0.37,</t>
  </si>
  <si>
    <t>additional_studies30_d</t>
  </si>
  <si>
    <t>knowledge application task, interaction</t>
  </si>
  <si>
    <t>More importantly, the three-way interaction of group, phase and condition was significant, χ2 (6)=12.64, p &lt; .05, dv=0.04</t>
  </si>
  <si>
    <t>additional_studies30_e</t>
  </si>
  <si>
    <t>Near ransfer task, group</t>
  </si>
  <si>
    <t>The model demonstrated a significant main effect of group, χ2 (1)=10.68, p &lt; .01, with more correct responses in the trained (M=0.72, SE=0.18) than in the control group (M=0.53, SE=0.15; OR=0.39, CI 0.23–0.64);</t>
  </si>
  <si>
    <t xml:space="preserve">OR </t>
  </si>
  <si>
    <t>p. 60</t>
  </si>
  <si>
    <t>p.268</t>
  </si>
  <si>
    <t>additional_studies30_f</t>
  </si>
  <si>
    <t>Near ransfer task, phase</t>
  </si>
  <si>
    <t>The model demonstrated a significant main effect of ... phase, χ2 (2)=8.13, p &lt; .05, with more correct responses in the posttest 1 (M=0.65, SE=0.20) and post-test 2 (M=0.71, SE=0.21) than in the pre-test (M=0.52, SE=0.19; OR=0.52, CI 0.27–0.99 and OR=0.42, CI 0.22–0.82 for the post-test 1 and post-test 2, respectively).</t>
  </si>
  <si>
    <t>additional_studies30_g</t>
  </si>
  <si>
    <t>Near ransfer task, 2 factors interaction, post test 1</t>
  </si>
  <si>
    <t>More importantly, the interaction between these two factors was also significant, χ2 (2)=9.73, p &lt; .01 (see Fig. 4). Post-hoc comparisons showed no group differences in the pre-test phase, χ2 (1)=0.0001, p ≃ 1.00 (OR=0.99, CI 0.34–2.95); whereas the trained group outperformed the control group in the post-test 1, χ2 (1)=14.90, p &lt; .001 (OR=0.19, CI 0.05–0.64)</t>
  </si>
  <si>
    <t>p.267</t>
  </si>
  <si>
    <t>additional_studies30_h</t>
  </si>
  <si>
    <t>Near ransfer task, 2 factors interaction, post test 2</t>
  </si>
  <si>
    <t>More importantly, the interaction between these two factors was also significant, χ2 (2)=9.73, p &lt; .01 (see Fig. 4). Post-hoc comparisons showed no group differences in the pre-test phase, χ2 (1)=0.0001, p ≃ 1.00 (OR=0.99, CI 0.34–2.95); whereas the trained group outperformed the control group in ...  post-test 2, χ2 (1)=7.19, p &lt; .05 (OR=0.31, CI 0.09–1.08).</t>
  </si>
  <si>
    <t>I think study 30 is codable in principle, but it has a challenge. The original article reports comparisons as chi-squared tests (what we can call classic NHST), but the replication reports coefficients from regression modeling. This means that to compare specific results from both studies, we need to build and solve the regression equations based on the parameter estimates presented in the replication article. I think this is a demanding, specific task that I am not sure FORRT would want to perform. Please let me know your thoughts on this.</t>
  </si>
  <si>
    <t>10.1016--j.learninstruc.2018.04.006.pdf</t>
  </si>
  <si>
    <t>(https://osf.io/8ga4s/</t>
  </si>
  <si>
    <t>additional_studies31_1</t>
  </si>
  <si>
    <t>additional_studies31</t>
  </si>
  <si>
    <t>The O_experiment seems a little complicated, they did not perform repeated measure analyses, but correlations between the conditions deltas and the misinformation availability in two different outcomes (which are deltas as well between 2 conditions of another repeated measures predictor).</t>
  </si>
  <si>
    <t>Blank, H., Panday, A., Edwards, R., Skopicz-Radkiewicz, E., Gibson, V., &amp;Reddy, V. (2022). Double misinformation: Effects on eyewitnessremembering.Journal of Applied Research in Memory and Cognition,11(1), 97–105.https://doi.org/10.1016/j.jarmac.2021.08.001</t>
  </si>
  <si>
    <t>10.1016/j.jarmac.2021.08.001</t>
  </si>
  <si>
    <t>10.1016--j.jarmac.2021.08.001.pdf</t>
  </si>
  <si>
    <t>Smołka, E., &amp; Blank, H. (2024). Double misinformation and eyewitness performance: An experimental replication. Applied Cognitive Psychology, 38(3), e4202. https://doi.org/10.1002/acp.4202</t>
  </si>
  <si>
    <t>10.1002/acp.4202</t>
  </si>
  <si>
    <t>10.1002--acp.4202.pdf</t>
  </si>
  <si>
    <t>misinformation effect</t>
  </si>
  <si>
    <t>Double misinformation, eyewitness memory, discrepancy detection</t>
  </si>
  <si>
    <t>"noticing contradictions between multiple pieces of misinformation undermines credibility and decreases the effect (all relative to the effect of a single piece of misinformation)."</t>
  </si>
  <si>
    <t>Figure 1: "Net change in the misinformation effect (MIE; operationalised as either misinformation endorsement or accuracy with double misinformation compared to standard misinformation) as a function of misinformation availability. Positive (negative) changes mean that the misinformation effect is larger (smaller) with double misinformation." misinf endorsement</t>
  </si>
  <si>
    <t>p.16</t>
  </si>
  <si>
    <t>p.11</t>
  </si>
  <si>
    <t>https://osf.io/8kzgd</t>
  </si>
  <si>
    <t>additional_studies31_a</t>
  </si>
  <si>
    <t>additional_studies31_1_replication.pdf</t>
  </si>
  <si>
    <t>discrepancy detection</t>
  </si>
  <si>
    <t>discrepancy detection, eyewitness memory, misinformation availability, misinformation effect</t>
  </si>
  <si>
    <t xml:space="preserve">misinformatio aviability correlates with misinformation endorsement </t>
  </si>
  <si>
    <t>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</si>
  <si>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additional_studies31_b</t>
  </si>
  <si>
    <t>misinformatio aviability correlates with accuracy operationalisations of the misinformation effect</t>
  </si>
  <si>
    <t>Figure 1: "Net change in the misinformation effect (MIE; operationalised as either misinformation endorsement or accuracy with double misinformation compared to standard misinformation) as a function of misinformation availability. Positive (negative) changes mean that the misinformation effect is larger (smaller) with double misinformation." accuracy</t>
  </si>
  <si>
    <t>additional_studies32_1</t>
  </si>
  <si>
    <t>additional_studies32</t>
  </si>
  <si>
    <t>Effect reffered to Reaction times. The O_exp did not report p values, qhile the R_exp employed Z scores for the contrasts (not d as I selected)</t>
  </si>
  <si>
    <t>Grainger, J., Snell, J., &amp; Beyersmann, E. (2021). Morphological processing in the flankers task. Language, Cognition and Neuroscience, 36(3), 288–295. https://doi.org/10.1080/23273798.2020.1810292</t>
  </si>
  <si>
    <t>10.1080/23273798.2020.1810292</t>
  </si>
  <si>
    <t>10.1080--23273798.2020.1810292.pdf</t>
  </si>
  <si>
    <t>Beyersmann, E., &amp; Grainger, J. (2024). A replication of morphological flanker effects in French. Language, Cognition and Neuroscience, 1–6. https://doi.org/10.1080/23273798.2024.2337948</t>
  </si>
  <si>
    <t>10.1080/23273798.2024.2337948</t>
  </si>
  <si>
    <t>10.1080--23273798.2024.2337948.pdf</t>
  </si>
  <si>
    <t>morphological family
size effects</t>
  </si>
  <si>
    <t>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</si>
  <si>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 </t>
  </si>
  <si>
    <t>"A main effect of flanker relatedness was observed, with
faster responses in the presence of related flankers"</t>
  </si>
  <si>
    <t>Not reported</t>
  </si>
  <si>
    <t>χ2(1) = 140.71</t>
  </si>
  <si>
    <t>https://www.prolific.co</t>
  </si>
  <si>
    <t>replication study file not in repository, cannot access the publication on publisher site, requires purchase</t>
  </si>
  <si>
    <t>additional_studies32_b</t>
  </si>
  <si>
    <t>"Crucially, interaction effects were observed between morphological structure and flanker relatedness: between the truly morphological and pseudo-morphological conditions..."</t>
  </si>
  <si>
    <t>additional_studies32_c</t>
  </si>
  <si>
    <t>"Crucially, interaction effects were observed between morphological structure and flanker relatedness: [...], and between the truly morphological and non-morphological conditions,"</t>
  </si>
  <si>
    <t>−2.694</t>
  </si>
  <si>
    <t>additional_studies32_d</t>
  </si>
  <si>
    <t>"On the other hand, the effect of flanker relatedness did not differ between the pseudo-morphological and non-morphological conditions..."</t>
  </si>
  <si>
    <t>additional_studies32_e</t>
  </si>
  <si>
    <t>Effect reffered to Error rates. The O_exp did not report p values, qhile the R_exp employed Z scores for the contrasts (not d as I selected)</t>
  </si>
  <si>
    <t>"In the error rates we again established interactions between morphological and orthographic relatedness when isolating the truly morphological and non-morphological conditions .."</t>
  </si>
  <si>
    <t>−2.23</t>
  </si>
  <si>
    <t>additional_studies32_f</t>
  </si>
  <si>
    <t>"In the error rates we again established interactions between [...] but not when isolating the truly morphological and pseudomorphological conditions"</t>
  </si>
  <si>
    <t>−0.30</t>
  </si>
  <si>
    <t>additional_studies32_g</t>
  </si>
  <si>
    <t>"In the error rates we again established interactions between [...] but not when isolating [...] or when isolating the pseudo-morphological and non-morphological conditions "</t>
  </si>
  <si>
    <t>−0.33</t>
  </si>
  <si>
    <t>additional_studies33_1</t>
  </si>
  <si>
    <t>additional_studies33</t>
  </si>
  <si>
    <t>Kormos, J., &amp; Dénes, M. (2004). Exploring measures and perceptions of fluency in the speech of second language learners. System, 32(2), 145–164. https://doi.org/10.1016/j.system.2004.01.001</t>
  </si>
  <si>
    <t>10.1016/j.system.2004.01.001</t>
  </si>
  <si>
    <t>Magne, V. (2024). Replication research in the domain of perceived L2 fluency: Approximate and close replications of Kormos and Dénes (2004) and Rossiter (2009). Language Teaching, 1–9. doi:10.1017/S0261444824000120</t>
  </si>
  <si>
    <t>Second language fluency</t>
  </si>
  <si>
    <t>Magne, V. (2024). Replication research in the domain of perceived L2 fluency: Approximate and close replications of Kormos and Dénes (2004) and Rossiter (2009). Language Teaching, 1-9.</t>
  </si>
  <si>
    <t>10.1017/S0261444824000120</t>
  </si>
  <si>
    <t>Not a replication, just a proposal for potential replication</t>
  </si>
  <si>
    <t>As the replication article states "The primary objective of this paper is to contribute to the advancement of second language (L2) fluency research by outlining a specific proposal for future replication studies". Therefore, this is not a replication study but a proposal of replication. The authors analyze the scope and limitations of the original research article and draw a proposal.</t>
  </si>
  <si>
    <t>10.1016--j.system.2004.01.001.pdf</t>
  </si>
  <si>
    <t>Approximate and close replications of Kormos and Dénes (2004) and Rossiter (2009)</t>
  </si>
  <si>
    <t>additional_studies34_1</t>
  </si>
  <si>
    <t>additional_studies34</t>
  </si>
  <si>
    <t>Rossiter, M. J. (2009). Perceptions of L2 fluency by native and non-native speakers of English. Canadian Modern Language Review, 65(3), 395–412. https://doi.org/10.3138/cmlr.65.3.395</t>
  </si>
  <si>
    <t>10.3138/cmlr.65.3.395</t>
  </si>
  <si>
    <t>Magne, V. (2024). Replication research in the domain of perceived L2 fluency: Approximate and close replications of Kormos and Dénes (2004) and Rossiter (2009). Language Teaching, 1–9. https://doi.org/10.1017/S0261444824000120</t>
  </si>
  <si>
    <t>Not a replication, just a proposal for potential reolication</t>
  </si>
  <si>
    <t>10.3138--cmlr.65.3.395.pdf</t>
  </si>
  <si>
    <t>Ray</t>
  </si>
  <si>
    <t>additional_studies35_1</t>
  </si>
  <si>
    <t>additional_studies35</t>
  </si>
  <si>
    <t>LR, RB</t>
  </si>
  <si>
    <t>Feedback for Ray
- Why did you not code any of the test statistics?</t>
  </si>
  <si>
    <t>Davis, W. T., Rapp, J. T., Brogan, K. M., Pinkston, J. W., &amp; Chinnappan, B. (2021). Comparing stimulus preference and response force in a conjugate preparation. Journal of the Experimental Analysis of Behavior, 116(1), 96–113. https://doi.org/10.1002/jeab.705</t>
  </si>
  <si>
    <t>10.1002/jeab.705</t>
  </si>
  <si>
    <t>10.1002--jeab.705.pdf</t>
  </si>
  <si>
    <t>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 https://doi.org/10.1002/jeab.915</t>
  </si>
  <si>
    <t>10.1002/jeab.915</t>
  </si>
  <si>
    <t>A replication with auditory stimulation</t>
  </si>
  <si>
    <t>family values (i.e., importance and centrality of the family) of mother and father</t>
  </si>
  <si>
    <t>This is a replication study on the use of a conjugate preparation
for assessing preference. The original study administered a verbal multiple-stimulus-without-replacement
assessment (VMSWO). The replication study includes, in addition, auditive stimuli and, as stated by the authors, "Deviated from the Davis
et al. procedures, in part, for the purposes of efficiency and practicality". Moreover, the original study performed the assessment five times with the participants but the replication did it just once. The replicators argue "We rationalized this to be an acceptable alteration because supplemental data provided by the Davis et al. study showed HP and LP items identified in the first array of sample stimuli were consistent with HP and LP items identified from seven arrays for 70% of participants in their preliminary study."</t>
  </si>
  <si>
    <t>Feedback for Daniel
- please enter your name and the date that you are working on into the variables contributors and date_entered</t>
  </si>
  <si>
    <r>
      <rPr>
        <rFont val="Calibri"/>
        <sz val="11.0"/>
      </rPr>
      <t xml:space="preserve">Davis, W. T., Rapp, J. T., Brogan, K. M., Pinkston, J. W., &amp; Chinnappan, B. (2021). Comparing stimulus preference and response force in a conjugate preparation. Journal of the Experimental Analysis of Behavior, 116(1), 96–113. </t>
    </r>
    <r>
      <rPr>
        <rFont val="Calibri"/>
        <color rgb="FF1155CC"/>
        <sz val="11.0"/>
        <u/>
      </rPr>
      <t>https://doi.org/10.1002/jeab.705</t>
    </r>
  </si>
  <si>
    <r>
      <rPr>
        <rFont val="Calibri"/>
        <sz val="11.0"/>
      </rPr>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 </t>
    </r>
    <r>
      <rPr>
        <rFont val="Calibri"/>
        <color rgb="FF1155CC"/>
        <sz val="11.0"/>
        <u/>
      </rPr>
      <t>https://doi.org/10.1002/jeab.915</t>
    </r>
  </si>
  <si>
    <t>10.1002--jeab.915.pdf</t>
  </si>
  <si>
    <t>Response force in a conjugate preparation (VMSWO Rank 1-5 by Mean
Force Rank 1-5)</t>
  </si>
  <si>
    <t>conjugate reinforcement, MSWO, response force, stimulus preference</t>
  </si>
  <si>
    <t>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</si>
  <si>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</si>
  <si>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χ2(8) = 104.09</t>
  </si>
  <si>
    <t>χ2</t>
  </si>
  <si>
    <t>p. 105</t>
  </si>
  <si>
    <t>cramer's V</t>
  </si>
  <si>
    <t>p. 20</t>
  </si>
  <si>
    <t>additional_studies36</t>
  </si>
  <si>
    <t>additional_studies36_b</t>
  </si>
  <si>
    <t>The replication and the original articles are clearly reported. I was able to map each of the replication attempts.</t>
  </si>
  <si>
    <t>Sfärlea, A., Greimel, E., Platt, B., Dieler, A. C., &amp; Schulte‐Körne, G. (2018). Recognition of emotional facial expressions in adolescents with anorexia nervosa and adolescents with major depression. Psychiatry Research, 262, 586–594. https://doi.org/10.1016/j.psychres.2017.09.049</t>
  </si>
  <si>
    <t>10.1016/j.psychres.2017.09.048</t>
  </si>
  <si>
    <t>Sfärlea, A., Buhl, C., Lukas, L., &amp; Schulte‐Körne, G. (2024). Superior facial emotion recognition in adolescents with anorexia nervosa–A replication study. European Eating Disorders Review. https://doi.org/10.1002/erv.3104</t>
  </si>
  <si>
    <t>A replication study</t>
  </si>
  <si>
    <t>Percentage of correct answers: Effect of emotion</t>
  </si>
  <si>
    <t>adolescence, anorexia nervosa, eating disorders, emotion recognition, emotional faces</t>
  </si>
  <si>
    <t>Researchers showed images to the participants to make decisions on the nature of the stimulus presented. They had to indicate which emotion (happy, sad, afraid, angry, or neutral) the face expressed. The effects of the factors involved in the statistical test are presented.</t>
  </si>
  <si>
    <t>The TASK × EMOTION × GROUP ANOVA on percentage of correct answers revealed a significant main effect of TASK (F1.4,123.2 = 395.8, p&lt;.001, ηp 2 = .822) as well as a significant main effect of EMOTION (F3.5,298.9 =107.8, p&lt;.001, ηp 2 = .556).</t>
  </si>
  <si>
    <t>p. 946</t>
  </si>
  <si>
    <t>additional_studies36_c</t>
  </si>
  <si>
    <t>Sfärlea, A., Greimel, E., Platt, B., Dieler, A. C., &amp; Schulte‐Körne, G. (2018). Recognition of emotional facial expressions in adolescents with anorexia nervosa and adolescents with major depression. Psychiatry Research, 262, 586–594. https://doi.org/10.1016/j.psychres.2017.09.050</t>
  </si>
  <si>
    <t>Sfärlea, A., Buhl, C., Lukas, L., &amp; Schulte‐Körne, G. (2024). Superior facial emotion recognition in adolescents with anorexia nervosa–A replication study. European Eating Disorders Review. https://doi.org/10.1002/erv.3105</t>
  </si>
  <si>
    <t>Percentage of correct answers: Effect of Task X group interaction</t>
  </si>
  <si>
    <t>In addition, a TASK × GROUP interaction (F2.9,123.2 = 3.1, p = .031, ηp 2 = .067) as well as a TASK × EMOTION interaction (F4.2,361.9 = 92.5, p&lt;.001, ηp 2 = .518) emerged.</t>
  </si>
  <si>
    <t>additional_studies36_d</t>
  </si>
  <si>
    <t>Sfärlea, A., Greimel, E., Platt, B., Dieler, A. C., &amp; Schulte‐Körne, G. (2018). Recognition of emotional facial expressions in adolescents with anorexia nervosa and adolescents with major depression. Psychiatry Research, 262, 586–594. https://doi.org/10.1016/j.psychres.2017.09.051</t>
  </si>
  <si>
    <t>Sfärlea, A., Buhl, C., Lukas, L., &amp; Schulte‐Körne, G. (2024). Superior facial emotion recognition in adolescents with anorexia nervosa–A replication study. European Eating Disorders Review. https://doi.org/10.1002/erv.3106</t>
  </si>
  <si>
    <t>Percentage of correct answers: Effect of Task X emotion interaction</t>
  </si>
  <si>
    <t>additional_studies36_e</t>
  </si>
  <si>
    <t>Sfärlea, A., Greimel, E., Platt, B., Dieler, A. C., &amp; Schulte‐Körne, G. (2018). Recognition of emotional facial expressions in adolescents with anorexia nervosa and adolescents with major depression. Psychiatry Research, 262, 586–594. https://doi.org/10.1016/j.psychres.2017.09.052</t>
  </si>
  <si>
    <t>Sfärlea, A., Buhl, C., Lukas, L., &amp; Schulte‐Körne, G. (2024). Superior facial emotion recognition in adolescents with anorexia nervosa–A replication study. European Eating Disorders Review. https://doi.org/10.1002/erv.3107</t>
  </si>
  <si>
    <t>Percentage of correct answers: Effect of Task X Emotion X Group interaction</t>
  </si>
  <si>
    <t>n addition, a TASK × GROUP interaction (F2.9,123.2 = 3.1, p = .031, ηp 2 = .067) as well as a TASK × EMOTION interaction (F4.2,361.9 = 92.5, p&lt;.001, ηp 2 = .518) emerged and were further qualified by a TASK × EMOTION × GROUP interaction (F8.4,361.9 =2.6, p = .009, ηp 2 = .056).</t>
  </si>
  <si>
    <t>pp. 4-5</t>
  </si>
  <si>
    <t>additional_studies36_f</t>
  </si>
  <si>
    <t>Sfärlea, A., Greimel, E., Platt, B., Dieler, A. C., &amp; Schulte‐Körne, G. (2018). Recognition of emotional facial expressions in adolescents with anorexia nervosa and adolescents with major depression. Psychiatry Research, 262, 586–594. https://doi.org/10.1016/j.psychres.2017.09.053</t>
  </si>
  <si>
    <t>Sfärlea, A., Buhl, C., Lukas, L., &amp; Schulte‐Körne, G. (2024). Superior facial emotion recognition in adolescents with anorexia nervosa–A replication study. European Eating Disorders Review. https://doi.org/10.1002/erv.3108</t>
  </si>
  <si>
    <t>Emotion discrimination task: Effect of emotion</t>
  </si>
  <si>
    <t>For the emotion discrimination task (see Fig. 2), the follow-up ANOVA yielded a significant main effect of EMOTION (F3.3,281.8 = 114.5, p&lt;.001, ηp 2= .571) as well as a significant main effect of GROUP (F2,86 = 3.3, p = .040, ηp2 = .072).</t>
  </si>
  <si>
    <t>additional_studies36_g</t>
  </si>
  <si>
    <t>Sfärlea, A., Greimel, E., Platt, B., Dieler, A. C., &amp; Schulte‐Körne, G. (2018). Recognition of emotional facial expressions in adolescents with anorexia nervosa and adolescents with major depression. Psychiatry Research, 262, 586–594. https://doi.org/10.1016/j.psychres.2017.09.054</t>
  </si>
  <si>
    <t>Sfärlea, A., Buhl, C., Lukas, L., &amp; Schulte‐Körne, G. (2024). Superior facial emotion recognition in adolescents with anorexia nervosa–A replication study. European Eating Disorders Review. https://doi.org/10.1002/erv.3109</t>
  </si>
  <si>
    <t>Emotion discrimination task: Effect of group</t>
  </si>
  <si>
    <t>le (&lt;=)</t>
  </si>
  <si>
    <t>additional_studies36_h</t>
  </si>
  <si>
    <t>Sfärlea, A., Greimel, E., Platt, B., Dieler, A. C., &amp; Schulte‐Körne, G. (2018). Recognition of emotional facial expressions in adolescents with anorexia nervosa and adolescents with major depression. Psychiatry Research, 262, 586–594. https://doi.org/10.1016/j.psychres.2017.09.055</t>
  </si>
  <si>
    <t>Sfärlea, A., Buhl, C., Lukas, L., &amp; Schulte‐Körne, G. (2024). Superior facial emotion recognition in adolescents with anorexia nervosa–A replication study. European Eating Disorders Review. https://doi.org/10.1002/erv.3110</t>
  </si>
  <si>
    <t>Emotion discrimination task: Effect of emotion X group interaction</t>
  </si>
  <si>
    <t>These main effects were qualified by a significant EMOTION × GROUP interaction (F6.6,281.8 = 2.7, p = .012, ηp 2 = .059) which was followed up by one-way ANOVAs with the factor GROUP performed separately for each emotion and subsequent t-tests.</t>
  </si>
  <si>
    <t>additional_studies36_i</t>
  </si>
  <si>
    <t>Sfärlea, A., Greimel, E., Platt, B., Dieler, A. C., &amp; Schulte‐Körne, G. (2018). Recognition of emotional facial expressions in adolescents with anorexia nervosa and adolescents with major depression. Psychiatry Research, 262, 586–594. https://doi.org/10.1016/j.psychres.2017.09.056</t>
  </si>
  <si>
    <t>Sfärlea, A., Buhl, C., Lukas, L., &amp; Schulte‐Körne, G. (2024). Superior facial emotion recognition in adolescents with anorexia nervosa–A replication study. European Eating Disorders Review. https://doi.org/10.1002/erv.3111</t>
  </si>
  <si>
    <t>Emotion discrimination task: Effect of group on happy faces</t>
  </si>
  <si>
    <t>For happy faces, the ANOVA yielded a significant effect of GROUP (F2,86 =4.2, p = .018, ηp 2 = .089) indicating that the AN group performed better than the MD group (t35.2=2.6, p=.013, d=.73).</t>
  </si>
  <si>
    <t>ts ≤ 1.54</t>
  </si>
  <si>
    <t>additional_studies36_j</t>
  </si>
  <si>
    <t>Sfärlea, A., Greimel, E., Platt, B., Dieler, A. C., &amp; Schulte‐Körne, G. (2018). Recognition of emotional facial expressions in adolescents with anorexia nervosa and adolescents with major depression. Psychiatry Research, 262, 586–594. https://doi.org/10.1016/j.psychres.2017.09.057</t>
  </si>
  <si>
    <t>Sfärlea, A., Buhl, C., Lukas, L., &amp; Schulte‐Körne, G. (2024). Superior facial emotion recognition in adolescents with anorexia nervosa–A replication study. European Eating Disorders Review. https://doi.org/10.1002/erv.3112</t>
  </si>
  <si>
    <t>Emotion discrimination task: Effect of group on sad faces</t>
  </si>
  <si>
    <t>For sad faces, a significant effect of GROUP (F2,86 = 3.6, p = .030, ηp 2 = .078) indicated a higher percentage of correct answers in the AN than the MD group (t50 = 2.7, p = .010, d = .74).</t>
  </si>
  <si>
    <t>additional_studies36_k</t>
  </si>
  <si>
    <t>Sfärlea, A., Greimel, E., Platt, B., Dieler, A. C., &amp; Schulte‐Körne, G. (2018). Recognition of emotional facial expressions in adolescents with anorexia nervosa and adolescents with major depression. Psychiatry Research, 262, 586–594. https://doi.org/10.1016/j.psychres.2017.09.058</t>
  </si>
  <si>
    <t>Sfärlea, A., Buhl, C., Lukas, L., &amp; Schulte‐Körne, G. (2024). Superior facial emotion recognition in adolescents with anorexia nervosa–A replication study. European Eating Disorders Review. https://doi.org/10.1002/erv.3113</t>
  </si>
  <si>
    <t>Emotion discrimination task: Effect of group for afraid faces</t>
  </si>
  <si>
    <t>For afraid faces, the significant effect of GROUP (F2,86 = 5.4, p = .006, ηp 2 = .112) indicated that the AN group performed better than both, MD (t50 = 2.7, p = .009, d = .75) and HC (t61.0 = 3.4, p = .001, d = .84) groups.</t>
  </si>
  <si>
    <t>additional_studies36_l</t>
  </si>
  <si>
    <t>Sfärlea, A., Greimel, E., Platt, B., Dieler, A. C., &amp; Schulte‐Körne, G. (2018). Recognition of emotional facial expressions in adolescents with anorexia nervosa and adolescents with major depression. Psychiatry Research, 262, 586–594. https://doi.org/10.1016/j.psychres.2017.09.059</t>
  </si>
  <si>
    <t>Sfärlea, A., Buhl, C., Lukas, L., &amp; Schulte‐Körne, G. (2024). Superior facial emotion recognition in adolescents with anorexia nervosa–A replication study. European Eating Disorders Review. https://doi.org/10.1002/erv.3114</t>
  </si>
  <si>
    <t>Emotion discrimination task: Effect of group for neutral faces</t>
  </si>
  <si>
    <t>MD and the HC groups did not differ significantly in any of the post-hoc comparisons. For angry and neutral faces no significant GROUP effects emerged (Fs&lt;1).</t>
  </si>
  <si>
    <t>Fs&lt;1</t>
  </si>
  <si>
    <t>additional_studies36_m</t>
  </si>
  <si>
    <t>Sfärlea, A., Greimel, E., Platt, B., Dieler, A. C., &amp; Schulte‐Körne, G. (2018). Recognition of emotional facial expressions in adolescents with anorexia nervosa and adolescents with major depression. Psychiatry Research, 262, 586–594. https://doi.org/10.1016/j.psychres.2017.09.060</t>
  </si>
  <si>
    <t>Sfärlea, A., Buhl, C., Lukas, L., &amp; Schulte‐Körne, G. (2024). Superior facial emotion recognition in adolescents with anorexia nervosa–A replication study. European Eating Disorders Review. https://doi.org/10.1002/erv.3115</t>
  </si>
  <si>
    <t>Emotion discrimination task: Effect of group for angry faces</t>
  </si>
  <si>
    <t>additional_studies36_n</t>
  </si>
  <si>
    <t>Sfärlea, A., Greimel, E., Platt, B., Dieler, A. C., &amp; Schulte‐Körne, G. (2018). Recognition of emotional facial expressions in adolescents with anorexia nervosa and adolescents with major depression. Psychiatry Research, 262, 586–594. https://doi.org/10.1016/j.psychres.2017.09.061</t>
  </si>
  <si>
    <t>Sfärlea, A., Buhl, C., Lukas, L., &amp; Schulte‐Körne, G. (2024). Superior facial emotion recognition in adolescents with anorexia nervosa–A replication study. European Eating Disorders Review. https://doi.org/10.1002/erv.3116</t>
  </si>
  <si>
    <t>Gender discrimination: Effect of emotion</t>
  </si>
  <si>
    <t>Researchers showed images to the participants to make decisions on the nature of the stimulus presented. They had to decide if the person depicted was male or female. The effects of the factors involved in the statistical test are presented.</t>
  </si>
  <si>
    <t>The follow-up ANOVA for the gender discrimination task yielded only a significant main effect of EMOTION (F4,344= 26.1, p&lt;.001, ηp2=.233) but no main effect or interaction involving GROUP (Fs&lt;1), while the follow-up ANOVA for the face-word discrimination task yielded no significant effects (Fs ≤ 2.4, ps&gt;.05).</t>
  </si>
  <si>
    <t>additional_studies36_o</t>
  </si>
  <si>
    <t>Sfärlea, A., Greimel, E., Platt, B., Dieler, A. C., &amp; Schulte‐Körne, G. (2018). Recognition of emotional facial expressions in adolescents with anorexia nervosa and adolescents with major depression. Psychiatry Research, 262, 586–594. https://doi.org/10.1016/j.psychres.2017.09.062</t>
  </si>
  <si>
    <t>Sfärlea, A., Buhl, C., Lukas, L., &amp; Schulte‐Körne, G. (2024). Superior facial emotion recognition in adolescents with anorexia nervosa–A replication study. European Eating Disorders Review. https://doi.org/10.1002/erv.3117</t>
  </si>
  <si>
    <t>Gender discrimination: Effect of group</t>
  </si>
  <si>
    <t>Fs &lt; 1</t>
  </si>
  <si>
    <t>additional_studies36_p</t>
  </si>
  <si>
    <t>Sfärlea, A., Greimel, E., Platt, B., Dieler, A. C., &amp; Schulte‐Körne, G. (2018). Recognition of emotional facial expressions in adolescents with anorexia nervosa and adolescents with major depression. Psychiatry Research, 262, 586–594. https://doi.org/10.1016/j.psychres.2017.09.063</t>
  </si>
  <si>
    <t>Sfärlea, A., Buhl, C., Lukas, L., &amp; Schulte‐Körne, G. (2024). Superior facial emotion recognition in adolescents with anorexia nervosa–A replication study. European Eating Disorders Review. https://doi.org/10.1002/erv.3118</t>
  </si>
  <si>
    <t>Mean reaction time for correct answers: Effect of Task X Emotion X Group interaction</t>
  </si>
  <si>
    <t>Researchers showed images to the participants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</si>
  <si>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The TASK × EMOTION × GROUP ANOVA on RTs yielded a significant main effect of TASK (F1.7,146.1 = 947.0, p&lt;.001, ηp2 = .917)</t>
  </si>
  <si>
    <t>additional_studies36_q</t>
  </si>
  <si>
    <t>Sfärlea, A., Greimel, E., Platt, B., Dieler, A. C., &amp; Schulte‐Körne, G. (2018). Recognition of emotional facial expressions in adolescents with anorexia nervosa and adolescents with major depression. Psychiatry Research, 262, 586–594. https://doi.org/10.1016/j.psychres.2017.09.064</t>
  </si>
  <si>
    <t>Sfärlea, A., Buhl, C., Lukas, L., &amp; Schulte‐Körne, G. (2024). Superior facial emotion recognition in adolescents with anorexia nervosa–A replication study. European Eating Disorders Review. https://doi.org/10.1002/erv.3119</t>
  </si>
  <si>
    <t>Mean reaction time for correct answers: Effect of emotion</t>
  </si>
  <si>
    <t>The TASK × EMOTION × GROUP ANOVA on RTs yielded a significant main effect of TASK (F1.7,146.1 = 947.0, p&lt;.001, ηp2 = .917) as well as a significant main effect of EMOTION (F3.6,311.2 = 93.0, p&lt;.001, ηp 2 = .519).</t>
  </si>
  <si>
    <t>additional_studies36_r</t>
  </si>
  <si>
    <t>Sfärlea, A., Greimel, E., Platt, B., Dieler, A. C., &amp; Schulte‐Körne, G. (2018). Recognition of emotional facial expressions in adolescents with anorexia nervosa and adolescents with major depression. Psychiatry Research, 262, 586–594. https://doi.org/10.1016/j.psychres.2017.09.065</t>
  </si>
  <si>
    <t>Sfärlea, A., Buhl, C., Lukas, L., &amp; Schulte‐Körne, G. (2024). Superior facial emotion recognition in adolescents with anorexia nervosa–A replication study. European Eating Disorders Review. https://doi.org/10.1002/erv.3120</t>
  </si>
  <si>
    <t>Mean reaction time for correct answers: Effect of task X emotion interaction</t>
  </si>
  <si>
    <t>The TASK × EMOTION × GROUP ANOVA on RTs yielded a significant main effect of TASK (F1.7,146.1 = 947.0, p&lt;.001, ηp2 = .917) as well as a significant main effect of EMOTION (F3.6,311.2 = 93.0, p&lt;.001, ηp 2 = .519) that were qualified by a significant TASK × EMOTION interaction (F4.7,405.1 = 99.5, p&lt;.001, ηp 2 = .536).</t>
  </si>
  <si>
    <t>additional_studies36_s</t>
  </si>
  <si>
    <t>Sfärlea, A., Greimel, E., Platt, B., Dieler, A. C., &amp; Schulte‐Körne, G. (2018). Recognition of emotional facial expressions in adolescents with anorexia nervosa and adolescents with major depression. Psychiatry Research, 262, 586–594. https://doi.org/10.1016/j.psychres.2017.09.066</t>
  </si>
  <si>
    <t>Sfärlea, A., Buhl, C., Lukas, L., &amp; Schulte‐Körne, G. (2024). Superior facial emotion recognition in adolescents with anorexia nervosa–A replication study. European Eating Disorders Review. https://doi.org/10.1002/erv.3121</t>
  </si>
  <si>
    <t>Mean reaction time for correct answers: Effect of group</t>
  </si>
  <si>
    <t>No main effect or interactions of GROUP were found (Fs ≤ 1.4, ps&gt;.05).</t>
  </si>
  <si>
    <t>Fs&lt;1.4</t>
  </si>
  <si>
    <t>additional_studies36_t</t>
  </si>
  <si>
    <t>Sfärlea, A., Greimel, E., Platt, B., Dieler, A. C., &amp; Schulte‐Körne, G. (2018). Recognition of emotional facial expressions in adolescents with anorexia nervosa and adolescents with major depression. Psychiatry Research, 262, 586–594. https://doi.org/10.1016/j.psychres.2017.09.067</t>
  </si>
  <si>
    <t>Sfärlea, A., Buhl, C., Lukas, L., &amp; Schulte‐Körne, G. (2024). Superior facial emotion recognition in adolescents with anorexia nervosa–A replication study. European Eating Disorders Review. https://doi.org/10.1002/erv.3122</t>
  </si>
  <si>
    <t>Misclassification analysis: Effect of Error type X group for faces being misclassified as sad</t>
  </si>
  <si>
    <t>For faces being misclassified as sad, the ANOVA yielded an ERRORTYPE × GROUP interaction (F4.7,203.5 = 2.6, p = .029, ηp 2 = .057).</t>
  </si>
  <si>
    <t>additional_studies36_w</t>
  </si>
  <si>
    <t>Sfärlea, A., Greimel, E., Platt, B., Dieler, A. C., &amp; Schulte‐Körne, G. (2018). Recognition of emotional facial expressions in adolescents with anorexia nervosa and adolescents with major depression. Psychiatry Research, 262, 586–594. https://doi.org/10.1016/j.psychres.2017.09.068</t>
  </si>
  <si>
    <t>Sfärlea, A., Buhl, C., Lukas, L., &amp; Schulte‐Körne, G. (2024). Superior facial emotion recognition in adolescents with anorexia nervosa–A replication study. European Eating Disorders Review. https://doi.org/10.1002/erv.3123</t>
  </si>
  <si>
    <t>Misclassification analysis: Effect on group for afraid faces being misclassified as sad</t>
  </si>
  <si>
    <t>Researchers showed images to the participants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</si>
  <si>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A significant effect of GROUP emerged only for afraid faces being misclassified as sad (F2,86 = 4.8, p = .011, ηp 2 = .100), indicating that the MD group misclassified less afraid faces as sad than the HC group (t61 = 2.6, p = .011, d = .71).</t>
  </si>
  <si>
    <t>additional_studies36_x</t>
  </si>
  <si>
    <t>Sfärlea, A., Greimel, E., Platt, B., Dieler, A. C., &amp; Schulte‐Körne, G. (2018). Recognition of emotional facial expressions in adolescents with anorexia nervosa and adolescents with major depression. Psychiatry Research, 262, 586–594. https://doi.org/10.1016/j.psychres.2017.09.069</t>
  </si>
  <si>
    <t>Sfärlea, A., Buhl, C., Lukas, L., &amp; Schulte‐Körne, G. (2024). Superior facial emotion recognition in adolescents with anorexia nervosa–A replication study. European Eating Disorders Review. https://doi.org/10.1002/erv.3124</t>
  </si>
  <si>
    <t>Misclassification analysis: Effect on group for faces being misclassified as angry</t>
  </si>
  <si>
    <t>For faces being misclassified as angry, a main effect of GROUP (F2,86 = 3.2, p = .046, ηp 2 = .069) was found.</t>
  </si>
  <si>
    <t>Fs ≤ 3.50</t>
  </si>
  <si>
    <t>additional_studies36_y</t>
  </si>
  <si>
    <t>Sfärlea, A., Greimel, E., Platt, B., Dieler, A. C., &amp; Schulte‐Körne, G. (2018). Recognition of emotional facial expressions in adolescents with anorexia nervosa and adolescents with major depression. Psychiatry Research, 262, 586–594. https://doi.org/10.1016/j.psychres.2017.09.070</t>
  </si>
  <si>
    <t>Sfärlea, A., Buhl, C., Lukas, L., &amp; Schulte‐Körne, G. (2024). Superior facial emotion recognition in adolescents with anorexia nervosa–A replication study. European Eating Disorders Review. https://doi.org/10.1002/erv.3125</t>
  </si>
  <si>
    <t>Misclassification analysis: Effect on group for faces being misclassified as neutral</t>
  </si>
  <si>
    <t>For faces being misclassified as neutral, a main effect of GROUP (F2,86 = 3.2, p = .047, ηp2 = .069) emerged</t>
  </si>
  <si>
    <t>pp. 5-6</t>
  </si>
  <si>
    <t>additional_studies36_z</t>
  </si>
  <si>
    <t>Sfärlea, A., Greimel, E., Platt, B., Dieler, A. C., &amp; Schulte‐Körne, G. (2018). Recognition of emotional facial expressions in adolescents with anorexia nervosa and adolescents with major depression. Psychiatry Research, 262, 586–594. https://doi.org/10.1016/j.psychres.2017.09.071</t>
  </si>
  <si>
    <t>Sfärlea, A., Buhl, C., Lukas, L., &amp; Schulte‐Körne, G. (2024). Superior facial emotion recognition in adolescents with anorexia nervosa–A replication study. European Eating Disorders Review. https://doi.org/10.1002/erv.3126</t>
  </si>
  <si>
    <t>Misclassification analysis: Effect on group for happy faces being misclassified as neutral</t>
  </si>
  <si>
    <t>Follow-up ANOVAs revealed significant effects of GROUP for happy (F2,86 = 3.7, p = .030, ηp 2 = .078) as well as sad (F2,86 = 4.0, p = .023, ηp 2 = .084) faces being misclassified as neutral</t>
  </si>
  <si>
    <t>additional_studies36_aa</t>
  </si>
  <si>
    <t>Sfärlea, A., Greimel, E., Platt, B., Dieler, A. C., &amp; Schulte‐Körne, G. (2018). Recognition of emotional facial expressions in adolescents with anorexia nervosa and adolescents with major depression. Psychiatry Research, 262, 586–594. https://doi.org/10.1016/j.psychres.2017.09.072</t>
  </si>
  <si>
    <t>Sfärlea, A., Buhl, C., Lukas, L., &amp; Schulte‐Körne, G. (2024). Superior facial emotion recognition in adolescents with anorexia nervosa–A replication study. European Eating Disorders Review. https://doi.org/10.1002/erv.3127</t>
  </si>
  <si>
    <t>Misclassification analysis: Effect on group for sad faces being misclassified as neutral</t>
  </si>
  <si>
    <t>additional_studies36_bb</t>
  </si>
  <si>
    <t>Sfärlea, A., Greimel, E., Platt, B., Dieler, A. C., &amp; Schulte‐Körne, G. (2018). Recognition of emotional facial expressions in adolescents with anorexia nervosa and adolescents with major depression. Psychiatry Research, 262, 586–594. https://doi.org/10.1016/j.psychres.2017.09.073</t>
  </si>
  <si>
    <t>Sfärlea, A., Buhl, C., Lukas, L., &amp; Schulte‐Körne, G. (2024). Superior facial emotion recognition in adolescents with anorexia nervosa–A replication study. European Eating Disorders Review. https://doi.org/10.1002/erv.3128</t>
  </si>
  <si>
    <t>Misclassification analysis: Effect on group for faces being misclassified as happy</t>
  </si>
  <si>
    <t>For faces being misclassified as happy and afraid, the ANOVAs yielded no significant effects involving GROUP (Fs ≤ 1.4, ps&gt;.05).</t>
  </si>
  <si>
    <t>additional_studies36_cc</t>
  </si>
  <si>
    <t>Sfärlea, A., Greimel, E., Platt, B., Dieler, A. C., &amp; Schulte‐Körne, G. (2018). Recognition of emotional facial expressions in adolescents with anorexia nervosa and adolescents with major depression. Psychiatry Research, 262, 586–594. https://doi.org/10.1016/j.psychres.2017.09.074</t>
  </si>
  <si>
    <t>Sfärlea, A., Buhl, C., Lukas, L., &amp; Schulte‐Körne, G. (2024). Superior facial emotion recognition in adolescents with anorexia nervosa–A replication study. European Eating Disorders Review. https://doi.org/10.1002/erv.3129</t>
  </si>
  <si>
    <t>Misclassification analysis: Effect on group for faces being misclassified as afraid</t>
  </si>
  <si>
    <t>additional_studies36_1</t>
  </si>
  <si>
    <t>Sfärlea, A., Greimel, E., Platt, B., Dieler, A. C., &amp; Schulte‐Körne, G. (2018). Recognition of emotional facial expressions in adolescents with anorexia nervosa and adolescents with major depression. Psychiatry Research, 262, 586–594. https://doi.org/10.1016/j.psychres.2017.09.048</t>
  </si>
  <si>
    <t>Sfärlea, A., Buhl, C., Lukas, L., &amp; Schulte‐Körne, G. (2024). Superior facial emotion recognition in adolescents with anorexia nervosa–A replication study. European Eating Disorders Review. https://doi.org/10.1002/erv.3103</t>
  </si>
  <si>
    <t>Superior facial emotion recognition in adolescents with anorexia nervosa</t>
  </si>
  <si>
    <t>Sfärlea, A., Buhl, C., Lukas, L., &amp; Schulte‐Körne, G. (2024). Superior facial emotion recognition in adolescents with anorexia nervosa–A replication study. European Eating Disorders Review.</t>
  </si>
  <si>
    <t>10.1002/erv.3103</t>
  </si>
  <si>
    <t>Anorexia nervosa (AN), Task effect</t>
  </si>
  <si>
    <t xml:space="preserve">The TASK   EMOTION   GROUP ANOVA on percentage of correct answers revealed a significant main effect of TASK (F1.4,123.2 = 395.8, p&lt;.001, ηp 2 = .822) </t>
  </si>
  <si>
    <t>p.946</t>
  </si>
  <si>
    <t>The es_type_r says "F". Is this an f Test or Cohen's f (this is a mistake on our side because we have it as a selectable option, sorry!)?</t>
  </si>
  <si>
    <t>Anorexia nervosa (AN), Emotion effect</t>
  </si>
  <si>
    <t>The TASK   EMOTION   GROUP ANOVA on percentage of correct answers revealed ... a significant main effect of EMOTION (F3.5,298.9 = 107.8, p&lt;.001, ηp 2 = .556).</t>
  </si>
  <si>
    <t>Anorexia nervosa (AN),  TASK   EMOTION   GROUP interaction</t>
  </si>
  <si>
    <t>were further qualified by a TASK   EMOTION   GROUP interaction (F8.4,361.9 = 2.6, p = .009, ηp 2 = .056).</t>
  </si>
  <si>
    <t>Anorexia nervosa (AN),  Discrimination task, Group effect</t>
  </si>
  <si>
    <t>For the emotion discrimination task (see Fig. 2), the follow-up ANOVA yielded a significant main effect of EMOTION (F3.3,281.8 = 114.5, p&lt;.001, ηp 2= .571)</t>
  </si>
  <si>
    <t>Anorexia nervosa (AN), TASK   Discrimination task, Emotion effect</t>
  </si>
  <si>
    <t xml:space="preserve">For the emotion discrimination task (see Fig. 2) ...  a significant main effect of GROUP (F2,86 = 3.3, p = .040, ηp 2 = .072). </t>
  </si>
  <si>
    <t>Anorexia nervosa (AN),  Discrimination task, Group x Emotion interaction</t>
  </si>
  <si>
    <t>For the emotion discrimination task ... a significant EMOTION   GROUP interaction (F6.6,281.8 = 2.7, p = .012, ηp 2 = .059)</t>
  </si>
  <si>
    <t>2,79</t>
  </si>
  <si>
    <t>Anorexia nervosa (AN),  Discrimination task, AN/HC, afraid faces</t>
  </si>
  <si>
    <t>AN group performed better than ...  HC (t61.0 = 3.4, p = .001, d = .84) groups</t>
  </si>
  <si>
    <t>Anorexia nervosa (AN),  RT Task</t>
  </si>
  <si>
    <t xml:space="preserve">The TASK   EMOTION   GROUP ANOVA on RTs yielded a significant main effect of TASK (F1.7,146.1 = 947.0, p&lt;.001, ηp 2 = .917)  </t>
  </si>
  <si>
    <t>Anorexia nervosa (AN),  Gender discrimination, Group effect</t>
  </si>
  <si>
    <t>The follow-up ANOVA for the gender discrimination task yielded only a significant main effect of EMOTION (F4,344= 26.1, p&lt;.001, ηp 2= .233) but no main effect or interaction involving GROUP (Fs&lt;1),</t>
  </si>
  <si>
    <t>The follow-up ANOVA for the gender discrimination ... but no main effect or interaction involving GROUP (Fs&lt;1),</t>
  </si>
  <si>
    <t>&lt;1</t>
  </si>
  <si>
    <t>Anorexia nervosa (AN),  RT Emotion</t>
  </si>
  <si>
    <t>The TASK   EMOTION   GROUP ANOVA on RTs yielded a significant main effect of ... EMOTION (F3.6,311.2 = 93.0, p&lt;.001, ηp 2 = .519)</t>
  </si>
  <si>
    <t>Anorexia nervosa (AN),  RT, Task Emotion Interaction</t>
  </si>
  <si>
    <t>RT ... a significant TASK   EMOTION interaction (F4.7,405.1 = 99.5, p&lt;.001, ηp 2 = .536).</t>
  </si>
  <si>
    <t>&lt;1.4</t>
  </si>
  <si>
    <t>10.1016--j.psychres.2017.09.048.pdf</t>
  </si>
  <si>
    <t>Percentage of correct answers: Effect of task</t>
  </si>
  <si>
    <t>Roksana</t>
  </si>
  <si>
    <t>additional_studies37_1</t>
  </si>
  <si>
    <t>additional_studies37</t>
  </si>
  <si>
    <t>Roksana Sobolak</t>
  </si>
  <si>
    <t>Feedback for Roskana
- please also fill out the variable with the page numbers</t>
  </si>
  <si>
    <t>Rothman, J. (2011). L3 syntactic transfer selectivity and typological determinacy: The typological primacy
model. Second Language Research, 27, 107–127. https://doi.org/10.1177/0267658310386439</t>
  </si>
  <si>
    <t>10.1177/0267658310386439</t>
  </si>
  <si>
    <t>Parrish, K. (2024). Statistical Insignificance is not wholesale transfer in L3 Acquisition: an approximate replication of Rothman (2011). Studies in Second Language Acquisition, 1-18. https://doi.org/10.1017/S0272263124000342</t>
  </si>
  <si>
    <t>10.1017/S0272263124000342</t>
  </si>
  <si>
    <t>approximate replication</t>
  </si>
  <si>
    <t>syntatic transfer/noun-raising</t>
  </si>
  <si>
    <t>L3 acquisition, language transfer, multilingualism, statistical significance, language learning, transfer effects, linguistic theory, applied linguistics, language acquisition research, cross-linguistic influence.</t>
  </si>
  <si>
    <t>Interaction between item type and language group on performance (semantic interpretation task)</t>
  </si>
  <si>
    <t>"A statistical analysis showed that there were in fact no significant interactions between item type and group (F(2,57) = .105; p = .901)."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</si>
  <si>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F(2,57) = .105</t>
  </si>
  <si>
    <t>F[1, 209] = 6.72</t>
  </si>
  <si>
    <t>Mariem</t>
  </si>
  <si>
    <t>Mariem_Younssi</t>
  </si>
  <si>
    <r>
      <rPr>
        <rFont val="Calibri"/>
        <sz val="11.0"/>
      </rPr>
      <t xml:space="preserve">this row and the one bellow are related to one specific effect, hypothesis requires test to be non-significant, the replication study was not preregistred but materials and scripts are available </t>
    </r>
    <r>
      <rPr>
        <rFont val="Calibri"/>
        <color rgb="FF1155CC"/>
        <sz val="11.0"/>
        <u/>
      </rPr>
      <t>https://osf.io/t2vkp/</t>
    </r>
    <r>
      <rPr>
        <rFont val="Calibri"/>
        <sz val="11.0"/>
      </rPr>
      <t xml:space="preserve"> </t>
    </r>
  </si>
  <si>
    <r>
      <rPr>
        <rFont val="Calibri"/>
        <sz val="11.0"/>
      </rPr>
      <t xml:space="preserve">Rothman, J. (2011). L3 syntactic transfer selectivity and typological determinacy: The typological primacy
model. Second Language Research, 27, 107–127. </t>
    </r>
    <r>
      <rPr>
        <rFont val="Calibri"/>
        <color rgb="FF1155CC"/>
        <sz val="11.0"/>
        <u/>
      </rPr>
      <t>https://doi.org/10.1177/0267658310386439</t>
    </r>
  </si>
  <si>
    <r>
      <rPr>
        <rFont val="Calibri"/>
        <sz val="11.0"/>
      </rPr>
      <t xml:space="preserve">Parrish, K. (2024). Statistical Insignificance is not wholesale transfer in L3 Acquisition: an approximate replication of Rothman (2011). Studies in Second Language Acquisition, 1-18. </t>
    </r>
    <r>
      <rPr>
        <rFont val="Calibri"/>
        <color rgb="FF1155CC"/>
        <sz val="11.0"/>
        <u/>
      </rPr>
      <t>https://doi.org/10.1017/S0272263124000342</t>
    </r>
  </si>
  <si>
    <t>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</si>
  <si>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</si>
  <si>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additional_studies37_b</t>
  </si>
  <si>
    <t>Effect of item type (preposed vs. postposed) on performance (semantic interpretation task)</t>
  </si>
  <si>
    <t>"Furthermore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</si>
  <si>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F(1,57) = 0.011</t>
  </si>
  <si>
    <t>F[1, 209] = 8.41</t>
  </si>
  <si>
    <t xml:space="preserve">hypothesis requires test to be non-significant, the replication study was not preregistred but materials and scripts are available https://osf.io/t2vkp/ </t>
  </si>
  <si>
    <r>
      <rPr>
        <rFont val="Calibri"/>
        <sz val="11.0"/>
      </rPr>
      <t xml:space="preserve">Rothman, J. (2011). L3 syntactic transfer selectivity and typological determinacy: The typological primacy
model. Second Language Research, 27, 107–127. </t>
    </r>
    <r>
      <rPr>
        <rFont val="Calibri"/>
        <color rgb="FF1155CC"/>
        <sz val="11.0"/>
        <u/>
      </rPr>
      <t>https://doi.org/10.1177/0267658310386439</t>
    </r>
  </si>
  <si>
    <r>
      <rPr>
        <rFont val="Calibri"/>
        <sz val="11.0"/>
      </rPr>
      <t xml:space="preserve">Parrish, K. (2024). Statistical Insignificance is not wholesale transfer in L3 Acquisition: an approximate replication of Rothman (2011). Studies in Second Language Acquisition, 1-18. </t>
    </r>
    <r>
      <rPr>
        <rFont val="Calibri"/>
        <color rgb="FF1155CC"/>
        <sz val="11.0"/>
        <u/>
      </rPr>
      <t>https://doi.org/10.1017/S0272263124000342</t>
    </r>
  </si>
  <si>
    <t>Results of the first experiment, the Semantic Interpretation Task…All groups performed comparably on this experiment, deriving about the same number correct interpretations for both preposed and postposed adjectives...no significant effect for...language group (F(2,57) = 0.404; p = 0.669).</t>
  </si>
  <si>
    <t>F(2,57) = 0.404</t>
  </si>
  <si>
    <t>F[1, 209] = 0.22</t>
  </si>
  <si>
    <t>additional_studies37_c</t>
  </si>
  <si>
    <t>Effect of language group on performance (semantic interpretation task)</t>
  </si>
  <si>
    <t>"Furthermore there was no significant effect...for language group (F(2,57) = 0.404; p = 0.669)".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</si>
  <si>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this row and the one bellow are related to one specific effect, hypothesis requires test to be non-significant, the replication study was not preregistred but materials and scripts are available https://osf.io/t2vkp/ , in the r_study n was calculated based on df; reported n was 211</t>
  </si>
  <si>
    <r>
      <rPr>
        <rFont val="Calibri"/>
        <sz val="11.0"/>
      </rPr>
      <t xml:space="preserve">Rothman, J. (2011). L3 syntactic transfer selectivity and typological determinacy: The typological primacy
model. Second Language Research, 27, 107–127. </t>
    </r>
    <r>
      <rPr>
        <rFont val="Calibri"/>
        <color rgb="FF1155CC"/>
        <sz val="11.0"/>
        <u/>
      </rPr>
      <t>https://doi.org/10.1177/0267658310386439</t>
    </r>
  </si>
  <si>
    <r>
      <rPr>
        <rFont val="Calibri"/>
        <sz val="11.0"/>
      </rPr>
      <t xml:space="preserve">Parrish, K. (2024). Statistical Insignificance is not wholesale transfer in L3 Acquisition: an approximate replication of Rothman (2011). Studies in Second Language Acquisition, 1-18. </t>
    </r>
    <r>
      <rPr>
        <rFont val="Calibri"/>
        <color rgb="FF1155CC"/>
        <sz val="11.0"/>
        <u/>
      </rPr>
      <t>https://doi.org/10.1017/S0272263124000342</t>
    </r>
  </si>
  <si>
    <t>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</si>
  <si>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12-13</t>
  </si>
  <si>
    <t>F(2,57) = .288</t>
  </si>
  <si>
    <t>F[1, 213] = 1.37</t>
  </si>
  <si>
    <t>additional_studies37_d</t>
  </si>
  <si>
    <t>Interaction between item type and language group on performance. (collocation task)</t>
  </si>
  <si>
    <t>"There were no significant interactions between item type and group (F(2,57) = .288; p = .751)."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</si>
  <si>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hypothesis requires test to be non-significant, the replication study was not preregistred but materials and scripts are available https://osf.io/t2vkp/ , in the r_study n was calculated based on df; reported n was 211, the replication study has an extension (i.e., test of equivalence) but contains too many effects so I wansn't sure if I sould include it,</t>
  </si>
  <si>
    <r>
      <rPr>
        <rFont val="Calibri"/>
        <sz val="11.0"/>
      </rPr>
      <t xml:space="preserve">Rothman, J. (2011). L3 syntactic transfer selectivity and typological determinacy: The typological primacy
model. Second Language Research, 27, 107–127. </t>
    </r>
    <r>
      <rPr>
        <rFont val="Calibri"/>
        <color rgb="FF1155CC"/>
        <sz val="11.0"/>
        <u/>
      </rPr>
      <t>https://doi.org/10.1177/0267658310386439</t>
    </r>
  </si>
  <si>
    <r>
      <rPr>
        <rFont val="Calibri"/>
        <sz val="11.0"/>
      </rPr>
      <t xml:space="preserve">Parrish, K. (2024). Statistical Insignificance is not wholesale transfer in L3 Acquisition: an approximate replication of Rothman (2011). Studies in Second Language Acquisition, 1-18. </t>
    </r>
    <r>
      <rPr>
        <rFont val="Calibri"/>
        <color rgb="FF1155CC"/>
        <sz val="11.0"/>
        <u/>
      </rPr>
      <t>https://doi.org/10.1017/S0272263124000342</t>
    </r>
  </si>
  <si>
    <t>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</si>
  <si>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F(2,57) = 0.272</t>
  </si>
  <si>
    <t>F[1, 213] = 0.47</t>
  </si>
  <si>
    <t>additional_studies37_e</t>
  </si>
  <si>
    <t>Effect of item type (preposed vs. postposed) on performance. (collocation task)</t>
  </si>
  <si>
    <t>"There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</si>
  <si>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F(1,57) = 2.526</t>
  </si>
  <si>
    <t>F[1, 213] = 36.06</t>
  </si>
  <si>
    <t>additional_studies37_f</t>
  </si>
  <si>
    <t>Effect of language group on performance (collocation task)</t>
  </si>
  <si>
    <t>"There were no significant effects...for language group (F(2,57) = 0.272; p = 0.763)."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</si>
  <si>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F(1, 213) = 0.47</t>
  </si>
  <si>
    <t>additional_studies38_1</t>
  </si>
  <si>
    <t>additional_studies38</t>
  </si>
  <si>
    <t>Bailey, C. N., Hasselback, J. R., &amp; Karcher, J. N. (2001). Research misconduct in accounting literature: A survey of the most prolific researchers’ actions and beliefs. Abacus, 37(1), 26-54. https://doi.org/10.1111/1467-6281.00073</t>
  </si>
  <si>
    <t>10.1111/1467-6281.00073</t>
  </si>
  <si>
    <t>Bailey, C.D. (2024), "Fraudulent Research Practices in Accounting: A Replication and Extension of Bailey, Hasselback, and Karcher (2001)", Shawver, T.J. (Ed.) Research on Professional Responsibility and Ethics in Accounting (Research on Professional Responsibility and Ethics in Accounting, Vol. 26), Emerald Publishing Limited, Leeds, pp. 101-121. https://doi.org/10.1108/S1574-076520240000026005</t>
  </si>
  <si>
    <t>10.1108/S1574-076520240000026005</t>
  </si>
  <si>
    <t>"Replication and extension"</t>
  </si>
  <si>
    <t>Research misconduct</t>
  </si>
  <si>
    <t>Codes of ethics, questionable research practices, randomized response, research ethics, research misconduct, sensitive surveys, accounting, ethics, fraud, research, scientific method.</t>
  </si>
  <si>
    <t>This effect measures the percentage of accounting authors who admit that a portion of their own published research articles is tainted by unethical practices</t>
  </si>
  <si>
    <t>"The overall mean estimate for self-reported (actual) falsification is 3.68 per cent, which is significantly different from zero (t = 2.82, p = 0.0025, one-tailed)." "The estimated percentage of seriously tainted articles in the top thirty accounting journals, based on self-reporting, is about 3.7 per cent, while the respondents on average believe that about 21 per cent of the literature is tainted."</t>
  </si>
  <si>
    <t>t = 2.82</t>
  </si>
  <si>
    <t xml:space="preserve"> t(1) = 2.05</t>
  </si>
  <si>
    <t>Mariem Younssi</t>
  </si>
  <si>
    <t>I couldn't find the replication's pdf...not even on sci-hub...and I didn't have enough time to request the full text from the author on researchgate</t>
  </si>
  <si>
    <r>
      <rPr>
        <rFont val="Calibri"/>
        <sz val="11.0"/>
      </rPr>
      <t xml:space="preserve">Bailey, C.D. (2024), "Fraudulent Research Practices in Accounting: A Replication and Extension of Bailey, Hasselback, and Karcher (2001)", Shawver, T.J. (Ed.) Research on Professional Responsibility and Ethics in Accounting (Research on Professional Responsibility and Ethics in Accounting, Vol. 26), Emerald Publishing Limited, Leeds, pp. 101-121. </t>
    </r>
    <r>
      <rPr>
        <rFont val="Calibri"/>
        <color rgb="FF1155CC"/>
        <sz val="11.0"/>
        <u/>
      </rPr>
      <t>https://doi.org/10.1108/S1574-076520240000026005</t>
    </r>
  </si>
  <si>
    <t>additional_studies38_b</t>
  </si>
  <si>
    <t>Bailey, C. N., Hasselback, J. R., &amp; Karcher, J. N. (2001). Research misconduct in accounting literature: A survey of the most prolific researchers’ actions and beliefs. Abacus, 37(1), 26-54. https://doi.org/10.1111/1467-6281.00074</t>
  </si>
  <si>
    <t>This effect measures the percentage of published research articles that accounting authors believe, based on their own perceptions, to be tainted by unethical practices,</t>
  </si>
  <si>
    <t>"The estimate for the overall percentage of articles affected (in respondents’ opinion) is 20.92 per cent, also significantly different from zero (t = 5.06, p &lt; 0.0001). Thus respondents estimate the extent of research falsification to be about six times as great as the self-reported number." "The estimated percentage of seriously tainted articles in the top thirty accounting journals, based on self-reporting, is about 3.7 per cent, while the respondents on average believe that about 21 per cent of the literature is tainted."</t>
  </si>
  <si>
    <t>t = 5.06</t>
  </si>
  <si>
    <t>t(45)=9.35</t>
  </si>
  <si>
    <t>additional_studies38_c</t>
  </si>
  <si>
    <t>This refers to RQ3 of the replication study. It reports 'Participants attribute only 30.33% of the motivation for FRPs to internal motives, 
leaving most of the motivation to external pressures (mean 69.67%; 95% boot_x0002_strap CI, 67.23–72.11%). The mean is slightly higher than Bailey et al. (2001), 
where 64.4% was attributed to external reasons, and the difference is significant (t = 2.63, two-tailed, p = 0.009).' However, I cannot find the figure 64.4% anywhere in the original study. All I could find was 'The attributions to internal causes were almost identical for the two sequences, at 36 and 35 per cent.' These are only descriptive statistics and I do not think sufficient amount of detail to calculate effect size. However, replication study reports difference between both of their results but not sure on source of the original data used for comparison.</t>
  </si>
  <si>
    <t>Bailey, C. N., Hasselback, J. R., &amp; Karcher, J. N. (2001). Research misconduct in accounting literature: A survey of the most prolific researchers’ actions and beliefs. Abacus, 37(1), 26-54. https://doi.org/10.1111/1467-6281.00075</t>
  </si>
  <si>
    <t>The effect examines whether accounting researchers attribute research malfeasance to internal motivations or external pressures</t>
  </si>
  <si>
    <t>"The attributions to internal causes were almost identical for the two sequences, at 36 and 35 per cent."</t>
  </si>
  <si>
    <t xml:space="preserve">descriptive </t>
  </si>
  <si>
    <t>descriptive</t>
  </si>
  <si>
    <t>additional_studies39_1</t>
  </si>
  <si>
    <t>additional_studies39</t>
  </si>
  <si>
    <t>LR, Roksana Sobolak</t>
  </si>
  <si>
    <t>I have excluded this row since the original study and replication study in this row do not match.</t>
  </si>
  <si>
    <t>Zitek, E. M., &amp; Tiedens, L. Z. (2012). The fluency of social hierarchy: the ease with which hierarchical relationships are seen, remembered, learned, and liked. Journal of personality and social psychology, 102(1), 98.</t>
  </si>
  <si>
    <t>10.1037/a0025345</t>
  </si>
  <si>
    <t>Rode, J., Jonuschies, I., Matthiesen, S., &amp; Gericke, K. (2024). Replication studies in engineering design–a feasibility study. Proceedings of the Design Society, 4, 115-124. https://doi.org/10.1017/pds.2024.14</t>
  </si>
  <si>
    <t>10.1017/pds.2024.14</t>
  </si>
  <si>
    <t>As advised by Sarah, I have excluded this row since the original study and replication study in this row do not match.</t>
  </si>
  <si>
    <t>the two papers are not related, study diffrent topics and belongs to diffrent fields</t>
  </si>
  <si>
    <r>
      <rPr>
        <rFont val="Calibri"/>
        <sz val="11.0"/>
      </rPr>
      <t xml:space="preserve">Rode, J., Jonuschies, I., Matthiesen, S., &amp; Gericke, K. (2024). Replication studies in engineering design–a feasibility study. Proceedings of the Design Society, 4, 115-124. </t>
    </r>
    <r>
      <rPr>
        <rFont val="Calibri"/>
        <color rgb="FF1155CC"/>
        <sz val="11.0"/>
        <u/>
      </rPr>
      <t>https://doi.org/10.1017/pds.2024.14</t>
    </r>
  </si>
  <si>
    <t>additional_studies4_1</t>
  </si>
  <si>
    <t>additional_studies4_a</t>
  </si>
  <si>
    <t>Fath, S., &amp; Kay, A. C. (2018). “If hierarchical, then corrupt”: Exploring people’s tendency to associate hierarchy with corruption in organizations. Organizational Behavior and Human Decision Processes, 149, 145-164. https://doi.org/10.1016/j.obhdp.2018.10.004</t>
  </si>
  <si>
    <t>10.1016/j.obhdp.2018.10.004</t>
  </si>
  <si>
    <t>1c</t>
  </si>
  <si>
    <t>10.1016--j.obhdp.2018.10.004.pdf</t>
  </si>
  <si>
    <t>Evans, T. R., Kviatkovskyte, R., O'Regan, S., Adolph, S. A.,  n., Chukwudi, F. O. N., … Krzan, M. (2024, February 5). Corruption and Hierarchy: A Replication of Studies 1c and 6 of Fath &amp; Kay 2018. https://doi.org/10.31234/osf.io/68jft</t>
  </si>
  <si>
    <t>10.31234/osf.io/68jft</t>
  </si>
  <si>
    <t>"If hierarchical, then corrupt"</t>
  </si>
  <si>
    <t>Corruption/Hierarchy/Organisational Design/Organisational Structure</t>
  </si>
  <si>
    <t>"We find that people expect more corruption to manifest among the employees of relatively more hierarchical organizations"</t>
  </si>
  <si>
    <t>"We conducted a 2 (workplace: social vs remote)×2 (hierarchy: high vs low) ANOVA with corruption beliefs as the dependent variable. This analysis yielded a main effect of hierarchy F(1, 401)=17.49, p &lt; .001, ηp 2=0.042, but not a main effect of workplace F(1, 401)=0.17, p=.677, ηp 2=0.000 or an interaction F(1, 401)=0.05, p=.819, ηp 2=0.000. That is, across both levels of workplace sociality, participants in the high hierarchy condition (M=4.25, SD=1.62) expected more corruption among the employees in the company than participants in the low hierarchy condition (M=3.55, SD=1.69).1 These results indicated that participants expected more hierarchy at a hypothetical organization to result in more corrupt behavior among the employees of that organization, regardless of the degree to which those employees interacted with each other on a day-to-day basis."</t>
  </si>
  <si>
    <t>p. 150</t>
  </si>
  <si>
    <t>https://osf.io/zb5j2</t>
  </si>
  <si>
    <t>additional_studies4_b</t>
  </si>
  <si>
    <t>"Consistent with Hypothesis 1, participants in the high hierarchy condition expected there to be more corruption among the employees of the Finance Department than participants in the low hierarchy condition, t (95)=2.32, p=.023, Cohen’s d=0.48 (see Table 1)."</t>
  </si>
  <si>
    <t>p. 159</t>
  </si>
  <si>
    <t>p. 18</t>
  </si>
  <si>
    <t>additional_studies4_c</t>
  </si>
  <si>
    <t>indirect effect of hierarchy condition through corruption perceptions, on beliefs about whether the anti-corruption petition was justified</t>
  </si>
  <si>
    <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</si>
  <si>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b</t>
  </si>
  <si>
    <t>p. 160</t>
  </si>
  <si>
    <t>p. 19</t>
  </si>
  <si>
    <t>additional_studies4_d</t>
  </si>
  <si>
    <t>indirect effect of hierarchy condition through corruption perceptions, on (...) desire to sign the anti-corruption petition</t>
  </si>
  <si>
    <t>"Consistent with Hypothesis 3, mediation bootstrapping procedures (Model 4; 5000 bootstraps; Hayes, 2012) revealed an indirect effect of hierarchy condition (1=high hierarchy, 0=low hierarchy), through corruption perceptions, on (...) desire to sign the petition, b=0.35, SE=0.22, 95% CI [0.04, 0.90]"</t>
  </si>
  <si>
    <t>additional_studies4</t>
  </si>
  <si>
    <t>Organizational Psychology</t>
  </si>
  <si>
    <t>Hierarchy-Corruption Association</t>
  </si>
  <si>
    <t>Corruption; hierarchy;
organisational design;
organisational structure;
replication</t>
  </si>
  <si>
    <t>study 1c</t>
  </si>
  <si>
    <t>As predicted, an independent samples t-test revealed that participants in the high hierarchy condition (M = 4.51, SD = 1.39) expected more corruption among the employees in the company than participants in the low hierarchy condition (M = 3.65, SD = 1.70), t(200) = 3.94, p &lt; .001, Cohen’s d = 0.55.</t>
  </si>
  <si>
    <t>p. 405</t>
  </si>
  <si>
    <t>p. 543</t>
  </si>
  <si>
    <t>https://osf.io/zb5j2/</t>
  </si>
  <si>
    <r>
      <rPr>
        <rFont val="Calibri"/>
        <sz val="11.0"/>
      </rPr>
      <t xml:space="preserve">Fath, S., &amp; Kay, A. C. (2018). “If hierarchical, then corrupt”: Exploring people’s tendency to associate hierarchy with corruption in organizations. Organizational Behavior and Human Decision Processes, 149, 145-164. </t>
    </r>
    <r>
      <rPr>
        <rFont val="Calibri"/>
        <color rgb="FF1155CC"/>
        <sz val="11.0"/>
        <u/>
      </rPr>
      <t>https://doi.org/10.1016/j.obhdp.2018.10.004</t>
    </r>
  </si>
  <si>
    <t>study 6</t>
  </si>
  <si>
    <t>0,35</t>
  </si>
  <si>
    <t>additional_studies40_1</t>
  </si>
  <si>
    <t>additional_studies40</t>
  </si>
  <si>
    <t>Feedback for Ray
- please review the instructions again and code these entries</t>
  </si>
  <si>
    <t>Burback, Shannon, "Construct Validity of the Behavior Assessment System for Children-Third
 Edition Teacher Rating Scales (BASC-3 TRS): Comparisons with the Adjustment Scales
 for Children and Adolescents (ASCA)" (2020). Masters Theses. 4783.
 https://thekeep.eiu.edu/theses/4783</t>
  </si>
  <si>
    <t>Construct Validity of the Behavior Assessment System for Children.pdf</t>
  </si>
  <si>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</si>
  <si>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https://thekeep.eiu.edu/theses/5025</t>
  </si>
  <si>
    <t>A replication</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</si>
  <si>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</si>
  <si>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t>thekeep.eiu.edu--theses--4783.pdf</t>
  </si>
  <si>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</si>
  <si>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https://thekeep.eiu.edu/theses/5025/?utm_source=thekeep.eiu.edu%2Ftheses%2F5025&amp;utm_medium=PDF&amp;utm_campaign=PDFCoverPages</t>
  </si>
  <si>
    <t>thekeep.eiu.edu--theses--5025.pdf</t>
  </si>
  <si>
    <t>Replication of Construct Validity of the Behavior Assessment Replication of Construct Validity of the Behavior Assessment System for Children-Third Edition Teacher Rating Scales (BASC-3 System for Children-Third Edition Teacher Rating Scales (BASC-3 TRS) and the Adjustment Scales for Children and Adolescents TRS).</t>
  </si>
  <si>
    <t>Developmental Psychology</t>
  </si>
  <si>
    <t>Attention deficit/problems</t>
  </si>
  <si>
    <t>Behavior Assessment System for Children-Teacher Rating Scales (BASC-3 TRS), Adjustment Scales for Children and Adolescents (ASCA), inattention, distractibility, attention deficits, hyperactivity, impulsivity</t>
  </si>
  <si>
    <t>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</si>
  <si>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The BASC-3 TRS-C Externalizing Problems Composite
scale was significantly correlated with the ASCA Overactivity syndrome (r = .79, p &lt;
.01) and supported convergent validity, sharing 62% measurement variance</t>
  </si>
  <si>
    <t>p. 53</t>
  </si>
  <si>
    <t>Daniel Manrique-Castano Manrique-Castano</t>
  </si>
  <si>
    <t>Please note that original and replication studies are truncated in the columns. I exchanged them accordingly.  This is a replication study that reports effect sizes in terms of Cohen's d and associated p-values of nine variables for the construct validity from the Behavior Assessment System for Children-Teacher Rating Scales (BASC-3 TRS) and the Adjustment Scales for Children and Adolescents (ASCA). As it uses different components of psychological scales, I need to report Cohen's d for each of the components.</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</si>
  <si>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</si>
  <si>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</si>
  <si>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"Table 6 presents the descriptive statistics and t-test results for specific BASC-3 TRS-C
and ASCA comparisons." Comparison of "BASC Attention Problems ASCA Attention Deficit Hyperactive"</t>
  </si>
  <si>
    <t>p. 58</t>
  </si>
  <si>
    <t>p.68</t>
  </si>
  <si>
    <t>additional_studies40_b</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</si>
  <si>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</si>
  <si>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</si>
  <si>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Hyperactivity /Attention Deficit Hyperactive</t>
  </si>
  <si>
    <t>Behavior Assessment System for Children-Teacher Rating Scales (BASC-3 TRS), Adjustment Scales for Children and Adolescents (ASCA), motor activity, restlessness, hyperactive-impulsive, attention deficit</t>
  </si>
  <si>
    <t>BASC Hyperactivity focuses on excessive motor activity, restlessness, impulsivity, and difficulty remaining still. ASCA Attention Deficit Hyperactive, as noted above, covers both inattentive and hyperactive-impulsive elements, reflecting a broader ADHD-related symptom pattern.</t>
  </si>
  <si>
    <t>"Table 6 presents the descriptive statistics and t-test results for specific BASC-3 TRS-C
and ASCA comparisons." Comparison of "BASC Hyperactivity ASCA Attention Deficit Hyperactive"</t>
  </si>
  <si>
    <t>additional_studies40_c</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</si>
  <si>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</si>
  <si>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</si>
  <si>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Withdrawal/Avoidant </t>
  </si>
  <si>
    <t>Behavior Assessment System for Children-Teacher Rating Scales (BASC-3 TRS), Adjustment Scales for Children and Adolescents (ASCA), social detachment, emotional distancing, anxiety-driven avoidance</t>
  </si>
  <si>
    <t>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</si>
  <si>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"Table 6 presents the descriptive statistics and t-test results for specific BASC-3 TRS-C
and ASCA comparisons." Comparison of "BASC Withdrawal ASCA Avoidant"</t>
  </si>
  <si>
    <t>additional_studies40_d</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</si>
  <si>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</si>
  <si>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</si>
  <si>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Conduct Problems /Delinquent </t>
  </si>
  <si>
    <t>Behavior Assessment System for Children-Teacher Rating Scales (BASC-3 TRS), Adjustment Scales for Children and Adolescents (ASCA), rule-breaking, norm violations, antisocial behavior</t>
  </si>
  <si>
    <t>BASC Conduct Problems identifies rule-breaking, oppositional, and potentially aggressive behaviors that violate expected social norms. ASCA Delinquent emphasizes more serious antisocial acts, potentially involving illegal activity or more severe violations of societal rules.</t>
  </si>
  <si>
    <t>"Table 6 presents the descriptive statistics and t-test results for specific BASC-3 TRS-C
and ASCA comparisons." Comparison of "BASC Conduct Problems ASCA Delinquent"</t>
  </si>
  <si>
    <t>additional_studies40_e</t>
  </si>
  <si>
    <t>Feedback for Daniel:
- one small typo when copying the Cohen's d from the table (.0185 instead of .0187)
- Claim and test statistics/effect sizes must be about the same thing. Convergent validity and mean difference is not the same thing, so you should have created twice the number of rows (each relationship once for convergent validity and once for mean differences)</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</si>
  <si>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</si>
  <si>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</si>
  <si>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Conduct Problems/Oppositional Defiant</t>
  </si>
  <si>
    <t>Behavior Assessment System for Children-Teacher Rating Scales (BASC-3 TRS), Adjustment Scales for Children and Adolescents (ASCA), disobedience, argumentative behavior, persistent defiance, noncompliance.</t>
  </si>
  <si>
    <t>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</si>
  <si>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"Table 6 presents the descriptive statistics and t-test results for specific BASC-3 TRS-C
and ASCA comparisons." Comparison of "BASC Conduct Problems ASCA Oppositional Defiant"</t>
  </si>
  <si>
    <t>additional_studies40_f</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</si>
  <si>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</si>
  <si>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</si>
  <si>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Aggression / Solitary Aggressive Provocative </t>
  </si>
  <si>
    <t>Behavior Assessment System for Children-Teacher Rating Scales (BASC-3 TRS), Adjustment Scales for Children and Adolescents (ASCA), hostility, provoked aggression, threatening behaviors.</t>
  </si>
  <si>
    <t>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</si>
  <si>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"Table 6 presents the descriptive statistics and t-test results for specific BASC-3 TRS-C
and ASCA comparisons." Comparison of "BASC Aggression ASCA Solitary Aggressive Provocative"</t>
  </si>
  <si>
    <t>additional_studies40_g</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</si>
  <si>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</si>
  <si>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</si>
  <si>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Aggression/  Solitary Aggressive Impulsive </t>
  </si>
  <si>
    <t>Behavior Assessment System for Children-Teacher Rating Scales (BASC-3 TRS), Adjustment Scales for Children and Adolescents (ASCA), anger outbursts, impulsivity-driven aggression, impulse control.</t>
  </si>
  <si>
    <t>BASC Aggression focuses on a range of hostile or violent behaviors. ASCA Solitary Aggressive Impulsive captures impulsive, spur-of-the-moment aggressive actions that occur in isolation, reflecting poor impulse control and sudden anger outbursts.</t>
  </si>
  <si>
    <t>"Table 6 presents the descriptive statistics and t-test results for specific BASC-3 TRS-C
and ASCA comparisons." Comparison of "BASC Aggression ASCA Solitary Aggressive Impulsive"</t>
  </si>
  <si>
    <t>additional_studies40_h</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</si>
  <si>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</si>
  <si>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</si>
  <si>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Externalizing/  Overactivity</t>
  </si>
  <si>
    <t>Behavior Assessment System for Children-Teacher Rating Scales (BASC-3 TRS), Adjustment Scales for Children and Adolescents (ASCA),  hyperactivity, restlessness, disruptive behavior.</t>
  </si>
  <si>
    <t>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</si>
  <si>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"Table 6 presents the descriptive statistics and t-test results for specific BASC-3 TRS-C
and ASCA comparisons." Comparison of "BASC Externalizing ASCA Overactivity"</t>
  </si>
  <si>
    <t>additional_studies40_i</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</si>
  <si>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</si>
  <si>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</si>
  <si>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 Internalizing / Underactivity</t>
  </si>
  <si>
    <t>Behavior Assessment System for Children-Teacher Rating Scales (BASC-3 TRS), Adjustment Scales for Children and Adolescents (ASCA), distress, anxiety, low engagement, reduced motivation.</t>
  </si>
  <si>
    <t>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</si>
  <si>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"Table 6 presents the descriptive statistics and t-test results for specific BASC-3 TRS-C
and ASCA comparisons." Comparison of "BASC Internalizing ASCA Underactivity"</t>
  </si>
  <si>
    <t>additional_studies41_1</t>
  </si>
  <si>
    <t>additional_studies41</t>
  </si>
  <si>
    <t>the replication study extended the original claims to two Chinese contexts: Hong Kong and Shenzhen. This effect concerns the Hong Kong sample</t>
  </si>
  <si>
    <t>Preregistration link does not work; There are two results: Regression + Mediation Model. The coder focused on different things so all entries were retained</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</si>
  <si>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</si>
  <si>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10.1002/pam.21702</t>
  </si>
  <si>
    <t>Chen, W., Dong, B., Hsieh, C.-W., Lee, M. J., Liu, N., Walker, R. M., Wang, Y., Wen, B., Wen, W., Wu, P., Wu, X., &amp; Zhang, J. (2022). A replication of "an experimental test of the expectancy-disconfirmation theory of citizen satisfaction". Public Administration, 100(3), 778-791. https://doi.org/10.1111/padm.12860</t>
  </si>
  <si>
    <t>10.1111/padm.12860</t>
  </si>
  <si>
    <t>robust experimental
replications</t>
  </si>
  <si>
    <t>Management</t>
  </si>
  <si>
    <t>Expectancy-Disconfirmation Theory</t>
  </si>
  <si>
    <t>Expectancy-Disconfirmation Theory...public services...citizen satisfaction</t>
  </si>
  <si>
    <t>citizens judge public services not only on experienced service quality but also on an implicit comparison
of service quality with prior expectations.</t>
  </si>
  <si>
    <t>performance had a large and statistically significant main effect on satisfaction… b = 0.55, p &lt; .01</t>
  </si>
  <si>
    <t>https://aspredicted.org/~AhaPdyHcZf</t>
  </si>
  <si>
    <t>Van Ryzin, G. G. (2013). An experimental test of the expectancy‐disconfirmation theory of citizen satisfaction. Journal of Policy Analysis and Management, 32(3), 597-614. https://doi.org/10.1002/pam.21702</t>
  </si>
  <si>
    <t>"Replication"</t>
  </si>
  <si>
    <t>Expectancy-disconfirmation theory of citizen satisfaction</t>
  </si>
  <si>
    <t>Expectancy Disconfirmation Theory, Citizen Satisfaction, Public Administration, Experimental Research, Social Psychology, Satisfaction Theory, Expectations in Public Services, Disconfirmation, Citizen Perceptions, Government Performance, Public Opinion, Experimental Methodology</t>
  </si>
  <si>
    <t>Higher expectations produce more negative disconfirmation, all else being equal (Hong Kong sample)</t>
  </si>
  <si>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</si>
  <si>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additional_studies41_b</t>
  </si>
  <si>
    <t>The expectations factor had only a very small negative main effect, which was not at all significant statistically… b = -0.01, p = n.s</t>
  </si>
  <si>
    <t>Higher performance leads to more positive disconfirmation, all else being equal (Hong Kong sample)</t>
  </si>
  <si>
    <t>additional_studies41_c</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</si>
  <si>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</si>
  <si>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The interaction effect was positive, meaning that high expectations seemed to amplify the effect of performance on satisfaction judgments… b = 0.08, p = n.s</t>
  </si>
  <si>
    <t>Positive disconfirmation (performance exceeding expectations) leads to higher satisfaction (Hong Kong sample)</t>
  </si>
  <si>
    <t>additional_studies41_d</t>
  </si>
  <si>
    <t>the replication study extended the original claims to two Chinese contexts: Hong Kong and Shenzhen. This effect concerns the Shenzhen sample.</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</si>
  <si>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</si>
  <si>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Performance directly and positively influences satisfaction, separate from its effect on disconfirmation. (Hong Kong sample)</t>
  </si>
  <si>
    <t>additional_studies41_e</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</si>
  <si>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</si>
  <si>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Expectations have a direct effect on satisfaction, separate from its effect on disformation (Hong Kong sample)</t>
  </si>
  <si>
    <t>additional_studies41_f</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</si>
  <si>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</si>
  <si>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Higher expectations produce more negative disconfirmation, all else being equal (Shenhzen sample)</t>
  </si>
  <si>
    <t>additional_studies41_g</t>
  </si>
  <si>
    <t>Higher performance leads to more positive disconfirmation, all else being equal. (Shenhzen sample)</t>
  </si>
  <si>
    <t>additional_studies41_h</t>
  </si>
  <si>
    <t>Positive disconfirmation (performance exceeding expectations) leads to higher satisfaction (Shenhzen sample)</t>
  </si>
  <si>
    <t>additional_studies41_i</t>
  </si>
  <si>
    <t>Performance directly and positively influences satisfaction, separate from its effect on disconfirmation. (Shenhzen sample)</t>
  </si>
  <si>
    <t>additional_studies41_j</t>
  </si>
  <si>
    <t>Expectations have a direct effect on satisfaction, separate from its effect on disformation (Shenhzen sample)</t>
  </si>
  <si>
    <t>additional_studies42_1</t>
  </si>
  <si>
    <t>additional_studies42</t>
  </si>
  <si>
    <t>Przepiórkowski, A., &amp; Woźniak, M. (2023, July). Conjunct Lengths in English, Dependency Length Minimization, and Dependency Structure of Coordination. In Proceedings of the 61st Annual Meeting of the Association for Computational Linguistics (Volume 1: Long Papers) (pp. 15494-15512). https://doi.org/10.18653/v1/2023.acl-long.864</t>
  </si>
  <si>
    <t>10.18653/v1/2023.acl-long.864</t>
  </si>
  <si>
    <t>10.18653--v1--2023.acl-long.864.pdf</t>
  </si>
  <si>
    <t>Przepiórkowski, A., Borysiak, M., &amp; Głowacki, A. (2024, May). An Argument for Symmetric Coordination from Dependency Length Minimization: A Replication Study. In Proceedings of the 2024 Joint International Conference on Computational Linguistics, Language Resources and Evaluation (LREC-COLING 2024) (pp. 1021-1033).</t>
  </si>
  <si>
    <r>
      <rPr>
        <rFont val="Calibri"/>
        <color rgb="FF1155CC"/>
        <sz val="11.0"/>
        <u/>
      </rPr>
      <t>https://aclanthology.org/2024.lrec-main.91</t>
    </r>
  </si>
  <si>
    <t>2024.lrec-main.91.pdf</t>
  </si>
  <si>
    <t>A Replication Study</t>
  </si>
  <si>
    <t>Coordination, Dependency Length Minimization, Syntax, Stanza, Universal Dependencies</t>
  </si>
  <si>
    <t>When the governor is on the left the relationship between the proportion of shorter length conjuncts are positively related to the absolute difference in words and characters</t>
  </si>
  <si>
    <t>Not reported - only a figure</t>
  </si>
  <si>
    <t>6506 total (not broken down by governor position/absense)</t>
  </si>
  <si>
    <t>This is a replication study that (apparently) reports the results of a logistic regression of six variables using the slope and corresponding p-values.  The replication study used a much larger dataset. HOWEVER, I DO NOT FULLY UNDERSTAND THE STRUCTURE OF THE RESULTS, THE REPORTING STRATEGY, AND THE MAIN CLAIMS. THEREFORE, I HESITATE TO ENTER THE DATA UNTIL I HAVE SUFFICIENT CLARITY.</t>
  </si>
  <si>
    <r>
      <rPr>
        <rFont val="Calibri"/>
        <sz val="11.0"/>
      </rPr>
      <t xml:space="preserve">Przepiórkowski, A., &amp; Woźniak, M. (2023, July). Conjunct Lengths in English, Dependency Length Minimization, and Dependency Structure of Coordination. In Proceedings of the 61st Annual Meeting of the Association for Computational Linguistics (Volume 1: Long Papers) (pp. 15494-15512). </t>
    </r>
    <r>
      <rPr>
        <rFont val="Calibri"/>
        <color rgb="FF1155CC"/>
        <sz val="11.0"/>
        <u/>
      </rPr>
      <t>https://doi.org/10.18653/v1/2023.acl-long.864</t>
    </r>
  </si>
  <si>
    <r>
      <rPr>
        <rFont val="Arial"/>
        <color rgb="FF1155CC"/>
        <u/>
      </rPr>
      <t>https://aclanthology.org/2024.lrec-main.91</t>
    </r>
  </si>
  <si>
    <t>aclanthology.org--2024.lrec-main.91.pdf</t>
  </si>
  <si>
    <t>additional_studies43_1</t>
  </si>
  <si>
    <t>additional_studies43</t>
  </si>
  <si>
    <t>Shandler, R., Gross, M. L., &amp; Canetti, D. (2021). A fragile public preference for cyber strikes: Evidence from survey experiments in the United States, United Kingdom, and Israel. Contemporary Security Policy, 42(2), 135-162. https://doi.org/10.1080/13523260.2020.1868836</t>
  </si>
  <si>
    <t>10.1080/13523260.2020.1868836</t>
  </si>
  <si>
    <t>10.1080--13523260.2020.1868836.pdf</t>
  </si>
  <si>
    <t>Tyvoll, A. (2024). Proportionality in Public Support for Terrorism Retaliation: A Replication and Extension Study. https://keep-dev.lib.asu.edu/items/192630</t>
  </si>
  <si>
    <t>At the moment, the replication document is not accessible. Sarah, made a request to a researcher.</t>
  </si>
  <si>
    <r>
      <rPr>
        <rFont val="Calibri"/>
        <sz val="11.0"/>
      </rPr>
      <t xml:space="preserve">Shandler, R., Gross, M. L., &amp; Canetti, D. (2021). A fragile public preference for cyber strikes: Evidence from survey experiments in the United States, United Kingdom, and Israel. Contemporary Security Policy, 42(2), 135-162. </t>
    </r>
    <r>
      <rPr>
        <rFont val="Calibri"/>
        <color rgb="FF1155CC"/>
        <sz val="11.0"/>
        <u/>
      </rPr>
      <t>https://doi.org/10.1080/13523260.2020.1868836</t>
    </r>
  </si>
  <si>
    <t>Tyvoll, A. (2024). Proportionality in Public Support for Terrorism Retaliation: A Replication and Extension Study.</t>
  </si>
  <si>
    <t>additional_studies43 _b</t>
  </si>
  <si>
    <t>Przepiórkowski, A., &amp; Woźniak, M. (2023, July). Conjunct Lengths in English, Dependency Length Minimization, and Dependency Structure of Coordination. In Proceedings of the 61st Annual Meeting of the Association for Computational Linguistics (Volume 1: Long Papers) (pp. 15494-15512). https://doi.org/10.18653/v1/2023.acl-long.865</t>
  </si>
  <si>
    <t>10.18653/v1/2023.acl-long.865</t>
  </si>
  <si>
    <r>
      <rPr>
        <rFont val="Calibri"/>
        <color rgb="FF1155CC"/>
        <sz val="11.0"/>
        <u/>
      </rPr>
      <t>https://aclanthology.org/2024.lrec-main.91</t>
    </r>
  </si>
  <si>
    <t>When the governor is absent the relationship between the proportion of shorter length conjuncts are positively related to the absolute difference in words and characters</t>
  </si>
  <si>
    <t>additional_studies43 _c</t>
  </si>
  <si>
    <t>Przepiórkowski, A., &amp; Woźniak, M. (2023, July). Conjunct Lengths in English, Dependency Length Minimization, and Dependency Structure of Coordination. In Proceedings of the 61st Annual Meeting of the Association for Computational Linguistics (Volume 1: Long Papers) (pp. 15494-15512). https://doi.org/10.18653/v1/2023.acl-long.866</t>
  </si>
  <si>
    <t>10.18653/v1/2023.acl-long.866</t>
  </si>
  <si>
    <r>
      <rPr>
        <rFont val="Calibri"/>
        <color rgb="FF1155CC"/>
        <sz val="11.0"/>
        <u/>
      </rPr>
      <t>https://aclanthology.org/2024.lrec-main.91</t>
    </r>
  </si>
  <si>
    <t>When the governor is on the right the relationship between the proportion of shorter length conjuncts are negatively related to the absolute difference in words and characters</t>
  </si>
  <si>
    <t>the slopes are very significantly negative (p &lt; 0.01), especially when length is measured in words (p ≪ 0.001).</t>
  </si>
  <si>
    <t>Unsure. Only a range between around 1000 and over 310,000 obs is reported on p1025, but not broken down in simple cells</t>
  </si>
  <si>
    <t>additional_studies44_1</t>
  </si>
  <si>
    <t>additional_studies44</t>
  </si>
  <si>
    <t>The replication study is a stage 1 registered report so no results yet, cannot find stage 2 anywhere so only coded the original study</t>
  </si>
  <si>
    <t>stage 1 registered report</t>
  </si>
  <si>
    <t>Hazen, R.A., Vasey, M.W., &amp; Schmidt, N.B. (2009). Attentional retraining: A randomized clinical trial for pathological worry. Journal of psychiatric research, 43(6), 627-633. https://doi.org/10.1016/j.jpsychires.2008.07.004</t>
  </si>
  <si>
    <t>10.1016/j.jpsychires.2008.07.004</t>
  </si>
  <si>
    <t>Pond, N., Meeten, F., Dr, Clarke, P., Notebaert, L., &amp; Scott, R. B. (2023, September 15). The Efficacy of Attentional Bias Modification for Anxiety: A Registered Replication. https://doi.org/10.31234/osf.io/cf4xz</t>
  </si>
  <si>
    <t>10.31234/osf.io/cf4xz</t>
  </si>
  <si>
    <t>"Direct replication"</t>
  </si>
  <si>
    <t>Attention bias</t>
  </si>
  <si>
    <t>Attention, Treatment, Randomized clinical trial, Anxiety, Worry, Generalized anxiety disorder, Attention bias, Cognitive bias modification, Attentional bias modification</t>
  </si>
  <si>
    <t>This effect investigates whether threat bias scores change over time across treatment conditions.</t>
  </si>
  <si>
    <t>"Results revealed significant effects for Time, F(1,15) = 16.49, p = .001, partial g2 = .52" "Consistent with predictions, participants in the ARTS condition showed a significant reduction in threat bias whereas those in the Sham-ARTS condition did not."</t>
  </si>
  <si>
    <t>PsyArXiv Preprints | The Efficacy of Attentional Bias Modification for Anxiety: A Registered Replication</t>
  </si>
  <si>
    <t xml:space="preserve">the replication study is at stage 1 registred report so no results are available </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</si>
  <si>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</si>
  <si>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Registered Replication</t>
  </si>
  <si>
    <t>attentional bias</t>
  </si>
  <si>
    <t>Attention,Treatment, Randomized clinical trial, Anxiety, Worry</t>
  </si>
  <si>
    <t>the present study tested the efficacy of such attentional training in a sample of severe
worriers over an extended period of time using psychometrically validated measures of anxiety and depression.</t>
  </si>
  <si>
    <t>Effects of treatment on threat bias were tested through a repeated measures analysis of variance (ANOVA)…Results revealed significant effects for Time, F(1,15) = 16.49, p = .001, partial η² = .52</t>
  </si>
  <si>
    <t>etasq (partial)</t>
  </si>
  <si>
    <t>https://osf.io/preprints/psyarxiv/cf4xz</t>
  </si>
  <si>
    <t>additional_studies44_b</t>
  </si>
  <si>
    <t>This effect explores whether the change in threat bias over time differs between the ARTS and Sham-ARTS groups.</t>
  </si>
  <si>
    <t>"Results revealed significant effects... for the Group X Time, interaction, F(1,15) = 6.64, p = .021, partial g2 = .31" "Consistent with predictions, participants in the ARTS condition showed a significant reduction in threat bias whereas those in the Sham-ARTS condition did not."</t>
  </si>
  <si>
    <t>Hazen, R.A., Vasey, M.W., &amp; Schmidt, N.B. (2009). Attentional retraining: A randomized clinical trial for pathological worry. Journal of psychiatric research, 43(6), 627-633. https://doi.org/10.1016/j.jpsychires.2008.07.005</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</si>
  <si>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</si>
  <si>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Medicine (Psychiatry)</t>
  </si>
  <si>
    <t>Effects of treatment on threat bias were tested through a repeated measures analysis of variance (ANOVA)…Results revealed significant effects…for the Group X Time interaction, F(1,15) = 6.64, p = .021, partial η² = .31… participants in the ARTS condition showed a significant reduction in threat bias whereas those in the Sham-ARTS condition did not.</t>
  </si>
  <si>
    <t>additional_studies44_c</t>
  </si>
  <si>
    <t>This effect examines whether composite symptoms improve over time across treatment conditions.</t>
  </si>
  <si>
    <t>"Results revealed significant effects for Time, F(1,21) = 13.66, p= .001, partial g2 = .39" "Significantly greater improvement on such measures in the ARTS versus Sham-ARTS group would suggests that the emo- tional effects of attentional retraining extend to the subjective experience of anxiety and depression symptoms in the daily lives of generally anxious individuals. The results suggest that this may indeed be the case. Furthermore, the fact that these reports were made one week subsequent to the last training session sug- gests that the effects of attentional retraining on such symptoms endure well beyond the minutes immediately following training."</t>
  </si>
  <si>
    <t xml:space="preserve">in original study n was calculated based on df, the replication study is at stage 1 registred report so no results are available </t>
  </si>
  <si>
    <t>Hazen, R.A., Vasey, M.W., &amp; Schmidt, N.B. (2009). Attentional retraining: A randomized clinical trial for pathological worry. Journal of psychiatric research, 43(6), 627-633. https://doi.org/10.1016/j.jpsychires.2008.07.006</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</si>
  <si>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</si>
  <si>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Effects of treatment on composite symptoms were tested through a repeated measures analysis of variance (ANOVA)… Results revealed significant effects for Time, F(1,21) = 13.66, p = .001, partial η² = .39</t>
  </si>
  <si>
    <t>additional_studies44_d</t>
  </si>
  <si>
    <t>This effect looks at whether the change in composite symptoms over time differs between the ARTS and Sham-ARTS groups.</t>
  </si>
  <si>
    <t>"Results revealed significant effects….for the Group X Time interaction, F(1,15) = 13.24, p = .002, partial g2 = .39" "Significantly greater improvement on such measures in the ARTS versus Sham-ARTS group would suggests that the emo- tional effects of attentional retraining extend to the subjective experience of anxiety and depression symptoms in the daily lives of generally anxious individuals. The results suggest that this may indeed be the case. Furthermore, the fact that these reports were made one week subsequent to the last training session sug- gests that the effects of attentional retraining on such symptoms endure well beyond the minutes immediately following training."</t>
  </si>
  <si>
    <t>Hazen, R.A., Vasey, M.W., &amp; Schmidt, N.B. (2009). Attentional retraining: A randomized clinical trial for pathological worry. Journal of psychiatric research, 43(6), 627-633. https://doi.org/10.1016/j.jpsychires.2008.07.007</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</si>
  <si>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</si>
  <si>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 xml:space="preserve">Effects of treatment on composite symptoms were tested through a repeated measures analysis of variance (ANOVA)… Results revealed significant effects… d for the Group X Time interaction, F(1,15) = 13.24, p = .002, partial η² = .39… the emotional effects of attentional retraining extend to the subjective experience of anxiety and depression symptoms in the daily lives of generally anxious individuals. </t>
  </si>
  <si>
    <t>additional_studies44_e</t>
  </si>
  <si>
    <t>this is an extension hyp but no results are reported yet</t>
  </si>
  <si>
    <t>Hazen, R.A., Vasey, M.W., &amp; Schmidt, N.B. (2009). Attentional retraining: A randomized clinical trial for pathological worry. Journal of psychiatric research, 43(6), 627-633. https://doi.org/10.1016/j.jpsychires.2008.07.008</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</si>
  <si>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</si>
  <si>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higher PC scores will lead to greater reductions in the CSI in the ARTS vs. the Sham Arts condition. This 
prediction is derived from the hypothesis that individuals with higher PC scores may 
(consciously or unconsciously) utilise PC to experience the expected change in 
symptomology, thus showing a greater response to demand characteristics...This will be assessed by examining the interaction between Condition 
(ARTS vs. Sham ARTS) and PC in a multiple regression predicting change in CSI. If 
the interaction term is greater than zero, this will indicate that PC is influencing the 
apparent efficacy of ABM. The difference from zero will be evaluated by applying a 
Bayes Factor to the interaction term.</t>
  </si>
  <si>
    <t>additional_studies45_1</t>
  </si>
  <si>
    <t>additional_studies45</t>
  </si>
  <si>
    <t>Email response from LR: I think the "replication" part is actually a reproduction because both reports use the same sources (Current Population Surveys, CPS). We will discuss if the "extension" part meets our inclusion criteria and get back to you if it does. Until then, please do not code this study.</t>
  </si>
  <si>
    <t>Not a replication</t>
  </si>
  <si>
    <t>Autor, D. H., Katz, L. F., &amp; Kearney, M. S. (2008). Trends in US wage inequality: Revising the revisionists. The Review of economics and statistics, 90(2), 300-323. https://doi.org/10.1162/rest.90.2.300</t>
  </si>
  <si>
    <t>10.1162/rest.90.2.300</t>
  </si>
  <si>
    <t>Stephenson, Corinne (2024). Trends in U.S. Wage Inequality: Revising the Revisionists. A Replication Study of Autor, Katz, and Kearney (2008). Journal of Comments and Replications in Economics, Vol.3 (2024-4). https://doi.org/10.18718/81781.34</t>
  </si>
  <si>
    <t>10.18718/81781.34</t>
  </si>
  <si>
    <t>Economics</t>
  </si>
  <si>
    <t>Thomas</t>
  </si>
  <si>
    <t>LR, Thomas Miller</t>
  </si>
  <si>
    <t>test statistic = log points; sample sizes not reported: both studies use CPS data</t>
  </si>
  <si>
    <t>replication/extension</t>
  </si>
  <si>
    <t>wage inequality</t>
  </si>
  <si>
    <t>Wage Structure, Inequality, Technological Change, Labor Market Institutions, Minimum Wage</t>
  </si>
  <si>
    <t>Panel A of table 4 shows that male 90/50 (upper-tail) residual wage inequality rose during both halves of the sample: by 4.4 log points from 1973 to 1989 and by 4.0 log points from 1989 to 2005. ... Male 50/10 residual inequal- ity rose by 5.7 log points between 1973 and 1989 and then fell by 1.3 log points between 1989 and 2005 (panel B of table 4). ... ... To summarize, the sharp growth in wage dispersion in the lower half of the wage distribution during the early to mid-1980s seems to have been an episodic event that has not reoccurred over the past fifteen years. By contrast, the steady growth of wage dispersion in the upper half of the wage distribution appears to represent a secular trend that has been ongoing for 25 years.</t>
  </si>
  <si>
    <t>p. 314</t>
  </si>
  <si>
    <t>p. 313-314</t>
  </si>
  <si>
    <t>p.17</t>
  </si>
  <si>
    <t>test statistic = log points</t>
  </si>
  <si>
    <t>additional_studies46_1</t>
  </si>
  <si>
    <t>additional_studies46</t>
  </si>
  <si>
    <t>Larsson, T., Callies, M., Hasselgård, H., Laso, N. J., Van Vuuren, S., Verdaguer, I., &amp; Paquot, M. (2020). Adverb placement in EFL academic writing: Going beyond syntactic transfer. International Journal of Corpus Linguistics, 25(2), 156-185. https://doi.org/10.1075/ijcl.19131.lar</t>
  </si>
  <si>
    <r>
      <rPr>
        <rFont val="Calibri"/>
        <color rgb="FF1155CC"/>
        <sz val="11.0"/>
        <u/>
      </rPr>
      <t>10.1075/ijcl.19131.lar</t>
    </r>
  </si>
  <si>
    <t>10.1075--ijcl.19131.lar.pdf</t>
  </si>
  <si>
    <t>Özkan Miller, V., &amp; Larsson, T. (2024). The effect of linguistic and extralinguistic features on EFL adverb placement: A partial replication study of Larsson et al.(2020). International Journal of Learner Corpus Research. https://doi.org/10.1075/ijlcr.00046.ozk</t>
  </si>
  <si>
    <t>10.1075/ijlcr.00046.ozk</t>
  </si>
  <si>
    <t>10.1075--ijlcr.00046.ozk.pdf</t>
  </si>
  <si>
    <t>Study excluded</t>
  </si>
  <si>
    <t>https://doi.org/10.1075/ijcl.19131.lar</t>
  </si>
  <si>
    <r>
      <rPr>
        <rFont val="Calibri"/>
        <sz val="11.0"/>
      </rPr>
      <t xml:space="preserve">Özkan Miller, V., &amp; Larsson, T. (2024). The effect of linguistic and extralinguistic features on EFL adverb placement: A partial replication study of Larsson et al.(2020). International Journal of Learner Corpus Research. </t>
    </r>
    <r>
      <rPr>
        <rFont val="Calibri"/>
        <color rgb="FF1155CC"/>
        <sz val="11.0"/>
        <u/>
      </rPr>
      <t>https://doi.org/10.1075/ijlcr.00046.ozk</t>
    </r>
  </si>
  <si>
    <t>A partial replication study of Larsson et al. (2020)</t>
  </si>
  <si>
    <t>In both research articles, the authors want to investigate which linguistic variables are most important for distinguishing between adverb positions in the written data. In both cases, they report running a Random Forest classifier using R. However, no quantitative results are reported. The authors show a plot with the results, which does not give a clear estimate and its uncertainty. Therefore, even if I consider this to be a replication, I judge that the lack of quantitative data hinders this replication analysis.</t>
  </si>
  <si>
    <t>additional_studies47_1</t>
  </si>
  <si>
    <t>additional_studies47</t>
  </si>
  <si>
    <t>Feedback for Roskana:
- please add pagenumbers into the respective variables (es_repr_o) even if it is the same as the claim page number
- coding is generally very good (not just for this entry)! thank you!
- additional studies 47_e: p value replication was repoted as .113 but was .133</t>
  </si>
  <si>
    <t>Wiseheart, M., Viswanathan, M., &amp; Bialystok, E. (2016). Flexibility in task switching by monolinguals and bilinguals. Bilingualism: Language and Cognition, 19(1), 141–146. https://doi.org/10.1017/S1366728914000273</t>
  </si>
  <si>
    <t>10.1017/S1366728914000273</t>
  </si>
  <si>
    <t>Ward, R., &amp; Awani, J. (2024). Bilingualism and flexibility in task switching: A close replication study. Studies in Second Language Acquisition, 1-17. https://doi.org/10.1017/S0272263124000378</t>
  </si>
  <si>
    <t>10.1017/S0272263124000378</t>
  </si>
  <si>
    <t>The transferability of language-switching skills to nonlinguistic task switching</t>
  </si>
  <si>
    <t>Bilingual advantage, bilingualism, executive control, executive functioning, task switching</t>
  </si>
  <si>
    <t>This effect examines how block type (switch vs. non-switch) affects reaction times (global switch cost condition)</t>
  </si>
  <si>
    <t>"There was a main effect of block type, with longer RTs for non- switch trials in the switch block, F(1,64) = 228.4, p &lt; .001, η2, p = .78"</t>
  </si>
  <si>
    <t>Feedback for Thomas:
- if an eta squared is available, please code it and not the test statistics</t>
  </si>
  <si>
    <t>bilingual advantage (task switching)</t>
  </si>
  <si>
    <t>task switching, bilingualism, executive function</t>
  </si>
  <si>
    <t>relationship between bilingualism and improved task-switching flexibility, via  reduced global switch costs (GSC)</t>
  </si>
  <si>
    <t>There was a main effect of block type, with longer RTs for non-switch trials in the switch block, F(1,64) = 228.4, p &lt; .001, η²p = .78... and an interaction between block type and language status, F(1,64) = 4.9, p = .03, η²p = .07, in which the difference between RT in switch and non-switch blocks was smaller for bilinguals, consistent with smaller GSC. ...  our study found
that young adult bilinguals displayed a GSC advantage, but no LSC advantage.</t>
  </si>
  <si>
    <t>There was a main effect of switch status, with longer RTs for switch trials, F(1,64) = 53.2, p &lt; .001, η2p = .45</t>
  </si>
  <si>
    <t>additional_studies47_b</t>
  </si>
  <si>
    <t>This effect explores whether language status (bilingual vs. monolingual) has an impact on global switch costs (global switch cost condition)</t>
  </si>
  <si>
    <t>"No main effect of language status, F &lt; 1"</t>
  </si>
  <si>
    <t>additional_studies47_c</t>
  </si>
  <si>
    <t>This interaction effect investigates how block type (switch vs. non-switch) and language status interact to affect global switch costs (global switch cost condition)</t>
  </si>
  <si>
    <t>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</si>
  <si>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additional_studies47_d</t>
  </si>
  <si>
    <t>This effect examines the difference in reaction times between switch and non-switch trials within the switch block (local switch cost)</t>
  </si>
  <si>
    <t>"There was a main effect of switch status, with longer RTs for switch trials, F(1, 64) = 53.2, p &lt; .001, η²_p = .45"</t>
  </si>
  <si>
    <t>additional_studies47_e</t>
  </si>
  <si>
    <t>This effect tests whether language status (bilingual vs. monolingual) influences the local switch cost  (local switch cost condition)</t>
  </si>
  <si>
    <t>"Neither the language status main effect nor the interaction reached significance, Fs &lt; 1" "our study found that young adult bilinguals displayed a GSC advantage, but no LSC advantage."</t>
  </si>
  <si>
    <t>additional_studies47_f</t>
  </si>
  <si>
    <t>This interaction effect examines whether the relationship between switch status (switch vs. non-switch trials) and local switch costs is moderated by language status (local switch cost condition)</t>
  </si>
  <si>
    <t>additional_studies48_1</t>
  </si>
  <si>
    <t>additional_studies48</t>
  </si>
  <si>
    <t>psychometric study - unclear how to handle</t>
  </si>
  <si>
    <t>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</si>
  <si>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scholars.indianastate.eduetds--2136.pdf</t>
  </si>
  <si>
    <t>Thornton, K. B. (2024). PERCEPTIONS OF MATTERING AMONG GENERAL EDUCATION TEACHERS: REPLICATION, VALIDATION, AND EXTENSION OF THE FUNDAMENTAL ELEMENTS OF MATTERING SCALE FOR TEACHERS (FEMS-T).</t>
  </si>
  <si>
    <t>mattering scale</t>
  </si>
  <si>
    <t>Mattering, K–12 education, teachers, meaning, teaching</t>
  </si>
  <si>
    <t xml:space="preserve">The original study and replication aim to identify the main factors implicated in mattering among teachers. They use confirmatory factor analysis (CFA) and identify that eight factors with 40 items derived from a questionnaire are the most relevant. Given that the studies provide a chi-square test with degrees of freedom and p-values I report this statistic. However, another relevant metric for the original and replication is the Comparative Fit Index (CFI). I report that for the original study, this value is 0.955, and for the replicate a CFI of 0.930. The authors indicate this is the best fit to data in both cases. </t>
  </si>
  <si>
    <t>Feedback for Daniel
- Choosing the chi square test for fit in the matter scale development paper was a good decision!</t>
  </si>
  <si>
    <r>
      <rPr>
        <rFont val="Calibri"/>
        <sz val="11.0"/>
      </rPr>
      <t xml:space="preserve">Wilfong, R. (. (2021). The mattering model: The foundational elements of mattering for K-12 educators (Order No. 28319407). Available from ProQuest Dissertations &amp; Theses Global. (2537966312). Retrieved from </t>
    </r>
    <r>
      <rPr>
        <rFont val="Calibri"/>
        <color rgb="FF1155CC"/>
        <sz val="11.0"/>
        <u/>
      </rPr>
      <t>https://www.proquest.com/dissertations-theses/mattering-model-foundational-elements-k-12/docview/2537966312/se-2</t>
    </r>
  </si>
  <si>
    <t>https://digitalcommons.memphis.edu/etd/3538/</t>
  </si>
  <si>
    <t>digitalcommons.memphis.edu--etd--3538.pdf</t>
  </si>
  <si>
    <t>Foundational factors of Mattering</t>
  </si>
  <si>
    <t>Mattering, self-esteem, health, depression, marginalization, teachers, porpuse</t>
  </si>
  <si>
    <t>Mattering is the feeling that one’s actions are significant, and that one would be missed if
one were gone</t>
  </si>
  <si>
    <t>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</si>
  <si>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χ2(712) = 1991.413</t>
  </si>
  <si>
    <t>p. 165</t>
  </si>
  <si>
    <t>χ2(224) = 393.695</t>
  </si>
  <si>
    <t>p.27</t>
  </si>
  <si>
    <t>additional_studies49_1</t>
  </si>
  <si>
    <t>additional_studies49</t>
  </si>
  <si>
    <t>comapres target-like use (TLU) of beginners vs intermediates on 'ing' morpheme (not sure how to report this). Original not accessible so statistics are from replication's Table 4 (p. 31)</t>
  </si>
  <si>
    <t>Feedback for Nikolay
- values in _o variables should not come from the replication report but only the original study's report</t>
  </si>
  <si>
    <t>Lozano, C., &amp; Díaz-Negrillo, A. (2019). Using learner corpus methods in L2 acquisition research: The morpheme order studies revisited with Interlanguage Annotation. Revista Española de Lingüística Aplicada/Spanish Journal of Applied Linguistics, 32(1), 82-124. https://doi.org/10.1075/resla.17019.loz</t>
  </si>
  <si>
    <t>10.1075/resla.17019.loz</t>
  </si>
  <si>
    <t>10.1075--resla.17019.loz.pdf</t>
  </si>
  <si>
    <t>Kontkanen, J. (2024). Investigating the effect of proficiency level on the acquisition order of morphemes for L2 English learners: A replication of a corpus-based SLA study using Interlanguage Annotation.</t>
  </si>
  <si>
    <t>grammar acquisition</t>
  </si>
  <si>
    <t>Second Language Acquisition, Learner Corpus Research, Interlanguage Annotation, COREFL, acquisition order, Morpheme Order Studies, UAM Corpus Tool</t>
  </si>
  <si>
    <t>The purpose of this study is to investigate the effect of proficiency level on the acquisition order of certain grammatical morphemes for L1 Spanish learners of L2 English</t>
  </si>
  <si>
    <t>The key findings from the studies have suggested that accuracy scores of the morphemes reflect a somewhat fixed order of morpheme acquisition for L2 English learners irrespective of L1 background, age, or learning environment.</t>
  </si>
  <si>
    <t>χ2(1)=22.77</t>
  </si>
  <si>
    <t>df inferred based on context; Table 4 in replication</t>
  </si>
  <si>
    <t>χ2(1)=2.34</t>
  </si>
  <si>
    <t>df inferred based on context; Table 4</t>
  </si>
  <si>
    <t xml:space="preserve">This is an accurate replication study where 8 variables are replicated with the same metric (chi-squared and associated p-values). The replication adds additional results for "3rd sing".  As this evaluates independently different morphemes, I report several chi-square results. These results are reported directly given that no degrees of freedom were provided. </t>
  </si>
  <si>
    <t>Feedback for Daniel
- description should be matched for multiple rows per entry to specify what effect this is</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</si>
  <si>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</si>
  <si>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https://helda.helsinki.fi/bitstreams/b16ebd43-f83b-42c9-9996-adf6735845c1/download</t>
  </si>
  <si>
    <t>b16ebd43-f83b-42c9-9996-adf6735845c1.pdf.pdf</t>
  </si>
  <si>
    <t>Proficiency use of progressive (ing)</t>
  </si>
  <si>
    <t>Second Language Acquisition (SLA), Interlanguage Annotation, 
Morpheme Order Studies (MOS), Grammatical Morphemes, 
COREFL (Corpus of English as a Foreign Language)</t>
  </si>
  <si>
    <t>Progressive -ing. The annotation covers OCs of the progressive verb form in
main lexical verbs occurring in finite verb phrases. Present</t>
  </si>
  <si>
    <t>By conflating A1 and A2 together into ‘beginners’ and B1 and B2 into ‘intermediates’ (Figure 6B),7 beginners significantly differ from intermediates for each morpheme
(p &lt; 0.02 for all χ2 contrasts),8 except for plural -s (TLU = 14/15 vs. 51/54, χ2 = 0.027, p &gt; 0.05) and possessive -’s (TLU = 6/7 vs. 4/7, χ2 = 1.400, p &gt; 0.05).</t>
  </si>
  <si>
    <t>p. 101, df inferred based on description</t>
  </si>
  <si>
    <t>additional_studies49_b</t>
  </si>
  <si>
    <t>comapres target-like use (TLU) of beginners vs intermediates on the plural morpheme (not sure how to report this). Original not accessible so statistics are from replication's Table 4 (p. 31)</t>
  </si>
  <si>
    <t>χ2(1)=0.03</t>
  </si>
  <si>
    <t>χ2(1)=1.72</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</si>
  <si>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</si>
  <si>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plural (plural)</t>
  </si>
  <si>
    <t>Plural -s. The annotation covers OCs of the regular plural number form in nouns, while irregular nominal plurals or plural number forms with other lexical categories (adjectives) were not annotated, as done in previous MOS.</t>
  </si>
  <si>
    <t>p.100</t>
  </si>
  <si>
    <t>additional_studies49_c</t>
  </si>
  <si>
    <t>comapres target-like use (TLU) of beginners vs intermediates on 'be'-cop morpheme (not sure how to report this). Original not accessible so statistics are from replication's Table 4 (p. 31)</t>
  </si>
  <si>
    <t>χ2(1)=11.59</t>
  </si>
  <si>
    <t>χ2(1)=1.96</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</si>
  <si>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</si>
  <si>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copula be (be-cop)</t>
  </si>
  <si>
    <t>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</si>
  <si>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By conflating A1 and A2 together into ‘beginners’ and B1 and B2 into ‘intermediates’ (Figure 6B),7 beginners significantly differ from intermediates for each morpheme
(p &lt; 0.02 for all χ2 contrasts),8 except for plural -s (TLU = 14/15 vs. 51/54, χ2 = 0.027, p &gt; 0.05) and possessive -’s (TLU = 6/7 vs. 4/7, χ2 = 1.400, p &gt; 0.05).</t>
  </si>
  <si>
    <t>additional_studies49_d</t>
  </si>
  <si>
    <t>comapres target-like use (TLU) of beginners vs intermediates on 'be'-aux morpheme (not sure how to report this). Original not accessible so statistics are from replication's Table 4 (p. 31)</t>
  </si>
  <si>
    <t>χ2(1)=24.44</t>
  </si>
  <si>
    <t>χ2(1)=1.49</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</si>
  <si>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</si>
  <si>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auxiliary be (be-aux)</t>
  </si>
  <si>
    <t>Auxiliary be. The annotation covers OCs of auxiliary be, specifically in progressive and passive contexts.</t>
  </si>
  <si>
    <t>additional_studies49_e</t>
  </si>
  <si>
    <t>comapres target-like use (TLU) of beginners vs intermediates on article morphemes (not sure how to report this). Original not accessible so statistics are from replication's Table 4 (p. 31)</t>
  </si>
  <si>
    <t>χ2(1)=23.46</t>
  </si>
  <si>
    <t>χ2(1)=19.09</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</si>
  <si>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</si>
  <si>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article (article)</t>
  </si>
  <si>
    <t>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</si>
  <si>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additional_studies49_f</t>
  </si>
  <si>
    <t>comapres target-like use (TLU) of beginners vs intermediates on past-irregular morphemes (not sure how to report this). Original not accessible so statistics are from replication's Table 4 (p. 31)</t>
  </si>
  <si>
    <t>χ2(1)=37.43</t>
  </si>
  <si>
    <t>χ2(1)=0.4</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</si>
  <si>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</si>
  <si>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irregular past (past-irreg)</t>
  </si>
  <si>
    <t>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</si>
  <si>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p.108</t>
  </si>
  <si>
    <t>additional_studies49_g</t>
  </si>
  <si>
    <t>comapres target-like use (TLU) of beginners vs intermediates on past-regular morphemes (not sure how to report this). Original not accessible so statistics are from replication's Table 4 (p. 31)</t>
  </si>
  <si>
    <t>χ2(1)=42.12</t>
  </si>
  <si>
    <t>χ2(1)=1.02</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</si>
  <si>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</si>
  <si>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regular past (past-reg)</t>
  </si>
  <si>
    <t>Regular past. The annotation covers OCs of the simple past tense -(e)d form
of regular lexical verbs.</t>
  </si>
  <si>
    <t>additional_studies49_h</t>
  </si>
  <si>
    <t>comapres target-like use (TLU) of beginners vs intermediates on possessive morpheme (not sure how to report this). Original not accessible so statistics are from replication's Table 4 (p. 31)</t>
  </si>
  <si>
    <t>χ2(1)=1.4</t>
  </si>
  <si>
    <t>χ2(1)=2.94</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</si>
  <si>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</si>
  <si>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possessive (poss)</t>
  </si>
  <si>
    <t>Possessive. The annotation covers OCs of the genitive structure [noun’s + NP]. Cases showing absence of the apostrophe have been marked as TLU, as we understand that the morpheme has been produced and the apostrophe represents a spelling issue.</t>
  </si>
  <si>
    <t>p.101</t>
  </si>
  <si>
    <t>additional_studies49_i</t>
  </si>
  <si>
    <t>changed replicationt ype to conceptual because "3rd sing" was not part of original study</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</si>
  <si>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</si>
  <si>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3rd person singular (3rd sing)</t>
  </si>
  <si>
    <t>3rd person singular. The annotation covers OCs of 3rd person singular -(e)s
forms of lexical verbs only.</t>
  </si>
  <si>
    <t>x²(1)=11.91</t>
  </si>
  <si>
    <t>additional_studies5_1</t>
  </si>
  <si>
    <t>additional_studies5</t>
  </si>
  <si>
    <t>this still needs coding</t>
  </si>
  <si>
    <t>Onwuegbuzie, A. J., Bailey, P., &amp; Daley, C. E. (2000). The validation of three scales measuring anxiety at different stages of the foreign language learning process: The input anxiety scale, the processing anxiety scale, and the output anxiety scale. Language learning, 50(1), 87-117. https://doi.org/10.1111/0023-8333.00112</t>
  </si>
  <si>
    <t>10.1111/0023-8333.00112</t>
  </si>
  <si>
    <t>Piniel, K. (2024). The Input, Process, and Output Anxiety Scales: An Approximate Replication Study. In: Investigating Foreign Language Anxiety. Second Language Learning and Teaching. Springer, Cham. https://doi.org/10.1007/978-3-031-55844-3_4</t>
  </si>
  <si>
    <t>10.1007/978-3-031-55844-3_4</t>
  </si>
  <si>
    <t>Title - "An Approximate Replication Study"
Abstract - "... conducting an approximate replication of Onwuegbuzie et al. in Language Learning, 50(1):87–117, 2000."</t>
  </si>
  <si>
    <t>foreign langauage learning anxiety</t>
  </si>
  <si>
    <t>language learning, anxiety, validation, scale</t>
  </si>
  <si>
    <t>Input, Process, and Output Anxiety Scales</t>
  </si>
  <si>
    <t>additional_studies5_a</t>
  </si>
  <si>
    <t>Claim text_r The regression analysis using the step-wise method showed that the input, processing, and output anxieties in combination contributed significantly to the general feeling of foreign language classroom anxiety (R2 adj = 0.62; F3,129 = 73.90, p &lt; 0.01). Beta coefficients for the three predictors were the following: for input anxiety, β = 0.18, t = 2.42, p &lt; 0.05;  The addition of each of these independent variables to the regression equation significantly improved prediction: for input anxiety, R2 change = 0.39, F change1, 131 = 82.18, p &lt; 0.01; These results suggest that anxiety experienced at the processing stage has a more significant effect on general language anxiety than anxiety experienced at the output stage of language learning, which is also consistent with Onwuegbuzie et al.’s (2000) findings. [...] p 63.</t>
  </si>
  <si>
    <t>Input</t>
  </si>
  <si>
    <t>Input Anxiety Scales</t>
  </si>
  <si>
    <t>The regression analysis revealed that all three scales contributed significantly to the prediction of global foreign language anxiety, F(3, 254) = 191.15, p &lt; .0001. These three scales together explained 69.4% of the variance in global anxiety (adjusted R? = 68.9%), suggesting a very large effect size (Cohen, 1988). The IAS (standardized beta coefficient = 0.18) made the biggest con- tribution, explaining 40.8% of the variance in global foreign language anxiety.</t>
  </si>
  <si>
    <t>&lt; 0.001</t>
  </si>
  <si>
    <t>additional_studies5_b</t>
  </si>
  <si>
    <t>Claim text_r The regression analysis using the step-wise method showed that the input, processing, and output anxieties in combination contributed significantly to the general feeling of foreign language classroom anxiety (R2 adj = 0.62; F3,129 = 73.90, p &lt; 0.01). Beta coefficients for the three predictors were the following:  for process anxiety, β = 0.43, t = 5.32, p &lt; 0.01; The addition of each of these independent variables to the regression equation significantly improved prediction: ffor process anxiety, R2 change = 0.19, F change 2, 130 = 59.85, p &lt; 0.01; These results suggest that anxiety experienced at the processing stage has a more significant effect on general language anxiety than anxiety experienced at the output stage of language learning, which is also consistent with Onwuegbuzie et al.’s (2000) findings. [...] p 63.</t>
  </si>
  <si>
    <t>Process</t>
  </si>
  <si>
    <t>Process Anxiety Scales</t>
  </si>
  <si>
    <t>The regression analysis revealed that all three scales contributed significantly to the prediction of global foreign language anxiety, F(3, 254) = 191.15, p &lt; .0001. These three scales together explained 69.4% of the variance in global anxiety (adjusted R? = 68.9%), suggesting a very large effect size (Cohen, 1988). The IAS (standardized beta coefficient = 0.18) made the biggest con- tribution, explaining 40.8% of the variance in global foreign language anxiety. With the inclusion of the IAS in the model, the PAS (standardized beta coefficient = 0.45) explained an additional 23.6% of the variance. The OAS (standardized beta coefficient = 0.32) accounted for a further 4.9% of the variance.</t>
  </si>
  <si>
    <t>additional_studies5_c</t>
  </si>
  <si>
    <t>Claim text_r The regression analysis using the step-wise method showed that the input, processing, and output anxieties in combination contributed significantly to the general feeling of foreign language classroom anxiety (R2 adj = 0.62; F3,129 = 73.90, p &lt; 0.01). Beta coefficients for the three predictors were the following: for output anxiety, β = 0.31, t = 4.31, p &lt; 0.01. The addition of each of these independent variables to the regression equation significantly improved prediction: for output anxiety, R2 change = 0.05, F change3, 129 = 18.56, p &lt; 0.01. These results suggest that anxiety experienced at the processing stage has a more significant effect on general language anxiety than anxiety experienced at the output stage of language learning, which is also consistent with Onwuegbuzie et al.’s (2000) findings. [...] p 63.</t>
  </si>
  <si>
    <t>Output</t>
  </si>
  <si>
    <t>Output Anxiety Scales</t>
  </si>
  <si>
    <t>The regression analysis revealed that all three scales contributed significantly to the prediction of global foreign language anxiety, F(3, 254) = 191.15, p &lt; .0001. These three scales together explained 69.4% of the variance in global anxiety (adjusted R? = 68.9%), suggesting a very large effect size (Cohen, 1988). The OAS (standardized beta coefficient = 0.32) accounted for a further 4.9% of the variance.</t>
  </si>
  <si>
    <t>additional_studies50_1</t>
  </si>
  <si>
    <t>additional_studies50</t>
  </si>
  <si>
    <t>network analysis - unclear how to handle</t>
  </si>
  <si>
    <t>Tamm., G., Koster, E. H. W, &amp; Hoorelbeke, K. (2024). Multiple paths to rumination within a
network analytical framework. Scientific Reports, 14(1), 10874.
 http://dx.doi.org/10.1038/s41598-024-61469-6</t>
  </si>
  <si>
    <t>10.1038/s41598-024-61469-6</t>
  </si>
  <si>
    <t>10.1038--s41598-024-61469-6.pdf</t>
  </si>
  <si>
    <t>Tamm, G., Koster, E. H., &amp; Hoorelbeke, K. Evaluating Theories of Repetitive Negative Thinking: Replication and Extension. http://dx.doi.org/10.31234/osf.io/kpcwv</t>
  </si>
  <si>
    <t>10.31234/osf.io/kpcwv</t>
  </si>
  <si>
    <t>10.31234--osf.io--kpcwv.pdf</t>
  </si>
  <si>
    <t>Psychopathology</t>
  </si>
  <si>
    <t>effect of rumination in psychopathology</t>
  </si>
  <si>
    <t>Rumination; Worry; Depression; Anxiety; Network analysis; Bayesian networks; Replication</t>
  </si>
  <si>
    <t>validated - FReD but not COS</t>
  </si>
  <si>
    <t>This article does not perform hypothesis testing, comparisons, or report effect sizes but takes a network analytical
framework approach. Therefore, the results are shown as the centrality measurements of a Gaussian Graphical Model. I report the mean value for rumination (RRS) as the main claim for the research article in the es_value and es_type columns. These values contain also SD but I do not see a place in the template to place those.</t>
  </si>
  <si>
    <r>
      <rPr>
        <rFont val="Calibri"/>
        <sz val="11.0"/>
      </rPr>
      <t xml:space="preserve">Tamm., G., Koster, E. H. W, &amp; Hoorelbeke, K. (2024). Multiple paths to rumination within a
network analytical framework. Scientific Reports, 14(1), 10874.
 </t>
    </r>
    <r>
      <rPr>
        <rFont val="Calibri"/>
        <color rgb="FF1155CC"/>
        <sz val="11.0"/>
        <u/>
      </rPr>
      <t>http://dx.doi.org/10.1038/s41598-024-61469-6</t>
    </r>
  </si>
  <si>
    <t>Replication and Extension</t>
  </si>
  <si>
    <t>Rumination</t>
  </si>
  <si>
    <t>rumination, repetitive, negative thinking, metacognitive frameworks, self-regulation</t>
  </si>
  <si>
    <t>Rumination is a form of repetitive negative thinking with a focus on negative past experiences and feelings.</t>
  </si>
  <si>
    <t>There are  multiple paths to rumination. Major theories of rumination that put different emphasis on metacognitive and self-regulatory aspects of rumination complement each other.</t>
  </si>
  <si>
    <t>Strength of centrality of the nodes</t>
  </si>
  <si>
    <t>p.13</t>
  </si>
  <si>
    <t>https://osf.io/8t9qj</t>
  </si>
  <si>
    <t>additional_studies51_1</t>
  </si>
  <si>
    <t>additional_studies51</t>
  </si>
  <si>
    <t>model fitting analysis - recording of WAIC scores seems likely though that's not among the options</t>
  </si>
  <si>
    <t>Sastre, L. V., Defina, R., Garrett, P. M., Zacks, J. M., &amp; Dennis, S. (2024). Most daily events have no characteristic duration. Under review</t>
  </si>
  <si>
    <t>https://escholarship.org/uc/item/0qf9t9pc</t>
  </si>
  <si>
    <t>escholarship.org--uc--item--0qf9t9pc.pdf</t>
  </si>
  <si>
    <t>Sastre Gomez, V., Defina, R., Garrett, P. M., Zacks, J. M., &amp; Dennis, S. (2024). Event Distribution in Daily Life: A Replication Study. In Proceedings of the Annual Meeting of the Cognitive Science Society (Vol. 46).</t>
  </si>
  <si>
    <t>https://escholarship.org/uc/item/8p5673qn</t>
  </si>
  <si>
    <t>escholarship.org--uc--item--8p5673qn.pdf</t>
  </si>
  <si>
    <t xml:space="preserve">I do not consider this to be a direct replication study because the authors used a different method to overcome a methodological/conceptual limitation of the original study. Even if the phenomenon being studied is the same, the introduction of a method to measure the duration of events significantly alters the experimental approach. It is not a replication study, but a reformulation of the original study using a different methodological approach. The authors state: "Our primary aim was to address the identified methodological limitation observed in Sastre et al.'s (under review) research, where participants reported the start times for events, and the end time was deduced as the moment they initiated the survey. However, concerns arose about the precision of calculations for daily event durations due to reliance on participants' time inputs. To overcome this limitation, our study conducted a replication of Sastre et al.'s (under review), employing nightly segmentation methods with time-stamped pictures inspired by a previous study". </t>
  </si>
  <si>
    <t>additional_studies52_1</t>
  </si>
  <si>
    <t>additional_studies52</t>
  </si>
  <si>
    <t>replication in history - there are barely any numbers; maybe an exclusion, but not sure as there are non-social-science options in the "discipline" column</t>
  </si>
  <si>
    <t>Brooke, J. H. (1991). Science and religion: Some historical perspectives. Cambridge University Press.</t>
  </si>
  <si>
    <t>Brooke, J. H. (1991). Science and religion-Some historical perspectives.pdf</t>
  </si>
  <si>
    <t>van den Brink, G., van Eyghen, H., &amp; Peels, R. (2024). Brooke on the Merton-thesis: A Direct Replication of John Hedley Brooke's Chapter on Scientific and Religious Reform. Zygon: Journal of Religion and Science, 59.</t>
  </si>
  <si>
    <t>10.16995/zygon.11497</t>
  </si>
  <si>
    <t>10.16995--zygon.11497.pdf</t>
  </si>
  <si>
    <t>A Direct Replication of John Hedley Brooke's Chapter on Scientific and Religious Reform</t>
  </si>
  <si>
    <t>This study and replication does not constitute a quantitative measurement of phenomena but a textual analysis where no quantitative data or effect sizes are available for meta-analysis purposes.</t>
  </si>
  <si>
    <t>Political Psychology</t>
  </si>
  <si>
    <t>additional_studies53_1</t>
  </si>
  <si>
    <t>additional_studies53</t>
  </si>
  <si>
    <t>van den Brink, G., Pear, R., &amp; Peels, R. (2024). Jewish Responses to Copernican Thought: A Conceptual Replication of John Hedley Brooke's Chapter on Scientific and Religious Reform. Zygon: Journal of Religion and Science, 59.</t>
  </si>
  <si>
    <t>No statistical data provided</t>
  </si>
  <si>
    <t>10.16995/zygon.11499</t>
  </si>
  <si>
    <t>Conceptual replication</t>
  </si>
  <si>
    <t>John Hedley Brooke, Reform, Conceptual replication, Judaism, Science</t>
  </si>
  <si>
    <t>Jewish responses to Copernican thought provide evidence that social and cultural factors, in combination with theological considerations, shape the reception of scientific reform.</t>
  </si>
  <si>
    <t>One of the author’s key conclusions is that the relationship between science and religion is dynamic, diverse, and highly dependent on historical and cultural contexts, challenging simplified narratives of inherent conflict or complete separation between these spheres.</t>
  </si>
  <si>
    <t>60–85</t>
  </si>
  <si>
    <t>https://osf.io/j8n59</t>
  </si>
  <si>
    <t>Raul</t>
  </si>
  <si>
    <t>additional_studies54_1</t>
  </si>
  <si>
    <t>additional_studies54</t>
  </si>
  <si>
    <t>LR, RS</t>
  </si>
  <si>
    <t>Duplicate entry? Both original and replication are the same as above</t>
  </si>
  <si>
    <t>see entry resciencex_01_1</t>
  </si>
  <si>
    <t>Croninger, R.G., Rice, J.K., Rathbun, A., &amp; Nishio, M.(2007).Teacher qualifications and early learning: Effects of certification, degree, and experience on first-grade student achievement.Economics of Education Review, 26(3), 312–324. http://doi.org/10.1016/j.econedurev.2005.05.008</t>
  </si>
  <si>
    <t>10.1016/j.econedurev.2005.05.008</t>
  </si>
  <si>
    <t>Renbarger, R., Sulak, T., &amp; Morgan, G. (2022). The Importance of Teacher Credentials for Early Achievement: A Replication of Croninger et al. (2007) Econ. Edu. Rev. ReScience X, 1(1). Retrieved from http://rescience.org/x/article/view/8</t>
  </si>
  <si>
    <t>additional_studies55_1</t>
  </si>
  <si>
    <t>additional_studies55</t>
  </si>
  <si>
    <t>This is a conceptual replication which explores the variables through different study designs and through mediators unlike the original , see further notes under exclusion. I struggled being able to work out where the results can be matched due to use of different variables and design. UPDATE 15/12- Before submitting, I planned to look through this example again to ensure I am not wrongly excluding this pair. Whilst going through the replication paper, specifically 'Table 1' on page 5, I noticed that the main finding in bold is to a different paper than linked here as the 'original' which explains the dis-match in designs and variables. They both include the same authors but the one that correlates with the 'replication' referenced in this row is not the one attached to this document as the 'original'. I believe the correct paper that should be linked as the original in this row is referenced as follows: Fuchs, C., Prandelli, E., &amp; Schreier, M. (2010). The psychological effects of empowerment strategies on consumers’ product demand. Journal of marketing, 74(1), 65-79.</t>
  </si>
  <si>
    <t>The other coder did not seem to have difficulties and reported test statistics. I do not have access and the PDF-Link does not work. sarahashjones@gmail.com can you please check whether the 2010 or 2011 article is the target? You can send both articles to me and I will check whether the stats that Thomas entered are alright. I could not find many of the numbers and "7" + "test statistic" is not very helpful for us.</t>
  </si>
  <si>
    <t>Fuchs, C., &amp; Schreier, M. (2011). Customer empowerment in new product development. Journal of product innovation management, 28(1), 17-32. https://doi.org/10.1111/j.1540-5885.2010.00778.x</t>
  </si>
  <si>
    <t>10.1111/j.1540-5885.2010.00778.x</t>
  </si>
  <si>
    <r>
      <rPr>
        <rFont val="Calibri"/>
        <sz val="11.0"/>
      </rPr>
      <t xml:space="preserve">Bachouche, H., Hamdi-Kidar, L., &amp; Sabri, O. (2024). Empowerment strategies and their effects in digital contexts: corroboration, replication, and extension. International Journal of Advertising, 1-32. </t>
    </r>
    <r>
      <rPr>
        <rFont val="Calibri"/>
        <color rgb="FF1155CC"/>
        <sz val="11.0"/>
        <u/>
      </rPr>
      <t>https://doi.org/10.1080/02650487.2024.2362015</t>
    </r>
  </si>
  <si>
    <t>10.1080/02650487.2024.2362015</t>
  </si>
  <si>
    <t>"Corrobation, replication and extension"</t>
  </si>
  <si>
    <t xml:space="preserve">The replication study uses different outcome variables (o: customer orientation, r: psychological ownership) and also uses a different study design specifically mediators which the original does not </t>
  </si>
  <si>
    <t>Marketing</t>
  </si>
  <si>
    <t>Customer Empowerment</t>
  </si>
  <si>
    <t>Empowerment strategies, psychological ownership, corporate attitude</t>
  </si>
  <si>
    <t>O study does not report effect sizes nor meaningful test statistics for the specific forms of empowerment, and replication only reports specific types of empowerment, not "full" empowerment. For the interaction with purchase intention and WOM, only chi-square residuals and the O/E ratio are reported. The residual has been recorded as the test statistic.</t>
  </si>
  <si>
    <t>Bachouche, H., Hamdi-Kidar, L., &amp; Sabri, O. (2024). Empowerment strategies and their effects in digital contexts: corroboration, replication, and extension. International Journal of Advertising, 1-32. https://doi.org/10.1080/02650487.2024.2362015</t>
  </si>
  <si>
    <t>conceptual replication / extension</t>
  </si>
  <si>
    <t>customer empowerment</t>
  </si>
  <si>
    <t>empowerment strategies, customer perception, New Product Development (NPD), consumer empowerment</t>
  </si>
  <si>
    <t>Customer empowerment -to-select leads to higher purchase intention (t-shirts)</t>
  </si>
  <si>
    <t>When contrasting the different empowerment scenarios, patterns similar to those identified in corporate attitudes are found. First, full empowerment tends to receive the highest observed frequencies for furniture and bicycles (for T-shirts, full empowerment appears to be comparable to empowerment to select).</t>
  </si>
  <si>
    <t>Feedback for Thomas: 
I could not find most of the numbers on this page. Can you please send a screenshot for what you are referring to as "test statistics"?</t>
  </si>
  <si>
    <t>Customer empowerment -to-select leads to higher purchase intention (furniture)</t>
  </si>
  <si>
    <t>Customer empowerment -to-select leads to higher purchase intention (bicycles)</t>
  </si>
  <si>
    <t>Customer empowerment-to-select leads to higher WOM (t-shirts)</t>
  </si>
  <si>
    <t>Customer empowerment-to-select leads to higher WOM (furniture)</t>
  </si>
  <si>
    <t>Customer empowerment-to-select leads to higher WOM (bicycles)</t>
  </si>
  <si>
    <t>O study does not report effect sizes nor meaningful test statistics for the specific forms of empowerment. For their interaction with corporate (brand) attitudes, means and SD are reported, but these are not recorded in the test statistic due to the one-value restriction. Note, the study is within-subjects, and thus Cohen's dz must be calculated (Md/SDd), rather than d.</t>
  </si>
  <si>
    <t>Customer empowerment-to-select leads to higher brand attitude (t-shirts)</t>
  </si>
  <si>
    <t>In support of H2a and H2b, respectively, it is first found (using repeated measures ANOVAs) that the ‘‘empowerment to create’’ scenario (mean = 4.49) as well as the ‘‘empowerment to select’’ scenario (mean = 4.57) produced significantly stronger corporate attitudes in the case of T-shirts than the zero-empowerment scenario (mean = 4.20; p&lt;.10 and .05, respectively).</t>
  </si>
  <si>
    <t>Customer empowerment-to-select leads to higher brand attitude (furniture)</t>
  </si>
  <si>
    <t>In a similar vein, the ‘‘empowerment to cocreate’’ (mean =4.76), ‘‘empowerment to select’’ (mean = 4.76), as well as the full-empowerment scenario (mean = 5.18) are clearly superior in terms of corporate attitudes compared with the zero-empowerment scenario in the case of furniture (mean = 4.00; p &lt; .001)</t>
  </si>
  <si>
    <t>Customer empowerment-to-select leads to higher brand attitude (bicycles)</t>
  </si>
  <si>
    <t>Third, the same patterns are found for bicycles: ‘‘cocreate’’ (mean = 4.67), ‘‘select’’ (mean = 4.90), and full-empowerment (mean = 5.09) companies are associated with significantly higher corporate attitudes than zero-empowerment firms (mean 5 3.69; p &lt; .001)</t>
  </si>
  <si>
    <t>Customer empowerment -to-create leads to higher purchase intention (t-shirts)</t>
  </si>
  <si>
    <t>Customer empowerment -to-create leads to higher purchase intention (furniture)</t>
  </si>
  <si>
    <t>Customer empowerment-to-create leads to higher WOM (t-shirts)</t>
  </si>
  <si>
    <t>Customer empowerment-to-create leads to higher WOM (furniture)</t>
  </si>
  <si>
    <t>Customer empowerment-to-create leads to higher WOM (bicycles)</t>
  </si>
  <si>
    <t>Customer empowerment-to-create leads to higher brand attitude (t-shirts)</t>
  </si>
  <si>
    <t>Customer empowerment-to-create leads to higher brand attitude (furniture)</t>
  </si>
  <si>
    <t>Customer empowerment-to-create leads to higher brand attitude (bicycles)</t>
  </si>
  <si>
    <t>additional_studies56_1</t>
  </si>
  <si>
    <t>additional_studies56</t>
  </si>
  <si>
    <t>The original study does not differentiate between grasp or push movements like the replicated one, suggesting they have pooled the data across different movement types rather than examining them separately.</t>
  </si>
  <si>
    <t>- Changed replication type to internal because conceptual requires that none of the original authors was present.
Feedback for Roksana
- If there is no preregistration, please type "NA" into the variable.
- Please fill out all mandatory variables, for example you forgot to note the page for the replication finding (Ws &gt; 152).
- Please familiarize yourself with the replication types. You coded it as conceptual when the researchers were the same people.</t>
  </si>
  <si>
    <t xml:space="preserve">Schroeder, P. A., Lohmann, J., Butz, M. V., &amp; Plewnia, C. (2016). Behavioral bias for food reflected in hand movements: a preliminary study with healthy subjects. Cyberpsychology, Behavior, and Social Networking, 19(2), 120-126. https://doi.org/10.1089/cyber.2015.0311. </t>
  </si>
  <si>
    <t>10.1089/cyber.2015.0311</t>
  </si>
  <si>
    <t>Schroeder, P. A., Collantoni, E., Lohmann, J., Butz, M. V., &amp; Plewnia, C. (2024). Virtual Reality Assessment of a High-Calorie Food Bias: Replication and Food-Specificity in Healthy Participants. Behavioural Brain Research, 115096. https://doi.org/10.1016/j.bbr.2024.115096</t>
  </si>
  <si>
    <t>10.1016/j.bbr.2024.115096</t>
  </si>
  <si>
    <t>Behavioural bias for food</t>
  </si>
  <si>
    <t>Approach bias, Behavioural bias for food, Virtual reality, VR, Motion-tracking</t>
  </si>
  <si>
    <t>The effect examines whether food objects elicit faster movement initiation compared to non-food objects (replicated condition: grasp)</t>
  </si>
  <si>
    <t>"There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</si>
  <si>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Ws &gt; 152</t>
  </si>
  <si>
    <t>Feedback for Roksana
- If there is no preregistration, please type "NA" into the variable.
- Please fill out all mandatory variables, for example you forgot to note the page for the replication finding (Ws &gt; 152).
- Please familiarize yourself with the replication types. You coded it as conceptual when the researchers were the same people.</t>
  </si>
  <si>
    <t>Feedback for Thomas
- Please always fill out the claim variable. Please review the instructions to see which variables are optional.
- You noted Ws = 152 when it was actually Ws &gt; 152.
- Please change id to _b, _c, ... when creating multiple rows.
- There was nesting in the results from additional_studies56, please remember to fill out this variable or type "unsure" (eg in the abstract it says 'with 30 item repetitions').</t>
  </si>
  <si>
    <t>direct replication</t>
  </si>
  <si>
    <t>Approach bias; Behavioural bias for food; Virtual reality; VR; Motion-tracking</t>
  </si>
  <si>
    <t>Behavioral bias for food in hand movements</t>
  </si>
  <si>
    <t>W =152</t>
  </si>
  <si>
    <t>gr (&gt;)</t>
  </si>
  <si>
    <t>l(&lt;)</t>
  </si>
  <si>
    <t>n.s.</t>
  </si>
  <si>
    <t>additional_studies56_b</t>
  </si>
  <si>
    <t>The effect examines whether food objects elicit faster movement initiation compared to non-food objects (replicated condition: push)</t>
  </si>
  <si>
    <t>Ws &gt; 97</t>
  </si>
  <si>
    <t>additional_studies56_c</t>
  </si>
  <si>
    <t>This effect investigates the interaction between movement type (grasp vs. ward) and response time to objects.</t>
  </si>
  <si>
    <t>"Neither the main effect Interactiongrasp,ward, F(1, 19) = 2.80, p = 0.11"</t>
  </si>
  <si>
    <t>F(1, 19) = 2.80</t>
  </si>
  <si>
    <t>additional_studies56_d</t>
  </si>
  <si>
    <t>P-value corrected from .13 (that was the f value) to .72</t>
  </si>
  <si>
    <t>This effect investigates how the type of object interacts with movement type in determining response time.</t>
  </si>
  <si>
    <t>"Neither….nor the two-way interaction was significant, F(1, 19) = 0.13, p = 0.72."</t>
  </si>
  <si>
    <t>F(1, 19) = 0.13</t>
  </si>
  <si>
    <t>additional_studies56_e</t>
  </si>
  <si>
    <t>This effect examines whether grasp movements differ in execution time compared to ward movements.</t>
  </si>
  <si>
    <t>"Ward movements were executed faster than grasp move- ments (mean difference: 218.72 milliseconds, SE = 60.88 milliseconds), as reflected by a significant main effect of Interactiongrasp,ward, F(1, 19) = 12.90, p = 0.002, gp2 = 0.41.</t>
  </si>
  <si>
    <t>Ws &gt; 76</t>
  </si>
  <si>
    <t>additional_studies56_f</t>
  </si>
  <si>
    <t>Changed r to Ws because r might correspond to the within-subjects correlation of the repeated variables and not the effect.</t>
  </si>
  <si>
    <t>This effect investigates whether the type of object (food vs. other objects) influences movement initiation or reaching times. (replication condition: grasp)</t>
  </si>
  <si>
    <t>"Again,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</si>
  <si>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W = 360</t>
  </si>
  <si>
    <t>additional_studies56_g</t>
  </si>
  <si>
    <t>This effect investigates whether the type of object (food vs. other objects) influences movement initiation or reaching times. (replication condition: push)</t>
  </si>
  <si>
    <t>W = 191</t>
  </si>
  <si>
    <t>additional_studies56_h</t>
  </si>
  <si>
    <t>This effect explores how the combination of object type and movement direction affects movement times.</t>
  </si>
  <si>
    <t>"there was no sig- nificant two-way interaction effect, F(1, 19) = 1.19, p = 0.29"</t>
  </si>
  <si>
    <t>F(1, 19) = 1.19</t>
  </si>
  <si>
    <t>additional_studies56_i</t>
  </si>
  <si>
    <t>This effect investigates whether the type of object (food vs. ball) influences collection times.</t>
  </si>
  <si>
    <t>"we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</si>
  <si>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additional_studies56_j</t>
  </si>
  <si>
    <t>This effect examines whether there is a bias in how food objects are collected compared to other objects during different movement phases.</t>
  </si>
  <si>
    <t>"Compared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</si>
  <si>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W &gt; 140</t>
  </si>
  <si>
    <t>additional_studies56_k</t>
  </si>
  <si>
    <t>Replication finding is written in words "In the present sample, there were no statistically  significant associations with participants’ BMI"</t>
  </si>
  <si>
    <t>Changed nesting to "NA" instead of 1. It does not say how many tails there were only that one group is significantly faster than the other (which could be a combination of two-tailed significant test and positive correlation)</t>
  </si>
  <si>
    <t>This effect investigates the relationship between BMI with collection time advantages for food.</t>
  </si>
  <si>
    <t>"With increasing BMI, the collection time advantage in collecting food was indeed larger, r = 0.428, p = 0.030." "In contrast to neutral cues, both appetizing and unappetizing food cues elicited faster responses with increasing BMI in a dot-probe paradigm"</t>
  </si>
  <si>
    <t>additional_studies56_l</t>
  </si>
  <si>
    <t>The effect investigates whether objects' edibility influences their positive valence ratings compared to non-edible objects (replicated condition: high-calorie food)</t>
  </si>
  <si>
    <t>"As expected, there was a trend for edible objects to be rated more positively than ball objects, although the biserial correlation of object type and valence ratings was rather small, r = 0.15, p = 0.059."</t>
  </si>
  <si>
    <t>additional_studies56_m</t>
  </si>
  <si>
    <t>The effect investigates whether objects' edibility influences their positive valence ratings compared to non-edible objects. (replicated condition: low-calorie food)</t>
  </si>
  <si>
    <t>additional_studies57_1</t>
  </si>
  <si>
    <t>additional_studies57</t>
  </si>
  <si>
    <t>Could not use F values because the number of conditions between studies was different. Cohen's d calculated for study O for specific comparisons instead. R only reports cohen's D for the meta-analytic results of their two studies, thus that is what is reported,</t>
  </si>
  <si>
    <t>Numbers could not be checked due to inaccessible paper; chose these entries over the f-values because of study differences</t>
  </si>
  <si>
    <t>Simonson, I., &amp; Staw, B. M. (1992). Deescalation strategies: A comparison of techniques for reducing commitment to losing courses of action. Journal of Applied Psychology, 77, 419 – 426. http://dx.doi.org/10.1037/0021-9010.77.4.419</t>
  </si>
  <si>
    <t>10.1037/0021-9010.77.4.419</t>
  </si>
  <si>
    <t>Schulz-Hardt, S., Rollwage, J., Wanzel, S. K., Frisch, J. U., &amp; Häusser, J. A. (2021). Effects of process and outcome accountability on escalating commitment: A two-study replication. Journal of Experimental Psychology: Applied, 27(1), 112–124. https://doi.org/10.1037/xap0000321</t>
  </si>
  <si>
    <t>10.1037/xap0000321</t>
  </si>
  <si>
    <t>1 &amp; 2 (Meta)</t>
  </si>
  <si>
    <t xml:space="preserve">replication </t>
  </si>
  <si>
    <t>commitment escalation</t>
  </si>
  <si>
    <t>escalation of commitment, process accountability, outcome accountability,</t>
  </si>
  <si>
    <t>Whether holding decision makers accountable for the decision process decreases escalating commitment, while accountability for the decision outcomes increases it.</t>
  </si>
  <si>
    <t>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</si>
  <si>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p.120</t>
  </si>
  <si>
    <t>Maria</t>
  </si>
  <si>
    <t>Maria Stogianni</t>
  </si>
  <si>
    <t>two-study replication</t>
  </si>
  <si>
    <t>Effects of Process and Outcome Accountability on Escalating Commitment</t>
  </si>
  <si>
    <t>escalation of commitment, process accountability, outcome accountability</t>
  </si>
  <si>
    <t>Effect of deescalation techniques on the allocation of resources</t>
  </si>
  <si>
    <t>"a significant effect of experimental condition on resource allocation F(6, 183) = 4.02, p &lt; .001"</t>
  </si>
  <si>
    <t>F(6, 183) = 4.02</t>
  </si>
  <si>
    <t>additional_studies57_b</t>
  </si>
  <si>
    <t>The 1 X 7 analysis of variance yielded a significant effect of experimental condition, (6, 183) = 4.02, p &lt; .001. (outcome accountability)</t>
  </si>
  <si>
    <r>
      <rPr>
        <rFont val="Calibri"/>
        <sz val="11.0"/>
      </rPr>
      <t xml:space="preserve">Schulz-Hardt, S., Rollwage, J., Wanzel, S. K., Frisch, J. U., &amp; Häusser, J. A. (2021). Effects of process and outcome accountability on escalating commitment: A two-study replication. Journal of Experimental Psychology: Applied, 27(1), 112–124. </t>
    </r>
    <r>
      <rPr>
        <rFont val="Calibri"/>
        <color rgb="FF1155CC"/>
        <sz val="11.0"/>
        <u/>
      </rPr>
      <t>https://doi.org/10.1037/xap0000321</t>
    </r>
  </si>
  <si>
    <t>Effect of deescalation techniques on the allocation of resources (outcome accountability)-planned contrasts with baseline</t>
  </si>
  <si>
    <t>"holding subjects accountable for the decision process produced a significant decrease in resource allocation
compared with the baseline condition. F(l, 183) = 4.07, p &lt; .05"</t>
  </si>
  <si>
    <t>F(1, 183) = 4.07, p &lt; .05</t>
  </si>
  <si>
    <t>ge (&gt;)</t>
  </si>
  <si>
    <t>additional_studies57_c</t>
  </si>
  <si>
    <t>As predicted, process accountability was associated with significantly lower alloca- tions to the initial choice than was outcome accountability, /-"(I, 183)= 12.41, p&lt;.01.</t>
  </si>
  <si>
    <r>
      <rPr>
        <rFont val="Calibri"/>
        <sz val="11.0"/>
      </rPr>
      <t xml:space="preserve">Schulz-Hardt, S., Rollwage, J., Wanzel, S. K., Frisch, J. U., &amp; Häusser, J. A. (2021). Effects of process and outcome accountability on escalating commitment: A two-study replication. Journal of Experimental Psychology: Applied, 27(1), 112–124. </t>
    </r>
    <r>
      <rPr>
        <rFont val="Calibri"/>
        <color rgb="FF1155CC"/>
        <sz val="11.0"/>
        <u/>
      </rPr>
      <t>https://doi.org/10.1037/xap0000321</t>
    </r>
  </si>
  <si>
    <t xml:space="preserve">Effect of deescalation techniques on the allocation of resources (process accountability vs outcome accountability) </t>
  </si>
  <si>
    <t>"An additional planned contrast was between process accountability and outcome accountability. As predicted, process accountability was associated with significantly lower allocations to the initial choice than was outcome accountability, /-"(I, 183)= 12.41, p&lt;.01"</t>
  </si>
  <si>
    <t>F (1, 183)= 12.41, p&lt;.01</t>
  </si>
  <si>
    <t>additional_studies57_d</t>
  </si>
  <si>
    <r>
      <rPr>
        <rFont val="Calibri"/>
        <sz val="11.0"/>
      </rPr>
      <t xml:space="preserve">Schulz-Hardt, S., Rollwage, J., Wanzel, S. K., Frisch, J. U., &amp; Häusser, J. A. (2021). Effects of process and outcome accountability on escalating commitment: A two-study replication. Journal of Experimental Psychology: Applied, 27(1), 112–124. </t>
    </r>
    <r>
      <rPr>
        <rFont val="Calibri"/>
        <color rgb="FF1155CC"/>
        <sz val="11.0"/>
        <u/>
      </rPr>
      <t>https://doi.org/10.1037/xap0000321</t>
    </r>
  </si>
  <si>
    <t>additional_studies57_10</t>
  </si>
  <si>
    <t>additional_studies84</t>
  </si>
  <si>
    <t>in the o_study n was calculated based on df; reported n was 206, in the r_study n was calculated based on df; reported n was 74 (+1)</t>
  </si>
  <si>
    <t>Corrected nesting for replication from yes to no.</t>
  </si>
  <si>
    <t>Loibl, K., &amp; Rummel, N. (2014). Knowing what you don’t know makes failure productive. Learning and Instruction, 34, 74–85. https://doi.org/10.1016/j.learninstruc.2014.08.004</t>
  </si>
  <si>
    <t>10.1016/j.learninstruc.2014.08.004</t>
  </si>
  <si>
    <t>Loibl, K., Leuders, T. Can failure be made productive also in Bayesian reasoning? A conceptual replication study. Instr Sci (2024). https://doi.org/10.1007/s11251-024-09670-y</t>
  </si>
  <si>
    <t>10.1007/s11251-024-09670-y</t>
  </si>
  <si>
    <t xml:space="preserve">conceptual replication </t>
  </si>
  <si>
    <t>Problem-solving prior to instruction</t>
  </si>
  <si>
    <t>Problem-solving prior to instruction, Conceptual replication, Bayesian reasoning, Composite instructional design, Comparison, Delaying instruction, Knowledge gap, Learning from errors, Productive failure</t>
  </si>
  <si>
    <t>To progress from intuitive ideas to deep conceptual understanding, students need to become aware of
gaps in their ideas. Attempting to solve problems prior to instruction may lead to a global awareness of
knowledge gaps</t>
  </si>
  <si>
    <t>For conceptual knowledge, our analysis revealed a significant, large effect for the form of instruction (F[1,200] = 34.29, p &lt; .001, η² partial = .15) favoring instruction based on typical student solutions</t>
  </si>
  <si>
    <t>p. 14</t>
  </si>
  <si>
    <t>Feedback for Maria
- When the title of a replication says "conceptual", you can code it as conceptual (you coded "close").</t>
  </si>
  <si>
    <t>effect of type of instruction on conceptual knowledge</t>
  </si>
  <si>
    <t>"The ANCOVA for conceptual knowledge revealed significant differences between conditions (F[2,94] = 17.49, p &lt; .001".</t>
  </si>
  <si>
    <t>additional_studies84_b</t>
  </si>
  <si>
    <t xml:space="preserve">The timing of instruction (F[1,200] = 1.65, p = .20) </t>
  </si>
  <si>
    <t>F [1,200] = 1.65</t>
  </si>
  <si>
    <t>effect of timing of instruction on conceptual knowledge</t>
  </si>
  <si>
    <t>"Second,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</si>
  <si>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 </t>
  </si>
  <si>
    <t>additional_studies84_c</t>
  </si>
  <si>
    <t xml:space="preserve">And the interaction (F[1,200] = 1.08, p = .30) were not significant </t>
  </si>
  <si>
    <t>F[1,200] = 1.08</t>
  </si>
  <si>
    <t>effect of type of instruction on procedural skills</t>
  </si>
  <si>
    <t>"The ANCOVA for procedural skills revealed significant differences between conditions (F[2,94] = 4.86, p = .01)".</t>
  </si>
  <si>
    <t>additional_studies84_d</t>
  </si>
  <si>
    <t>For procedural skills, we found a significant, small effect for the timing of instruction (F[1,200] = 3.98, p = .047, η² partial = .02) favoring instruction prior to problem-solving</t>
  </si>
  <si>
    <t>effect of timing of instruction on procedural skills</t>
  </si>
  <si>
    <t>"The form of instruction in the instruction prior to problem-solving conditions (F[1,94] = .13, p = .72) had no significant effect on the acquisition of procedural skills".</t>
  </si>
  <si>
    <t>F(1,94) = .13</t>
  </si>
  <si>
    <t>additional_studies84_e</t>
  </si>
  <si>
    <t xml:space="preserve">but no significant effect for the form of instruction (F[1,200] = 0.39, p = .53), </t>
  </si>
  <si>
    <t>F[1,200] = 0.39</t>
  </si>
  <si>
    <t>"For conceptual knowledge, we found a significant effect with a large effect size for form of instruction (F[1,243] = 45.35, p &lt; .001, favoring instruction based on typical student solutions (i.e., supporting hypothesis 1a)"</t>
  </si>
  <si>
    <t xml:space="preserve">p. 8 </t>
  </si>
  <si>
    <t>additional_studies84_f</t>
  </si>
  <si>
    <t>or for the interaction (F[1,200] = 1.32, = .25).</t>
  </si>
  <si>
    <t>F[1,200] = 1.32</t>
  </si>
  <si>
    <t>"For conceptual knowledge, we found a significant effect with medium effect size for timing of instruction (F[1,234] = 21.30, p &lt; .001,
 favoring problem-solving prior to instruction"</t>
  </si>
  <si>
    <t>additional_studies84_g</t>
  </si>
  <si>
    <t>"For procedural skills, neither the timing of instruction (F [1,234] = 1.35, p = .25; i.e., no support for hypothesis"</t>
  </si>
  <si>
    <t>F(1,234)= 0.002</t>
  </si>
  <si>
    <t>10.1016--j.learninstruc.2014.08.004.pdf</t>
  </si>
  <si>
    <t>interaction of timing and type of instruction on procedural skills</t>
  </si>
  <si>
    <t>"The interaction of the two factors (F[1,234] = 3.25, p = .07) was marginally significant".</t>
  </si>
  <si>
    <t>F[1,234] = 3.25</t>
  </si>
  <si>
    <t xml:space="preserve">p. 9 </t>
  </si>
  <si>
    <t>F(1,71) = 0.01</t>
  </si>
  <si>
    <t>additional_studies84_h</t>
  </si>
  <si>
    <t>"For procedural skills form of instruction (F[1,234] = 0.002, p = .97) was significant"</t>
  </si>
  <si>
    <t>F(1,234) = 1.35</t>
  </si>
  <si>
    <t>additional_studies84_i</t>
  </si>
  <si>
    <t>interaction of timing and type of instruction on conceptual knowledge</t>
  </si>
  <si>
    <t>"We further found a significant interaction (F[1,234] = 4.68, p = .03, indicating that the form of instruction had a higher effect in the problem-solving prior to instruction conditions".</t>
  </si>
  <si>
    <t>F(1,71) = 0.84</t>
  </si>
  <si>
    <t>additional_studies57_2</t>
  </si>
  <si>
    <t>additional_studies58</t>
  </si>
  <si>
    <t>Staw, B. M. (1976). Knee-deep in the big muddy: A study of escalating commitment to a chosen course of action. Organizational Behavior and Human Performance, 16, 27-44. https://doi.org/10.1016/0030-5073(76)90005-2</t>
  </si>
  <si>
    <t>10.1016/0030-5073(76)90005-2</t>
  </si>
  <si>
    <t>Schultze, T., &amp; Schulz-Hardt, S. (2022). Does change of responsibility reduce escalating commitment? A replication and theoretical extension. Journal of Experimental Psychology: Applied, 28(1), 189–204. https://doi.org/10.1037/xap0000366</t>
  </si>
  <si>
    <t>10.1037/xap0000366</t>
  </si>
  <si>
    <t>escalation of commitment, responsibility effect, decision-making</t>
  </si>
  <si>
    <t>Examined the role of personal responsibility and consequences of decisions in escalating commitment.</t>
  </si>
  <si>
    <t>p.37</t>
  </si>
  <si>
    <t>p.195</t>
  </si>
  <si>
    <t>Feedback for Thomas
- When entering test statistics, please enter the entire test statistic and type "test statistic" into the effect type variable (eg not 7.2 but F(1, 243) = 7.2)</t>
  </si>
  <si>
    <t>p.198</t>
  </si>
  <si>
    <t>p. 195</t>
  </si>
  <si>
    <t>effects in figure 3, statistics not reported; these different rows are related to one specific effect</t>
  </si>
  <si>
    <t>replication and theoretical extension</t>
  </si>
  <si>
    <t>escalating commitment</t>
  </si>
  <si>
    <t>escalation of commitment; responsibility effect; decision-making</t>
  </si>
  <si>
    <t>Effects of personal responsibility on escalating commitment</t>
  </si>
  <si>
    <t xml:space="preserve">"Under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 </t>
  </si>
  <si>
    <t>F(1, 235) = 14.40</t>
  </si>
  <si>
    <t>p. 24</t>
  </si>
  <si>
    <t>https://osf.io/uqsf6/</t>
  </si>
  <si>
    <t>additional_studies58_b</t>
  </si>
  <si>
    <t>Effects of decision consequences on escalating commitment</t>
  </si>
  <si>
    <t>"Under positive decision consequences, subjects allocated an average of 8.77
million to the previously chosen alternative, while 11.20 million was allocated under negative consequences"</t>
  </si>
  <si>
    <t>F(1, 235) = 17.93</t>
  </si>
  <si>
    <t>p. 26</t>
  </si>
  <si>
    <t>additional_studies58_c</t>
  </si>
  <si>
    <t>Effects of Personal Responsibility and Decision Consequences on escalating commitment (interaction)</t>
  </si>
  <si>
    <t>"the amount invested in the previously chosen alternative was greater in the high personal responsibility-negative consequences condition than in any of the other three experimental conditions.</t>
  </si>
  <si>
    <t>F(1, 235) = 5.56</t>
  </si>
  <si>
    <t>additional_studies58_d</t>
  </si>
  <si>
    <t>p. 34</t>
  </si>
  <si>
    <t>additional_studies58_e</t>
  </si>
  <si>
    <t>additional_studies58_f</t>
  </si>
  <si>
    <t>additional_studies57_3</t>
  </si>
  <si>
    <t>additional_studies61</t>
  </si>
  <si>
    <r>
      <rPr>
        <rFont val="Calibri"/>
        <sz val="11.0"/>
      </rPr>
      <t xml:space="preserve">R not pre-registered, but analysis and data open access: </t>
    </r>
    <r>
      <rPr>
        <rFont val="Calibri"/>
        <color rgb="FF1155CC"/>
        <sz val="11.0"/>
        <u/>
      </rPr>
      <t>https://osf.io/864nx/</t>
    </r>
  </si>
  <si>
    <t>Corrected citation
OSF Link (https://osf.io/uqsf6/) has no preregistration, which is why it was removed from the prereg_r variable</t>
  </si>
  <si>
    <t>Barrett, F. S., Grimm, K. J., Robins, R. W., Wildschut, T., Sedikides, C., &amp; Janata, P. (2010). Music-evoked nostalgia: affect, memory, and personality. Emotion (Washington, D.C.), 10(3), 390–403. https://doi.org/10.1037/a0019006</t>
  </si>
  <si>
    <t>10.1037/a0019006</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</si>
  <si>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</si>
  <si>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10.1037/emo0001389</t>
  </si>
  <si>
    <t>nostalgia proneness</t>
  </si>
  <si>
    <t>music, emotion, nostalgia, affect, personality</t>
  </si>
  <si>
    <t>Nostalgia proneness (trait-level nostalgia) is associated with stronger music-evoked nostalgia</t>
  </si>
  <si>
    <t>When we included only the SNS, it significantly predicted the strength of music-evoked nostalgia in the expected direction, β=.1082,t(224)=2.81,p=.01\beta = .1082, t(224) = 2.81, p = .01β=.1082,t(224)=2.81,p=.01. …</t>
  </si>
  <si>
    <t>p.393-394</t>
  </si>
  <si>
    <t>pp.1806-1807</t>
  </si>
  <si>
    <r>
      <rPr>
        <rFont val="Calibri"/>
        <sz val="11.0"/>
      </rPr>
      <t xml:space="preserve">R not pre-registered, but analysis and data open access: </t>
    </r>
    <r>
      <rPr>
        <rFont val="Calibri"/>
        <color rgb="FF1155CC"/>
        <sz val="11.0"/>
        <u/>
      </rPr>
      <t>https://osf.io/864nx/</t>
    </r>
  </si>
  <si>
    <t>Corrected citation
OSF Link (https://osf.io/uqsf6/) has no preregistration, which is why it was removed from the prereg_r variable
Feedback for Thomas
- When duplicating rows, please change the id for the second one (_b, _c, ...)</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</si>
  <si>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</si>
  <si>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Feedback for Thomas
- When duplicating rows, please change the id for the second one (_b, _c, ...)
- When entering multiple effects, please use the "description" variable to explain what the difference is</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</si>
  <si>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</si>
  <si>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music-evoked nostalgia</t>
  </si>
  <si>
    <t>Effects of context-level measures on music-evoked nostalgia (arousal)</t>
  </si>
  <si>
    <t>"Participants reported more music-evoked nostalgia when listening to songs that they found arousing"</t>
  </si>
  <si>
    <t>p. 5-6</t>
  </si>
  <si>
    <t>additional_studies61_b</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</si>
  <si>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</si>
  <si>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Effects of context-level measures on music-evoked nostalgia (positive emotions)</t>
  </si>
  <si>
    <t>"Participants reported more music-evoked nostalgia when listening to songs that evoked in them greater numbers of positive and negative emotions"</t>
  </si>
  <si>
    <t>additional_studies61_c</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</si>
  <si>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</si>
  <si>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Effects of context-level measures on music-evoked nostalgia (mixed emotions)</t>
  </si>
  <si>
    <t>"Participants reported more music-evoked nostalgia when listening to songs that gave rise to mixed emotions"</t>
  </si>
  <si>
    <t>additional_studies61_d</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</si>
  <si>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</si>
  <si>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 xml:space="preserve">Effects of person level predictors on music-evoked nostalgia (Nostalgia proneness) </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</si>
  <si>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
</t>
  </si>
  <si>
    <t>additional_studies61_e</t>
  </si>
  <si>
    <t>claim in Table 2</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</si>
  <si>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</si>
  <si>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Interaction of context-level and person-level predictors on music-evoked nostalgia (nostalgia proneness x arousal)</t>
  </si>
  <si>
    <t>Interaction of context-level and person-level predictors on music-evoked nostalgia (nostalgia proneness x arousal), Table 2</t>
  </si>
  <si>
    <t>additional_studies57_4</t>
  </si>
  <si>
    <t>additional_studies64</t>
  </si>
  <si>
    <t>The replication study has not yet occured; exclude</t>
  </si>
  <si>
    <t>Arkes, H. R., Joyner, C. A., Pezzo, M. V., Nash, J. G., Siegel-Jacobs, K., &amp; Stone, E. (1994). The psychology of windfall gains. Organizational behavior and human decision processes, 59(3), 331-347. https://doi.org/10.1006/obhd.1994.1063</t>
  </si>
  <si>
    <t>10.1006/obhd.1994.1063</t>
  </si>
  <si>
    <t>1, 2, 3</t>
  </si>
  <si>
    <t>Teng, X., Zhang, Y., Qi, R., Wu, Y., Mu, Z., Chow, K., &amp; Feldman, G. (2024, June 21). Revisiting the the psychology of windfall gains: Replication and extensions Registered Report of Arkes et al. (1994) Studies 1, 2, and 3. https://doi.org/10.17605/OSF.IO/B25TR</t>
  </si>
  <si>
    <t>10.17605/OSF.IO/B25TR</t>
  </si>
  <si>
    <t>The replication study has not yet occured</t>
  </si>
  <si>
    <t xml:space="preserve">Feedback for Maria
- This is a stage 1 registered report and it says at the beginning (eg p. 5) that the results are based on a randomized pseudo-dataset. </t>
  </si>
  <si>
    <t>Replication and extensions registered report</t>
  </si>
  <si>
    <t>windfall gains</t>
  </si>
  <si>
    <t>Windfall gains, bias, judgment and decision making (JDM), registered replication, choice</t>
  </si>
  <si>
    <t>windfall gains are spent more easily than other types of assets</t>
  </si>
  <si>
    <r>
      <rPr>
        <rFont val="Calibri"/>
        <color theme="1"/>
        <sz val="11.0"/>
      </rPr>
      <t xml:space="preserve">"Those who won the money on a radio contest were more likely to spend the money (M = 3.11) than those who earned it by working overtime (M = 4.25). This difference was statistically significant, </t>
    </r>
    <r>
      <rPr>
        <rFont val="Calibri"/>
        <i/>
        <color theme="1"/>
        <sz val="11.0"/>
      </rPr>
      <t>t</t>
    </r>
    <r>
      <rPr>
        <rFont val="Calibri"/>
        <color theme="1"/>
        <sz val="11.0"/>
      </rPr>
      <t>(91) = 2.97, p &lt; .01"</t>
    </r>
  </si>
  <si>
    <t>t(91) = 2.97</t>
  </si>
  <si>
    <t>p. 36</t>
  </si>
  <si>
    <t>https://osf.io/g4xcb</t>
  </si>
  <si>
    <t>additional_studies64_b</t>
  </si>
  <si>
    <t>Extension study 1</t>
  </si>
  <si>
    <r>
      <rPr>
        <rFont val="Calibri"/>
        <color theme="1"/>
        <sz val="11.0"/>
      </rPr>
      <t xml:space="preserve">"Those who won the money on a radio contest were more likely to spend the money (M = 3.11) than those who earned it by working overtime (M = 4.25). This difference was statistically significant, </t>
    </r>
    <r>
      <rPr>
        <rFont val="Calibri"/>
        <i/>
        <color theme="1"/>
        <sz val="11.0"/>
      </rPr>
      <t>t</t>
    </r>
    <r>
      <rPr>
        <rFont val="Calibri"/>
        <color theme="1"/>
        <sz val="11.0"/>
      </rPr>
      <t>(91) = 2.97, p &lt; .01"</t>
    </r>
  </si>
  <si>
    <t>cohen's w</t>
  </si>
  <si>
    <t>p. 42</t>
  </si>
  <si>
    <t>additional_studies64_c</t>
  </si>
  <si>
    <t>es_value_o calculated using the formula</t>
  </si>
  <si>
    <t>"The tax rebate group was more likely to make the investment, whereas the savings group exhibited no marked preference between investing and not investing "</t>
  </si>
  <si>
    <t>additional_studies64_d</t>
  </si>
  <si>
    <t>Extension study 2</t>
  </si>
  <si>
    <t>additional_studies64_e</t>
  </si>
  <si>
    <t>es_value_o calculated using the formula, exact p value not reported, ns</t>
  </si>
  <si>
    <t>money earned while working hard are less likely to be spent than money earned while doing an easier job</t>
  </si>
  <si>
    <t>"Despite obvious differences in job difficulty, the groups in the main experiment did not differ in their willingness to buy the television. The chi square analysis comparing questionnaires 3A and 3B did not approach significance".</t>
  </si>
  <si>
    <t>ns</t>
  </si>
  <si>
    <t>additional_studies64_f</t>
  </si>
  <si>
    <t>Extension study 3</t>
  </si>
  <si>
    <t>additional_studies57_5</t>
  </si>
  <si>
    <t>additional_studies73</t>
  </si>
  <si>
    <t>O is strictly qualitative</t>
  </si>
  <si>
    <t>Hohensee, C. (2017). Preparing elementary prospective teachers to teach early algebra. Journal of Mathematics Teacher Education, 20, 231-257. https://doi.org/10.1007/s10857-015-9324-9</t>
  </si>
  <si>
    <t>10.1007/s10857-015-9324-9</t>
  </si>
  <si>
    <t>Hohensee, C., &amp; Borji, V. (2024). Preparing elementary pre-service teachers to teach early algebra: A conceptual replication study. The Journal of Mathematical Behavior, 75, 101174. https://doi.org/10.1016/j.jmathb.2024.101174</t>
  </si>
  <si>
    <t>10.1016/j.jmathb.2024.101174</t>
  </si>
  <si>
    <t>qualitative study, no effect sizes reported</t>
  </si>
  <si>
    <r>
      <rPr>
        <rFont val="Calibri"/>
        <sz val="11.0"/>
      </rPr>
      <t xml:space="preserve">Hohensee, C. (2017). Preparing elementary prospective teachers to teach early algebra. Journal of Mathematics Teacher Education, 20, 231-257. </t>
    </r>
    <r>
      <rPr>
        <rFont val="Calibri"/>
        <color rgb="FF1155CC"/>
        <sz val="11.0"/>
        <u/>
      </rPr>
      <t>https://doi.org/10.1007/s10857-015-9324-9</t>
    </r>
  </si>
  <si>
    <t>A conceptual replication study</t>
  </si>
  <si>
    <t>early algebra</t>
  </si>
  <si>
    <t>Early algebra, Pre-symbolic algebraic reasoning, Elementary pre-service teachers</t>
  </si>
  <si>
    <t>"developing informal representations for variables and unknowns and learning about the
two interpretations of the equal sign were meaningful new insights for the prospective
teachers."</t>
  </si>
  <si>
    <t>Abstract</t>
  </si>
  <si>
    <t>p. 1</t>
  </si>
  <si>
    <t>additional_studies57_6</t>
  </si>
  <si>
    <t>additional_studies76</t>
  </si>
  <si>
    <t xml:space="preserve">Due to a bug in the analysis code, the replication
paper is being revised </t>
  </si>
  <si>
    <r>
      <rPr>
        <rFont val="Calibri"/>
        <sz val="11.0"/>
      </rPr>
      <t xml:space="preserve">Trafimow, D., &amp; Hughes, J. S. (2012). Testing the death thought suppression and rebound hypothesis: Death thought accessibility following mortality salience decreases during a delay. Social Psychological and Personality Science, 3(5), 622-629. </t>
    </r>
    <r>
      <rPr>
        <rFont val="Calibri"/>
        <color rgb="FF1155CC"/>
        <sz val="11.0"/>
        <u/>
      </rPr>
      <t>https://doi.org/10.1177/1948550611432938</t>
    </r>
  </si>
  <si>
    <t>10.1177/1948550611432938</t>
  </si>
  <si>
    <t>Rife, S. C., Lambert, Q. S., Calin-Jageman, R., Adamkovic, M., Baník, G., Barberia, I., … Wiggins, B. J. (2024, July 3). Registered Replication Report: Study 3 from Trafimow and Hughes  (2012). https://doi.org/10.31234/osf.io/esu9z</t>
  </si>
  <si>
    <t>10.31234/osf.io/esu9z</t>
  </si>
  <si>
    <t>due to a bug in the analysis code the paper is being revised, final results might be different, the replication paper coded is the pre-print version published in March 2024, in the replication CI are reported and no p values for the meta-analytic effect size</t>
  </si>
  <si>
    <t>Trafimow, D., &amp; Hughes, J. S. (2012). Testing the death thought suppression and rebound hypothesis: Death thought accessibility following mortality salience decreases during a delay. Social Psychological and Personality Science, 3(5), 622-629. https://doi.org/10.1177/1948550611432938</t>
  </si>
  <si>
    <t>Registered Replication Report</t>
  </si>
  <si>
    <t>Death Thought Suppression and Rebound Hypothesis:</t>
  </si>
  <si>
    <t>terror management theory, suppression, rebound, concept accessibility, death-thought accessibility</t>
  </si>
  <si>
    <t>death thought accessibility would be greater in the Mortality Salience no delay condition than in the other three conditions (MS delay, Dental Pain delay, Dental Pain no delay)</t>
  </si>
  <si>
    <t>"A planned contrast showed that the number of death words created in the MS no delay condition (M 1⁄4 0.94, SD 1⁄4 1.21) was
greater than the number of death words created in the other three conditions (MS delay: M 1⁄4 0.56, SD 1⁄4 0.67; DPS delay:
M 1⁄4 0.56, SD 1⁄4 0.73; DPS no delay: M 1⁄4 0.63, SD 1⁄4 0.67), t(116) 1⁄4 2.02, p 1⁄4 .045, d 1⁄4 0.38".</t>
  </si>
  <si>
    <t>p. 21</t>
  </si>
  <si>
    <t>https://osf.io/preprints/psyarxiv/esu9z</t>
  </si>
  <si>
    <t>additional_studies76_b</t>
  </si>
  <si>
    <t>due to a bug in the analysis code the paper is being revised, final results might be different, the replication paper coded is the pre-print version published in March 2024, in the replication CI are reported and no p values for the meta-analytic effect size, replication extension the authors report "we conducted a straightforward comparison of the delay/no delay mortality salience induction groups on both dependent variables. This is a deviation from the analysis performed by Trafimow and Hughes (2012), who compared word counts in the delay/death group to all other groups (no delay/dental pain, delay/dental pain, no delay/death)".</t>
  </si>
  <si>
    <t>additional_studies57_7</t>
  </si>
  <si>
    <t>additional_studies79</t>
  </si>
  <si>
    <t>in the o_study n was calculated based on df; reported n was 24, the analysis of this effect was mentioned in the r_study but the results were not reported, it was complicated to code this study as there were many conflicting claims between both papers so it is possible that I have missed important effects...</t>
  </si>
  <si>
    <t>Zhang, X., Bachmann, P., Schilling, T. M., Naumann, E., Schächinger, H., &amp; Larra, M. F. (2018). Emotional stress regulation: The role of relative frontal alpha asymmetry in shaping the stress
response. Biological psychology, 138, 231-239. https://doi.org/10.1016/j.biopsycho.2018.08.007</t>
  </si>
  <si>
    <t>10.1016/j.biopsycho.2018.08.007</t>
  </si>
  <si>
    <t>Bischoff, M. (2024). Evaluating the reliability of relative frontal alpha asymmetry as a state-dependent correlate of the stress response in a mixed-sex sample: A replication study (Master's thesis, University of Twente). Retrieved from https://purl.utwente.nl/essays/100571</t>
  </si>
  <si>
    <t>replication study</t>
  </si>
  <si>
    <t>Neuroscience (biological psychology)</t>
  </si>
  <si>
    <t>The role of relative frontal alpha asymmetry in shaping the stress response</t>
  </si>
  <si>
    <t xml:space="preserve">stress; emotion; cold pressor test; feet; cortisol; EEG; cardiovascular
</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</si>
  <si>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 </t>
  </si>
  <si>
    <t>cold pressor stress induced a shift towards greater right frontal activation which, however, was limited to F7/F8... A CONDITION * 
TIME * LOCATION within-subjects ANOVA resulted in...marginally significant three-way interaction of CONDITION*TIME*LOCATION (F[1,20] = 3.57, p = .073)</t>
  </si>
  <si>
    <t>F[1,20] = 3.57</t>
  </si>
  <si>
    <t>replication male subjects only, statistics for NA results in replication not reported</t>
  </si>
  <si>
    <r>
      <rPr>
        <rFont val="Calibri"/>
        <sz val="11.0"/>
      </rPr>
      <t xml:space="preserve">Bischoff, M. (2024). Evaluating the reliability of relative frontal alpha asymmetry as a state-dependent correlate of the stress response in a mixed-sex sample: A replication study (Master's thesis, University of Twente). Retrieved from </t>
    </r>
    <r>
      <rPr>
        <rFont val="Calibri"/>
        <color rgb="FF1155CC"/>
        <sz val="11.0"/>
        <u/>
      </rPr>
      <t>https://purl.utwente.nl/essays/100571</t>
    </r>
  </si>
  <si>
    <t>https://essay.utwente.nl/100571/1/Bischoff_MA_BMS.pdf</t>
  </si>
  <si>
    <t>emotion stress regulation: the role of of relative frontal
alpha asymmetry</t>
  </si>
  <si>
    <t>stress; emotion; cold pressor test; feet; cortisol; EEG; cardiovascular</t>
  </si>
  <si>
    <t>2 way interaction condition x time on frontal alpha asymetry</t>
  </si>
  <si>
    <t>"A CONDITION *TIME * LOCATION within-subjects ANOVA resulted in a significant two-way interactions of CONDITION*TIME (F[1,20] = 5.38, p = .031, η² = .118)"</t>
  </si>
  <si>
    <t>additional_studies79_b</t>
  </si>
  <si>
    <t>Frontal asymmetry during acute stress was unrelated to other stress response components…asymmetry at F3/F4 remained unchanged during stress...(r = . -.204, p = .375)</t>
  </si>
  <si>
    <t>2-17-20</t>
  </si>
  <si>
    <t>p.20</t>
  </si>
  <si>
    <t>p.19</t>
  </si>
  <si>
    <t>replication mixed sample, statistics for NA results in replication not reported</t>
  </si>
  <si>
    <r>
      <rPr>
        <rFont val="Calibri"/>
        <sz val="11.0"/>
      </rPr>
      <t xml:space="preserve">Bischoff, M. (2024). Evaluating the reliability of relative frontal alpha asymmetry as a state-dependent correlate of the stress response in a mixed-sex sample: A replication study (Master's thesis, University of Twente). Retrieved from </t>
    </r>
    <r>
      <rPr>
        <rFont val="Calibri"/>
        <color rgb="FF1155CC"/>
        <sz val="11.0"/>
        <u/>
      </rPr>
      <t>https://purl.utwente.nl/essays/100571</t>
    </r>
  </si>
  <si>
    <t>additional_studies79_c</t>
  </si>
  <si>
    <t>Cortisol responses were best predicted by resting asymmetry at electrodes F3/F4…the correlation with cortisol only reached significance during baseline (r = . -.512, p = .018)</t>
  </si>
  <si>
    <t>2-17</t>
  </si>
  <si>
    <t>additional_studies57_8</t>
  </si>
  <si>
    <t>additional_studies81</t>
  </si>
  <si>
    <t>most of the effects in the o_study and the r_study are reported in plots, I only coded the effects that matched and had statistical results explicitly reported</t>
  </si>
  <si>
    <t>Discarded for missing data (no replication test was conducted)</t>
  </si>
  <si>
    <t>Edwards, S. H., Kandru, N., &amp; Rajagopal, M. B. (2017, August). Investigating static analysis errors in student Java programs. In Proceedings of the 2017 ACM Conference on International Computing Education Research (pp. 65-73). https://doi.org/10.1145/3105726.3106182</t>
  </si>
  <si>
    <t>10.1145/3105726.3106182</t>
  </si>
  <si>
    <r>
      <rPr>
        <rFont val="Calibri"/>
        <sz val="11.0"/>
      </rPr>
      <t xml:space="preserve">Liu, D., Calver, J., &amp; Craig, M. (2024). Are a Static Analysis Tool Study's Findings Static? A Replication. In Proceedings of the 2024 on Innovation and Technology in Computer Science Education V. 1 (pp. 80-86). </t>
    </r>
    <r>
      <rPr>
        <rFont val="Calibri"/>
        <color rgb="FF1155CC"/>
        <sz val="11.0"/>
        <u/>
      </rPr>
      <t>https://doi.org/10.1145/3649217.3653545</t>
    </r>
  </si>
  <si>
    <t>10.1145/3649217.3653545</t>
  </si>
  <si>
    <t>conceptual replication</t>
  </si>
  <si>
    <t>Education (computer science)</t>
  </si>
  <si>
    <t>static analysis</t>
  </si>
  <si>
    <t>Java; Web-CAT; static analysis; Checkstyle; PMD; coding style; 
formatting; documentation; coding standard</t>
  </si>
  <si>
    <t>We examine the differences between the error rates of CS major and non-major beginners, and also examine how these patterns change over time as students progress through the CS major course sequence.</t>
  </si>
  <si>
    <t>Are static analysis errors related to student achievement, in terms of earning grades?...examining a scatterplot of the two variables...ndividual error rate on an assignment and the corresponding score...does not reveal a clear visible trend (correlation R = -0.27).</t>
  </si>
  <si>
    <t>Liu, D., Calver, J., &amp; Craig, M. (2024). Are a Static Analysis Tool Study's Findings Static? A Replication. In Proceedings of the 2024 on Innovation and Technology in Computer Science Education V. 1 (pp. 80-86). https://doi.org/10.1145/3649217.3653545</t>
  </si>
  <si>
    <t>a replication</t>
  </si>
  <si>
    <t>static analysis errors in student programming</t>
  </si>
  <si>
    <t>Java; Web-CAT; static analysis; Checkstyle; PMD; coding style;  formatting; documentation; coding standard, replication, style checker, error messages</t>
  </si>
  <si>
    <t>most frequent static analysis errors</t>
  </si>
  <si>
    <t xml:space="preserve">"formatting errors occur most often 49%" </t>
  </si>
  <si>
    <t>Edwards, S. H., Kandru, N., &amp; Rajagopal, M. B. (2017, August). Investigating static analysis errors in student Java programs. In Proceedings of the 2017 ACM Conference on International Computing Education Research (pp. 65-73). https://doi.org/10.1145/3105726.3106183</t>
  </si>
  <si>
    <t>Liu, D., Calver, J., &amp; Craig, M. (2024). Are a Static Analysis Tool Study's Findings Static? A Replication. In Proceedings of the 2024 on Innovation and Technology in Computer Science Education V. 1 (pp. 80-86). https://doi.org/10.1145/3649217.3653546</t>
  </si>
  <si>
    <t>An analysis of variance including course, the presence of coding errors in the final product, and the presence of coding errors at any point during development of the solution indicated that coding flaws are significantly related to program grades earned (F = 2755, p &lt; 0.0001). Presence of coding flaws at any point when developing a solution resulted in significantly lower scores on the assignment</t>
  </si>
  <si>
    <t>F = 2755</t>
  </si>
  <si>
    <t>𝐹 = 688.7</t>
  </si>
  <si>
    <t>4 - conceptual</t>
  </si>
  <si>
    <t>additional_studies81_b</t>
  </si>
  <si>
    <t xml:space="preserve">Figure 2 in R study </t>
  </si>
  <si>
    <t>Impact of student experience levels on the most frequent errors</t>
  </si>
  <si>
    <t xml:space="preserve">"A one-way analysis of variance shows that the overall error rates do differ significantly by course (F = 526, p &lt; 0.0001). Tukey’s HSD indicates that each course is different from the three others, with its own distinct overall error rate. Among CS majors, the difference between courses indicated by the ANOVA appears in Figure 3 as a general decrease in error rates as students progress from CS1 to CS2 to CS3. Formatting errors are a notable exception, showing little difference across the three in-majors courses". </t>
  </si>
  <si>
    <t>F = 526</t>
  </si>
  <si>
    <t>additional_studies81_c</t>
  </si>
  <si>
    <t>ns correlation in original study</t>
  </si>
  <si>
    <t>relationship between overall grades and all static analysis errors</t>
  </si>
  <si>
    <t>"While an ANCOVA suggests a relationship between individual error rate on an assignment and the corresponding score (F = 5211, pp &lt; 0.0001), examining a scatterplot of the two variables does not reveal a clear visible trend (correlation R = -0.27)"</t>
  </si>
  <si>
    <t>additional_studies81_d</t>
  </si>
  <si>
    <t>effect size type not reported, I assumed it's etasq because of ANOVA</t>
  </si>
  <si>
    <t>Feedback for Maria
- If there is no effect size type reported alongside the effect size, please write es type as NA. For example, in an ANOVA standardized effect sizes are f, eta squared, and R² (R² and eta are out because it is larger than 1 here) depending on the software that is used, but authors could even compute d from the f statistic and the DFs.</t>
  </si>
  <si>
    <t>relationship between overall grades and coding flaws</t>
  </si>
  <si>
    <t>"presence of coding flaws in the final submission itself was associated with dramatically lower scores (mean without flaws in final work = 91.4%, mean with flaws in final work = 48.2%, F = 7710, p &lt; 0.0001), with an effect size of 1.97"</t>
  </si>
  <si>
    <t>F = 7710</t>
  </si>
  <si>
    <t>additional_studies57_9</t>
  </si>
  <si>
    <t>additional_studies83</t>
  </si>
  <si>
    <t>the replication study is not available</t>
  </si>
  <si>
    <t>Börstler, J., &amp; Paech, B. (2016). The role of method chains and comments in software readability and comprehension—an experiment. IEEE Transactions on Software Engineering, 42(9), 886-898. https://doi.org/10.1109/TSE.2016.2527791</t>
  </si>
  <si>
    <t>10.1109/TSE.2016.2527791</t>
  </si>
  <si>
    <r>
      <rPr>
        <rFont val="Calibri"/>
        <sz val="11.0"/>
      </rPr>
      <t xml:space="preserve">Sampaio, I. B., &amp; Sampaio, A. (2024, June). Replication of a Study about the Impact of Method Chaining and Comments on Readability and Comprehension. In 2024 4th International Conference on Code Quality (ICCQ) (pp. 35-52). IEEE. </t>
    </r>
    <r>
      <rPr>
        <rFont val="Calibri"/>
        <color rgb="FF1155CC"/>
        <sz val="11.0"/>
        <u/>
      </rPr>
      <t>https://doi.org/10.1109/ICCQ60895.2024.10576941</t>
    </r>
  </si>
  <si>
    <t>10.1109/ICCQ60895.2024.10576941</t>
  </si>
  <si>
    <t>no p value reported only α</t>
  </si>
  <si>
    <r>
      <rPr>
        <rFont val="Arial"/>
      </rPr>
      <t xml:space="preserve">replication accessed via </t>
    </r>
    <r>
      <rPr>
        <rFont val="Arial"/>
        <color rgb="FF1155CC"/>
        <u/>
      </rPr>
      <t>https://se.ifi.uni-heidelberg.de/fileadmin/pdf/publications/2016_The_Role_of_Method_Chains.pdf</t>
    </r>
  </si>
  <si>
    <t>Sampaio, I. B., &amp; Sampaio, A. (2024, June). Replication of a Study about the Impact of Method Chaining and Comments on Readability and Comprehension. In 2024 4th International Conference on Code Quality (ICCQ) (pp. 35-52). IEEE. https://doi.org/10.1109/ICCQ60895.2024.10576941</t>
  </si>
  <si>
    <t>a conceptual replication</t>
  </si>
  <si>
    <t xml:space="preserve">Impact of Method Chains and Comment Variants on Code Readability and Comprehension </t>
  </si>
  <si>
    <t>Software readability, software comprehension, software measurement, comments, method chains, experiment</t>
  </si>
  <si>
    <t>impact of code variants on code perceived readability</t>
  </si>
  <si>
    <t>"Regarding RQ1, there are significant differences between the comment variants (χ2 = 16.1; α = 0.003). Code snippets with good comments (GC) are perceived as the most readable and the variants without comments (NC) are perceived as the least readable".</t>
  </si>
  <si>
    <t>χ2 = 16.1; α = 0.003</t>
  </si>
  <si>
    <t>F(2,62) = 0.6243</t>
  </si>
  <si>
    <t>There was a typo in one of the p-values. Please double check the entries and rather copy them than type them in.</t>
  </si>
  <si>
    <t>additional_studies83_b</t>
  </si>
  <si>
    <t xml:space="preserve">only M available </t>
  </si>
  <si>
    <t>impact of code variants on code comprehension</t>
  </si>
  <si>
    <t>"For snippets S1–S5, our data shows significant differences in their mean answer accuracy (Acc) (ANOVA p = 0.0013 at α &lt; 0.01)".</t>
  </si>
  <si>
    <t>F(2,62) = 2.3742</t>
  </si>
  <si>
    <t>additional_studies83_c</t>
  </si>
  <si>
    <t>impact of method chains on code perceived readability</t>
  </si>
  <si>
    <t>"Regarding RQ2, our data does not show any significant differences in the perceived readability (R1) for the MC variants".</t>
  </si>
  <si>
    <t>F(1,50) = 0.0184</t>
  </si>
  <si>
    <t>additional_studies59_1</t>
  </si>
  <si>
    <t>additional_studies59</t>
  </si>
  <si>
    <t>Abend, R., Bajaj, M. A., Matsumoto, C., Yetter, M., Harrewijn, A., Cardinale, E. M., ... &amp; Pine, D. S. (2021). Converging multi-modal evidence for implicit threat-related bias in pediatric anxiety disorders. Research on child and adolescent psychopathology, 49, 227-240. https://doi.org/10.1007/s10802-020-00712-w</t>
  </si>
  <si>
    <t>10.1007/s10802-020-00712-w</t>
  </si>
  <si>
    <t>10.1007--s10802-020-00712-w.pdf</t>
  </si>
  <si>
    <t>Byrne, M. E., Kirschner, S., Harrewijn, A., Abend, R., Lazarov, A., Liuzzi, L., ... &amp; Pine, D. S. (2024). Eye-tracking measurement of attention bias to social threat among youth: A replication and extension study. Journal of Mood &amp; Anxiety Disorders, 100075. https://doi.org/10.1016/j.xjmad.2024.100075</t>
  </si>
  <si>
    <t>10.1016/j.xjmad.2024.100075</t>
  </si>
  <si>
    <t>10.1016--j.xjmad.2024.100075.pdf</t>
  </si>
  <si>
    <t>implicit threat bias</t>
  </si>
  <si>
    <t>anxiety, implicit bias, attention bias, pediatric psychopathology, eye-tracking, behavioral avoidance, threat response</t>
  </si>
  <si>
    <t>pediatric anxiety disorders are associated with implicit threat bias, manifesting as heightened attention to negative-valence stimuli and behavioral avoidance of threatening stimuli</t>
  </si>
  <si>
    <t>Quantified in terms of bias (dwell time on negative faces minus non-negative faces), youth with anxiety demonstrated significantly greater bias relative to their healthy peers, t (31.25) = 2.14, p = 0.041, d = 0.65</t>
  </si>
  <si>
    <t>t(98.84)=-0.73</t>
  </si>
  <si>
    <t>I could not find the effect size of d = .68 or any others for that matter.
Feedback for Hakile
- Please include test statistics in the claim.
- I could not find the effect size of d = .68 on page 5 in the original report of additional_studies59</t>
  </si>
  <si>
    <r>
      <rPr>
        <rFont val="Calibri"/>
        <sz val="11.0"/>
      </rPr>
      <t xml:space="preserve">Abend, R., Bajaj, M. A., Matsumoto, C., Yetter, M., Harrewijn, A., Cardinale, E. M., ... &amp; Pine, D. S. (2021). Converging multi-modal evidence for implicit threat-related bias in pediatric anxiety disorders. Research on child and adolescent psychopathology, 49, 227-240. </t>
    </r>
    <r>
      <rPr>
        <rFont val="Calibri"/>
        <color rgb="FF1155CC"/>
        <sz val="11.0"/>
        <u/>
      </rPr>
      <t>https://doi.org/10.1007/s10802-020-00712-w</t>
    </r>
  </si>
  <si>
    <r>
      <rPr>
        <rFont val="Calibri"/>
        <sz val="11.0"/>
      </rPr>
      <t xml:space="preserve">Byrne, M. E., Kirschner, S., Harrewijn, A., Abend, R., Lazarov, A., Liuzzi, L., ... &amp; Pine, D. S. (2024). Eye-tracking measurement of attention bias to social threat among youth: A replication and extension study. Journal of Mood &amp; Anxiety Disorders, 100075. </t>
    </r>
    <r>
      <rPr>
        <rFont val="Calibri"/>
        <color rgb="FF1155CC"/>
        <sz val="11.0"/>
        <u/>
      </rPr>
      <t>https://doi.org/10.1016/j.xjmad.2024.100075</t>
    </r>
  </si>
  <si>
    <t>Replication and extension study</t>
  </si>
  <si>
    <t>Attentional threat bias</t>
  </si>
  <si>
    <t>Attention bias, Eye-tracking, Youth Anxiety, Irritability, Negative affect, Social Threat</t>
  </si>
  <si>
    <t>The effect under investigation explores the relationship between attentional threat bias (x) and negative affectivity (y), including anxiety and irritability among youth. Specifically, the study examines how greater attention allocation to negative-valence faces is associated with anxiety and irritability and evaluates the reliability of this bias through eye-tracking methods.</t>
  </si>
  <si>
    <t>Patients displayed longer gaze duration on negative relative to non-negative valence faces than healthy peers.</t>
  </si>
  <si>
    <t>https://osf.io/8qub2</t>
  </si>
  <si>
    <t>additional_studies59_b</t>
  </si>
  <si>
    <t>N is different from prior ES as it these effects were part of a mixed-effects model, which was ran after excluding outliers</t>
  </si>
  <si>
    <t>Corrected N to 106 (it was 105) because df for correlation are 104 and N-2=df</t>
  </si>
  <si>
    <t>Dimensionally, a similar pattern was noted, with a positive correlation between dwell time bias score and overall anxiety symptom severity, r (48) = 0.29, p = 0.043</t>
  </si>
  <si>
    <t>additional_studies6_1</t>
  </si>
  <si>
    <t>additional_studies6</t>
  </si>
  <si>
    <t>replication study notes the effects size as  ηp2 =0.13 in Table 1 (p. 3) - " computed based on F-values and degrees of freedom using the easystats package in R"</t>
  </si>
  <si>
    <t>corrected studynumber</t>
  </si>
  <si>
    <t>Karmarkar, U. R., &amp; Tormala, Z. L. (2010). Believe me, I have no idea what I’m talking about: The effects of source certainty on consumer involvement and persuasion. Journal of Consumer Research, 36(6), 1033-1049. https://doi.org/10.1086/648381</t>
  </si>
  <si>
    <t>10.1086/648381</t>
  </si>
  <si>
    <t>Løhre, E., Chandrashekar, S. P., Mayiwar, L., &amp; Hærem, T. (2024). Uncertainty, expertise, and persuasion: A replication and extension of. Journal of Experimental Social Psychology, 113, 104619. https://doi.org/10.1016/j.jesp.2024.104619</t>
  </si>
  <si>
    <t>10.1016/j.jesp.2024.104619</t>
  </si>
  <si>
    <t>Title - "a replication and extension of Karmarkar and Tormala (2010)"
Abstract - "direct replication of Experiment 2 by Karmarkar and Tormala (2010)"</t>
  </si>
  <si>
    <t>Consumer Research</t>
  </si>
  <si>
    <t>expertise persuasion incongruity effect</t>
  </si>
  <si>
    <t>persuasion, attitudes, uncertainty, confidence, expertise</t>
  </si>
  <si>
    <t>Success of persuasion depends on strategy and expertise (incongruity hypothesis)</t>
  </si>
  <si>
    <t>Main effect: There were no main effects, but we did find a significant interaction between source expertise and source certainty. (on attitude)
Simple effects:The nonexpert source was more persuasive, as indicated by more favorable attitudes, when he expressed cerainty compared to uncertainty, 
whereas the expert source was more persuasive when he expressed uncertainty compared to certainty.</t>
  </si>
  <si>
    <t>Main: all F's &lt; 1
Interaction:  F(1,64) = 9.70
Simple: non expert - F(1,64) = 4.77, expert - F(1,64) = 4.94</t>
  </si>
  <si>
    <t>Main: p &gt; 0.05
Interaction: p&lt;0.004
Simple: non-expert p &lt; 0.04, expert p &lt; 0.03</t>
  </si>
  <si>
    <t>Main effect source certainty:  ηp2 =0.01
Main effect expertise: ηp2 =0.00
Interaction effect certainty*expertise: ηp 2 =0.00
Simple effect - difference in attitude for high/low certainty : non-expert Cohen’s d =0.18, expert Cohen’s d = 0.28</t>
  </si>
  <si>
    <t>Main effect source certainty:  p = .039
Main effect expertise: p = .247
Interaction effect certainty*expertise:  p =.361
Simple effect: non-expert  p = .439, expert  p = .027</t>
  </si>
  <si>
    <t>additional_studies6_a</t>
  </si>
  <si>
    <t>Claim text_r support for the main effect of source certainty, F(1, 506) = 173.13, p &lt; .001, ηp2 = 0.25, 95% CI [0.19, 0.31]. [...] p.7</t>
  </si>
  <si>
    <t>Experiment 2 Manipulation check Main effect</t>
  </si>
  <si>
    <t>Analysis of the perceived expertise data revealed only a main effect for the expertise manipulation (F (1, 64) = 4.60, p &lt; .04). Participants rated the source as having more expertise in the high (M = 7.06) rather than low (M = 6.08) expertise condition.</t>
  </si>
  <si>
    <t>F(1, 64) = 4.60</t>
  </si>
  <si>
    <t>p &lt; .001,</t>
  </si>
  <si>
    <t>additional_studies6_b</t>
  </si>
  <si>
    <t>Main effect: no main effects for source expertise or source certainty but a significant interaction between these variables. (on involvement)
Simple effects: with low expertise reported greater involvement with the high rather than low certainty review, under conditions of high source expertise, participants reported
greater involvement with the low rather than high certainty review.</t>
  </si>
  <si>
    <t>Main: all F's &lt; 1
Interaction:  F(1,64) = 11.02
Simple: non expert - F(1,64) = 7.43, expert - F(1,64) = 3.97</t>
  </si>
  <si>
    <t>Main: p &gt; 0.05
Interaction: p&lt;0.002
Simple: non-expert p &lt; 0.01, expert p = 0.05</t>
  </si>
  <si>
    <t>Main effect source certainty:  ηp2 =0.00
Main effect expertise: ηp2 =0.00
Interaction effect certainty*expertise: ηp2 =0.01
Simple effect - difference in attitude for high/low certainty :  nonexpert - Cohen’s d = 0.29, expert -Cohen’s d =-0.1</t>
  </si>
  <si>
    <t>Main effect source certainty:  p &gt; 0.05
Main effect expertise: p  &gt; 0.05
Interaction effect certainty*expertise:  p = 0.030
Simple effect: non-expert  p = .023, expert  p = .437</t>
  </si>
  <si>
    <t>Claim text_r.  [...] Post-hoc comparisons using t-tests with Bonferroni correction found that participants reported higher certainty in the high certainty condition (n = 257, M = 7.87, SD = 1.24) than in the low certainty condition (n = 253, M = 5.96, SD = 1.96; t(426) = 13.00, p &lt; .001, Cohen’s d = 1.17, 95% CI [0.98, 1.35]). There was no main effect of expertise, nor an expertise   certainty interaction effect, Fs &lt; 1. [...] p.7</t>
  </si>
  <si>
    <t>Experiment 2 Manipulation check Certainty Conditions</t>
  </si>
  <si>
    <t>There was no main effect for source certainty (F(1, 64) = 2.36, p &gt; 0.12)</t>
  </si>
  <si>
    <t>&gt; 0.12</t>
  </si>
  <si>
    <t>5,44</t>
  </si>
  <si>
    <t>p = .020,</t>
  </si>
  <si>
    <t>additional_studies6_c</t>
  </si>
  <si>
    <t>Main effect source certainty:  ηp2 =0.01
Main effect expertise: ηp2 =0.00
Main effect reason: np2 = 0.00
Interaction effects: all np2 = 0.00</t>
  </si>
  <si>
    <t>Main effect source certainty:  p &lt; 0.001
Main effect expertise: p  &gt; 0.05
Main effect reason: p  &gt; 0.05
Interaction effects: all  p  &gt; 0.05</t>
  </si>
  <si>
    <t>I assumed that there is pval_value_o &gt; 0.05 in the original study since there is no significant effect, but that's not clearly stated. Claim text_r  found support for a main effect of source certainty, F(1, 506) = 4.27, p = .039, ηp2 = 0.01, 95% CI [0.00, 0.03]. [...] p.7</t>
  </si>
  <si>
    <t>Experiment 2 Attitudes Main effect</t>
  </si>
  <si>
    <t>There were no main effects (F's &lt; 1),</t>
  </si>
  <si>
    <t>&lt; 1</t>
  </si>
  <si>
    <t>p &gt;0.05</t>
  </si>
  <si>
    <t>4,27</t>
  </si>
  <si>
    <t>p = .039</t>
  </si>
  <si>
    <t>additional_studies6_d</t>
  </si>
  <si>
    <t>NFC - non - standardized b = 0.11, p = 0.010, 95% CI[0.03–0.19]
Conducted a linear regression analysis including expertise, reason, certainty, NFC, and two interaction terms (expertise × certainty and certainty × NFC) as predictors of the attitude measure. 
The analysis showed a main effect of NFC but failed to find an interaction effect between certainty and NFC. p. 9</t>
  </si>
  <si>
    <t>Main effect Need For Closure: p = 0.010</t>
  </si>
  <si>
    <t>Claim text_r However, there was no main effect of expertise, F(1, 506) = 1.35, p =.247, ηp2 = 0.00, 95% CI [0.00, 0.02], nor an expertise   certainty interaction effect, F(1, 506) = 0.84, p = .361, ηp2 = 0.00, 95% CI [0.00, 0.02]. The main effect of certainty reflected higher attitude ratings in the high certainty condition (n = 257, M = 7.80, SD = 1.10) than in the low certainty condition (n = 253, M = 7.58, SD = 1.26, Cohen’s d = 0.18, 95% CI [0.01, 0.36]). [...] p.7</t>
  </si>
  <si>
    <t>Experiment 2 Attitudes Certainty Conditions</t>
  </si>
  <si>
    <t>we did find a significant interaction between source expertise and source certainty (F(1, 64) = 9.70, p &lt; .004). As illustrated in figure 2, this interaction assumed the predicted form. The nonexpert source was more persuasive, as indicated by more favorable attitudes, when he expressed certainty compared to uncertainty (F(1, 64) = 4.77, p &lt; .04), whereas the expert source was more persuasive when he expressed uncertainty compared to certainty (F(1,64) = 4.94, p &lt; .03). In each case, then, source incongruity fostered greater persuasion</t>
  </si>
  <si>
    <t>p &lt;0.004</t>
  </si>
  <si>
    <t>1,35</t>
  </si>
  <si>
    <t>p = .247</t>
  </si>
  <si>
    <t>additional_studies6_e</t>
  </si>
  <si>
    <t>I assumed that there is pval_value_o &gt; 0.05 in the original and replications study since there are no significant effects, but that's not clearly stated. Claim text_r  no main effects for source expertise or source certainty (Fs &lt; 1.18),  [...] p.8</t>
  </si>
  <si>
    <t>Experiment 2 Involvement Main effect</t>
  </si>
  <si>
    <t>no main effects for source expertise or source certainty (F’s &lt; 1)</t>
  </si>
  <si>
    <t>&lt; 1.18</t>
  </si>
  <si>
    <t>&gt;0.05</t>
  </si>
  <si>
    <t>additional_studies6_f</t>
  </si>
  <si>
    <t>Claim text_r.  supported an expertise   certainty interaction effect, F(1, 506) = 4.74, p = .030, ηp2 = 0.01, 95% CI[0.00, 0.03]. [...] p.8</t>
  </si>
  <si>
    <t>Experiment 2 Involvement Certainty Conditions</t>
  </si>
  <si>
    <t>a significant interaction between expertise and source certainty (F(1, 64) = 11.02, p &lt; .002). As shown in figure 3, under conditions of low source expertise, participants reported greater involvement with the high rather than low certainty review (F (1, 64) = 7.43, p &lt; .01). In contrast, under conditions of high source expertise, participants reported greater involvement with the low rather than high certainty review (F(1, 64) = 3.97, p = .05). Thus, in both conditions source incongruity generated higher involvement.</t>
  </si>
  <si>
    <t>p &lt; 0,02</t>
  </si>
  <si>
    <t>p = .030</t>
  </si>
  <si>
    <t>additional_studies60_1</t>
  </si>
  <si>
    <t>additional_studies60</t>
  </si>
  <si>
    <t>conceptual replication of the same approach, testing response disequilibrium theory, but no numbers that can are easily comparable between studies (apart from one that apply to the specific equations) due to methodological differences</t>
  </si>
  <si>
    <t>Corrected citation and DOI, added effect sizes and duplicated row for both original subjects
Feedback for Nikolay
- You could have coded the R² for additional_studies60
- Please copy text for the claim from the paper</t>
  </si>
  <si>
    <r>
      <rPr>
        <rFont val="Calibri"/>
        <color rgb="FF38761D"/>
        <sz val="11.0"/>
      </rPr>
      <t xml:space="preserve">Falligant, J.M., Rooker, G.W. Further Analysis of the Response Deprivation Hypothesis: Application of the Disequilibrium Model to Novel Clinical Contexts. Psychol Rec 71, 307–311 (2021). </t>
    </r>
    <r>
      <rPr>
        <rFont val="Calibri"/>
        <color rgb="FF38761D"/>
        <sz val="11.0"/>
        <u/>
      </rPr>
      <t>https://doi.org/10.1007/s40732-020-00453-8</t>
    </r>
  </si>
  <si>
    <t>10.1007/s40732-020-00453-8</t>
  </si>
  <si>
    <t>10.1007--s40732-020-00432-8.pdf</t>
  </si>
  <si>
    <t>Ryan, M., King, H., Chesbrough, E. et al. Increasing Toy Engagement via Response Disequilibrium Theory: A Systematic Replication. Psychol Rec (2024). https://doi.org/10.1007/s40732-024-00601-4</t>
  </si>
  <si>
    <t>10.1007/s40732-024-00601-4</t>
  </si>
  <si>
    <t>10.1007--s40732-024-00601-4.pdf</t>
  </si>
  <si>
    <t>Systematic replication</t>
  </si>
  <si>
    <t>Response disequilibrium</t>
  </si>
  <si>
    <t>Anxiety, threat, bias,  attention, avoidance, contingent activity, disequilibrium theory, instrumental activity</t>
  </si>
  <si>
    <t xml:space="preserve">Relationship between predicted and actual instrumental activity (original condition: Dave) </t>
  </si>
  <si>
    <t xml:space="preserve">As predicted, the I/C schedule produced a response deficit for leisure time for both Drew and Dave. For example, the initial Oi /Oc ratio for Drew was 0.025 (8.1 instances of compliance /313.1 s of leisure time).  </t>
  </si>
  <si>
    <t>R²</t>
  </si>
  <si>
    <t>4, Figure 2</t>
  </si>
  <si>
    <t>5, Figure 2</t>
  </si>
  <si>
    <t>No access to the PDF papers.</t>
  </si>
  <si>
    <r>
      <rPr>
        <rFont val="Calibri"/>
        <color rgb="FF38761D"/>
        <sz val="11.0"/>
      </rPr>
      <t xml:space="preserve">Falligant, J.M., Rooker, G.W. Further Analysis of the Response Deprivation Hypothesis: Application of the Disequilibrium Model to Novel Clinical Contexts. Psychol Rec 71, 307–311 (2021). </t>
    </r>
    <r>
      <rPr>
        <rFont val="Calibri"/>
        <color rgb="FF38761D"/>
        <sz val="11.0"/>
        <u/>
      </rPr>
      <t>https://doi.org/10.1007/s40732-020-00453-8</t>
    </r>
  </si>
  <si>
    <t>Anxiety, threat, bias,  attention, avoidance</t>
  </si>
  <si>
    <t>Constraining access to a preferred activity increased engagement with a less-preferred activity to restore equilibrium.</t>
  </si>
  <si>
    <t>additional_studies60_b</t>
  </si>
  <si>
    <t>Corrected citation and DOI, added effect sizes and duplicated row for both original subjects</t>
  </si>
  <si>
    <r>
      <rPr>
        <rFont val="Calibri"/>
        <color rgb="FF38761D"/>
        <sz val="11.0"/>
      </rPr>
      <t xml:space="preserve">Falligant, J.M., Rooker, G.W. Further Analysis of the Response Deprivation Hypothesis: Application of the Disequilibrium Model to Novel Clinical Contexts. Psychol Rec 71, 307–311 (2021). </t>
    </r>
    <r>
      <rPr>
        <rFont val="Calibri"/>
        <color rgb="FF38761D"/>
        <sz val="11.0"/>
        <u/>
      </rPr>
      <t>https://doi.org/10.1007/s40732-020-00453-8</t>
    </r>
  </si>
  <si>
    <t xml:space="preserve">Relationship between predicted and actual instrumental activity (original condition: Drew) </t>
  </si>
  <si>
    <t>Diego</t>
  </si>
  <si>
    <t>additional_studies62_1</t>
  </si>
  <si>
    <t>additional_studies62</t>
  </si>
  <si>
    <t>LR, DM-R</t>
  </si>
  <si>
    <t>cannot validate calculated effects</t>
  </si>
  <si>
    <t>He, J., Chen, G., Wu, S., Niu, R., &amp; Fan, X. (2020). Patterns of negative emotional eating among Chinese young adults: A latent class analysis. Appetite, 155, 104808. https://doi.org/10.1016/j.appet.2020.104808. Study 5</t>
  </si>
  <si>
    <t>10.1016/j.appet.2020.104808</t>
  </si>
  <si>
    <t>10.1016--j.appet.2020.104808.pdf</t>
  </si>
  <si>
    <t>Dixit, U., He, J., Whited, M., Ellis, J. M., &amp; Zickgraf, H. F. (2023). Negative emotional eating patterns among American university students: A replication study. Appetite, 186, 106554.</t>
  </si>
  <si>
    <t>10.1016/j.appet.2023.106554</t>
  </si>
  <si>
    <t>Emotional Eating Patterns</t>
  </si>
  <si>
    <t>Emotional over-eating, Emotional under-eating, Latent class analysis, Eating disorder, Psychological distress</t>
  </si>
  <si>
    <t>The study investigates patterns of emotional eating (overeating and undereating) and their association with emotional distress and disordered eating behaviors</t>
  </si>
  <si>
    <t>Four distinct negative emotional eating patterns were identified: non-emotional eating, emotional overeating, emotional undereating, and mixed emotional eating. Key result: Wald χ²(12) = 234.76, p &lt; .001.</t>
  </si>
  <si>
    <t>Cohen's d.</t>
  </si>
  <si>
    <t>Calculated based on means and SDs from p. 53</t>
  </si>
  <si>
    <t>Calculated based on means and SDs from p. 10</t>
  </si>
  <si>
    <t>additional_studies62_a</t>
  </si>
  <si>
    <t xml:space="preserve">N was calculated. Effect size was calculated. </t>
  </si>
  <si>
    <t>He, J., Chen, G., Wu, S., Niu, R., &amp; Fan, X. (2020). Patterns of negative emotional eating among Chinese young adults: A latent class analysis. Appetite, 155, 104808. https://doi.org/10.1016/j.appet.2020.104808</t>
  </si>
  <si>
    <t>0.1016/j.appet.2023.10655</t>
  </si>
  <si>
    <t>Negative emotional eating</t>
  </si>
  <si>
    <t>Adult eating behavior questionnaire; Disordered eating; Emotional eating; Latent class analysis.</t>
  </si>
  <si>
    <t xml:space="preserve">(Non-emotional eating)The study identified four latent patterns of negative emotional eating among Chinese young adults using Latent Class Analysis. </t>
  </si>
  <si>
    <t>Associated with lower levels of stress-related eating and healthier eating behaviors overall.</t>
  </si>
  <si>
    <t>additional_studies62_b</t>
  </si>
  <si>
    <t xml:space="preserve">(Emotional over- and under-eating)The study identified four latent patterns of negative emotional eating among Chinese young adults using Latent Class Analysis. </t>
  </si>
  <si>
    <t>Showed the highest scores on measures of depression and anxiety (statistically significant).</t>
  </si>
  <si>
    <t>additional_studies62_c</t>
  </si>
  <si>
    <t xml:space="preserve">(Emotional over-eating)The study identified four latent patterns of negative emotional eating among Chinese young adults using Latent Class Analysis. </t>
  </si>
  <si>
    <t>Significantly correlated with increased caloric intake during negative emotional states (p &lt; 0.01).</t>
  </si>
  <si>
    <t>additional_studies62_d</t>
  </si>
  <si>
    <t xml:space="preserve">(Emotional under-eating)The study identified four latent patterns of negative emotional eating among Chinese young adults using Latent Class Analysis. </t>
  </si>
  <si>
    <t>Associated with significant reductions in food consumption during periods of stress and sadness.</t>
  </si>
  <si>
    <t>additional_studies63_1</t>
  </si>
  <si>
    <t>additional_studies63</t>
  </si>
  <si>
    <t>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t>
  </si>
  <si>
    <t>10.1016/j.eatbeh.2024.101899</t>
  </si>
  <si>
    <t>Calculated based on means and SDs from p. 14</t>
  </si>
  <si>
    <t>additional_studies65_1</t>
  </si>
  <si>
    <t>additional_studies65</t>
  </si>
  <si>
    <t>Krauss, S., Orth, U., &amp; Robins, R. W. (2020). Family environment and self-esteem development: A longitudinal study from age 10 to 16. Journal of Personality and Social Psychology, 119(2), 457–478. https://doi.org/10.1037/pspp0000263</t>
  </si>
  <si>
    <t>10.1037/pspp0000263</t>
  </si>
  <si>
    <t>10.1037--pspp0000263.pdf</t>
  </si>
  <si>
    <t>Krauss, S., &amp; Orth, U. (2024). Family environment and self-esteem development in adolescence: A replication and extension. Journal of Research in Personality, 104511. https://doi.org/10.1016/j.jrp.2024.104511</t>
  </si>
  <si>
    <t>10.1016/j.jrp.2024.104511</t>
  </si>
  <si>
    <t>10.1016--j.jrp.2024.104511.pdf</t>
  </si>
  <si>
    <t>A replication and extension</t>
  </si>
  <si>
    <t>family environment, self-esteem, adolescence, longitudinal, replication</t>
  </si>
  <si>
    <t>significant positive effects on children’s self-esteem emerged for warmth, monitoring, low maternal depression, economic security (vs. hardship), and presence (vs. absence) of father. With regard to the reciprocal effects, children’s self-esteem predicted positive family values (i.e., importance and centrality of the family) of mother and father</t>
  </si>
  <si>
    <t>https://osf.io/yajmp</t>
  </si>
  <si>
    <t>https://osf.io/6m5tb)</t>
  </si>
  <si>
    <t>additional_studies65_a</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</si>
  <si>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</si>
  <si>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a replication and extension</t>
  </si>
  <si>
    <t>Self-esteem development</t>
  </si>
  <si>
    <t>family environment; parenting behavior; self-esteem; childhood and adolescence; longitudinal</t>
  </si>
  <si>
    <t>Parental Warmth (Child Rates Mother): Family environment (x) is associated with self-esteem development (y) during adolescence.</t>
  </si>
  <si>
    <t xml:space="preserve">Results from the CLPMs indicated that a number of family environment variables affected child self-esteem. Specifically, parental warmth, parental monitoring, and presence of father positively predicted subsequent child self-esteem, whereas maternal depression and economic hardship negatively predicted subsequent child self-esteem. </t>
  </si>
  <si>
    <t>p.42</t>
  </si>
  <si>
    <t>https://osf.io/6m5tb</t>
  </si>
  <si>
    <t>additional_studies65_b</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</si>
  <si>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</si>
  <si>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Parental Warmth (Child Rates Father): Family environment (x) is associated with self-esteem development (y) during adolescence.</t>
  </si>
  <si>
    <t>additional_studies65_c</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</si>
  <si>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</si>
  <si>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Parental Hostility (Child Rates Mother): Family environment (x) is associated with self-esteem development (y) during adolescence.</t>
  </si>
  <si>
    <t>additional_studies65_d</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</si>
  <si>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</si>
  <si>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Parental Hostility (Child Rates Father): Family environment (x) is associated with self-esteem development (y) during adolescence.</t>
  </si>
  <si>
    <t>additional_studies65_e</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</si>
  <si>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</si>
  <si>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Monitoring (Child Rates Mother): Family environment (x) is associated with self-esteem development (y) during adolescence.</t>
  </si>
  <si>
    <t>additional_studies65_f</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</si>
  <si>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</si>
  <si>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Monitoring (Child Rates Father): Family environment (x) is associated with self-esteem development (y) during adolescence.</t>
  </si>
  <si>
    <t>additional_studies65_g</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</si>
  <si>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</si>
  <si>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Involvement in Education (Child Rates Mother): Family environment (x) is associated with self-esteem development (y) during adolescence.</t>
  </si>
  <si>
    <t>additional_studies65_h</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</si>
  <si>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</si>
  <si>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Parental Relationship (Mother's Rating): Family environment (x) is associated with self-esteem development (y) during adolescence.</t>
  </si>
  <si>
    <t>additional_studies65_i</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</si>
  <si>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</si>
  <si>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Depression of Mother: Family environment (x) is associated with self-esteem development (y) during adolescence.</t>
  </si>
  <si>
    <t>additional_studies65_j</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</si>
  <si>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</si>
  <si>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Depression of Father: Family environment (x) is associated with self-esteem development (y) during adolescence.</t>
  </si>
  <si>
    <t>additional_studies65_k</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</si>
  <si>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</si>
  <si>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Economic Hardship (Father Rates Subscale A): Family environment (x) is associated with self-esteem development (y) during adolescence.</t>
  </si>
  <si>
    <t>additional_studies66_1</t>
  </si>
  <si>
    <t>additional_studies66</t>
  </si>
  <si>
    <t>Reiff J. S., Hershfield H. E., Quoidbach J. (2020). Identity over time: Perceived similarity between selves predicts well-being 10 years later. Social Psychological and Personality Science, 11, 160–167. https://doi.org/10.1177/1948550619843931</t>
  </si>
  <si>
    <t>10.1177/1948550619843931</t>
  </si>
  <si>
    <t>10.1177--1948550619843931.pdf</t>
  </si>
  <si>
    <t>Weidmann, R., Alabdullah, A., Warkentien, J., Vesikar, S., Denehy, M. E., Yang, H., Rakhshani, A., Brent Donnellan, M., &amp; Lucas, R. E. (2024). Does Perceived Similarity Between Present and Future Self Predict Well-Being? A Reanalysis and Replication of. Social Psychological and Personality Science, 0(0). https://doi.org/10.1177/19485506241257971</t>
  </si>
  <si>
    <t>10.1177/19485506241257971</t>
  </si>
  <si>
    <t>10.1177--19485506241257971.pdf</t>
  </si>
  <si>
    <t>identity over time, future self, well-being, life span development</t>
  </si>
  <si>
    <t>Perceived similarity over life-span is positively correlated with life satisfaction</t>
  </si>
  <si>
    <t>Perceived similarity predicted higher levels of concurrent life satisfaction.</t>
  </si>
  <si>
    <t>p1</t>
  </si>
  <si>
    <t>https://osf.io/ja3wc)</t>
  </si>
  <si>
    <t>Study 1 was a reproduction and should not have been coded (only replications with new data).</t>
  </si>
  <si>
    <t>additional_studies66_a</t>
  </si>
  <si>
    <r>
      <rPr>
        <rFont val="Calibri"/>
        <color rgb="FF38761D"/>
        <sz val="11.0"/>
      </rPr>
      <t xml:space="preserve">N after applying exclusion criteria, osf project: </t>
    </r>
    <r>
      <rPr>
        <rFont val="Calibri"/>
        <color rgb="FF38761D"/>
        <sz val="11.0"/>
        <u/>
      </rPr>
      <t>https://osf.io/yqxme</t>
    </r>
  </si>
  <si>
    <t>OSF project contains no registrations, I changed prereg_o to "NA" and copied the link into the notes. Another finding is available (3rd model in O study) but was not part of the replication and is thus not coded.</t>
  </si>
  <si>
    <r>
      <rPr>
        <rFont val="Calibri"/>
        <sz val="11.0"/>
      </rPr>
      <t xml:space="preserve">Reiff J. S., Hershfield H. E., Quoidbach J. (2020). Identity over time: Perceived similarity between selves predicts well-being 10 years later. Social Psychological and Personality Science, 11, 160–167. </t>
    </r>
    <r>
      <rPr>
        <rFont val="Calibri"/>
        <color rgb="FF1155CC"/>
        <sz val="11.0"/>
        <u/>
      </rPr>
      <t>https://doi.org/10.1177/1948550619843931</t>
    </r>
  </si>
  <si>
    <t>Perceived Similarity (Model 1): Perceived similarity between one’s present and future self is associated with greater well-being 10 years later.</t>
  </si>
  <si>
    <t>Perceived similarity between one's present and future self is significantly associated with greater life satisfaction 10 years later.</t>
  </si>
  <si>
    <t>p.2</t>
  </si>
  <si>
    <t>https://osf.io/yqxme</t>
  </si>
  <si>
    <t>https://osf.io/ja3wc</t>
  </si>
  <si>
    <r>
      <rPr>
        <rFont val="Arial"/>
      </rPr>
      <t xml:space="preserve">The original study was not preregistered as the OSF-link does not contain a registration: please double-check under the tab "registrations": </t>
    </r>
    <r>
      <rPr>
        <rFont val="Arial"/>
        <color rgb="FF1155CC"/>
        <u/>
      </rPr>
      <t>https://osf.io/yqxme/registrations.</t>
    </r>
    <r>
      <rPr>
        <rFont val="Arial"/>
      </rPr>
      <t xml:space="preserve"> Moreover, it didn't say in the report that it was registered but there was merely a link to data, materials, and code.</t>
    </r>
  </si>
  <si>
    <t>additional_studies66_b</t>
  </si>
  <si>
    <r>
      <rPr>
        <rFont val="Calibri"/>
        <color rgb="FF38761D"/>
        <sz val="11.0"/>
      </rPr>
      <t xml:space="preserve">N after applying exclusion criteria, osf project: </t>
    </r>
    <r>
      <rPr>
        <rFont val="Calibri"/>
        <color rgb="FF38761D"/>
        <sz val="11.0"/>
        <u/>
      </rPr>
      <t>https://osf.io/yqxme</t>
    </r>
  </si>
  <si>
    <r>
      <rPr>
        <rFont val="Calibri"/>
        <sz val="11.0"/>
      </rPr>
      <t xml:space="preserve">Reiff J. S., Hershfield H. E., Quoidbach J. (2020). Identity over time: Perceived similarity between selves predicts well-being 10 years later. Social Psychological and Personality Science, 11, 160–167. </t>
    </r>
    <r>
      <rPr>
        <rFont val="Calibri"/>
        <color rgb="FF1155CC"/>
        <sz val="11.0"/>
        <u/>
      </rPr>
      <t>https://doi.org/10.1177/1948550619843931</t>
    </r>
  </si>
  <si>
    <t>Perceived Similarity (Model 2, controlling for demographics): Perceived similarity between one’s present and future self is associated with greater well-being 10 years later.</t>
  </si>
  <si>
    <t>The effect of perceived similarity remains significant when controlling for age, gender, education, and income.</t>
  </si>
  <si>
    <t>https://osf.io/8hz3s)</t>
  </si>
  <si>
    <t>additional_studies66_c</t>
  </si>
  <si>
    <r>
      <rPr>
        <rFont val="Calibri"/>
        <color rgb="FF38761D"/>
        <sz val="11.0"/>
      </rPr>
      <t xml:space="preserve">N after applying exclusion criteria, osf project: </t>
    </r>
    <r>
      <rPr>
        <rFont val="Calibri"/>
        <color rgb="FF38761D"/>
        <sz val="11.0"/>
        <u/>
      </rPr>
      <t>https://osf.io/yqxme</t>
    </r>
  </si>
  <si>
    <r>
      <rPr>
        <rFont val="Calibri"/>
        <sz val="11.0"/>
      </rPr>
      <t xml:space="preserve">Reiff J. S., Hershfield H. E., Quoidbach J. (2020). Identity over time: Perceived similarity between selves predicts well-being 10 years later. Social Psychological and Personality Science, 11, 160–167. </t>
    </r>
    <r>
      <rPr>
        <rFont val="Calibri"/>
        <color rgb="FF1155CC"/>
        <sz val="11.0"/>
        <u/>
      </rPr>
      <t>https://doi.org/10.1177/1948550619843931</t>
    </r>
  </si>
  <si>
    <t>Perceived Similarity (Model 3, controlling for demographics and baseline life satisfaction): Perceived similarity between one’s present and future self is associated with greater well-being 10 years later.</t>
  </si>
  <si>
    <t>The effect of perceived similarity is reduced but remains significant when controlling for demographic variables and baseline life satisfaction.</t>
  </si>
  <si>
    <t>additional_studies67_1</t>
  </si>
  <si>
    <t>additional_studies67</t>
  </si>
  <si>
    <t>Gietzen, L. J., Lewis, H., &amp; Buchanan, J. A. (2023). Age-related microaggressions: A descriptive
 study. The Gerontologist, 63(5), 820-830. https://doi.org/10.1093/geront/gnac158</t>
  </si>
  <si>
    <t>10.1093/geront/gnac158</t>
  </si>
  <si>
    <t>10.1093--geront--gnac158.pdf</t>
  </si>
  <si>
    <t>Patt, S. (2024). Age-Related Microaggressions: A Semi-Replication. https://cornerstone.lib.mnsu.edu/cgi/viewcontent.cgi?article=2424&amp;context=etds</t>
  </si>
  <si>
    <t>https://cornerstone.lib.mnsu.edu/etds/1424/</t>
  </si>
  <si>
    <t>Age-Related Microaggressions_ A Semi-Replication.pdf</t>
  </si>
  <si>
    <t>A semi-replication</t>
  </si>
  <si>
    <t>Clinical Psychology</t>
  </si>
  <si>
    <t>age-related microaggression, ageism, everyday ageism, ambivalent ageism, benevolent ageism, microaggression, qualitative method, older adults</t>
  </si>
  <si>
    <t>The majority of older adults have experienced microagressions and find them bothersome.</t>
  </si>
  <si>
    <t>additional_studies67_a</t>
  </si>
  <si>
    <t>Gietzen, L. J., Lewis, H., &amp; Buchanan, J. A. (2023). Age-related microaggressions: A descriptive
study. The Gerontologist, 63(5), 820-830. https://doi.org/10.1093/geront/gnac158</t>
  </si>
  <si>
    <t>semi-replication</t>
  </si>
  <si>
    <t>age-related microaggressions</t>
  </si>
  <si>
    <t>Ageism, Qualitative method, Thematic analysis</t>
  </si>
  <si>
    <t>microinsults: Age-related microaggressions are common and are associated with negative emotional and behavioral responses in older adults.</t>
  </si>
  <si>
    <t>Microinsults involve subtle communications of rudeness or stereotypes, such as assumptions about older adults' abilities or experiences of "elderspeak."</t>
  </si>
  <si>
    <t>cohen's h</t>
  </si>
  <si>
    <t>additional_studies67_b</t>
  </si>
  <si>
    <t>microassaults: Age-related microaggressions are common and are associated with negative emotional and behavioral responses in older adults.</t>
  </si>
  <si>
    <t>These are more overt forms of discrimination, including verbal assaults like name-calling ("Okay, Boomer!") or physical actions, such as being pushed or rushed.</t>
  </si>
  <si>
    <t>additional_studies67_c</t>
  </si>
  <si>
    <t>microinvalidations: Age-related microaggressions are common and are associated with negative emotional and behavioral responses in older adults.</t>
  </si>
  <si>
    <t xml:space="preserve">Microinvalidations include dismissing or nullifying older adults’ experiences and feelings. </t>
  </si>
  <si>
    <t>additional_studies68_1</t>
  </si>
  <si>
    <t>additional_studies68</t>
  </si>
  <si>
    <t>Akselevich, V., &amp; Gilaie-Dotan, S. (2022). Positive and negative facial valence perception are modulated differently by eccentricity in the parafovea. Scientific reports, 12(1), 21693. https://doi.org/10.1038/s41598-022-24919-7</t>
  </si>
  <si>
    <t>10.1038/s41598-022-24919-7</t>
  </si>
  <si>
    <t>10.1038--s41598-022-24919-7.pdf</t>
  </si>
  <si>
    <t>Akselevich, V., &amp; Gilaie-Dotan, S. (2024). Positive and negative facial valence perception are modulated differently by eccentricity in the parafovea: Replication from KDEF to NimStim. Scientific reports, 14(1), 13757. https://doi.org/10.1038/s41598-024-63724-2</t>
  </si>
  <si>
    <t>10.1038/s41598-024-63724-2</t>
  </si>
  <si>
    <t>10.1038--s41598-024-63724-2.pdf</t>
  </si>
  <si>
    <t>Replication from KDEF to NimStim</t>
  </si>
  <si>
    <t>Emotional valence, Face expression, Periphery, Replication study, Emotion perception</t>
  </si>
  <si>
    <t>An effect of eccentricity and valence on accuracy and RTs, with positive valence showing highest performance across eccentricities, measures and studies</t>
  </si>
  <si>
    <t>monitoring, low maternal depression, economic security (vs. hardship), and presence (vs.</t>
  </si>
  <si>
    <t>Calculated with SPSS</t>
  </si>
  <si>
    <t>additional_studies68_b</t>
  </si>
  <si>
    <t>Akselevich, V., &amp; Gilaie-Dotan, S. (2022). Positive and negative facial valence perception are modulated differently by eccentricity in the parafovea. Scientific reports, 12(1), 21693. https://doi.org/10.1038/s41598-022-24919-8</t>
  </si>
  <si>
    <t>10.1038/s41598-022-24919-8</t>
  </si>
  <si>
    <t>additional_studies68_c</t>
  </si>
  <si>
    <t>Akselevich, V., &amp; Gilaie-Dotan, S. (2022). Positive and negative facial valence perception are modulated differently by eccentricity in the parafovea. Scientific reports, 12(1), 21693. https://doi.org/10.1038/s41598-022-24919-9</t>
  </si>
  <si>
    <t>10.1038/s41598-022-24919-9</t>
  </si>
  <si>
    <t>absence) of father. With regard to the reciprocal effects, children’s self-esteem predicted positive</t>
  </si>
  <si>
    <t>additional_studies69_1</t>
  </si>
  <si>
    <t>additional_studies69</t>
  </si>
  <si>
    <t>Zottoli, T. M., Helm, R. K., Edkins, V. A., &amp; Bixter, M. T. (2023). Developing a model of guilty plea decision-making: Fuzzy-trace theory, gist, and categorical boundaries. Law and Human Behavior, 47(3), 403–421. https://doi.org/10.1037/lhb0000532</t>
  </si>
  <si>
    <t>10.1037/lhb0000532</t>
  </si>
  <si>
    <t>10.1037--lhb0000532.pdf</t>
  </si>
  <si>
    <t>Dolin, L., Stratton, J., &amp; Donatien, J. (2024). A Test of the Generalizability of a New Guilty Plea Decision-making Model Grounded in Fuzzy Trace Theory: A replication of Zottoli, Helm et al.(2023; Study 3). https://digitalcommons.montclair.edu/student-research-symposium/2024/poster01/21/</t>
  </si>
  <si>
    <t>https://digitalcommons.montclair.edu/student-research-symposium/2024/poster01/21/</t>
  </si>
  <si>
    <t>A replication of Zottoli, Helm et al.(2023; Study 3</t>
  </si>
  <si>
    <t>shadow of the trial, guilty pleas, plea bargaining, fuzzy-trace theory, guilty plea decision-making</t>
  </si>
  <si>
    <t>Plea rates were similar within and different between groupings that comprised plea offers of similarly meaningful distance from the potential trial sentence (Study 3).</t>
  </si>
  <si>
    <t>additional_studies7_1</t>
  </si>
  <si>
    <t>additional_studies7_a</t>
  </si>
  <si>
    <t>Claim text_r. There were no significant main effects of APOE status on cognitive outcome variables using Pillai’s trace (V = 0.06, F(4,206) = 1.51, p = 0.20).  [...] p 7.</t>
  </si>
  <si>
    <t>Honea, R. A., Vidoni, E., Harsha, A., &amp; Burns, J. M. (2009). Impact of APOE on the healthy aging brain: a voxel-based MRI and DTI study. Journal of Alzheimer's disease, 18(3), 553-564. 10.3233/JAD-2009-1163</t>
  </si>
  <si>
    <t>10.3233/JAD-2009-1163</t>
  </si>
  <si>
    <t>Lacey, C., Paterson, T., Gawryluk, J. R., &amp; Alzheimer’s Disease Neuroimaging Initiative. (2024). Impact of APOE-ε alleles on brain structure and cognitive function in healthy older adults: A VBM and DTI replication study. Plos one, 19(4), e0292576. https://doi.org/10.1371/journal.pone.0292576</t>
  </si>
  <si>
    <t>10.1371/journal.pone.0292576</t>
  </si>
  <si>
    <t>Cognitive score</t>
  </si>
  <si>
    <t>Impact of APOE-ε alleles on brain structure and cognitive function in healthy older adults</t>
  </si>
  <si>
    <t>Subjects with an APOEε4 allele had significantly decreased global cognition (global index) compared to subjects with no ε4 allele, characterized by global cognition (p = 0.047, Table 1).</t>
  </si>
  <si>
    <t>Calculated based on the data provided in Table 1 - N1 = 39, Standardized Cognitive Score SD 0.08 (0.42) and N2 =14 Standardized Cognitive Score SD −0.20 (0.53)</t>
  </si>
  <si>
    <t>p = 0.047</t>
  </si>
  <si>
    <t>additional_studies7_b</t>
  </si>
  <si>
    <t>Claim text_r.  VBM analyses revealed no significant differences in GMV between ε4+ and controls and between ε2+ and controls (p&gt;0.05, corrected via TFCE). [...] p 7.</t>
  </si>
  <si>
    <t>VBM</t>
  </si>
  <si>
    <t>ε4-carriers had a trend for lower gray matter regional volumes in the left lingual/parahippocampal gyrus,right inferior parietal cortex, left superior frontal cortex,left angular gyrus, left amygdala, and right precuneus (p &lt; 0.001, uncorrected, Table 2, Fig. 1).</t>
  </si>
  <si>
    <t xml:space="preserve">
Calculated based on the data provided in Table 2. Z-scores were used as proxies for Cohen's d. Z-scores for Decrease and Increase were averaged resulting in d 3.23.</t>
  </si>
  <si>
    <t>additional_studies7_c</t>
  </si>
  <si>
    <t xml:space="preserve">Claim text_r.   DTI analyses revealed no significant differences in FA or MD (p &gt;0.05, corrected via TFCE) between ε4+ and controls, similarly between ε2+ and controls. [...] p 7.
es_repr_o cannot be calculated </t>
  </si>
  <si>
    <t>DTI</t>
  </si>
  <si>
    <t>There were no regions where FA was significantly higher or lower in healthy elderly ε4 carriers versus noncarriers at p &lt; 0.05 corrected level of significance. More in Table 1</t>
  </si>
  <si>
    <t>Cannot be calculated</t>
  </si>
  <si>
    <t>additional_studies70_1</t>
  </si>
  <si>
    <t>additional_studies70</t>
  </si>
  <si>
    <t>Conceptual replication, no inferential statistics, policing as a broad field</t>
  </si>
  <si>
    <t>Ratcliffe, J. H. (2021). Policing and public health calls for service in Philadelphia. Crime Science, 10(1), 1–6. https://doi.org/10.1186/s40163-021-00141-0</t>
  </si>
  <si>
    <t>10.1186/s40163-021-00141-0</t>
  </si>
  <si>
    <t>n/a</t>
  </si>
  <si>
    <t>10.1186--s40163-021-00141-0.pdf</t>
  </si>
  <si>
    <t>Langton, S., Ruiter, S., &amp; Verlaan, T. (2023). Describing the scale and composition of calls for police service: A replication and extension using open data. Police Practice and Research, 24(5), 523-538. https://doi.org/10.1080/15614263.2022.2102494</t>
  </si>
  <si>
    <t>10.1080/15614263.2022.2102494</t>
  </si>
  <si>
    <t>10.1080--15614263.2022.2102494.pdf</t>
  </si>
  <si>
    <t>"The contribution is made in replication and extension of analyses reported elsewhere in the United States."</t>
  </si>
  <si>
    <t>police, calls for service, 911, demand</t>
  </si>
  <si>
    <t xml:space="preserve">The scale and composition of emergency demand for police services </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</si>
  <si>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 </t>
  </si>
  <si>
    <t>additional_studies71_1</t>
  </si>
  <si>
    <t>additional_studies71</t>
  </si>
  <si>
    <t>Lum, C., Koper, C. S., &amp; Wu, X. (2021). Can we really defund the police? A nine-agency study of police response to calls for service. Police Quarterly, July. https://doi.org/10.1177/2F10986111211035002</t>
  </si>
  <si>
    <t>10.1177/2F10986111211035002</t>
  </si>
  <si>
    <t>10.1177--2f10986111211035002.pdf</t>
  </si>
  <si>
    <t>“[...]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</si>
  <si>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p.267-269</t>
  </si>
  <si>
    <t>additional_studies72_1</t>
  </si>
  <si>
    <t>additional_studies72</t>
  </si>
  <si>
    <t>Satisfaction effect</t>
  </si>
  <si>
    <t>Laniyonu, A. (2021). Phantom pains: The effect of police killings of black Americans on black British attitudes. British Journal of Political Science, 52(4), 1–17. https://doi.org/10.1017/S0007123421000557</t>
  </si>
  <si>
    <t>10.1017/S0007123421000557</t>
  </si>
  <si>
    <t>10.1017--s0007123421000557.pdf</t>
  </si>
  <si>
    <t>Nivette, A., Nägel, C., &amp; Gilbert, E. (2023). Examining the effects of the killing of George Floyd by police in the United States on attitudes of Black Londoners: a replication. Police Practice and Research, 24(5), 575–596. https://doi.org/10.1080/15614263.2023.2185241</t>
  </si>
  <si>
    <t>10.1080/15614263.2023.2185241</t>
  </si>
  <si>
    <t>10.1080--15614263.2023.2185241.pdf</t>
  </si>
  <si>
    <t>“A recent study [...] found that Eric Garner’s death in NYC lead to more negative attitudes towards the police in London among Black residents compared to White and Asian residents. The current study aimed to replicate this transnational effect by assessing the impact of George Floyd’s death on Londoners’ perceptions of police.”</t>
  </si>
  <si>
    <t>protest policing; attitudes towards police; George Floyd; ethnicity; replication</t>
  </si>
  <si>
    <t>The effect of police killings on attitudes towards the police - Satisfaction</t>
  </si>
  <si>
    <t>"Consistent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</si>
  <si>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p.1661</t>
  </si>
  <si>
    <t>−3.54</t>
  </si>
  <si>
    <t>p. 1663</t>
  </si>
  <si>
    <t>p. 4 - Supplemental material</t>
  </si>
  <si>
    <t>https://osf.io/tjr7a/</t>
  </si>
  <si>
    <t>RS</t>
  </si>
  <si>
    <t>Fairness effect</t>
  </si>
  <si>
    <t>The effect of police killings on attitudes towards the police - Perceptions of fairness</t>
  </si>
  <si>
    <t>" [...] overall perception of police fairness fell by 2.44 [...]"</t>
  </si>
  <si>
    <t>−2.44</t>
  </si>
  <si>
    <t>Engagement effect</t>
  </si>
  <si>
    <t>The effect of police killings on attitudes towards the police - Community engagement</t>
  </si>
  <si>
    <t>"[...] and perceptions of community engagement fell by 3.16."</t>
  </si>
  <si>
    <t>−3.16</t>
  </si>
  <si>
    <t>Teshome</t>
  </si>
  <si>
    <t>additional_studies74_1</t>
  </si>
  <si>
    <t>additional_studies74_a</t>
  </si>
  <si>
    <t>LR, Teshome</t>
  </si>
  <si>
    <t>I found it difficult which to code as various model specifications are fitted. Anyway, coefficient of physical game is considered in this row.</t>
  </si>
  <si>
    <t>Bloomfield, J., Balsa, A., &amp; Cid, A. (2023). Using behavioral insights in early childhood interventions: The effects of Crianza Positiva e-messaging program on parental investment. Review of the Economics of the Household, 21, 95–130. https://doi.org/10.1007/s11150-021-09593-4</t>
  </si>
  <si>
    <t>10.1007/s11150-021-09593-4</t>
  </si>
  <si>
    <t>10.1007--s11150-021-09593-4.pdf</t>
  </si>
  <si>
    <t>Balsa, A., Bloomfield, J. &amp; Cid, A. The Conceptual Replication of Crianza Positiva E-Messaging Program During the COVID-19 Pandemic: Too Much or Too Little Information?. J Fam Econ Iss (2024). https://doi.org/10.1007/s10834-024-09975-7</t>
  </si>
  <si>
    <t>10.1007/s10834-024-09975-7</t>
  </si>
  <si>
    <t>10.1007--s10834-024-09975-7.pdf</t>
  </si>
  <si>
    <t>Evolutionary Psychology</t>
  </si>
  <si>
    <t>parenting, child development, parenting, stimulation, evaluation studies</t>
  </si>
  <si>
    <t>Crianza Positiva e-messaging program has incremental effect on the physical games.</t>
  </si>
  <si>
    <t>We find that the messaging intervention increases the frequency of parental involvement in physical games with the child in a magnitude of 0.27 standard deviations (I considered values reported in Column (3) as it's prefered by authors).</t>
  </si>
  <si>
    <t>https://doi.org/10.1257/rct.3585-2.0</t>
  </si>
  <si>
    <t>not reported</t>
  </si>
  <si>
    <t>additional_studies74_b</t>
  </si>
  <si>
    <t>Coefficient of didactive activities is considered in this row.</t>
  </si>
  <si>
    <t>Crianza Positiva e-messaging program has incremental effect on the didactive activities.</t>
  </si>
  <si>
    <t>We also find that the intervention increases the average frequency of parental engagement in didactic activities with the child by 0.29 standard deviations.</t>
  </si>
  <si>
    <t>additional_studies74_c</t>
  </si>
  <si>
    <t>Coefficient of socialization activities is considered in this row.</t>
  </si>
  <si>
    <t>Crianza Positiva e-messaging program has incremental effect on the social activities.</t>
  </si>
  <si>
    <t>The ITT effect on the frequency of parental involvement in social activities with the child has a magnitude of 0.27 standard deviations.</t>
  </si>
  <si>
    <t>Adira</t>
  </si>
  <si>
    <t>additional_studies74_1_a</t>
  </si>
  <si>
    <t>additional_studies74</t>
  </si>
  <si>
    <t>LR, AD</t>
  </si>
  <si>
    <t>This is a randomized control trial study which reports data and results differently. Sample was measured as families and not number of individuals involved in the intervention. Effects reported in standard deviations for the Bloomfield paper and standard errors in the Balsa paper. There were no significant effects in the Balsa paper.</t>
  </si>
  <si>
    <t>title, "conceptual replication"</t>
  </si>
  <si>
    <t xml:space="preserve">positive parenting behaviors </t>
  </si>
  <si>
    <t>Parenting, Early Childhood, Information and Communication Technology, Behavioural Economics, Child Development</t>
  </si>
  <si>
    <t>parental time invesment in physical games improves intention to treat</t>
  </si>
  <si>
    <t>We find that the messaging intervention increases the
frequency of parental involvement in physical games with the child in a magnitude of
0.27 standard deviations. This estimate is significant at a level of 5% when considering
unadjusted p values, clustering, or when considering p values adjusted for MHT, and at
the 10% level when conducting randomization inference.
suggesting that inattention and cognitive fatigue could be behind sub-optimal par-
enting decisions (Cooklin et al., 2012). We identified a similar negative relationship
between stress and parental involvement in physical games.</t>
  </si>
  <si>
    <t>Orindary least squares regression, p.17-18</t>
  </si>
  <si>
    <t xml:space="preserve">Reduced form model regression, p.6 </t>
  </si>
  <si>
    <t>additional_studies74_1_b</t>
  </si>
  <si>
    <t>Bloomfield, J., Balsa, A., &amp; Cid, A. (2023). Using behavioral insights in early childhood interventions: The effects of Crianza Positiva e-messaging program on parental investment. Review of the Economics of the Household, 21, 95–130. https://doi.org/10.1007/s11150-021-09593-5</t>
  </si>
  <si>
    <t>10.1007/s11150-021-09593-5</t>
  </si>
  <si>
    <t>Balsa, A., Bloomfield, J. &amp; Cid, A. The Conceptual Replication of Crianza Positiva E-Messaging Program During the COVID-19 Pandemic: Too Much or Too Little Information?. J Fam Econ Iss (2024). https://doi.org/10.1007/s10834-024-09975-8</t>
  </si>
  <si>
    <t>10.1007/s10834-024-09975-8</t>
  </si>
  <si>
    <t>parental time invesment in didactic activites improves intention to treat</t>
  </si>
  <si>
    <t>We also find that the
intervention increases the average frequency of parental engagement in didactic activities
with the child by 0.29 standard deviations.</t>
  </si>
  <si>
    <t>Orindary least squares regression, p.17-19</t>
  </si>
  <si>
    <t>additional_studies74_1_c</t>
  </si>
  <si>
    <t>Bloomfield, J., Balsa, A., &amp; Cid, A. (2023). Using behavioral insights in early childhood interventions: The effects of Crianza Positiva e-messaging program on parental investment. Review of the Economics of the Household, 21, 95–130. https://doi.org/10.1007/s11150-021-09593-6</t>
  </si>
  <si>
    <t>10.1007/s11150-021-09593-6</t>
  </si>
  <si>
    <t>Balsa, A., Bloomfield, J. &amp; Cid, A. The Conceptual Replication of Crianza Positiva E-Messaging Program During the COVID-19 Pandemic: Too Much or Too Little Information?. J Fam Econ Iss (2024). https://doi.org/10.1007/s10834-024-09975-9</t>
  </si>
  <si>
    <t>10.1007/s10834-024-09975-9</t>
  </si>
  <si>
    <t>parental time invesment in social activites improves intention to treat</t>
  </si>
  <si>
    <t>The ITT effect on the fre-
quency of parental involvement in social activities with the child has a magnitude of
0.27 standard deviations and is significant at the 5% level, but loses significance in the
absence of controls (Column (1)).</t>
  </si>
  <si>
    <t>Orindary least squares regression, p.17-20</t>
  </si>
  <si>
    <t>additional_studies74_1_d</t>
  </si>
  <si>
    <t>Bloomfield, J., Balsa, A., &amp; Cid, A. (2023). Using behavioral insights in early childhood interventions: The effects of Crianza Positiva e-messaging program on parental investment. Review of the Economics of the Household, 21, 95–130. https://doi.org/10.1007/s11150-021-09593-7</t>
  </si>
  <si>
    <t>10.1007/s11150-021-09593-7</t>
  </si>
  <si>
    <t>Balsa, A., Bloomfield, J. &amp; Cid, A. The Conceptual Replication of Crianza Positiva E-Messaging Program During the COVID-19 Pandemic: Too Much or Too Little Information?. J Fam Econ Iss (2024). https://doi.org/10.1007/s10834-024-09975-10</t>
  </si>
  <si>
    <t>10.1007/s10834-024-09975-10</t>
  </si>
  <si>
    <t>higher scores on positive parenting scales is correlated with intention to treat</t>
  </si>
  <si>
    <t>Regarding the quality of parental investment, we find a positive effect of 0.31 stan-
dard deviations on the index of positive parenting when considering unadjusted
p values.</t>
  </si>
  <si>
    <t>Orindary least squares regression, p.17-21</t>
  </si>
  <si>
    <t>additional_studies74_1_e</t>
  </si>
  <si>
    <t>Bloomfield, J., Balsa, A., &amp; Cid, A. (2023). Using behavioral insights in early childhood interventions: The effects of Crianza Positiva e-messaging program on parental investment. Review of the Economics of the Household, 21, 95–130. https://doi.org/10.1007/s11150-021-09593-8</t>
  </si>
  <si>
    <t>10.1007/s11150-021-09593-8</t>
  </si>
  <si>
    <t>Balsa, A., Bloomfield, J. &amp; Cid, A. The Conceptual Replication of Crianza Positiva E-Messaging Program During the COVID-19 Pandemic: Too Much or Too Little Information?. J Fam Econ Iss (2024). https://doi.org/10.1007/s10834-024-09975-11</t>
  </si>
  <si>
    <t>10.1007/s10834-024-09975-11</t>
  </si>
  <si>
    <t>parental stress index is correlated with intention to treat</t>
  </si>
  <si>
    <t>We find no evidence
of an effect of the intervention on parental stress, discount rate, or parental knowledge.</t>
  </si>
  <si>
    <t>Orindary least squares regression, p.17-22</t>
  </si>
  <si>
    <t>additional_studies74_1_f</t>
  </si>
  <si>
    <t>original sample size was visible on table 5, p. 18</t>
  </si>
  <si>
    <t>Bloomfield, J., Balsa, A., &amp; Cid, A. (2023). Using behavioral insights in early childhood interventions: The effects of Crianza Positiva e-messaging program on parental investment. Review of the Economics of the Household, 21, 95–130. https://doi.org/10.1007/s11150-021-09593-9</t>
  </si>
  <si>
    <t>10.1007/s11150-021-09593-9</t>
  </si>
  <si>
    <t>Balsa, A., Bloomfield, J. &amp; Cid, A. The Conceptual Replication of Crianza Positiva E-Messaging Program During the COVID-19 Pandemic: Too Much or Too Little Information?. J Fam Econ Iss (2024). https://doi.org/10.1007/s10834-024-09975-12</t>
  </si>
  <si>
    <t>10.1007/s10834-024-09975-12</t>
  </si>
  <si>
    <t>main effect, parental involvement in physical games and intention to treat</t>
  </si>
  <si>
    <t>In particular,
families facing a larger number of negative shocks are more likely to implement
routines, are less likely to use violent discipline, and have a stronger sense of parental
competence at follow-up.</t>
  </si>
  <si>
    <t>Orindary least squares regression, p.17-23</t>
  </si>
  <si>
    <t>additional_studies74_1_g</t>
  </si>
  <si>
    <t>Bloomfield, J., Balsa, A., &amp; Cid, A. (2023). Using behavioral insights in early childhood interventions: The effects of Crianza Positiva e-messaging program on parental investment. Review of the Economics of the Household, 21, 95–130. https://doi.org/10.1007/s11150-021-09593-10</t>
  </si>
  <si>
    <t>10.1007/s11150-021-09593-10</t>
  </si>
  <si>
    <t>Balsa, A., Bloomfield, J. &amp; Cid, A. The Conceptual Replication of Crianza Positiva E-Messaging Program During the COVID-19 Pandemic: Too Much or Too Little Information?. J Fam Econ Iss (2024). https://doi.org/10.1007/s10834-024-09975-13</t>
  </si>
  <si>
    <t>10.1007/s10834-024-09975-13</t>
  </si>
  <si>
    <t xml:space="preserve">interaction effect, parental involvement in physical games and intention to treat * negative shocks </t>
  </si>
  <si>
    <t>Orindary least squares regression, p.17-24</t>
  </si>
  <si>
    <t>additional_studies74_1_h</t>
  </si>
  <si>
    <t>Bloomfield, J., Balsa, A., &amp; Cid, A. (2023). Using behavioral insights in early childhood interventions: The effects of Crianza Positiva e-messaging program on parental investment. Review of the Economics of the Household, 21, 95–130. https://doi.org/10.1007/s11150-021-09593-11</t>
  </si>
  <si>
    <t>10.1007/s11150-021-09593-11</t>
  </si>
  <si>
    <t>Balsa, A., Bloomfield, J. &amp; Cid, A. The Conceptual Replication of Crianza Positiva E-Messaging Program During the COVID-19 Pandemic: Too Much or Too Little Information?. J Fam Econ Iss (2024). https://doi.org/10.1007/s10834-024-09975-14</t>
  </si>
  <si>
    <t>10.1007/s10834-024-09975-14</t>
  </si>
  <si>
    <t>main effect, parental involvment in didactic activities and intention to treat</t>
  </si>
  <si>
    <t>Orindary least squares regression, p.17-25</t>
  </si>
  <si>
    <t>additional_studies74_1_i</t>
  </si>
  <si>
    <t>Bloomfield, J., Balsa, A., &amp; Cid, A. (2023). Using behavioral insights in early childhood interventions: The effects of Crianza Positiva e-messaging program on parental investment. Review of the Economics of the Household, 21, 95–130. https://doi.org/10.1007/s11150-021-09593-12</t>
  </si>
  <si>
    <t>10.1007/s11150-021-09593-12</t>
  </si>
  <si>
    <t>Balsa, A., Bloomfield, J. &amp; Cid, A. The Conceptual Replication of Crianza Positiva E-Messaging Program During the COVID-19 Pandemic: Too Much or Too Little Information?. J Fam Econ Iss (2024). https://doi.org/10.1007/s10834-024-09975-15</t>
  </si>
  <si>
    <t>10.1007/s10834-024-09975-15</t>
  </si>
  <si>
    <t xml:space="preserve">interaction effect, parental involvement in didactic activities and intention to treat * negative shocks </t>
  </si>
  <si>
    <t>Orindary least squares regression, p.17-26</t>
  </si>
  <si>
    <t>additional_studies74_1_j</t>
  </si>
  <si>
    <t>Bloomfield, J., Balsa, A., &amp; Cid, A. (2023). Using behavioral insights in early childhood interventions: The effects of Crianza Positiva e-messaging program on parental investment. Review of the Economics of the Household, 21, 95–130. https://doi.org/10.1007/s11150-021-09593-13</t>
  </si>
  <si>
    <t>10.1007/s11150-021-09593-13</t>
  </si>
  <si>
    <t>Balsa, A., Bloomfield, J. &amp; Cid, A. The Conceptual Replication of Crianza Positiva E-Messaging Program During the COVID-19 Pandemic: Too Much or Too Little Information?. J Fam Econ Iss (2024). https://doi.org/10.1007/s10834-024-09975-16</t>
  </si>
  <si>
    <t>10.1007/s10834-024-09975-16</t>
  </si>
  <si>
    <t>main effect, parental involvment in social activities and intention to treat</t>
  </si>
  <si>
    <t>Orindary least squares regression, p.17-27</t>
  </si>
  <si>
    <t>additional_studies74_1_k</t>
  </si>
  <si>
    <t>interaction effect,  parental involvment in social activities and intention to treat*negative shocks</t>
  </si>
  <si>
    <t>additional_studies74_1_l</t>
  </si>
  <si>
    <t>main effect, parental knowledge and intention to treat</t>
  </si>
  <si>
    <t>additional_studies74_1_m</t>
  </si>
  <si>
    <t>interaction effect, parental knowledge and intention to treat*negative shock</t>
  </si>
  <si>
    <t>additional_studies74_1_n</t>
  </si>
  <si>
    <t>main effect parental stress index and intention to treat</t>
  </si>
  <si>
    <t>additional_studies74_1_o</t>
  </si>
  <si>
    <t>interaction effect, parental stress index and intention to treat*negative shock</t>
  </si>
  <si>
    <t>additional_studies75_1</t>
  </si>
  <si>
    <t>additional_studies75</t>
  </si>
  <si>
    <t>No formal statistical test is conducted to test the hypothesis formulated both in the original and replication study.</t>
  </si>
  <si>
    <t>Shelton-Strong, S., &amp; Mynard, J. (2018). Affective factors in self-access learning. Relay Journal, 1(2), 275–292. https://doi.org/10.37237/relay/010204</t>
  </si>
  <si>
    <t>10.37237/relay/010204</t>
  </si>
  <si>
    <t>10.37237--relay--010204.pdf</t>
  </si>
  <si>
    <t>Menegale, M., &amp; Spricigo, L. (2024). Enhancing L2 confidence through learning diaries: A replication study on Italian lower-secondary school students. Studies in Self-Access Learning Journal, 15(2), 187–212. https://doi.org/10.37237/150205</t>
  </si>
  <si>
    <t>10.37237/150205</t>
  </si>
  <si>
    <t>10.37237--150205.pdf</t>
  </si>
  <si>
    <t>Although R is a replication, no real quantitative analysis have done. Both of them are kind of overview and descriptive only.</t>
  </si>
  <si>
    <t xml:space="preserve">The original study has been replicated multiple time, Spricigo, 2023 before the Menegale, 2024 paper. No effect sizes available to report since both studies used qualiative analyses. Both these studies have 3 RQs that are the same but it is hard to code the results based on the organization of this document. </t>
  </si>
  <si>
    <t>Menegale, M., &amp; Spricigo, L. (2024). Enhancing L2 confidence through learning diaries: A
replication study on Italian lower-secondary school students. Studies in Self-Access Learning
Journal, 15(2), 187–212. https://doi.org/10.37237/150205</t>
  </si>
  <si>
    <t>title, "replication"</t>
  </si>
  <si>
    <t>self-directed learning skills</t>
  </si>
  <si>
    <t>Self-directed Learning, Language Learning, Emotions, Affect, Positive Psychology Interventions</t>
  </si>
  <si>
    <t xml:space="preserve">Keeping a diary improves' students motivation for learning </t>
  </si>
  <si>
    <t>"In this paper, we have considered ways in which to embed a focus on affect into a
self-directed learning course, and the implications this may have for language learners. We
have given some examples of tools that could be used for awareness-raising and strategy-
building, and we have talked about the role of advising in this process. From the examples of
student work and reflections, it would appear that the potential for raising awareness through
an explicit focus on affective factors, such as confidence, can be helpful for learners as they
learn to monitor their emotions, and engage with their contribution to their own learning
processes. One final point to make is that although we have found that tools can be very
useful, it is the combination of the tools, opportunities for reflection, and the dialogue that
make these activities particularly powerful, enabling a shift in metacognitive awareness and
self-discovery, with this being further developed through face-to-face or written advising."</t>
  </si>
  <si>
    <t>15,16</t>
  </si>
  <si>
    <t>Diary entries and semi-structured interviews, Qualitative content analysis</t>
  </si>
  <si>
    <t>Diary entries, semi-structured interviews, qualitative content analysis, p. 192-194</t>
  </si>
  <si>
    <t>additional_studies77_1</t>
  </si>
  <si>
    <t>additional_studies77</t>
  </si>
  <si>
    <t>Collins, H. K., Hagerty, S. F., Quoidbach, J., Norton, M. I., &amp; Brooks, A. W. (2022). Relational diversity in social portfolios predicts well-being. Proceedings of the National Academy of Sciences, 119(43), e2120668119. https://doi.org/10.1073/pnas.212066811</t>
  </si>
  <si>
    <t>10.1073/pnas.212066811</t>
  </si>
  <si>
    <t>10.1073--pnas.212066811.pdf</t>
  </si>
  <si>
    <t>Metskas, A. K. (2024, June 26). Replication of a study from “Relational diversity in social portfolios predicts well-being”  (PNAS | Collins et al. 2022). https://doi.org/10.31234/osf.io/jfmsz</t>
  </si>
  <si>
    <t>10.31234/osf.io/jfmsz</t>
  </si>
  <si>
    <t>10.31234--osf.io--jfmsz.pdf</t>
  </si>
  <si>
    <t>social porfolio diversity</t>
  </si>
  <si>
    <t>well-being, relationships, diversity, conversation</t>
  </si>
  <si>
    <t>Variety and amount of interpersonal interactions improves well-being</t>
  </si>
  <si>
    <t>In support of our preregistered hypothesis, respondents’ in­person social portfolio diversity predicted higher well­being over and above this relationship (β = 0.13, b = 0.54, 95% CI [0.15, 0.92], P = 0.007, n = 576).</t>
  </si>
  <si>
    <t>https://aspredicted.org/blind.php?x=6w6gu4</t>
  </si>
  <si>
    <t>https://researchbox.org/1499</t>
  </si>
  <si>
    <t>Well done! :-)</t>
  </si>
  <si>
    <t>Effect from original study: b = 0.54, 95% CI [0.15, 0.92]; Effect from replication study: ,b=0.410,95%CI[0.085,0.735]</t>
  </si>
  <si>
    <t>additional_studies78_1</t>
  </si>
  <si>
    <t>additional_studies78</t>
  </si>
  <si>
    <t>Shah, A.K., LaForest, M. Knowledge about others reduces one’s own sense of anonymity. Nature 603, 297–301 (2022). https://doi.org/10.1038/s41586-022-04452-3</t>
  </si>
  <si>
    <t>10.1038/s41586-022-04452-3</t>
  </si>
  <si>
    <t>2A</t>
  </si>
  <si>
    <t>10.1038--s41586-022-04452-3.pdf</t>
  </si>
  <si>
    <t>Metskas, A. K. (2024, June 26). Replication of a study from “Knowledge about others reduces one’s own sense of anonymity”  (Nature | Shah &amp; LaForest 2022). https://doi.org/10.31234/osf.io/xjaty</t>
  </si>
  <si>
    <t>10.31234/osf.io/xjaty</t>
  </si>
  <si>
    <t>10.31234--osf.io--xjaty.pdf</t>
  </si>
  <si>
    <t>social, anonymity</t>
  </si>
  <si>
    <t>Our sense of anonymity depends not only on what people know about us but also on what we know about them.</t>
  </si>
  <si>
    <t>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</si>
  <si>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https://aspredicted.org/PHY_PZZ</t>
  </si>
  <si>
    <t>additional_studies78_1_a</t>
  </si>
  <si>
    <t>description of effect taken from table 2 in Metsakas paper because of clarity, p. 5</t>
  </si>
  <si>
    <t xml:space="preserve">perception of self and others </t>
  </si>
  <si>
    <t>Social ties, Self-perception, Self-concept, Social interactions</t>
  </si>
  <si>
    <t>H1: Participants in the information
condition will report a significantly
higher percentage chance of lie
detection by their ‘partner’ than
participants in the no information
condition.(entire sample)</t>
  </si>
  <si>
    <t>1.91–5.99). In this paradigm, participants in the information
condition were more likely to believe that they were connected to another
person (58.3% (information condition) versus 40.6% (no information
condition), χ2
= 14.53, P &lt; 0.001, Cramer’s V = 0.18). The</t>
  </si>
  <si>
    <t>Independent samples t-test, Welch's t-test, p. 3</t>
  </si>
  <si>
    <t>Independent samples/ Welch's t-test</t>
  </si>
  <si>
    <t>additional_studies78_1_b</t>
  </si>
  <si>
    <t>H2: Participants in the information
condition will report significantly
higher responses to how well they
believe they know their ‘partner’.
(entire sample)</t>
  </si>
  <si>
    <t>Participants were not asked how well they knew
their partner or the suspicion question. Again, when participants had
information about their partners, they thought that their partners
would be better at detecting their lies (F(2, 549) = 4.98, P = 0.007,
ηp
2
= 0.02).</t>
  </si>
  <si>
    <t>independent samples t-test, Student's t-test, p. 3</t>
  </si>
  <si>
    <t xml:space="preserve">Independent samples/ Student's t-test </t>
  </si>
  <si>
    <t>additional_studies78_1_c</t>
  </si>
  <si>
    <t xml:space="preserve">description of effect taken from table 2 in Metsakas paper because of clarity, p. 5; </t>
  </si>
  <si>
    <t>Knowledge of the ‘partner’
mediates the relationship between
the condition participants were
assigned to and their assessment
of the percentage chance that their
‘partner’ will detect their lie. (entire
sample)</t>
  </si>
  <si>
    <t>mediation analysis, p.3</t>
  </si>
  <si>
    <t>NOT REPORTED</t>
  </si>
  <si>
    <t>mediation analysis</t>
  </si>
  <si>
    <t>additional_studies78_1_d</t>
  </si>
  <si>
    <t>description of effect taken from table 2 in Metsakas paper because of clarity, p. 6; original effect sizes were calculated by replication author</t>
  </si>
  <si>
    <t>Participants in the information
condition will report a significantly
higher percentage chance of lie
detection by their ‘partner’ than
participants in the no information
condition.(manipulation check
passed only)</t>
  </si>
  <si>
    <t>Moreover, participants in the information condition felt as if they
knew their partner better (information: M = 4.55, 95% CI = 4.39–4.72
versus no information: M = 3.89, 95% CI = 3.70–4.08), unequal variances
t-test t(979.85) = 5.23, P &lt; 0.001, d = 0.33).</t>
  </si>
  <si>
    <t>additional_studies78_1_e</t>
  </si>
  <si>
    <t>H5: Participants in the information
condition will report significantly
higher responses to how well they
believe they know their ‘partner’.
(manipulation check passed only)</t>
  </si>
  <si>
    <t>In addition, participants
in the information condition felt as if their partner knew them bet-
ter (information: M = 4.32, 95% CI = 4.15–4.49 versus no information:
M = 3.94, 95% CI = 3.76–4.13), unequal variances t-test t(994.87) = 2.96,
P = 0.003, d = 0.19).</t>
  </si>
  <si>
    <t>independent samples t-test, Welch's t-test, p. 3</t>
  </si>
  <si>
    <t>additional_studies78_1_f</t>
  </si>
  <si>
    <t>description of effect taken from table 2 in Metsakas paper because of clarity, p. 6</t>
  </si>
  <si>
    <t>H6: Knowledge of the ‘partner’
mediates the relationship between
the condition participants were
assigned to and their assessment
of the percentage chance that their
‘partner’ will detect their lie.
(manipulation check passed only)</t>
  </si>
  <si>
    <t>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</si>
  <si>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NOT REPORTED </t>
  </si>
  <si>
    <t>additional_studies8_1</t>
  </si>
  <si>
    <t>additional_studies8</t>
  </si>
  <si>
    <t>excluded</t>
  </si>
  <si>
    <t>Saini, M., Pruett, M. K., Alschech, J., &amp; Sushchyk, A. R. (2019). A pilot study to assess coparenting across family structures (CoPAFS). Journal of Child and Family Studies, 28, 1392-1401. https://doi.org/10.1007/s10826-019-01370-3</t>
  </si>
  <si>
    <t>10.1007/s10826-019-01370-3</t>
  </si>
  <si>
    <t>10.1007--s10826-019-01370-3.pdf</t>
  </si>
  <si>
    <t>Pruett, M. K., Wang, X., Zhu, T., Alschech, J., &amp; Saini, M. (2024). The Co-Parenting Across Family Structures Scale: Replication for Mandarin parents. Family process, 10.1111/famp.12997. Advance online publication. https://doi.org/10.1111/famp.12997</t>
  </si>
  <si>
    <t>10.1111/famp.12997</t>
  </si>
  <si>
    <t>There is no specified original study in the "replication". The "replication" in this table investigates psychometric properties of the short form scale of CoPAFS, the "original" in this table investigates these properties in the full scale (in a different culture).</t>
  </si>
  <si>
    <t>Coparenting</t>
  </si>
  <si>
    <t>Effect size was calculated. Authors state that all domains were significant but do not report exact p-values.</t>
  </si>
  <si>
    <t>Co-Parenting Across Family Structures Effect</t>
  </si>
  <si>
    <t>co-parenting, cross-cultural, family structures, measurement,
parenting</t>
  </si>
  <si>
    <t>Difference in co-parenting quality between groups</t>
  </si>
  <si>
    <t>additional_studies80_1</t>
  </si>
  <si>
    <t>additional_studies80</t>
  </si>
  <si>
    <t>No formal statistical test is conducted to test the central hypothesis formulated both in the original and replication study. Their conclusion are simply based on the average mean.</t>
  </si>
  <si>
    <t>Seward, R., &amp; Redner, R. (2023). Step it UP! game increases steps of adults with disabilities. Journal of Applied Behavior Analysis, 56(1), 231–240. https://doi.org/10.1002/jaba.968</t>
  </si>
  <si>
    <t>10.1002/jaba.968</t>
  </si>
  <si>
    <t>10.1002--jaba.968.pdf</t>
  </si>
  <si>
    <t>Seward, R., &amp; Redner, R. (2024). A replication of extended implementation and social interaction during the Step it UP! Game for adults with disabilities. Journal of Applied Behavior Analysis, 1–16. https://doi.org/10.1002/jaba.1098</t>
  </si>
  <si>
    <t>10.1002/jaba.1098</t>
  </si>
  <si>
    <t>10.1002--jaba.1098.pdf</t>
  </si>
  <si>
    <t>physical activity</t>
  </si>
  <si>
    <t>Step it UP! Game increases steps of adults with disabilities</t>
  </si>
  <si>
    <t>Mean step count increased from 24.35 steps per minute during baseline to 54.76 steps per minute during the intervention.</t>
  </si>
  <si>
    <t xml:space="preserve">The study used means to compare baseline and intervention step count. </t>
  </si>
  <si>
    <t>physical activity, step count</t>
  </si>
  <si>
    <t>Good Behavior Game, Physical Activity, Public Health, Step it UP! Game</t>
  </si>
  <si>
    <t>"Overall, the results of the current study are consistent with previous research that used the Step it
UP! Game to increase step counts"</t>
  </si>
  <si>
    <t>Mean, p.6</t>
  </si>
  <si>
    <t>mean, p. 3</t>
  </si>
  <si>
    <t>This was an internal replication (same authors, same study) but you coded it as "conceptual".</t>
  </si>
  <si>
    <t>additional_studies82_1</t>
  </si>
  <si>
    <t>additional_studies82</t>
  </si>
  <si>
    <t>Honestly, it's very confusing which to code as different model specifications are fitted &amp; I need help from coordinators. For now, I coded the estimates reported in last column of Table 1.</t>
  </si>
  <si>
    <t>Barceló, J. (2021). “The Long-term Effects of War Exposure on Civic Engagement.” Proceedings of the National Academy of Sciences, 118 (6) (February): e2015539118 https://doi.org/10.1073/pnas.2015539118</t>
  </si>
  <si>
    <t>10.1073/pnas.2 015539118</t>
  </si>
  <si>
    <t>10.1073--pnas.2 015539118.pdf</t>
  </si>
  <si>
    <t>Malesky, E. J., &amp; Nguyen, T. A. (2024). Historical Communist Party Strength and Modern Party Loyalty. A Replication Study of Barceló (PNAS, 2021). Journal of Comments and Replications in Economics (JCRE), 3(2024-5), 1-27. https://doi.org/10.18718/81781.35%0A</t>
  </si>
  <si>
    <t>10.18718/81781.35%0A</t>
  </si>
  <si>
    <t>10.18718--81781.35%0a.pdf</t>
  </si>
  <si>
    <t>reproduction, not replication</t>
  </si>
  <si>
    <t>war exposure and civic engagement</t>
  </si>
  <si>
    <t>Conflict, Civic Engagement, Vietnam War, Historical Legacies</t>
  </si>
  <si>
    <t>Conflict affected individuals tend to engage more in social organization and hold greater expressive values, at least 26 year after the individual’s exposure to the war.</t>
  </si>
  <si>
    <t>The impact of having experienced the Vietnam War is about three times—0.30 standardized effect in the OLS full model—and five times—0.56 standardized effect in the IV full model (see also Table 1).</t>
  </si>
  <si>
    <t>- You took the wrong model for the reproduction.
- This is a reproduction and not a replication, so you should not have coded it in the first place.</t>
  </si>
  <si>
    <t>additional_studies82_1_a</t>
  </si>
  <si>
    <t>model 3 of binary factor analysis</t>
  </si>
  <si>
    <t>Barceló, J. (2021). “The Long-term Effects of War Exposure on Civic Engagement.” Proceedings of the National Academy of Sciences, 118 (6) (February): e2015539118 https://doi.org/10.1073/pnas.2
015539118</t>
  </si>
  <si>
    <t xml:space="preserve">Greater exposure to bombing leads to greater civic engagement years after the exposure </t>
  </si>
  <si>
    <t>binary factor analysis, p. 5; ordinary least squares p.6</t>
  </si>
  <si>
    <t>binary factor analysis, p.3</t>
  </si>
  <si>
    <t>- I could not find the values that you reported for the original paper in the original paper but only in the replication paper. Please only put values from the original report into the _o variables.
- You reported an incorrect sample size. Each model has the number of observations at the bottom, which is never 1000. Please make sure you code the correct number in the future.
- This is a reproduction and not a replication, so you should not have coded it in the first place.</t>
  </si>
  <si>
    <t>additional_studies82_1_b</t>
  </si>
  <si>
    <t>model 4 of binary factor analysis</t>
  </si>
  <si>
    <t>additional_studies82_1_c</t>
  </si>
  <si>
    <t>model 5 of binary factor analysis</t>
  </si>
  <si>
    <t>additional_studies85</t>
  </si>
  <si>
    <t>additional_studies85_a</t>
  </si>
  <si>
    <t>Longoni, A.M., Richardson, J.T.E. &amp; Aiello, A. Articulatory rehearsal and phonological storage in working memory. Memory &amp; Cognition 21, 11–22 (1993). https://doi.org/10.3758/BF03211160</t>
  </si>
  <si>
    <t>10.3758/BF03211160</t>
  </si>
  <si>
    <t>10.3758--bf03211160.pdf</t>
  </si>
  <si>
    <t>Couture, C., Veilleux, C., Chinhama, S., de Boinod, O. J., Payment, B., Husereau, T., &amp; Ouellette, É. (2024). Articulatory rehearsal and phonological storage in working memory: A replication of Longoni et al. (1993). The Quantitative Methods for Psychology, 20(1), r1–r12. https://doi.org/10.20982/tqmp.20.1.r001</t>
  </si>
  <si>
    <t>10.20982/tqmp.20.1.r001</t>
  </si>
  <si>
    <t>10.20982--tqmp.20.1.r001.pdf</t>
  </si>
  <si>
    <t>Articulatory rehearsal and phonological storage</t>
  </si>
  <si>
    <t>phonological loop replication, word length effect, phonemic similarity, working memory, replicability predicament.</t>
  </si>
  <si>
    <t>Word length effect reflects the contribution of the articulatory rehearsal process</t>
  </si>
  <si>
    <t>Indicates that longer words are harder to recall than shorter words, reflecting the role of the articulatory rehearsal process.</t>
  </si>
  <si>
    <t>p. 3-4</t>
  </si>
  <si>
    <t>additional_studies85_b</t>
  </si>
  <si>
    <t>Cognitive psychology</t>
  </si>
  <si>
    <t>Phonemic similarity effect reflects the phonological storage capacity.</t>
  </si>
  <si>
    <t>Indicates that phonemically similar words are harder to recall than phonemically distinct words, reflecting the phonological storage capacity.</t>
  </si>
  <si>
    <t>additional_studies85_c</t>
  </si>
  <si>
    <t>Articulatory suppression effect</t>
  </si>
  <si>
    <t>Suggests that articulatory suppression abolishes the word length effect but does not diminish the phonemic similarity effect, supporting the distinction between the two processes.</t>
  </si>
  <si>
    <t>additional_studies85_1</t>
  </si>
  <si>
    <t>Articulatory rehearsal and phonological storage in working memory:</t>
  </si>
  <si>
    <t>effects of articulatory suppression  [...] upon the number of sequences recalled</t>
  </si>
  <si>
    <t>effects of articulatory suppression [F(1,22) == 17.62, MSe == 14.95, P &lt; .001] [...] upon the number of sequences recalled</t>
  </si>
  <si>
    <t>phonemic similarity  [...] upon the number of sequences recalled</t>
  </si>
  <si>
    <t>phonemic similarity [F(1,22) == 121.10,MSe == 2.76,p &lt; .001] [...] upon the number of sequences recalled</t>
  </si>
  <si>
    <t>word length  [...]  upon the number of sequences recalled</t>
  </si>
  <si>
    <t>word length [F(1,22) == 35.41,MSe == 1.84,p &lt;.001] [...]  upon the number of sequences recalled</t>
  </si>
  <si>
    <t>additional_studies85_d</t>
  </si>
  <si>
    <t>effect of phonemic similarity [..] recall performance</t>
  </si>
  <si>
    <t>effect of phonemic similarity [F(I,15) = 214.17, MSe = 3.10, p &lt; .001</t>
  </si>
  <si>
    <t>additional_studies85_e</t>
  </si>
  <si>
    <t>word length  [...]  upon the recall performance</t>
  </si>
  <si>
    <t>effect of word length [F(I, 15) = 34.34, MSe = 1.33, P &lt; .001],</t>
  </si>
  <si>
    <t>additional_studies85_f</t>
  </si>
  <si>
    <t>effect of blocks [...] on percentage of items correctly recalled</t>
  </si>
  <si>
    <t>effect of blocks [F(I,22) = 11.09, MS. = 12.21, P &lt; .005]</t>
  </si>
  <si>
    <t>additional_studies85_g</t>
  </si>
  <si>
    <t>effect of word length [...] on percentage of items correctly recalled</t>
  </si>
  <si>
    <t>effect of word length [F(I,22) = 13.53, MS. = 14.66, P &lt; .001]</t>
  </si>
  <si>
    <t>additional_studies85_h</t>
  </si>
  <si>
    <t>effect of unattended speech [...] on percentage of items correctly recalled</t>
  </si>
  <si>
    <t>effect of unattended speech [F(I,22) = 30.80, MS.e = 12.21, p &lt; .001]</t>
  </si>
  <si>
    <t>additional_studies85_i</t>
  </si>
  <si>
    <t>effects of presentation rate [...] on total number of [...] correctly recalled times</t>
  </si>
  <si>
    <t>effects of presentation rate [F(l,20) = 31.04, MSe = 56.96,p &lt; .001]</t>
  </si>
  <si>
    <t>additional_studies85_j</t>
  </si>
  <si>
    <t>effects of phonemic similarity [...] on total number of [...] correctly recalled times</t>
  </si>
  <si>
    <t>phonemic similarity [F(l,20) = 23.33, MSe = 14.79, P &lt; .001]</t>
  </si>
  <si>
    <t>additional_studies85_k</t>
  </si>
  <si>
    <t>effects of articulatory suppression [...] on total number of [...] correctly recalled times</t>
  </si>
  <si>
    <t>articulatory suppression [F(I,20) = 33.24, MSe = 8.43,p &lt; .001]</t>
  </si>
  <si>
    <t>additional_studies85_l</t>
  </si>
  <si>
    <t>effects of phonemic similarity [...] percentage of items that were correctly recalled</t>
  </si>
  <si>
    <t>phonemic similarity [F(1,20) = 55.60, MSe = 15.86, P &lt; .001]</t>
  </si>
  <si>
    <t>additional_studies85_m</t>
  </si>
  <si>
    <t>effects of articulatory suppression [...] percentage of items that were correctly recalled</t>
  </si>
  <si>
    <t>articulatory suppression [F(1,20) = 41.96, MSe = 14.18, p &lt; .001].</t>
  </si>
  <si>
    <t>additional_studies85_n</t>
  </si>
  <si>
    <t>effects of recall delay [...] percentage of items that were correctly recalled</t>
  </si>
  <si>
    <t>recall delay [...] [F(1,20) = 6.48, MSe = 70.20, P &lt; .02],</t>
  </si>
  <si>
    <t>additional_studies86_1</t>
  </si>
  <si>
    <t>additional_studies86_a</t>
  </si>
  <si>
    <t>Effect of L1 speakers on competence (main effect)</t>
  </si>
  <si>
    <t>Teló, C., P.  Trofimovich, and M. G.  O’Brien.  2022. ‘Disentangling professional competence and foreign accent,’  Journal of Second Language Pronunciation  8/3: 413–43. https://doi.org/10.1075/jslp.22013.tel</t>
  </si>
  <si>
    <t>10.1075/jslp.22013.tel</t>
  </si>
  <si>
    <t>10.1075--jslp.22013.tel.pdf</t>
  </si>
  <si>
    <t>Cesar Teló, Rosane Silveira, Ana Flávia Boeing Marcelino, Mary G O’Brien, Accent Bias in Professional Evaluations: A Conceptual Replication Study in Brazil, Applied Linguistics, 2024;, amae042, https://doi.org/10.1093/applin/amae042</t>
  </si>
  <si>
    <t>10.1093/applin/amae042</t>
  </si>
  <si>
    <t>10.1093--applin--amae042.pdf</t>
  </si>
  <si>
    <t>Accent bias</t>
  </si>
  <si>
    <t>second langauge, accent</t>
  </si>
  <si>
    <t>Compared to English speakers, Tagalog speakers were rated as less competent.</t>
  </si>
  <si>
    <t>Listeners rated English speakers as more competent than Tagalog speakers (in Table 1: beta=-3.22, p&lt;0.001).</t>
  </si>
  <si>
    <t>additional_studies86_b</t>
  </si>
  <si>
    <t>Three-way interaction effect</t>
  </si>
  <si>
    <t>Cesar Teló, Rosane Silveira, Ana Flávia Boeing Marcelino, Mary G O’Brien, Accent Bias in Professional Evaluations: A Conceptual Replication Study in Brazil, Applied Linguistics, 2024;, amae042, https://doi.org/10.1093/applin/amae043</t>
  </si>
  <si>
    <t>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</si>
  <si>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additional_studies86_c</t>
  </si>
  <si>
    <t>Effect of L1 speakers on treatment preference (main effect)</t>
  </si>
  <si>
    <t>Cesar Teló, Rosane Silveira, Ana Flávia Boeing Marcelino, Mary G O’Brien, Accent Bias in Professional Evaluations: A Conceptual Replication Study in Brazil, Applied Linguistics, 2024;, amae042, https://doi.org/10.1093/applin/amae044</t>
  </si>
  <si>
    <t>Compared to English speakers, Tagalog speakers were rated as less treated.</t>
  </si>
  <si>
    <t>Listeners gave higher preference ratings to English than Tagalog speakers (in Table 2: beta=-3.56, p&lt;0.001).</t>
  </si>
  <si>
    <t>additional_studies86_d</t>
  </si>
  <si>
    <t>A significant three-way interaction was driven by the treatment preference ratings given to Tagalog speakers (rather than English speakers) in low-performance scenarios, where Tagalog speakers received higher ratings in low- versus high-prestige jobs.</t>
  </si>
  <si>
    <t>additional_studies86_e</t>
  </si>
  <si>
    <t>Effect of L1 speakers on comprehensibility(main effect)</t>
  </si>
  <si>
    <t>Compared to English speakers, Tagalog speakers were rated as less comprehensible.</t>
  </si>
  <si>
    <t>Listeners rated Tagalog speakers as less comprehensible than English speakers.</t>
  </si>
  <si>
    <t>additional_studies86_f</t>
  </si>
  <si>
    <t>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</si>
  <si>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additional_studies86_1_a</t>
  </si>
  <si>
    <t>additional_studies86</t>
  </si>
  <si>
    <t>replication reference is not in APA format; hyperlinks got removed during some formatting issues but the files are in the google drive for both te replication and the original paper</t>
  </si>
  <si>
    <t>Teló, C., P. Trofimovich, and M. G. O’Brien. 2022. ‘Disentangling professional competence and foreign accent,’ Journal of Second Language Pronunciation 8/3: 413–43. https://doi.org/10.1075/jslp.22013.tel</t>
  </si>
  <si>
    <t xml:space="preserve">accent bias and competence perception </t>
  </si>
  <si>
    <t xml:space="preserve">Accentism, Speech Assessment, Workplace Performance, Competence, Treatment Preference </t>
  </si>
  <si>
    <t>listeners rated English speakers as more competent than
Tagalog speakers.</t>
  </si>
  <si>
    <t>generalized linear mixed effects model, p. 13</t>
  </si>
  <si>
    <t>generalized linear mixed effects models, p.6</t>
  </si>
  <si>
    <t>additional_studies86_1_b</t>
  </si>
  <si>
    <t>The effect for speaker L1 was qualified by an interaction with accentedness rating,
where English speakers were rated as more competent than Tagalog speakers when the
speaker’s foreign accent was stronger,</t>
  </si>
  <si>
    <t>additional_studies86_1_c</t>
  </si>
  <si>
    <t xml:space="preserve">The effect for speaker L1 was qualified by an interaction with accentedness rating,
where English speakers were rated as more competent than Tagalog speakers when the
speaker’s foreign accent was stronger, but not when the accent was weaker </t>
  </si>
  <si>
    <t>additional_studies86_1_d</t>
  </si>
  <si>
    <t xml:space="preserve">The effect for job prestige was qualified by an interaction with speaker L1, whereby
English speakers were rated as more competent than Tagalog speakers in high-prestige
positions but not in low-prestige positions where the ratings for english and tagalog speakers were similar </t>
  </si>
  <si>
    <t>z</t>
  </si>
  <si>
    <t>additional_studies86_1_e</t>
  </si>
  <si>
    <t>additional_studies87_1</t>
  </si>
  <si>
    <t>additional_studies87</t>
  </si>
  <si>
    <t>I don't find hypotheses and effect sizes from replication study that match the original study. The central hypotheses of interest in the original study are answered using descriptive statistics. The replication paper is is contextual and extended replication.</t>
  </si>
  <si>
    <t>Segev, S., and J. Fernandes 2023. “The Anatomy of Viral Advertising: A Content Analysis of Viral Advertising from the Elaboration Likelihood Model Perspective.” Journal of Promotion Management 29 (1): 125–154. https://doi.org/10.1080/10496491.2022.2108189</t>
  </si>
  <si>
    <t>10.1080/10496491.2022.2108189</t>
  </si>
  <si>
    <t>10.1080--10496491.2022.2108189.pdf</t>
  </si>
  <si>
    <t>Fernandes, J., &amp; Segev, S. (2024). The persuasion cues that make video advertising go viral: a conceptual replication and extension comparing viral vs. Non-viral advertising. Journal of Marketing Communications, 1–27. https://doi.org/10.1080/13527266.2024.2376918</t>
  </si>
  <si>
    <t>10.1080/13527266.2024.2376918</t>
  </si>
  <si>
    <t>10.1080--13527266.2024.2376918.pdf</t>
  </si>
  <si>
    <t>additional_studies88_1</t>
  </si>
  <si>
    <t>additional_studies88_a</t>
  </si>
  <si>
    <t>Meyer, A., Riesel, A., &amp; Hajcak Proudfit, G. (2013). Reliability of the ERN across multiple tasks
as a function of increasing errors. Psychophysiology, 50(12), 1220–1225.
https://doi.org/10.1111/psyp.12132</t>
  </si>
  <si>
    <t>10.1111/psyp.12132</t>
  </si>
  <si>
    <t>10.1111--psyp.12132.pdf</t>
  </si>
  <si>
    <t>Holbrook, A., Park, B., Baldwin, S., Riesel, A., Larson, M. J., &amp; Clayson, P. E. (2024, July 10). Psychometric Reliability of ERN and Pe Across Flanker, Stroop, and Go/No-Go Tasks: A Direct and Conceptual Replication. https://doi.org/10.31234/osf.io/xr6bn</t>
  </si>
  <si>
    <t>10.31234/osf.io/xr6bn</t>
  </si>
  <si>
    <t>10.31234--osf.io--xr6bn.pdf</t>
  </si>
  <si>
    <t>Event-related potential</t>
  </si>
  <si>
    <t>Anxiety, Individual differences, EEG/ERP, Psychometrics, Error-related negativity, Error processing</t>
  </si>
  <si>
    <t>directly comparing the ERN and its psychometric properties when derived from the flankers [...] tasks as a function of increasing trial numbers.</t>
  </si>
  <si>
    <t>As can be seen in Figure 4, moderate internal reliability was achieved in both the flankers ,</t>
  </si>
  <si>
    <t>Cronbach's alpha</t>
  </si>
  <si>
    <t>https://osf.io/p2hr3</t>
  </si>
  <si>
    <t>additional_studies88_b</t>
  </si>
  <si>
    <t>directly comparing the ERN and its psychometric properties when derived from the [...] Stroop [..] tasks as a function of increasing trial numbers.</t>
  </si>
  <si>
    <t>reliability of the Stroop task remained low even after 20 errors per subject were examined</t>
  </si>
  <si>
    <t>additional_studies88_c</t>
  </si>
  <si>
    <t>directly comparing the ERN and its psychometric properties when derived from the [...] go/no-go tasks as a function of increasing trial numbers.</t>
  </si>
  <si>
    <t>As can be seen in Figure 4, moderate internal reliability was achieved in both the [...] go/no-go,</t>
  </si>
  <si>
    <t>additional_studies88_d</t>
  </si>
  <si>
    <t>dependability</t>
  </si>
  <si>
    <t>additional_studies88_e</t>
  </si>
  <si>
    <t>additional_studies88_f</t>
  </si>
  <si>
    <t>Error-Related Negativity (ERN)</t>
  </si>
  <si>
    <t>Flanker Task</t>
  </si>
  <si>
    <t>This suggests that the Flanker task provides adequate reliability for the ERN, even with a relatively small number of error trials.</t>
  </si>
  <si>
    <t>p.1223</t>
  </si>
  <si>
    <t xml:space="preserve">p. 40 </t>
  </si>
  <si>
    <t>https://osf.io/8cbua/</t>
  </si>
  <si>
    <t>Go/No-Go Task</t>
  </si>
  <si>
    <t>The Go/No-Go task demonstrates acceptable reliability for the ERN but requires slightly more error trials compared to the Flanker task</t>
  </si>
  <si>
    <t>Stroop Task</t>
  </si>
  <si>
    <t>These results indicate that the Stroop task provides poor reliability for the ERN and may not be suitable for assessing individual differences in performance monitoring.</t>
  </si>
  <si>
    <t>additional_studies89_1</t>
  </si>
  <si>
    <t>additional_studies89</t>
  </si>
  <si>
    <t>cannot access the replication article;  10.5465/AMPROC.2024.19578abstract point to study by Child et al.</t>
  </si>
  <si>
    <t>King, A. A., &amp; Shaver, J. M. (2001). Are aliens green? Assessing foreign establishments' environmental conduct in the United States. Strategic Management Journal, 22(11), 1069-1085. https://doi.org/10.1002/smj.201</t>
  </si>
  <si>
    <t>10.1002/smj.201</t>
  </si>
  <si>
    <t>10.1002--smj.201.pdf</t>
  </si>
  <si>
    <t>Lee, N., &amp; Hittmair, F. (2024). The Colors of Aliens: A Replication Study on Environmental Practices of Foreign-Owned Establishments. In Academy of Management Proceedings (Vol. 2024, No. 1, p. 19578). Valhalla, NY 10595: Academy of Management. https://doi.org/10.5465/AMPROC.2024.19578abstract</t>
  </si>
  <si>
    <t>10.5465/AMPROC.2024.19578abstract</t>
  </si>
  <si>
    <t>10.5465--amproc.2024.19578abstract.pdf</t>
  </si>
  <si>
    <t>no full paper available yet</t>
  </si>
  <si>
    <r>
      <rPr>
        <rFont val="Calibri"/>
        <sz val="11.0"/>
      </rPr>
      <t xml:space="preserve">Lee, N., &amp; Hittmair, F. (2024). The Colors of Aliens: A Replication Study on Environmental Practices of Foreign-Owned Establishments. In Academy of Management Proceedings (Vol. 2024, No. 1, p. 19578). Valhalla, NY 10595: Academy of Management. </t>
    </r>
    <r>
      <rPr>
        <rFont val="Calibri"/>
        <color rgb="FF1155CC"/>
        <sz val="11.0"/>
        <u/>
      </rPr>
      <t>https://doi.org/10.5465/AMPROC.2024.19578abstract</t>
    </r>
  </si>
  <si>
    <t>Replication Study</t>
  </si>
  <si>
    <t>Environmental Practices of Foreign-Owned Establishments</t>
  </si>
  <si>
    <t>Foreign-owned establishments, environmental practices, corporate social responsibility, sustainability, green practices, international business, environmental conduct, strategic management</t>
  </si>
  <si>
    <t>additional_studies9_1</t>
  </si>
  <si>
    <t>additional_studies9_a</t>
  </si>
  <si>
    <t>Closeness is questionable, Otiginal study sample consists of patients with medical diagnosis and their relatives, while Reproduc. sample is students, bascially general population. 
Claim text_r. [...] one-way ANOVAs were conducted on each Group separately for Valence of Face. For the GAD group, the main effect of Valence of Face was not significant, F (2, 186) = .02, η2 &lt; .000.</t>
  </si>
  <si>
    <t>Yiend, J., Mathews, A., Burns, T., Dutton, K., Fernández-Martín, A., Georgiou, G. A., ... &amp; Fox, E. (2015). Mechanisms of selective attention in generalized anxiety disorder. Clinical Psychological Science, 3(5), 758-771. https://doi.org/10.1177/2167702614545216</t>
  </si>
  <si>
    <t>10.1177/2167702614545216</t>
  </si>
  <si>
    <t>MacDonald, J., Lee, S., &amp; Wilbiks, J. (2024). Generalized anxiety disorder and selective attention: An unsuccessful replication of Yiend et al.,(2015) in a student population. Visual Cognition, 1-9. https://doi.org/10.1080/13506285.2024.2343157</t>
  </si>
  <si>
    <t>10.1080/13506285.2024.2343157</t>
  </si>
  <si>
    <t>Completely different samples (medical patients with students. Not sure about exclusion, but the closeness is questionable)</t>
  </si>
  <si>
    <t>Experiment 1 GAD</t>
  </si>
  <si>
    <t>Generalized anxiety disorder and selective attention</t>
  </si>
  <si>
    <t>one-way ANOVAs were conducted [...]. GAD group, the main effect of Valence of Face was significant, F(2, 26) = 5.68, MSE = 1404.72, p &lt;.01. Table 2</t>
  </si>
  <si>
    <t>additional_studies9_b</t>
  </si>
  <si>
    <t>Closeness is questionable, Otiginal study sample consists of patients with/without medical diagnosis, while Reproduc. sample is students, bascially general population. 
Claim text_r. [...] one-way ANOVAs were conducted on each Group separately for Valence of Face. both the Control and HTA groups failed to reach statistical significance in differences in Valence of Face</t>
  </si>
  <si>
    <t>Experiment 1 Control/Healthy</t>
  </si>
  <si>
    <t>one-way ANOVAs were conducted [...]. The main effect of Valence of Face did not reach significance for the matched control group, F(2, 26) = 1.49, MSE = 1499.52, η2p = .10, p = .24, Table 2</t>
  </si>
  <si>
    <t>p = 0.24</t>
  </si>
  <si>
    <t xml:space="preserve">
Calculated based on the data provided in Table 2. Group means and standard deviations for each group were used to calculate the total mean across all groups. The variance between groups and within groups was computed, followed by dividing the variances by their respective degrees of freedom to calculate mean squares. </t>
  </si>
  <si>
    <t>additional_studies9_c</t>
  </si>
  <si>
    <t>Experiment 1 High Trait anxiety</t>
  </si>
  <si>
    <t>one-way ANOVAs were conducted [...]. The main effect of Valence of Face did not reach significancethe high trait anxious group, F(2, 26) = 1.72, MSE = 2582.33, η2p = .12, p = .20. Table 2</t>
  </si>
  <si>
    <t>additional_studies90_1</t>
  </si>
  <si>
    <t>additional_studies90_a</t>
  </si>
  <si>
    <t>Yu, R., Mobbs, D., Seymour, B., Rowe, J. B., &amp; Calder, A. J. (2014). The neural signature of escalating frustration in humans. Cortex, 54, 165-178. https://doi.org/10.1016/j.cortex.2014.02.013</t>
  </si>
  <si>
    <t>10.1016/j.cortex.2014.02.013</t>
  </si>
  <si>
    <t>10.1016--j.cortex.2014.02.013.pdf</t>
  </si>
  <si>
    <t>Eben, C., Chen, Z., London, R. E., &amp; Verbruggen, F. (2024). Escalating frustration-A replication attempt and extension of Yu et al.(2014). Open Research Europe, 4(135), 135. https://doi.org/10.12688/openreseurope.17749.1</t>
  </si>
  <si>
    <t>10.12688/openreseurope.17749.1</t>
  </si>
  <si>
    <t>10.12688--openreseurope.17749.1.pdf</t>
  </si>
  <si>
    <t>effects of proximity and effort across [...] on escalating frustration</t>
  </si>
  <si>
    <t>frustration, reward, response force, facial EMG</t>
  </si>
  <si>
    <t>confirm RT on Proximity effect 1/4, 1/3, 1/2, 1/1</t>
  </si>
  <si>
    <t>additional_studies90_a1</t>
  </si>
  <si>
    <t>Motivation on Proximity effect 2/4, 2/3, 2/2</t>
  </si>
  <si>
    <t>additional_studies90_b</t>
  </si>
  <si>
    <t>confirm RT on Proximity effect 2/4, 2/3, 2/2</t>
  </si>
  <si>
    <t>additional_studies90_b1</t>
  </si>
  <si>
    <t>Motivation on Proximity effect 3/4, 3/3</t>
  </si>
  <si>
    <t>additional_studies90_c</t>
  </si>
  <si>
    <t>confirm RT on Proximity effect 3/4, 3/3</t>
  </si>
  <si>
    <t>additional_studies90_c1</t>
  </si>
  <si>
    <t>Motivation on Proximity effect combined effect</t>
  </si>
  <si>
    <t>additional_studies90_d</t>
  </si>
  <si>
    <t>confirm RT on Proximity effect combined effect</t>
  </si>
  <si>
    <t>additional_studies90_d1</t>
  </si>
  <si>
    <t>Motivation on Effort effect 4/4, 3/3, 2/2, 1/1</t>
  </si>
  <si>
    <t>additional_studies90_e</t>
  </si>
  <si>
    <t>confirm RT on Effort effect 4/4, 3/3, 2/2, 1/1</t>
  </si>
  <si>
    <t>additional_studies90_e1</t>
  </si>
  <si>
    <t>Motivation on Effort effect 3/4, 2/3, 1/2 3.88</t>
  </si>
  <si>
    <t>additional_studies90_f</t>
  </si>
  <si>
    <t>confirm RT on Effort effect 3/4, 2/3, 1/2 3.88</t>
  </si>
  <si>
    <t>additional_studies90_f1</t>
  </si>
  <si>
    <t>Motivation on Effort effect 2/4, 1/3</t>
  </si>
  <si>
    <t>additional_studies90_g</t>
  </si>
  <si>
    <t>confirm RT on Effort effect 2/4, 1/3</t>
  </si>
  <si>
    <t>additional_studies90_g1</t>
  </si>
  <si>
    <t>Motivation on Effort effect combined effect</t>
  </si>
  <si>
    <t>additional_studies90_h</t>
  </si>
  <si>
    <t>confirm RT on Effort effect combined effect</t>
  </si>
  <si>
    <t>additional_studies90_i</t>
  </si>
  <si>
    <t>Frustration on Proximity effect 1/4, 1/3, 1/2, 1/1</t>
  </si>
  <si>
    <t>additional_studies90_j</t>
  </si>
  <si>
    <t>Frustration on Proximity effect 2/4, 2/3, 2/2</t>
  </si>
  <si>
    <t>additional_studies90_k</t>
  </si>
  <si>
    <t>Frustration on Proximity effect 3/4, 3/3</t>
  </si>
  <si>
    <t>additional_studies90_l</t>
  </si>
  <si>
    <t>Frustration on Proximity effect combined effect</t>
  </si>
  <si>
    <t>additional_studies90_m</t>
  </si>
  <si>
    <t>Frustration on Effort effect 4/4, 3/3, 2/2, 1/1</t>
  </si>
  <si>
    <t>additional_studies90_n</t>
  </si>
  <si>
    <t>Frustration on Effort effect 3/4, 2/3, 1/2 3.88</t>
  </si>
  <si>
    <t>additional_studies90_o</t>
  </si>
  <si>
    <t>Frustration on Effort effect 2/4, 1/3</t>
  </si>
  <si>
    <t>additional_studies90_p</t>
  </si>
  <si>
    <t>Frustration on Effort effect combined effect</t>
  </si>
  <si>
    <t>additional_studies90_q</t>
  </si>
  <si>
    <t>Surprise on Proximity effect 1/4, 1/3, 1/2, 1/1</t>
  </si>
  <si>
    <t>additional_studies90_r</t>
  </si>
  <si>
    <t>Surprise on Proximity effect 2/4, 2/3, 2/2</t>
  </si>
  <si>
    <t>additional_studies90_s</t>
  </si>
  <si>
    <t>Surprise on Proximity effect 3/4, 3/3</t>
  </si>
  <si>
    <t>additional_studies90_t</t>
  </si>
  <si>
    <t>Surprise on Proximity effect combined effect</t>
  </si>
  <si>
    <t>additional_studies90_u</t>
  </si>
  <si>
    <t>Surprise on Effort effect 4/4, 3/3, 2/2, 1/1</t>
  </si>
  <si>
    <t>additional_studies90_v</t>
  </si>
  <si>
    <t>Surprise on Effort effect 3/4, 2/3, 1/2 3.88</t>
  </si>
  <si>
    <t>additional_studies90_x</t>
  </si>
  <si>
    <t>Surprise on Effort effect 2/4, 1/3</t>
  </si>
  <si>
    <t>additional_studies90_y</t>
  </si>
  <si>
    <t>Surprise on Effort effect combined effect</t>
  </si>
  <si>
    <t>additional_studies90_z</t>
  </si>
  <si>
    <t>Motivation on Proximity effect 1/4, 1/3, 1/2, 1/1</t>
  </si>
  <si>
    <t>additional_studies90</t>
  </si>
  <si>
    <t>Not explicitly reported, but neural activation effect sizes for frustration-related responses are generally in the range of r = 0.5 - 0.7. r (correlation coefficient between neural activation and frustration levels)</t>
  </si>
  <si>
    <t>A replication attempt</t>
  </si>
  <si>
    <t>Escalating frustration</t>
  </si>
  <si>
    <t>The study investigates the neural signature of escalating frustration in humans, focusing on how proximity to a blocked goal and expended effort influence frustration levels and neural activation patterns.</t>
  </si>
  <si>
    <t>Frustration increased with proximity to the goal and with effort investment. Significant neural activation was observed in the amygdala, periaqueductal gray (PAG), anterior insula, and dorsal anterior cingulate cortex (dACC).</t>
  </si>
  <si>
    <t>additional_studies91_1</t>
  </si>
  <si>
    <t>additional_studies91</t>
  </si>
  <si>
    <t>H1 (extraversion). H2 is not replicated in the replication paper.</t>
  </si>
  <si>
    <t>Bunz, U. (2021). Investigating the Relationship Between Social Media Use, Big Five Personality, and Well-being. Journal of Communication Technology, 4(3), 25–52. https://doi.org/10.51548/joctec-2021-016</t>
  </si>
  <si>
    <t>10.51548/joctec-2021-016</t>
  </si>
  <si>
    <t>10.51548--joctec-2021-016.pdf</t>
  </si>
  <si>
    <t>Pruski, S. M. (2024). The impact of Screen Time, Social Media Use and Extraversion on Life Satisfaction among University Students: An extended replication study (Bachelor's thesis, University of Twente). Retrieved from https://purl.utwente.nl/essays/100459</t>
  </si>
  <si>
    <t>social media use, social media engagement, social media intensity, big five personality, positive well-being, negative well-being, positive affect, negative affect, subjective well-being</t>
  </si>
  <si>
    <t>Extraversion predicts social media use.</t>
  </si>
  <si>
    <t>A simple linear regression analysis shows that extraversion predicts SMEI, F(1,422) = 18.27, p&lt;.001 (R2 = .042, beta = .241).</t>
  </si>
  <si>
    <t>p. 27</t>
  </si>
  <si>
    <t>additional_studies92_1</t>
  </si>
  <si>
    <t>additional_studies92</t>
  </si>
  <si>
    <t>I don't think this study is a "classical study" and lend itslef to extract requested information. The study introduced a new framework to estimate the aggregate capital-labor elasticity of substitution by aggregating the actions of individual plants.</t>
  </si>
  <si>
    <t>Oberfield, E., &amp; Raval, D. (2021). Micro data and macro technology. Econometrica, 89(2), 703-732. https://doi.org/10.3982/ECTA12807</t>
  </si>
  <si>
    <t>10.3982/ECTA12807</t>
  </si>
  <si>
    <t>10.3982--ecta12807.pdf</t>
  </si>
  <si>
    <t>Yang, H., &amp; Zhang, W. Explaining the decline of China's labor share: A wide replication of Oberfield and Raval (2021). Journal of Applied Econometrics. https://doi.org/10.1002/jae.3082</t>
  </si>
  <si>
    <t>10.1002/jae.3082</t>
  </si>
  <si>
    <t>10.1002--jae.3082.pdf</t>
  </si>
  <si>
    <t>elasticity</t>
  </si>
  <si>
    <t>The aggregate elasticity for the U.S. manufacturing sector is in the range of 0.5–0.7.</t>
  </si>
  <si>
    <t>Our estimates indicated that the aggregate elasticity of substitution between capital and labor for the manufacturing sector has been between 05 and 07, with a slight decline from 1972 to 2007.</t>
  </si>
  <si>
    <t>additional_studies93_1</t>
  </si>
  <si>
    <t>additional_studies93_a</t>
  </si>
  <si>
    <t>McKenzie, C. R., Liersch, M. J., &amp; Finkelstein, S. R. (2006). Recommendations implicit in policy defaults. Psychological Science, 17(5), 414-420. https://doi.org/10.1111/j.1467-9280.2006.01721.x</t>
  </si>
  <si>
    <t>10.1111/j.1467-9280.2006.01721.x</t>
  </si>
  <si>
    <t>10.1111--j.1467-9280.2006.01721.x.pdf</t>
  </si>
  <si>
    <t>Teng, X., Lau, K. W., Ng, T. K., Chan, K. P., Yeung, W., Yeung, S. K., &amp; Feldman, G. Revisiting the mechanism underlying the default effect: Implicit recommendations, perceived trustworthiness, and preference uncertainty in a replication and extensions Registered Report of McKenzie et al.(2006). http://dx.doi.org/10.17605/OSF.IO/E5K4J</t>
  </si>
  <si>
    <t>10.17605/OSF.IO/E5K4J</t>
  </si>
  <si>
    <t>default effect</t>
  </si>
  <si>
    <t>default effect, judgment and decision making, registered report, replication, behavioral policy, choice architecture</t>
  </si>
  <si>
    <t>relation between willingness to be a donor and the chosen default.</t>
  </si>
  <si>
    <t>participants who were unwilling to be donors and 15% of the participants who were unsure selected that default, w2 (2, N 5 102) 5 8.0, p 5 .018.</t>
  </si>
  <si>
    <t>additional_studies93_b</t>
  </si>
  <si>
    <t>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</si>
  <si>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 </t>
  </si>
  <si>
    <t>additional_studies93_c</t>
  </si>
  <si>
    <t>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</si>
  <si>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 </t>
  </si>
  <si>
    <t>additional_studies93_d</t>
  </si>
  <si>
    <t>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</si>
  <si>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  </t>
  </si>
  <si>
    <t>additional_studies93_e</t>
  </si>
  <si>
    <t>test statistic in orginal study greater than</t>
  </si>
  <si>
    <t xml:space="preserve">enrollment condtion vs probably think that employees ought to enroll in a retirement plan
</t>
  </si>
  <si>
    <t>additional_studies93_f</t>
  </si>
  <si>
    <t>enrollment condtion vs probably think that employees want to be enrolled</t>
  </si>
  <si>
    <t>additional_studies93_g</t>
  </si>
  <si>
    <t>enrollment condtion vs are probably enrolled themselves</t>
  </si>
  <si>
    <t>additional_studies93_h</t>
  </si>
  <si>
    <t>effect of the chosen default vs greater enrolment</t>
  </si>
  <si>
    <t>additional_studies93_i</t>
  </si>
  <si>
    <t>effect of the chosen default vs more likely enrollment</t>
  </si>
  <si>
    <t>Default effect</t>
  </si>
  <si>
    <t>default effect, judgment and decision making, registered report, replication,
behavioral policy, choice architecture</t>
  </si>
  <si>
    <t>Experiment 1 - Willing to be a donor</t>
  </si>
  <si>
    <t xml:space="preserve">A significant difference was found between those willing to be donors and those not willing. </t>
  </si>
  <si>
    <t>p. 415</t>
  </si>
  <si>
    <t>https://osf.io/e5k4j/</t>
  </si>
  <si>
    <t>Experiment 1 - Think people ought to be donors</t>
  </si>
  <si>
    <t xml:space="preserve">A significant difference was found between those who think others should be donors and those who don't. </t>
  </si>
  <si>
    <t>Experiment 2 - Policymakers willing</t>
  </si>
  <si>
    <t xml:space="preserve"> A very significant difference was found between those who perceived policymakers as willing to be donors, depending on the default.</t>
  </si>
  <si>
    <t>p. 416</t>
  </si>
  <si>
    <t>Experiment 2 - Policymakers think people ought to be donors</t>
  </si>
  <si>
    <t>Experiment 3 - Enrolled</t>
  </si>
  <si>
    <t>A very significant difference was found between those who perceived HR staff as supportive of automatic enrollment, depending on the default. T</t>
  </si>
  <si>
    <t>p. 417</t>
  </si>
  <si>
    <t>Experiment 3 - Not Enrolled</t>
  </si>
  <si>
    <t>A significant but moderate difference was found between those who perceived HR staff as not enrolled, depending on the default.</t>
  </si>
  <si>
    <t>additional_studies94_1</t>
  </si>
  <si>
    <t>additional_studies94</t>
  </si>
  <si>
    <t>Karataş, M., &amp; Cutright, K. M. (2023). Thinking about God increases acceptance of artificial intelligence in decision-making. Proceedings of the National Academy of Sciences, 120(33), e2218961120. https://doi.org/10.1073/pnas.2218961120</t>
  </si>
  <si>
    <t>10.1073/pnas.2218961120</t>
  </si>
  <si>
    <t>10.1073--pnas.2218961120.pdf</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</si>
  <si>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 https://doi.org/10.1073/pnas.2402315121
</t>
  </si>
  <si>
    <t>10.1073/pnas.2402315121</t>
  </si>
  <si>
    <t>10.1073--pnas.2402315121.pdf</t>
  </si>
  <si>
    <t>God Salience</t>
  </si>
  <si>
    <t>artificial intelligence, religion, algorithm aversion, decision-making</t>
  </si>
  <si>
    <t>Thinking about God reduces reliance on human recommendations in favor of AI recommendations across various contexts</t>
  </si>
  <si>
    <t>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</si>
  <si>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p. 2 &amp; 3</t>
  </si>
  <si>
    <t>0.20</t>
  </si>
  <si>
    <t>Cohen's f</t>
  </si>
  <si>
    <t>p. 2 &amp; 7</t>
  </si>
  <si>
    <t>https://osf.io/fdh4m/</t>
  </si>
  <si>
    <t>0.03</t>
  </si>
  <si>
    <t>0.38</t>
  </si>
  <si>
    <t>https://aspredicted.org/XHN_76L</t>
  </si>
  <si>
    <t>1. Values for REPLICATION statistical inferences were taken from supplementary files "10.1073--pnas.2402315121 SAPP.pdf"
2. Since one-way testing was used, the "Nested" option is put as "No"</t>
  </si>
  <si>
    <t>Direct replication</t>
  </si>
  <si>
    <t>God salience</t>
  </si>
  <si>
    <t>Artificial intelligence, religion, algorithm aversion, decision-making</t>
  </si>
  <si>
    <t>God salience influence the preference between human expert and AI recommendations across 24 different daily tasks</t>
  </si>
  <si>
    <t>"a one-way ANOVA on an index score computed by averaging each person's responses across the 24 decisions resulted in a significant effect of God salience [F(1,319) = 12.91, P &lt; 0.001; effect size f = 0.20]", "The effect of God salience remained significant (B = -5.43; t = -3.22, P = 0.001) after controlling for task consequentialness (B = 0.13; t = 1.28, P &gt; 0.2), tast objectivity (B = 0.06; t = 0.74, P &gt; 0.45), and uniqueness (B = 0.17; t = 2.09, P = 0.037)"</t>
  </si>
  <si>
    <t>https://osf.io/g6u9q</t>
  </si>
  <si>
    <t>additional_studies94_1a</t>
  </si>
  <si>
    <t>"a one-way ANOVA on an index score computed by averaging each person's responses across the 24 decisions resultsed in a significant effect of God salience [F(1,319) = 12.91, P &lt; 0.001; effect size f = 0.20]", "The effect of God salience remained significant (B = -5.43; t = -3.22, P = 0.001) after controlling for task consequentialness (B = 0.13; t = 1.28, P &gt; 0.2), tast objectivity (B = 0.06; t = 0.74, P &gt; 0.45), and uniqueness (B = 0.17; t = 2.09, P = 0.037)"</t>
  </si>
  <si>
    <t>https://aspredicted.org/Y47_RW5</t>
  </si>
  <si>
    <t>additional_studies94_2a</t>
  </si>
  <si>
    <t>2a</t>
  </si>
  <si>
    <t>God salience influence the preference between human expert and AI recommendations about mutual fund</t>
  </si>
  <si>
    <t>"In study 2a, 35.7% of participants in the low God salience condition picked the mutual fund recommended by the robo-advisor compared to 50.5% of participants in the high God salience condition [χ2 = (1) = 4.46, P = 0.035; Ф = 0.15]"</t>
  </si>
  <si>
    <t>https://osf.io/yxusb</t>
  </si>
  <si>
    <t>https://aspredicted.org/TBY_14V</t>
  </si>
  <si>
    <t>additional_studies94_2b</t>
  </si>
  <si>
    <t>2b</t>
  </si>
  <si>
    <t>God salience influence the preference between human expert and AI recommendations of songs listened</t>
  </si>
  <si>
    <t>“In study 2b, while 31% of participants in the low God salience condition listened to the song recommended by AI, 44.6% of those in the high God salience condition listened to the song recommended by AI [χ2 = (1) = 6.80, P = 0.009; Ф = 0.14]”</t>
  </si>
  <si>
    <t>https://osf.io/x73nv</t>
  </si>
  <si>
    <t>https://aspredicted.org/16C_RCH</t>
  </si>
  <si>
    <t>additional_studies94_3</t>
  </si>
  <si>
    <t>God salience influence the preference between human expert and AI recommendations in medical decision context</t>
  </si>
  <si>
    <t>“We replicated the expected effect: 33.5% of participants in the low God salience condition preferred the recommendation by the AI, while 44.3% of participants in the high God salience condition preferred the recommendation by the AI [χ2(1) = 4.12, P = 0.042; Ф = 0.11]”</t>
  </si>
  <si>
    <t>https://osf.io/gwq48</t>
  </si>
  <si>
    <t>https://aspredicted.org/YZ9_THH</t>
  </si>
  <si>
    <t>additional_studies94_5a</t>
  </si>
  <si>
    <t xml:space="preserve">Perception of AI as "black box" influences the choise of investment to the mutual fund recommended by human and AI because of the similarity in mysteriousness between God and AI </t>
  </si>
  <si>
    <t>"The main effect of God salience was significant [F(1,236) = 9.25, P = 0.003]"</t>
  </si>
  <si>
    <t>F(1,236) = 9.25</t>
  </si>
  <si>
    <t>https://osf.io/r57d6</t>
  </si>
  <si>
    <t>https://aspredicted.org/G5N_YRH</t>
  </si>
  <si>
    <t>additional_studies94_5b</t>
  </si>
  <si>
    <t>"A two-way ANOVA with God salience and AI type as predictors resulted in an insignificant main effect of the mysteriousness of the AI (F(1, 236) = .03, P &gt; .8) and an insignificant interaction term (F(1,236) = .006, P &gt; .9)."</t>
  </si>
  <si>
    <t>F(1,236) = .0006</t>
  </si>
  <si>
    <t>additional_studies94_5c</t>
  </si>
  <si>
    <t>additional_studies94_5d</t>
  </si>
  <si>
    <t>p.22</t>
  </si>
  <si>
    <t>additional_studies94_b</t>
  </si>
  <si>
    <t>1. There are minor changes between orignal and replication I am not considering it and using table 1 for results. 2. The orignal studies have reported different effect sizes, while replication studies have reported similar kind, i.e. "r" of effect sizes. I am not sure which one should I use so I am using the one's in the orignal study.</t>
  </si>
  <si>
    <t>Feedback for Husnain
- You were unsure about this but you did right: Please always use what is reported in the original paper for the _o variables.
- F is not an effect size. Please report the entire F test as a test statistic instead, eg F(1, 236) = 4.41)</t>
  </si>
  <si>
    <t>negative 0.10</t>
  </si>
  <si>
    <t>p. 7 &amp; 8</t>
  </si>
  <si>
    <t>0.077</t>
  </si>
  <si>
    <t>additional_studies95_c</t>
  </si>
  <si>
    <t>1. The orignal studies have reported different effect sizes, while replication studies have reported similar kind, i.e. "r" of effect sizes. I am not sure which one should I use so I am using the one's in the orignal study. Further, I am not sure if Φ or χ2 be used for the effect size so I have used χ2.</t>
  </si>
  <si>
    <t>10.1073/pnas.2402315122</t>
  </si>
  <si>
    <t>Algorithm aversion was weaker among participants reminded of God when choosing mutual funds.</t>
  </si>
  <si>
    <t>"35.7% of participants in the low God salience condition picked the mutual fund recommended by the robo-advisor compared to 50.5% of participants in the high God salience condition [χ2(1)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</si>
  <si>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4.46</t>
  </si>
  <si>
    <t>0.035</t>
  </si>
  <si>
    <t>0.01</t>
  </si>
  <si>
    <t>p. 11 &amp; 12</t>
  </si>
  <si>
    <t>0.547</t>
  </si>
  <si>
    <t>additional_studies96_d</t>
  </si>
  <si>
    <t>1. The orignal studies have reported different effect sizes, while replication studies have reported similar kind, i.e. "r" of effect sizes. I am not sure which one should I use so I am using the one's in the orignal study.Further, I am not sure if Φ or χ2 be used for the effect size so I have used χ2.</t>
  </si>
  <si>
    <t>10.1073/pnas.2402315123</t>
  </si>
  <si>
    <t>God salience increases preference for AI recommendations in music selection.</t>
  </si>
  <si>
    <t>"31% of participants in the low God salience condition listened to the song recommended by AI, 44.6% of those in the high God salience condition listened to the song recommended by AI [χ2(1)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</si>
  <si>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p.3 </t>
  </si>
  <si>
    <t>6.80</t>
  </si>
  <si>
    <t>0.009</t>
  </si>
  <si>
    <t>p. 12 &amp; 13</t>
  </si>
  <si>
    <t>0.375</t>
  </si>
  <si>
    <t>additional_studies99_e</t>
  </si>
  <si>
    <t>10.1073/pnas.2402315126</t>
  </si>
  <si>
    <t>The impact of God salience on AI acceptance is mediated by feelings of smallness and belief in human imperfection.</t>
  </si>
  <si>
    <t>"33.5% of participants in the low God salience condition preferred the recommendation by the AI, while 44.3% of participants in the high God salience condition preferred the recommendation by the AI [χ2(1) = 4.12, P = 0.042; Φ = 0.11]"</t>
  </si>
  <si>
    <t>4.12</t>
  </si>
  <si>
    <t>0.042</t>
  </si>
  <si>
    <t>p. 14, 15 &amp; 16</t>
  </si>
  <si>
    <t>0.96</t>
  </si>
  <si>
    <t>additional_studies99_f</t>
  </si>
  <si>
    <t>1. The orignal studies have reported different effect sizes, while replication studies have reported similar kind, i.e. "r" of effect sizes. I am not sure which one should I use so I am using the one's in the orignal study.</t>
  </si>
  <si>
    <t>10.1073/pnas.2402315128</t>
  </si>
  <si>
    <t>God salience weakens algorithm aversion across mysterious and non-mysterious conditions.</t>
  </si>
  <si>
    <t>"the main effect of God salience was significant [F(1, 236) = 9.25, P = 0.003]"</t>
  </si>
  <si>
    <t>p. 17 &amp; 18</t>
  </si>
  <si>
    <t>0.76</t>
  </si>
  <si>
    <t>additional_studies99_g</t>
  </si>
  <si>
    <t>1. The orignal studies have reported different effect sizes, while replication studies have reported similar kind, i.e. "r" of effect sizes. I am not sure which one should I use so I am using the one's in the orignal study.2. I think this study is conceptualy replicated, but I am still confused. 3. It is not clear if it is a direct replication or not.</t>
  </si>
  <si>
    <t>10.1073/pnas.2402315129</t>
  </si>
  <si>
    <t>5 (Typo Version)</t>
  </si>
  <si>
    <t>0.09</t>
  </si>
  <si>
    <t>https://aspredicted.org/737_DYZ</t>
  </si>
  <si>
    <t>bth36_1</t>
  </si>
  <si>
    <t>bth36</t>
  </si>
  <si>
    <t>Corrected citation and doi to the one from the paper
Feedback for Maureen:
- Please better indicate where the effect size comes from. I could not find the value in the paper.
- The original paper was published in psychological science, please thus code the finding as psychology (eg cognitive) and not political science when it is about things such as amygdala activity.
- No claim was coded, please do so (review the instructions if you are unsure and get in touch if there is still something unclear).</t>
  </si>
  <si>
    <r>
      <rPr>
        <rFont val="Calibri"/>
        <sz val="11.0"/>
      </rPr>
      <t xml:space="preserve">Lumian, D. S., &amp; McRae, K. (2017). Preregistered Replication of “Affective Flexibility: Evaluative Processing Goals Shape Amygdala Activity”. Psychological Science, 28(9), 1193-1200. </t>
    </r>
    <r>
      <rPr>
        <rFont val="Calibri"/>
        <color rgb="FF1155CC"/>
        <sz val="11.0"/>
        <u/>
      </rPr>
      <t>https://doi.org/10.1177/0956797617719730</t>
    </r>
  </si>
  <si>
    <t>10.1177/0956797617719730</t>
  </si>
  <si>
    <t>10.17605--osf.io--bth36.pdf</t>
  </si>
  <si>
    <t>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</si>
  <si>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F(1, 11) = 9.67</t>
  </si>
  <si>
    <t>https://doi.org/10.17605/OSF.IO/BTH36</t>
  </si>
  <si>
    <t>McRae, K., Lumian, D. S., &amp;  T. (2023, September 28). Data. https://doi.org/10.17605/OSF.IO/BTH36</t>
  </si>
  <si>
    <t>10.17605/OSF.IO/BTH36</t>
  </si>
  <si>
    <t>curatescience13_1</t>
  </si>
  <si>
    <t>curatescience13</t>
  </si>
  <si>
    <t>which study in replication is supposed to replicate the egodepletion effect?</t>
  </si>
  <si>
    <t xml:space="preserve">Firstly, the original paper and the replication study do not discuss the ego depletion effect, which is discussed in the task above. Secondly, the original paper by Gailliot M. T. et al. (2007) examines the reliance of self-control on the energy source glucose, while the replication study by Cesario J. et al. (2013) discusses a self-regulatory framework for message framing. I think these two studies have been wrongly paired. </t>
  </si>
  <si>
    <t>Values are the same as in the Curatescience Database but not the same as in original paper (before: original paper: d=-1.19) - which study in replication is supposed to replicate the egodepletion effect?</t>
  </si>
  <si>
    <t>Gailliot, M. T., Baumeister, R. F., DeWall, C. N., Maner, J. K., Plant, E. A., Tice, D. M., Brewer, L. E., &amp; Schmeichel, B. J. (2007). Self-control relies on glucose as a limited energy source: Willpower is more than a metaphor. Journal of Personality and Social Psychology, 92(2), 325–336. https://doi.org/10.1037/0022-3514.92.2.325. Study 7</t>
  </si>
  <si>
    <t>10.1037/0022-3514.92.2.325</t>
  </si>
  <si>
    <t>10.1037--0022-3514.92.2.325.pdf</t>
  </si>
  <si>
    <t>Cesario, J., Corker, K. S., &amp; Jelinek, S. (2013). A self-regulatory framework for message framing. Journal of Experimental Social Psychology, 49(2), 238–249. https://doi.org/10.1016/j.jesp.2012.10.014</t>
  </si>
  <si>
    <t>10.1016/j.jesp.2012.10.014</t>
  </si>
  <si>
    <t>10.1016--j.jesp.2012.10.014.pdf</t>
  </si>
  <si>
    <t>self-regulation, glucose, attention, emotion regulation, prejudice</t>
  </si>
  <si>
    <t>which study in replication is supposed to replicate the egodepletion effect? Jyoti Bhogal</t>
  </si>
  <si>
    <t>After looking at the detaisl of the studies fromt he origianl paper and the reference paper, it is not very clear which origianl study is linked to which replication study.</t>
  </si>
  <si>
    <t>self-control relies on glucose as a limited energy source</t>
  </si>
  <si>
    <t>curatescience15_1</t>
  </si>
  <si>
    <t>curatescience15</t>
  </si>
  <si>
    <t>df=2, N = 58 (56+2)</t>
  </si>
  <si>
    <t>corrected test statistics</t>
  </si>
  <si>
    <t>Muraven, M., Tice, D. M., &amp; Baumeister, R. F. (1998). Self-control as a limited resource: Regulatory depletion patterns. Journal of personality and social psychology, 74(3), 774.</t>
  </si>
  <si>
    <t>10.1037/0022-3514.74.3.774</t>
  </si>
  <si>
    <t>10.1037--0022-3514.74.3.774.pdf</t>
  </si>
  <si>
    <t>Murtagh, A. M., &amp; Todd, S. A. (2004). Self-regulation: A challenge to the strength model. Journal of Articles in Support of the Null Hypothesis, 3(1), 19-51. (Study 2)</t>
  </si>
  <si>
    <t>experimental replication</t>
  </si>
  <si>
    <t>strength model (also known as ego-strength model or resource model)</t>
  </si>
  <si>
    <t>self-regulation, self-control, regulatory, depletion</t>
  </si>
  <si>
    <t>Participants with no emotional control</t>
  </si>
  <si>
    <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</si>
  <si>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p. 4-5</t>
  </si>
  <si>
    <t>F(2, 56) = 7.58</t>
  </si>
  <si>
    <t>F(2, 73) = 0.274</t>
  </si>
  <si>
    <t>p. 32</t>
  </si>
  <si>
    <t>- Please enter test statistics (regardless if F, t, ...) in their entirety: eg "F(2, 56) = 7.58" as value and "test statistic" as type
- Fill out all variables and write "NA" if you cannot find a value (except for variable "exclusion")</t>
  </si>
  <si>
    <t>Jyoti Bhogal</t>
  </si>
  <si>
    <t>No values</t>
  </si>
  <si>
    <t>self regulation, self-control, thoughts, strength model</t>
  </si>
  <si>
    <t>curatescience15_b</t>
  </si>
  <si>
    <t>Participants with decrease emotional control</t>
  </si>
  <si>
    <t>"participants in the decrease emotional response condition reported that they found the manipulation of regulatory exertions much more effortful (Af = 33) than participants in the no emotional control condition (M = 1.9), /(38) = 3.47, p &lt; .01"</t>
  </si>
  <si>
    <t>t(38) = 3.47</t>
  </si>
  <si>
    <t>p. 33</t>
  </si>
  <si>
    <t>curatescience15_c</t>
  </si>
  <si>
    <t>Participants with increase emotional control</t>
  </si>
  <si>
    <t>"participants in the increase emotional response condition indicated that the manipula-tion of regulatory exertion instructions was much more effortful (M = 3.0) than participants in the no emotional control condi-tion, r(37) = 3.59, p &lt; .001.2"</t>
  </si>
  <si>
    <t>t(37) = 3.50</t>
  </si>
  <si>
    <t>curatescience16_1</t>
  </si>
  <si>
    <t>curatescience16</t>
  </si>
  <si>
    <t>There is not enough information on links to the replication study to complete the curation task</t>
  </si>
  <si>
    <t>Insufficient values (personal communication in Lebel's github)</t>
  </si>
  <si>
    <t>Schmeichel, B. J., Vohs, K. D., &amp; Baumeister, R. F. (2003). Intellectual performance and ego depletion: role of the self in logical reasoning and other information processing. Journal of personality and social psychology, 85(1), 33.</t>
  </si>
  <si>
    <t>10.1037/0022-3514.85.1.33</t>
  </si>
  <si>
    <t>10.1037--0022-3514.85.1.33.pdf</t>
  </si>
  <si>
    <t>Pond et al. (2011) Study 3  </t>
  </si>
  <si>
    <t>https://web.archive.org/web/20220103002744/https://github.com/eplebel/science-commons/blob/master/curated/ego-depletion/Pond%20et%20al%20(2011%2C%20Study%203)%20unpublished%20dataset%20methodological%20details.pdf</t>
  </si>
  <si>
    <t>Reference Study paper could not be found as the DOI is missing and also the complete paper title with author names is not provided</t>
  </si>
  <si>
    <t>sef regulation, intellectual performance, ego depletion, logical reasoning, information processing, Regulatory resources, complex thinking, attention regulation, emotion regulation, depleted participants</t>
  </si>
  <si>
    <t>Self regulation is associated with logical reasoning and other information processing</t>
  </si>
  <si>
    <t>curatescience17_1</t>
  </si>
  <si>
    <t>curatescience17</t>
  </si>
  <si>
    <t>DM-R</t>
  </si>
  <si>
    <t>Feedback for Diego
- please also copy the formula that resulted in the reported effect size</t>
  </si>
  <si>
    <t>Schmeichel, B. J. (2007). Attention control, memory updating, and emotion regulation temporarily reduce the capacity for executive control. Journal of experimental psychology: General, 136(2), 241.</t>
  </si>
  <si>
    <t>10.1037/0096-3445.136.2.241</t>
  </si>
  <si>
    <t>10.1037--0096-3445.136.2.241.pdf</t>
  </si>
  <si>
    <t>Healey, M. K., Hasher, L., &amp; Danilova, E. I. (2011). The stability of working memory: Do previous tasks influence complex span? Journal of Experimental Psychology: General, 140(4), 573–585. https://doi.org/10.1037/a0024587</t>
  </si>
  <si>
    <t>10.1037/a0024587</t>
  </si>
  <si>
    <t>10.1037--a0024587.pdf</t>
  </si>
  <si>
    <t>Use of race information in WIT</t>
  </si>
  <si>
    <t>Emotion regulation, Executive control, Limited resources, Self-regulation, Working memory</t>
  </si>
  <si>
    <t>This study investigates how performing tasks requiring executive control depletes the capacity for subsequent tasks that also require self-control.</t>
  </si>
  <si>
    <t>Engaging in demanding executive control tasks temporarily depletes resources for subsequent self-regulation. Key result: F(1, 95) = 5.38, p = .023, η² = 0.055.</t>
  </si>
  <si>
    <t>p. 245</t>
  </si>
  <si>
    <t>η²</t>
  </si>
  <si>
    <t>Calculated based on F(1, 95) = 5.38 and variance explained (η² = 0.055) reported on p. 245.</t>
  </si>
  <si>
    <t>Calculated based on means and SDs from p. 578</t>
  </si>
  <si>
    <t>Corinna</t>
  </si>
  <si>
    <t>Corinna Gemmecke</t>
  </si>
  <si>
    <t>R does not identify as a replication in title or abstract but identifies as replication in the description of experiment 1</t>
  </si>
  <si>
    <t>limited resource model of executive control</t>
  </si>
  <si>
    <t>emotion regulation, executive control, limited resources, self-regulation, working memory</t>
  </si>
  <si>
    <t>Controlling the focus of visual attention undermines performance on subsequent tests of working memory span, reverse digit span, and response inhibition.</t>
  </si>
  <si>
    <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</si>
  <si>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p. 4, 5</t>
  </si>
  <si>
    <t>pval_value_r is not given as I calculated Cohens d using the excel sheet "ES calculations" using M and SD</t>
  </si>
  <si>
    <t>Feedback for Corinna
- please also copy the formula that resulted in the reported effect size</t>
  </si>
  <si>
    <t xml:space="preserve">"Participants in the attention control condition reported somewhat less positive mood (M = 8.49, SD = 11.05) than did participants in the no control condition (M = 12.19, SD = 10.90), F(1, 137) = 3.72, p = .06, d = 0.34.", "Experiment 1 supported the hypothesis that exerting executive control temporarily reduces the capacity for executive control.", "Prior efforts at attention control undermined recall on both the operation span task (which included numerical distractors) and the sentence span task (which included verbal distractors), and mood states, motivation, and working speed did not appear to account for the impairment."
</t>
  </si>
  <si>
    <t>curatescience18_1</t>
  </si>
  <si>
    <t>curatescience18</t>
  </si>
  <si>
    <t>Changed replication closeness to conceptual because this is what the authers call it on p. 7</t>
  </si>
  <si>
    <t>Carter, E. C., &amp; McCullough, M. E. (2013). After a pair of self-control-intensive tasks, sucrose swishing improves subsequent working memory performance. BMC Psychology, 1(1). https://doi.org/10.1186/2050-7283-1-22</t>
  </si>
  <si>
    <t>10.1186/2050-7283-1-22</t>
  </si>
  <si>
    <t>10.1186--2050-7283-1-22.pdf</t>
  </si>
  <si>
    <t>Calculated based on means and SDs from p. 5</t>
  </si>
  <si>
    <t>Feedback
- study by Carter &amp; McCullough did not actually self-identify as replication in title or abstract but only in text (=conceptual replication).</t>
  </si>
  <si>
    <t>R does not identify as a replication in title or abstract</t>
  </si>
  <si>
    <t>extant effect size: interaction of effort and rinse (unsweeted rinse versus sucralose-sweted rinse)</t>
  </si>
  <si>
    <t>F(2, 229) = 3.54</t>
  </si>
  <si>
    <t>curatescience19_1</t>
  </si>
  <si>
    <t>curatescience19</t>
  </si>
  <si>
    <t>Corrected: Study does not identify as a replication</t>
  </si>
  <si>
    <t>Lurquin JH, Michaelson LE, Barker JE, Gustavson DE, von Bastian CC, Carruth NP, et al. (2016) No Evidence of the Ego-Depletion Effect across Task Characteristics and Individual Differences: A Pre-Registered Study. PLoS ONE 11 (2): e0147770. doi:10.1371/journal.pone.0147770</t>
  </si>
  <si>
    <t>10.1371/journal.pone.0147770</t>
  </si>
  <si>
    <t>10.1371--journal.pone.0147770.pdf</t>
  </si>
  <si>
    <t>Calculated based on means and SDs from p. 6</t>
  </si>
  <si>
    <t xml:space="preserve">Feedback
- You coded a study label as replication when it actually did not self-identify as a replication in the title or abstract. Please keep in mind the variable labels for future cases.
</t>
  </si>
  <si>
    <t>I copied the link to the pre-registration from the manuscript, but the link does not work.; Descriptive statistics indicate that the effect is reverse, therefore I coded d negatively.</t>
  </si>
  <si>
    <t>Corrected preregistration link (included a space).</t>
  </si>
  <si>
    <t>https://osf.io/cifn3</t>
  </si>
  <si>
    <t xml:space="preserve">Feedback
- The link didn't work because it included a space. I removed the space and the ?view-only part and it now works.
</t>
  </si>
  <si>
    <t>The authors also investigated the task difficulty as a moderator: "Unsurprisingly, task difficulty had a large effect, F(4, 796) = 762.82, p &lt; .001, ηp2 = .79, with increasing set sizes yielding performance decreases as indicated by a significant linear effect of task difficulty, F(1, 199) = 4439.81, p &lt; .001, ηp2 = .96. A marginally significant interaction between condition and set size, F(4, 792) = 2.13, p = .076, ηp2 = .01, indicated that Depletion participants outperformed Control participants on set size 3, t(198) = 2.42, p = .016, though there was no reason to expect this and so the effect was likely spurious. There were no condi- tion differences for any other set size (see Fig 2). The linear effect of task difficulty also did not interact with condition, F(1, 198) = 0.08, p = .780, ηp2 &lt; .01." p. 11 -&gt; If this is a relevant extant effect I will be happy to code it too.</t>
  </si>
  <si>
    <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</si>
  <si>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F(1, 137) = 50.46</t>
  </si>
  <si>
    <t>curatescience20_1</t>
  </si>
  <si>
    <t>curatescience20</t>
  </si>
  <si>
    <t>"Prep" is probably not a p-value.
Corrected n based on reported df.</t>
  </si>
  <si>
    <t>Inzlicht, M., &amp; Gutsell, J. N. (2007). Running on empty: Neural signals for self-control failure. Psychological science, 18(11), 933-937.</t>
  </si>
  <si>
    <t>10.1111/j.1467-9280.2007.02004.x</t>
  </si>
  <si>
    <t>10.1111--j.1467-9280.2007.02004.x.pdf</t>
  </si>
  <si>
    <r>
      <rPr>
        <rFont val="Calibri"/>
        <sz val="11.0"/>
      </rPr>
      <t xml:space="preserve">Wang, Y., &amp; Yang, L. (2014). Suppression (but not reappraisal) impairs subsequent error detection: An ERP Study of Emotion Regulation’s Resource-Depleting Effect. PLOS ONE, 9(4), e96339. </t>
    </r>
    <r>
      <rPr>
        <rFont val="Calibri"/>
        <color rgb="FF1155CC"/>
        <sz val="11.0"/>
        <u/>
      </rPr>
      <t>https://doi.org/10.1371/journal.pone.0096339</t>
    </r>
  </si>
  <si>
    <t>10.1371/journal.pone.0096339</t>
  </si>
  <si>
    <t>10.1371--journal.pone.0096339.pdf</t>
  </si>
  <si>
    <t>ego depletion</t>
  </si>
  <si>
    <t>self-control, neural, stroop task, suppression</t>
  </si>
  <si>
    <t>manipulation check to determine whether subjects in the control condition attempted to regulate their emotions</t>
  </si>
  <si>
    <t>"a t test showed the expected main effect, t(31) = 3.05, prep = .97, d = 1.10..."</t>
  </si>
  <si>
    <t>Feedback
- Please remember to fill out the label for the replication type and indicate that none was used if that was the case.
- Review text copied from the manuscript and make sure it is readable (eg = is often mistaken as 1/4)</t>
  </si>
  <si>
    <t>I</t>
  </si>
  <si>
    <t>Wang, Y., &amp; Yang, L. (2014). Suppression (but not reappraisal) impairs subsequent error detection: An ERP Study of Emotion Regulation’s Resource-Depleting Effect. PLOS ONE, 9(4), e96339. https://doi.org/10.1371/journal.pone.0096339</t>
  </si>
  <si>
    <t>self-control, neural signals, error related negativity (ERN), neuroscience</t>
  </si>
  <si>
    <t>Behavioral measures</t>
  </si>
  <si>
    <t xml:space="preserve">"We examined responses to the manipulation check to determine whether subjects in the suppression condition attempted to regulate their emotions. A t test showed the expected main effect, t(31)5 3.05, prep5 .97, d5 1.10, with the emotion-sup-
pression group (M5 5.03, SD5 1.69) reporting more regulation
than the control group (M5 3.11, SD5 1.89). The Stroop RTs were analyzed using a 2
(condition: control vs. suppression) 2 (trial type: congruent vs.
incongruent) mixed-model analysis of variance (ANOVA), with
the last factor repeated. This analysis revealed a significant
main effect for trial type, F(1, 31)5 76.41, prep
5 .99, d5 3.14,
the classic Stroop interference effect (see Fig. 1a). The analysis
also yielded the expected interaction between condition and
trial type, F(1, 31)5 6.76, prep
5 .94, d5 0.93; although
subjects in both conditions showed Stroop interference (both
Fs &gt; 20.74, preps 5 .99), the effect was significantly larger for
the emotion-suppression subjects.
Further analyses confirmed that these results do not simply
reflect general fatigue. The main effect for condition was non-
significant, F(1, 31)5 1.08, prep
5 .64, which suggests that the
slowing effect in the suppression group did not generalize to both
congruent and incongruent trials. Further, when we analyzed
Stroop performance as a ratio score, (RTincongruent RTcongruent)/
(RTincongruent 1 RTcongruent), a significant condition effect,
F(1, 32)5 6.88, prep
5 .94, confirmed our first analysis and
suggested that the Stroop effect was larger in the suppression
Fig. 1. Stroop response latency (a) and error rate (b) as a function of
trial type and condition. Error bars represent standard errors of the
mean difference.
group than in the control group. These results suggest that
subjects who suppressed their emotions had a more difficult time
maintaining executive control in an unrelated task than control
subjects did. The error rates, illustrated in Figure 1b, showed the
typical Stroop interference effect, F(1, 31)5 35.59, prep
5 .99,
d5 2.15, but failed to reveal a significant condition effect or
interaction, Fs &lt; 1, n.s." </t>
  </si>
  <si>
    <t>p.935</t>
  </si>
  <si>
    <t>curatescience20_b</t>
  </si>
  <si>
    <t>ES of the suppression group of the original paper was calculated using the provided mean and standard deviation in the ES calculation formula provided in Excel</t>
  </si>
  <si>
    <r>
      <rPr>
        <rFont val="Calibri"/>
        <sz val="11.0"/>
      </rPr>
      <t xml:space="preserve">Wang, Y., &amp; Yang, L. (2014). Suppression (but not reappraisal) impairs subsequent error detection: An ERP Study of Emotion Regulation’s Resource-Depleting Effect. PLOS ONE, 9(4), e96339. </t>
    </r>
    <r>
      <rPr>
        <rFont val="Calibri"/>
        <color rgb="FF1155CC"/>
        <sz val="11.0"/>
        <u/>
      </rPr>
      <t>https://doi.org/10.1371/journal.pone.0096339</t>
    </r>
  </si>
  <si>
    <t>manipulation check to determine whether subjects in the suppression condition attempted to regulate their emotions</t>
  </si>
  <si>
    <t>"...with the emotion-suppression group (M = 5.03, SD = 1.69) reporting more regulation than the control group (M = 3.11, SD = 1.89)"</t>
  </si>
  <si>
    <t>Mediation of Stroop Interference</t>
  </si>
  <si>
    <t>Feedback
Every entry should have a claim and coded statistics</t>
  </si>
  <si>
    <t>curatescience20_c</t>
  </si>
  <si>
    <t>Error-related negativity (ERN)</t>
  </si>
  <si>
    <t>curatescience204</t>
  </si>
  <si>
    <t>Diego Manriquez-Robles</t>
  </si>
  <si>
    <t>duplicate to curatescience204_1 and _2</t>
  </si>
  <si>
    <t>Schwarz, N., Hippler, H. J., Deutsch, B., &amp; Strack, F. (1985).Response scales: Effects of category range on reportedbehavior  and  comparative  judgments.Public  OpinionQuarterly, 49, 388–395.</t>
  </si>
  <si>
    <t>10.1086/268936</t>
  </si>
  <si>
    <t>Klein, R. A., Ratliff, K. A., Vianello, M., Adams, R. B., Bahník, Š., Bernstein, M. J., ... &amp; Nosek, B. A. (2014). Investigating variation in replicability: A "Many Labs" replication project. Social Psychology, 45(3), 142–152</t>
  </si>
  <si>
    <t>10.1027/1864-9335/a000178</t>
  </si>
  <si>
    <t>https://osf.io/y36m8</t>
  </si>
  <si>
    <t>05 (as labeled in the Many Labs supplement).</t>
  </si>
  <si>
    <t>ML.web.Supplement.pdf</t>
  </si>
  <si>
    <t>Identified as "replication" in the Many Labs documents.</t>
  </si>
  <si>
    <t>Response scale range affects reported behavior and judgments</t>
  </si>
  <si>
    <t>response scales, behavior reporting, social comparison, many labs</t>
  </si>
  <si>
    <t>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</si>
  <si>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Respondents provided higher frequency estimates for their TV watching behavior when the response scale included a high range (e.g., 4–6 times per week) compared to a low range (e.g., 0–2 times per week). The difference was statistically significant: F(1, 59) = 21.18, p &lt; .001, η² = .26.</t>
  </si>
  <si>
    <t>Page 391</t>
  </si>
  <si>
    <t>η² (eta squared)</t>
  </si>
  <si>
    <t>Reported on page 391.</t>
  </si>
  <si>
    <t>Not mentioned</t>
  </si>
  <si>
    <t>Reported in Many Labs supplementary materials, Section 5: Response scales and reported behavior​</t>
  </si>
  <si>
    <t>RB</t>
  </si>
  <si>
    <t>potential duplicate</t>
  </si>
  <si>
    <t>Low vs. high category scales</t>
  </si>
  <si>
    <t>only 16.2 percent of the respondents who were presented the low category range reported watching TV for more than two and a half hours, while 37.5 percent of the respondents presented the high category range did so</t>
  </si>
  <si>
    <t>curatescience21_1</t>
  </si>
  <si>
    <t>curatescience21</t>
  </si>
  <si>
    <t>n_r was inferred from ANOVA F(1,27) = 2.47. The original sample size was N = 31 but "participants who did not proceed directly down the walkway without stopping were excluded from the study." (p. 4)</t>
  </si>
  <si>
    <t>Values are the same as in the Curatescience Database but have not been cross-checked with original papers</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</si>
  <si>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</si>
  <si>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10.1037/0022-3514.71.2.230</t>
  </si>
  <si>
    <t>10.1037--0022-3514.71.2.230.pdf</t>
  </si>
  <si>
    <t>Hull, J. G., Slone, L. B., Meteyer, K., &amp; Matthews, A. R. (2002). The nonconsciousness of self-consciousness. Journal of Personality and Social Psychology, 83(2), 406–424. https://doi.org/10.1037/0022-3514.83.2.406 (Study 1a)</t>
  </si>
  <si>
    <t>10.1037/0022-3514.83.2.406</t>
  </si>
  <si>
    <t>1a</t>
  </si>
  <si>
    <t>10.1037--0022-3514.83.2.406.pdf</t>
  </si>
  <si>
    <t>R does not identify as a replication in title or abstract but the introduction of study 1 states that the authors "attempt to replicate" the effects observed by Bargh et al., (1996)</t>
  </si>
  <si>
    <t>stereotype priming</t>
  </si>
  <si>
    <t>Whether the activation or priming of an elderly stereotype affects participants' walking speed.</t>
  </si>
  <si>
    <t>"Participants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</si>
  <si>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t(28) = 2.86</t>
  </si>
  <si>
    <t>F(1,27) = 2.47</t>
  </si>
  <si>
    <t>extension effect size of the interaction between self-consciousness x prime interaction (self-consciouness was not part of the original study and therefore no original effect size is coded); n_r was inferred from ANOVA F(1,27) = 4.44. The original sample size was N = 31 but "participants who did not proceed directly down the walkway without stopping were excluded from the study." (p. 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</si>
  <si>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</si>
  <si>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F(1,27) = 4.44</t>
  </si>
  <si>
    <t>curatescience22_1</t>
  </si>
  <si>
    <t>curatescience22</t>
  </si>
  <si>
    <t>n_r was inferred from ANOVA F(1,36) = 2.95. The original sample size was N = 40 but "participants who did not proceed directly down the walkway without stopping were excluded from the study." (p. 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</si>
  <si>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</si>
  <si>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Hull, J. G., Slone, L. B., Meteyer, K., &amp; Matthews, A. R. (2002). The nonconsciousness of self-consciousness. Journal of Personality and Social Psychology, 83(2), 406–424. https://doi.org/10.1037/0022-3514.83.2.407  (Study 1b)</t>
  </si>
  <si>
    <t>1b</t>
  </si>
  <si>
    <t>F(1, 36) = 2.95</t>
  </si>
  <si>
    <t>extension effect size of the interaction between self-consciousness x prime interaction (self-consciouness was not part of the original study and therefore no original effect size is coded); n_r was inferred from ANOVA F(1,36) = 6.77. The original sample size was N = 40 but "participants who did not proceed directly down the walkway without stopping were excluded from the study." (p. 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</si>
  <si>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</si>
  <si>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F(1, 36) = 6.77</t>
  </si>
  <si>
    <t>curatescience23_1</t>
  </si>
  <si>
    <t>curatescience23</t>
  </si>
  <si>
    <t>note for n_r: The sample size was inferred as 80 participants took part in the experiment, while 5 had to be excluded and there were 3 experimental groups (eldery condition, youth condition &amp; control condition); pval_value_r: The authors only report a p-value that refers to an ANOVA comparing participants in the control condition, youth primed condition and eldery condition (F[2, 64] = 2.93, p = .06) while Cohens d reflects a comparison between the eldary group and the control group (like in the original study). For the comparison between the eldery group and the control group &amp; between the youth group and control group they report "As predicted, mean exit time for the no-prime control condition was between the elderly and youth prime conditions and was not significantly different from either (Fs 1.06)." p. 10</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</si>
  <si>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</si>
  <si>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Cesario, J., Plaks, J. E., &amp; Higgins, E. T. (2006). Automatic social behavior as motivated preparation to interact. Journal of Personality and Social Psychology, 90(6), 893–910 (study 2)</t>
  </si>
  <si>
    <t>10.1037/0022-3514.90.6.893</t>
  </si>
  <si>
    <t>R does not identify as a replication in title or abstract but the results section contains one headline named "Analysis 1: Replication of Previous Automatic Social Behavior Effects" P. 10</t>
  </si>
  <si>
    <t>automaticity, automatic social behavior, preparatory interaction, perception– behavior link</t>
  </si>
  <si>
    <t>curatescience24_1</t>
  </si>
  <si>
    <t>curatescience24</t>
  </si>
  <si>
    <t>The report does not contain an abstract and thus does not identify as a replication in the abstract. The report describes itself as "Fairly Exact Replication"</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</si>
  <si>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</si>
  <si>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Pashler, H., Harris, C., &amp; Coburn, N.. Elderly-Related Words Prime Slow Walking . (2011, September 15). Retrieved 04:36, September 23, 2017 from http://www.PsychFileDrawer.org/replication.php?attempt=MTU%3D</t>
  </si>
  <si>
    <t>t(64) = -88</t>
  </si>
  <si>
    <t>curatescience241</t>
  </si>
  <si>
    <t>it says "6344 valid and complete sessions" on p.2 and "445 subjects failed to provide valid responses" on p.7 resulting in 5899 estimates</t>
  </si>
  <si>
    <t>Schwarz, N., Hippler, H. J., Deutsch, B., &amp; Strack, F. (1985).Response scales: Effects of category range on reportedbehavior  and  comparative  judgments. Public Opinion Quarterly, 49, 388–395.</t>
  </si>
  <si>
    <t>F(1, 127) = 8.8</t>
  </si>
  <si>
    <t>p. 391</t>
  </si>
  <si>
    <t>Chi²(1) = 342.39</t>
  </si>
  <si>
    <t>Reported in Many Labs supplementary materials, Section 5: Response scales and reported behavior​ p. 7 (https://osf.io/y36m8)</t>
  </si>
  <si>
    <t>I could not find the N anywhere and you reported an eta squared, which was not in the report nor on the page that you indicated. Please report exactly what is in the respective report and do not calculate any values without providing the exact formula.Also, you reported 2 tails for a test but there was nothing in the document.</t>
  </si>
  <si>
    <t>duplicate</t>
  </si>
  <si>
    <t>curatescience244</t>
  </si>
  <si>
    <t>d original is for faces (names also has an effect), n is table 1 "interpretable n". Removed p-value because it was not reported on p. 106 --&gt; Discarded because it is referring to wrong study (Nosek, Banaji and Greenwald published two papers in 2002</t>
  </si>
  <si>
    <t>Nosek, B. A., Banaji, M. R., &amp; Greenwald, A. G. (2002). Harvesting implicit group attitudes and beliefs from a demonstration web site. Group Dynamics: Theory, Research, and Practice, 6(1), 101.</t>
  </si>
  <si>
    <t>10.1037/1089-2699.6.1.101</t>
  </si>
  <si>
    <t>12 (as labeled in the Many Labs supplement).</t>
  </si>
  <si>
    <t>Implicit attitudes measured via IAT demonstrate biases (e.g., race, age, gender) that may differ from explicit self-reports.</t>
  </si>
  <si>
    <t>IAT, implicit attitudes, implicit bias, many labs, replication</t>
  </si>
  <si>
    <t>The replication tested implicit biases using the IAT and compared them with explicit attitudes. It found robust effects consistent with the original: race bias (d = 0.71) and gender-science stereotypes (d = 0.72).</t>
  </si>
  <si>
    <t>Implicit attitudes toward social groups were significantly stronger than explicit attitudes. For example, implicit race bias showed d = 0.71 (p &lt; .001), compared to explicit race bias with d = 0.27.</t>
  </si>
  <si>
    <t>Page 106</t>
  </si>
  <si>
    <t>Reported on page 106.</t>
  </si>
  <si>
    <t>Reported in Many Labs supplementary materials, Section 12: Implicit Association Test and Implicit Attitudes.</t>
  </si>
  <si>
    <t>- You entered data from ref_o which did not match up with ref_r. ref_o was wrong and you should have noticed when checking if the replication is actually investigating the same claim. Apologies for matching up the wrong studies. Please try to understand the overlap between replication and original study more thoroughly.</t>
  </si>
  <si>
    <r>
      <rPr>
        <rFont val="Calibri"/>
        <color rgb="FF05103E"/>
        <sz val="11.0"/>
      </rPr>
      <t xml:space="preserve">Nosek, B. A., Banaji, M. R., &amp; Greenwald, A. G. (2002). Math = male, me = female, therefore math ≠ me. Journal of Personality and Social Psychology, 83(1), 44–59. </t>
    </r>
    <r>
      <rPr>
        <rFont val="Calibri"/>
        <color rgb="FF1155CC"/>
        <sz val="11.0"/>
        <u/>
      </rPr>
      <t>https://doi.org/10.1037/0022-3514.83.1.44</t>
    </r>
  </si>
  <si>
    <t>10.1037//0022-3514.83.1.44</t>
  </si>
  <si>
    <t>Gender-Math-Stereotype</t>
  </si>
  <si>
    <t>gender stereotypes and attitudes and identification with mathematics</t>
  </si>
  <si>
    <t>Though both men and women negatively evaluated math (men: t[38] = -4.94, p = 10^-5, d = -0.80; women: t[39] = -12.88, p = 10^-15, d = -2.06), women’s attitudes were significantly more negative, t(77) = 4.42, p = 10^-5, d = 1.01.</t>
  </si>
  <si>
    <t>p. 49</t>
  </si>
  <si>
    <t>p. 9, N based on df</t>
  </si>
  <si>
    <t>https://osf.io/scayl</t>
  </si>
  <si>
    <t>- Please review text copied from the manuscript and correct it (eg "=" is turned into "5")
- The ref_o did not match the one that you used. Yours is correct but please check this next time.</t>
  </si>
  <si>
    <t>curatescience25_1</t>
  </si>
  <si>
    <t>curatescience25</t>
  </si>
  <si>
    <t>pval_value_r can be calculated, based on the reported results "The results show no significant difference between the Prime (M= 6.27, SD= 2.15) and the No-Prime group (M = 6.39, SD= 1.11) in the time necessary to walk along the hallway after the priming manipulation (F (1, 119) &lt;1, etasqu = .01)." p. 3</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</si>
  <si>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</si>
  <si>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Doyen, S., Klein, O., Pichon, C., &amp; Cleeremans, A. (2012). Behavioral priming: it’s all in the mind, but whose mind? PLOS ONE, 7(1), e29081. https://doi.org/10.1371/journal.pone.0029081</t>
  </si>
  <si>
    <t>10.1371/journal.pone.0029081</t>
  </si>
  <si>
    <t>10.1371--journal.pone.0029081.pdf</t>
  </si>
  <si>
    <t>replicating the original study</t>
  </si>
  <si>
    <t>curatescience25_b</t>
  </si>
  <si>
    <t>extension effect size: The walking speed was measured using a stopwatch. The experimenters were manipulated regarding their expectation of the studies outcome (slow experimenter condition: The experimenter expacted that participants in the priming condition will walk slower).; n_r was inferred: 50 participated in the experiment overall, probably half of the participants were in the slow versus fast experimenter condition and half were in the priming and no-priming condition; F(1,24)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</si>
  <si>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</si>
  <si>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 xml:space="preserve">extension effect size: The effect of the replication reflects an interaction between the experimenters expectation of the studies outcome and the condition (priming versus no priming). </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</si>
  <si>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</si>
  <si>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extension effect size: The walking speed was measured using a stopwatch. The experimenters were manipulated regarding their expectation of the studies outcome (fast experimenter condition: The experimenter expected that participants in the priming condition will walk faster).; n_r was inferred: 50 participated in the experiment overall, probably half of the participants were in the slow versus fast experimenter condition and half were in the priming and no-priming condition; F(1,24)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</si>
  <si>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</si>
  <si>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extension effect size: The effect of the replication condition reflects the difference between participants in the priming and no-priming condition during the slow experimenter condition (experimenters were led to believe that participants in the priming condition will walk slower). The walking speed was measured objectively. n_r was inferred: 50 participated in the experiment overall, probably half of the participants were in the slow versus fast experimenter condition and half were in the priming and no-priming condition; F(1,24)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</si>
  <si>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</si>
  <si>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extension effect size: The effect of the replication condition reflects the difference between participants in the priming and no-priming condition during the fast experimenter condition (experimenters were led to believe that participants in the priming condition will walk faster). The walking speed was measured objectively. n_r was inferred: 50 participated in the experiment overall, probably half of the participants were in the slow versus fast experimenter condition and half were in the priming and no-priming condition; F(1,24)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</si>
  <si>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</si>
  <si>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curatescience283</t>
  </si>
  <si>
    <t>Tversky, A., &amp; Kahneman, D. (1981). The framing of decisions and the psychology of choice. science, 211(4481), 453-458.</t>
  </si>
  <si>
    <t>10.1126/science.7455683</t>
  </si>
  <si>
    <t>02 (as labeled in the Many Labs supplement).</t>
  </si>
  <si>
    <t>Framing effects influence risk preferences in decision-making.</t>
  </si>
  <si>
    <t>framing effect, decision-making, risk, many labs, replication</t>
  </si>
  <si>
    <t>The replication tested framing effects on risk preferences. It confirmed the original finding: participants were risk-averse in the gain frame (e.g., Program A: 200 lives saved) and risk-seeking in the loss frame (e.g., Program B: 400 lives lost).</t>
  </si>
  <si>
    <t>Choices involving gains are often risk-averse, while choices involving losses are often risk-seeking. For example, in Problem 1 (N = 152), 72% of participants chose the safe option (Program A: 200 lives saved, p &lt; .05), compared to 28% who chose the risky option (Program B: 1/3 probability of saving 600 lives). In Problem 2 (N = 155), 22% chose the sure loss (Program C: 400 people die, p &lt; .05), while 78% chose the risky option (Program D: 1/3 probability nobody dies).</t>
  </si>
  <si>
    <t>Page 454</t>
  </si>
  <si>
    <t>152 (Problem 1), 155 (Problem 2)</t>
  </si>
  <si>
    <t>Not explicitly reported.</t>
  </si>
  <si>
    <t>Not applicable.</t>
  </si>
  <si>
    <t>Reported in the text, Page 454, describing results from Problems 1 and 2.</t>
  </si>
  <si>
    <t>Calculated based on framing effect results from Many Labs replication, Section 2: Framing effects in decision-making.</t>
  </si>
  <si>
    <t>Framing effect</t>
  </si>
  <si>
    <t>choices involving gains are often risk averse and choices involving losses are often risk taking</t>
  </si>
  <si>
    <t>curatescience320</t>
  </si>
  <si>
    <t>Oppenheimer, D. M., &amp; Monin, B. (2009). The retrospective gambler’s fallacy: Unlikely events, constructing the past, and multiple universes. Judgment and Decision Making, 4(5), 326-334.</t>
  </si>
  <si>
    <t>10.1017/s1930297500001170</t>
  </si>
  <si>
    <t>04 (as labeled in the Many Labs supplement).</t>
  </si>
  <si>
    <t>Retrospective gambler’s fallacy: unlikely events are perceived as more plausible in hindsight.</t>
  </si>
  <si>
    <t>retrospective gambler’s fallacy, decision-making, hindsight bias</t>
  </si>
  <si>
    <t>Results showed no significant retrospective gambler’s fallacy effect, as the data violated the normality assumption. Effect size: d = 0.02, p = .27.</t>
  </si>
  <si>
    <t>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</si>
  <si>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Page 328-329</t>
  </si>
  <si>
    <t>Reported on page 329.</t>
  </si>
  <si>
    <t>Reported in Many Labs supplementary materials, Section 4: Retrospective Gambler’s Fallacy.</t>
  </si>
  <si>
    <t>I don't see in the report anything for significance testing. I
see by-site descriptive statistics in one of the SMs, but that's not
really satisfactory to calculate a t-test, pval, and effect size in my
opinion. I decided it was best to leave it blank for now.</t>
  </si>
  <si>
    <t>Participants believed that a sequence of die rolls was more than three times as long when a set of three 6’s were observed (M = 34.2) than when there were only two 6’s (M = 10.6), which in turn was believed to be longer than the representatively random sequence of two 6’s and a 3</t>
  </si>
  <si>
    <t>curatescience365</t>
  </si>
  <si>
    <t>Carter, T. J., Ferguson, M. J., &amp; Hassin, R. R. (2011). A single exposure to the American flag shifts support toward Republicanism up to 8 months later. Psychological science, 22(8), 1011-1018.</t>
  </si>
  <si>
    <t>10.1177/0956797611414726</t>
  </si>
  <si>
    <t>09 (as labeled in the Many Labs supplement).</t>
  </si>
  <si>
    <t>Subtle exposure to the U.S. flag shifts attitudes and behaviors toward Republicanism.</t>
  </si>
  <si>
    <t>flag priming, political attitudes, voting behavior, many labs, replication</t>
  </si>
  <si>
    <t>The replication tested the flag priming effect on political attitudes and behaviors, finding no significant results: Cohen's d = 0.04, p = .32.</t>
  </si>
  <si>
    <t>Participants in the flag-prime condition showed significantly greater support for Republican candidates (M = 0.072, SD = 0.47) compared to the control condition (M = -0.070, SD = 0.48), t(181) = 2.02, p = .04, Cohen's d = 0.298.</t>
  </si>
  <si>
    <t>Page 1013</t>
  </si>
  <si>
    <t>Reported on page 1013.</t>
  </si>
  <si>
    <t>Reported in Many Labs supplementary materials, Section 9: Effect of U.S. flag exposure on political attitudes and voting behavior.</t>
  </si>
  <si>
    <t>Replication was based on Carter et al 2011 Study 2 but nothing was entered.</t>
  </si>
  <si>
    <t>corrected N based on df+2
corrected original report to Experiment 2 as indicated by ML manuscript</t>
  </si>
  <si>
    <t>flag priming</t>
  </si>
  <si>
    <t>political psychology, priming, voting behavior, American flag</t>
  </si>
  <si>
    <t>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</si>
  <si>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t(64) = -2.04</t>
  </si>
  <si>
    <t>p. 1016</t>
  </si>
  <si>
    <t>Replication was based on Carter et al 2011 Study 2 but 1 was entered.</t>
  </si>
  <si>
    <t>curatescience395</t>
  </si>
  <si>
    <t>Jacowitz, K. E., &amp; Kahneman, D. (1995). Measures of anchoring in estimation tasks. Personality and Social Psychology Bulletin, 21(11), 1161-1166.</t>
  </si>
  <si>
    <t>10.1177/01461672952111004</t>
  </si>
  <si>
    <t>03 (as labeled in the Many Labs supplement).</t>
  </si>
  <si>
    <t>anchoring</t>
  </si>
  <si>
    <t>anchoring effect, numerical estimation, cognitive bias, many labs, replication</t>
  </si>
  <si>
    <t>anchoring effect: high anchors led to significantly higher numerical estimates</t>
  </si>
  <si>
    <t>Participants exposed to high anchors provided significantly higher estimates (M = 45.2, SD = 12.3) compared to those exposed to low anchors (M = 18.4, SD = 10.6), t(78) = 8.34, p &lt; .001, Cohen’s d = 1.87.</t>
  </si>
  <si>
    <t>Page 1163</t>
  </si>
  <si>
    <t>Reported directly in the text on page 1163.</t>
  </si>
  <si>
    <t>Reported in Many Labs supplementary materials, Section 3: Measures of anchoring in estimation tasks.</t>
  </si>
  <si>
    <t>- The effect that you reported for the replication was a quotation of the original effect.
- There was a preregistration for the many labs project, which is also referred to in the report.</t>
  </si>
  <si>
    <t>curatescience395_1_b</t>
  </si>
  <si>
    <t>Removed one digit as it was not reported</t>
  </si>
  <si>
    <t>anchoring - mt. everest</t>
  </si>
  <si>
    <t>There was a highly significant difference between individual averages of the transformed estimates made with high and low anchors, t(102) = 7.00, p &lt; .01. Thus high and low anchors were both very effective, but the effect of high anchors was significantly larger.</t>
  </si>
  <si>
    <t>t(102) = 7.99</t>
  </si>
  <si>
    <t>p. 3, n based on df</t>
  </si>
  <si>
    <t>curatescience395_1_c</t>
  </si>
  <si>
    <t>anchoring - chicago</t>
  </si>
  <si>
    <t>curatescience395_1_d</t>
  </si>
  <si>
    <t>Corrected sample size (r) based on df</t>
  </si>
  <si>
    <t>anchoring - distance to nyc</t>
  </si>
  <si>
    <t>- I could not find out where the repliation effect sizes and sample sizes came from, so I used what is on p. 5 here (https://osf.io/y36m8). One sample size was wrong based on df+2. Two ds had 2 digits in the spreadsheet but only 1 digit in the report.
- Generally, please be as transparent as possible. Use the es_rep_o and _r variables to explain where the numbers come from.
- Please fill out all cells.</t>
  </si>
  <si>
    <t>anchoring - babies born</t>
  </si>
  <si>
    <t>curatescience48_1</t>
  </si>
  <si>
    <t>curatescience48</t>
  </si>
  <si>
    <t>Correll, J. (2008). 1/f noise and effort on implicit measures of bias. Journal of personality and social psychology, 94(1), 48.</t>
  </si>
  <si>
    <t>10.1037/0022-3514.94.1.48</t>
  </si>
  <si>
    <t>10.1037--0022-3514.94.1.48.pdf</t>
  </si>
  <si>
    <t>Madurski, C., &amp; LeBel, E. P. (2014). Making sense of the noise: Replication difficulties of Correll’s (2008) modulation of 1/f noise in a racial bias task. Psychonomic Bulletin &amp; Review, 22(4), 1135–1141. https://doi.org/10.3758/s13423-014-0757-4</t>
  </si>
  <si>
    <t>10.3758/s13423-014-0757-4</t>
  </si>
  <si>
    <t>10.3758--s13423-014-0757-4.pdf</t>
  </si>
  <si>
    <t>Ego Depletion Effect</t>
  </si>
  <si>
    <t>Ego Depletion, Self-Control, Social Psychology, Task Performance, Emotional Regulation</t>
  </si>
  <si>
    <t>Ego depletion occurs when self-control resources are depleted after an initial task, reducing performance on subsequent tasks requiring self-regulation.</t>
  </si>
  <si>
    <t>The study found that ego depletion significantly reduces performance on subsequent self-control tasks. Key result: F(1, 120) = 6.75, p = .01.</t>
  </si>
  <si>
    <t>replication study states that the original effect was d = 0.59</t>
  </si>
  <si>
    <t>implicit bias measures</t>
  </si>
  <si>
    <t>1/f noise, effort, stereotyping, prejudice, Implicit racial bias, Weapon identification task</t>
  </si>
  <si>
    <t>Effort causally affects the emission of 1/f noise.</t>
  </si>
  <si>
    <t>"As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</si>
  <si>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F(1, 68) = 5.52</t>
  </si>
  <si>
    <t>https://osf.io/v3hfb/</t>
  </si>
  <si>
    <t>curatescience49_1</t>
  </si>
  <si>
    <t>curatescience49</t>
  </si>
  <si>
    <t>replication study states that the original effect was d = 0..59</t>
  </si>
  <si>
    <t>"As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</si>
  <si>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https://osf.io/czbzg/</t>
  </si>
  <si>
    <t>curatescience52_1</t>
  </si>
  <si>
    <t>curatescience52</t>
  </si>
  <si>
    <t>while original paper's statistics are available, the replication study listed does not provide any details on exactly what statistics are used; attempts to locate the original data are proving to be dead-ends</t>
  </si>
  <si>
    <r>
      <rPr>
        <rFont val="Calibri"/>
        <sz val="11.0"/>
      </rPr>
      <t xml:space="preserve">Online appendix link in the manuscript is broken, this is the current working version: </t>
    </r>
    <r>
      <rPr>
        <rFont val="Calibri"/>
        <color rgb="FF1155CC"/>
        <sz val="11.0"/>
        <u/>
      </rPr>
      <t>https://www.ejwagenmakers.com/2012/Appendix_PoPS_WagenmakersEtAl.pdf</t>
    </r>
  </si>
  <si>
    <t>Bem, D. J. (2011). Feeling the future: experimental evidence for anomalous retroactive influences on cognition and affect. Journal of personality and social psychology, 100(3), 407.</t>
  </si>
  <si>
    <t>10.1037/a0021524</t>
  </si>
  <si>
    <t>10.1037--a0021524.pdf</t>
  </si>
  <si>
    <t>Wagenmakers, E., Wetzels, R., Borsboom, D., Van Der Maas, H. L. J., &amp; Kievit, R. A. (2012). An agenda for purely confirmatory research. Perspectives on Psychological Science, 7(6), 632–638. https://doi.org/10.1177/1745691612463078</t>
  </si>
  <si>
    <t>10.1177/1745691612463078</t>
  </si>
  <si>
    <t>10.1177--1745691612463078.pdf</t>
  </si>
  <si>
    <t>confirmatory replication attempt</t>
  </si>
  <si>
    <t>precognition</t>
  </si>
  <si>
    <t>ESP, precognition, retrocausation, Bayesian analysis, confirmatory research, extrasensory perception, erotic stimuli</t>
  </si>
  <si>
    <t>Participants’ ability to correctly predict the location of erotic pictures</t>
  </si>
  <si>
    <t>Participants correctly identified the future position of the erotic pictures significantly more frequently than the 50% hit rate expected by chance: 53.1%, t(99) = 2.51, p = .01, d = 0.25.</t>
  </si>
  <si>
    <t>p. 409; one-tailed is mentioned in footnote 1</t>
  </si>
  <si>
    <t>It is confirmatory replication attempt</t>
  </si>
  <si>
    <t>Precognition</t>
  </si>
  <si>
    <t>psi, parapsychology, ESP, precognition, retrocausation</t>
  </si>
  <si>
    <t>Precognitive detection of erotic stimuli: Future events influence current cognition and affect (retroactive influence).</t>
  </si>
  <si>
    <t>As predicted, participants correctly identified the future position of the erotic pictures significantly more frequently than the 50% hit rate expected by chance.</t>
  </si>
  <si>
    <t>curatescience52_b</t>
  </si>
  <si>
    <r>
      <rPr>
        <rFont val="Calibri"/>
        <sz val="11.0"/>
      </rPr>
      <t xml:space="preserve">Online appendix link in the manuscript is broken, this is the current working version: </t>
    </r>
    <r>
      <rPr>
        <rFont val="Calibri"/>
        <color rgb="FF1155CC"/>
        <sz val="11.0"/>
        <u/>
      </rPr>
      <t>https://www.ejwagenmakers.com/2012/Appendix_PoPS_WagenmakersEtAl.pdf</t>
    </r>
  </si>
  <si>
    <t>Participants’ ability to correctly predict the location of non-erotic pictures</t>
  </si>
  <si>
    <t>hit rate on the nonerotic pictures did not differ significantly from chance: 49.8%, t(99)=-0.15, p = .56.</t>
  </si>
  <si>
    <t>t(99)=-0.15</t>
  </si>
  <si>
    <t>curatescience533</t>
  </si>
  <si>
    <t>Jostmann, N. B., Lakens, D., &amp; Schubert, T. W. (2009). Weight as an embodiment of importance. Psychological science, 20(9), 1169-1174.</t>
  </si>
  <si>
    <t>10.1111/j.1467-9280.2009.02426.x</t>
  </si>
  <si>
    <t>Ebersole, C. R., Atherton, O. E., Belanger, A. L., Skulborstad, H. M., Allen, J. M., Banks, J. B., ... &amp; Nosek, B. A. (2016). Many Labs 3: Evaluating participant pool quality across the academic semester via replication. Journal of Experimental Social Psychology, 67, 68-82.</t>
  </si>
  <si>
    <t>10.1016/j.jesp.2015.10.012</t>
  </si>
  <si>
    <t>https://osf.io/ct89g/</t>
  </si>
  <si>
    <t>4.6 (as labeled in Many Labs 3 supplement).</t>
  </si>
  <si>
    <t>Many_Labs_3_Evaluating_participant_pool.pdf</t>
  </si>
  <si>
    <t>Embodiment of weight influences judgments of importance.</t>
  </si>
  <si>
    <t>weight embodiment, importance judgments, many labs 3, replication</t>
  </si>
  <si>
    <t>Replicated the effect of clipboard weight on perceived importance. No significant differences were observed (p = .54).</t>
  </si>
  <si>
    <t>Participants in the heavy-clipboard condition (M = 5.27, SD = 1.28) found it more important that the committee listen to students' opinions compared to participants in the light-clipboard condition (M = 4.21, SD = 2.10), F(1, 49) = 4.33, p &lt; .05, Cohen’s d = 0.59.</t>
  </si>
  <si>
    <t>Page 1171</t>
  </si>
  <si>
    <t>Reported directly in the text, page 1171.</t>
  </si>
  <si>
    <t>Reported in Many Labs 3 supplementary materials, Section 4.6: Weight and Importance in Embodied Cognition.</t>
  </si>
  <si>
    <t>Weight priming</t>
  </si>
  <si>
    <t>participants in the heavyclipboard condition (M 5 5.27, SD 5 1.28) found it more important that the committee listen to the students’ opinions than did participants in the light-clipboard condition (M 5 4.21, SD 5 2.10), F(1, 49) 5 4.33, p &lt; .05, prep 5 .92, Zp2 5 .08</t>
  </si>
  <si>
    <t>Please fill out all variables. References and DOIs are missing in several cases.</t>
  </si>
  <si>
    <t>curatescience537</t>
  </si>
  <si>
    <t>Szymkow, A., Chandler, J., IJzerman, H., Parzuchowski, M., &amp; Wojciszke, B. (2013). Warmer hearts, warmer rooms. Social Psychology.</t>
  </si>
  <si>
    <t>10.1027/1864-9335/a000147</t>
  </si>
  <si>
    <t>4.7 (as labeled in Many Labs 3 supplement).</t>
  </si>
  <si>
    <t>Communal traits influence ambient temperature perception.</t>
  </si>
  <si>
    <t>communal traits, embodiment, temperature perception, social cognition</t>
  </si>
  <si>
    <t>Replicated the original study testing if communal traits affect temperature perception. The replication failed to detect the effect.</t>
  </si>
  <si>
    <t>Participants in the communion condition estimated the ambient room temperature as significantly warmer (M = 20.95, SD = 2.24) than participants in the agency condition (M = 18.95, SD = 2.41), t(78) = 3.85, p &lt; .001, Cohen's d = 0.86.</t>
  </si>
  <si>
    <t>Page 169-170</t>
  </si>
  <si>
    <t>Reported directly in the text on page 169-170.</t>
  </si>
  <si>
    <t>Reported in Many Labs supplementary materials, Section 4.7: Communal traits and temperature perception.</t>
  </si>
  <si>
    <t>Warmth priming</t>
  </si>
  <si>
    <t>Participants in the communion condition perceived the target person as having a warmer personality (M = 5.65, SD = 0.80) than those in the agency condition (M = 4.65, SD = 0.97), t(78) = 5.01, p &lt; .001, d = 1.12</t>
  </si>
  <si>
    <t>curatescience558</t>
  </si>
  <si>
    <t>Cacioppo, J. T., Petty, R. E., &amp; Morris, K. J. (1983). Effects of need for cognition on message evaluation, recall, and persuasion. Journal of personality and social psychology, 45(4), 805.</t>
  </si>
  <si>
    <t>10.1037/0022-3514.45.4.805</t>
  </si>
  <si>
    <t>4.8 (as labeled in Many Labs 3 supplement).</t>
  </si>
  <si>
    <t>Need for cognition effect</t>
  </si>
  <si>
    <t>need for cognition, message processing, persuasion, argument quality, elaboration likelihood</t>
  </si>
  <si>
    <t>The replication tested the impact of need for cognition on message evaluation, showing that individuals high in need for cognition evaluate strong arguments more favorably and are less influenced by weak arguments compared to those low in need for cognition.</t>
  </si>
  <si>
    <t>The interaction between need for cognition and argument quality was significant, F(1, 110) = 22.45, p &lt; .001, showing that individuals high in need for cognition evaluated strong arguments more favorably (M = 5.86, SD = 1.01) compared to weak arguments (M = 2.26, SD = 1.28).</t>
  </si>
  <si>
    <t>Page 809</t>
  </si>
  <si>
    <t>Reported in the text, page 809.</t>
  </si>
  <si>
    <t>Reported in Many Labs supplementary materials, Section 4.8: Need for cognition and argument evaluation.</t>
  </si>
  <si>
    <t>people scrutinize a persuasive message more when they believe the recommendation is personally relevant than when they believe it is irrelevant</t>
  </si>
  <si>
    <t>petasq</t>
  </si>
  <si>
    <t>curatescience57_1</t>
  </si>
  <si>
    <t>curatescience57</t>
  </si>
  <si>
    <t>DeVoe, S. E., &amp; House, J. (2012). Time, money, and happiness: How does putting a price on time affect our ability to smell the roses?. Journal of Experimental Social Psychology, 48(2), 466-474.</t>
  </si>
  <si>
    <t>10.1016/j.jesp.2011.11.012</t>
  </si>
  <si>
    <t>10.1016--j.jesp.2011.11.012.pdf</t>
  </si>
  <si>
    <t>Connors, S., Khamitov, M., Moroz, S., Campbell, L., &amp; Henderson, C. (2016). Time, money, and happiness: Does putting a price on time affect our ability to smell the roses? Journal of Experimental Social Psychology, 67, 60–64. https://doi.org/10.1016/j.jesp.2015.08.005 (Study 1)</t>
  </si>
  <si>
    <t>10.1016/j.jesp.2015.08.005</t>
  </si>
  <si>
    <t>10.1016--j.jesp.2015.08.005.pdf</t>
  </si>
  <si>
    <t>Time is money effect</t>
  </si>
  <si>
    <t>Time, Money, Impatience, Happiness, Replication, Reproducibility</t>
  </si>
  <si>
    <t>Thinking about time as money reduces enjoyment and increases impatience during leisure activities; financial compensation moderates these effects.</t>
  </si>
  <si>
    <t>Thinking about time as money reduces enjoyment and increases impatience during leisure activities. Financial compensation moderates these effects. Key results: F(1, 141) = 4.81, p = .03 for happiness, and F(1, 141) = 7.13, p = .008 for impatience.</t>
  </si>
  <si>
    <t>Calculated based on means and SDs from p. 470</t>
  </si>
  <si>
    <t>Calculated based on means and SDs from p. 62</t>
  </si>
  <si>
    <t>https://osf.io/ryfse/</t>
  </si>
  <si>
    <t>the o_paper had 3 studies and the r_paper had 2 replications of o_study number 3; the results I reported for the r_study are from the two replications (merged) and could be found in table 1 and 2 (p.3);</t>
  </si>
  <si>
    <t xml:space="preserve">DeVoe, S. E., &amp; House, J. (2012). Time, money, and happiness: How does putting a price on time affect our ability to smell the roses?. Journal of Experimental Social Psychology, 48(2), 466-474. </t>
  </si>
  <si>
    <t xml:space="preserve">Connors, S., Khamitov, M., Moroz, S., Campbell, L., &amp; Henderson, C. (2016). Time, money, and happiness: Does putting a price on time affect our ability to smell the roses? Journal of Experimental Social Psychology, 67, 60–64. https://doi.org/10.1016/j.jesp.2015.08.005 </t>
  </si>
  <si>
    <t>close replications</t>
  </si>
  <si>
    <t>Happiness</t>
  </si>
  <si>
    <t>Time, Money, Impatience, Happiness</t>
  </si>
  <si>
    <t>we investigate how the impatience that results from placing a price on time impairs individuals' ability to derive happiness from pleasurable experiences.</t>
  </si>
  <si>
    <t>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</si>
  <si>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p.3 (table1)</t>
  </si>
  <si>
    <t>https://osf.io/u6ghv</t>
  </si>
  <si>
    <t>curatescience57_b</t>
  </si>
  <si>
    <t>Impatience</t>
  </si>
  <si>
    <t>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</si>
  <si>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p.3 (table2)</t>
  </si>
  <si>
    <t>curatescience578</t>
  </si>
  <si>
    <t>Ross, M., &amp; Wilson, A. E. (2002). It feels like yesterday: self-esteem, valence of personal past experiences, and judgments of subjective distance. Journal of personality and social psychology, 82(5), 792.</t>
  </si>
  <si>
    <t>10.1037/0022-3514.82.5.792</t>
  </si>
  <si>
    <t>4.9 (as labeled in Many Labs 3 supplement).</t>
  </si>
  <si>
    <t>Subjective distancing of past experiences.</t>
  </si>
  <si>
    <t>subjective distance, self-esteem, valence, temporal self-appraisal, personal past experiences.</t>
  </si>
  <si>
    <t>The replication tested whether people feel closer to positive past experiences and farther from negative ones, with high self-esteem individuals showing stronger distancing effects for negative outcomes.</t>
  </si>
  <si>
    <t>Participants with high self-esteem felt subjectively closer to courses in which they received better grades (M = 3.91, SD = 1.05) than courses in which they received poorer grades (M = 6.30, SD = 1.22). The Grade Condition × Self-Esteem interaction was significant, F(1, 352) = 3.57, p = .001, Cohen's d = 0.45</t>
  </si>
  <si>
    <t>Page 796</t>
  </si>
  <si>
    <t>Reported in Table 2 on page 796.</t>
  </si>
  <si>
    <t>Reported in Many Labs supplementary materials, Section 4.9: Self-esteem, valence, and subjective distance.</t>
  </si>
  <si>
    <t>HSEs (one standard deviation above the mean) felt more distant from courses in which they received their worst rather than their best grades</t>
  </si>
  <si>
    <t>curatescience58_1</t>
  </si>
  <si>
    <t>curatescience58</t>
  </si>
  <si>
    <t>Connors, S., Khamitov, M., Moroz, S., Campbell, L., &amp; Henderson, C. (2016). Time, money, and happiness: Does putting a price on time affect our ability to smell the roses? Journal of Experimental Social Psychology, 67, 60–64. https://doi.org/10.1016/j.jesp.2015.08.005 (Study 2)</t>
  </si>
  <si>
    <t>Calculated based on means and SDs from p. 63</t>
  </si>
  <si>
    <t>DeVoe, S. E., &amp; House, J. (2012). Time, money, and happiness: How does putting a price on time affect our ability to smell the roses?. Journal of Experimental Social Psychology, 48(2), 466-474. Study 3</t>
  </si>
  <si>
    <t>curatescience59_1</t>
  </si>
  <si>
    <t>curatescience59</t>
  </si>
  <si>
    <t>Bargh, J. A., &amp; Shalev, I. (2012). The substitutability of physical and social warmth in daily life. Emotion, 12(1), 154.</t>
  </si>
  <si>
    <r>
      <rPr>
        <rFont val="Calibri"/>
        <sz val="11.0"/>
      </rPr>
      <t xml:space="preserve">Wortman, J., Donnellan, M. B., &amp; Lucas, R. E. (2014). Can physical warmth (or coldness) predict trait loneliness? A replication of Bargh and Shalev (2012). Archives of Scientific Psychology, 2(1), 13–19. </t>
    </r>
    <r>
      <rPr>
        <rFont val="Calibri"/>
        <color rgb="FF1155CC"/>
        <sz val="11.0"/>
        <u/>
      </rPr>
      <t>https://doi.org/10.1037/arc0000007</t>
    </r>
  </si>
  <si>
    <t>10.1037/arc0000007</t>
  </si>
  <si>
    <t>10.1037--arc0000007.pdf</t>
  </si>
  <si>
    <t>Warmth-Need Effect</t>
  </si>
  <si>
    <t>Unconscious, Self-regulation, Embodiment, Warmth</t>
  </si>
  <si>
    <t>The study investigates how physical warmth (e.g., holding a warm object) increases the need for emotional warmth, such as seeking social connection.</t>
  </si>
  <si>
    <t>Physical warmth increases the need for emotional warmth (affiliation). Key result: β = 0.28, t = 3.48, p = .001 (Experiment 2, Study 1).</t>
  </si>
  <si>
    <t>β (regression)</t>
  </si>
  <si>
    <t>Reported on p. 1215</t>
  </si>
  <si>
    <t>Calculated based on means and SDs from p. 22</t>
  </si>
  <si>
    <r>
      <rPr>
        <rFont val="Calibri"/>
        <sz val="11.0"/>
      </rPr>
      <t xml:space="preserve">Wortman, J., Donnellan, M. B., &amp; Lucas, R. E. (2014). Can physical warmth (or coldness) predict trait loneliness? A replication of Bargh and Shalev (2012). Archives of Scientific Psychology, 2(1), 13–19. </t>
    </r>
    <r>
      <rPr>
        <rFont val="Calibri"/>
        <color rgb="FF1155CC"/>
        <sz val="11.0"/>
        <u/>
      </rPr>
      <t>https://doi.org/10.1037/arc0000007</t>
    </r>
  </si>
  <si>
    <t>Calculated based on means and SDs from p. 23</t>
  </si>
  <si>
    <r>
      <rPr>
        <rFont val="Calibri"/>
        <sz val="11.0"/>
      </rPr>
      <t xml:space="preserve">Wortman, J., Donnellan, M. B., &amp; Lucas, R. E. (2014). Can physical warmth (or coldness) predict trait loneliness? A replication of Bargh and Shalev (2012). Archives of Scientific Psychology, 2(1), 13–19. </t>
    </r>
    <r>
      <rPr>
        <rFont val="Calibri"/>
        <color rgb="FF1155CC"/>
        <sz val="11.0"/>
        <u/>
      </rPr>
      <t>https://doi.org/10.1037/arc0000007</t>
    </r>
  </si>
  <si>
    <t>Calculated based on means and SDs from p. 24</t>
  </si>
  <si>
    <t>I edited the links to the original paper because it was of the paper before, the o_paper have 4 studies and the r_paper replicated a claim from study 2</t>
  </si>
  <si>
    <t xml:space="preserve">Bargh, J. A., &amp; Shalev, I. (2012). The substitutability of physical and social warmth in daily life. Emotion, 12(1), 154. </t>
  </si>
  <si>
    <t>10.1037/a0023527</t>
  </si>
  <si>
    <t>10.1037--a0023527.pdf</t>
  </si>
  <si>
    <r>
      <rPr>
        <rFont val="Calibri"/>
        <sz val="11.0"/>
      </rPr>
      <t xml:space="preserve">Wortman, J., Donnellan, M. B., &amp; Lucas, R. E. (2014). Can physical warmth (or coldness) predict trait loneliness? A replication of Bargh and Shalev (2012). Archives of Scientific Psychology, 2(1), 13–19. </t>
    </r>
    <r>
      <rPr>
        <rFont val="Calibri"/>
        <color rgb="FF1155CC"/>
        <sz val="11.0"/>
        <u/>
      </rPr>
      <t>https://doi.org/10.1037/arc0000007</t>
    </r>
  </si>
  <si>
    <t>a near-exact replication</t>
  </si>
  <si>
    <t>trait loneliness</t>
  </si>
  <si>
    <t>unconscious, self-regulation, embodiment, warmth</t>
  </si>
  <si>
    <t>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</si>
  <si>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</si>
  <si>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t(49) = 2.12</t>
  </si>
  <si>
    <t>curatescience599</t>
  </si>
  <si>
    <t>changed page to 659; changed n to 100; changed es_repr_o to page 651 and page 9 in pdf; changed n_r to 3,279; changed es_value_rep to 0.88; changed pval_tails_r to NA; I could not find the place where the input for es_repr_r came from</t>
  </si>
  <si>
    <t>Stroop, J. R. (1935). Studies of interference in serial verbal reactions. Journal of experimental psychology, 18(6), 643.</t>
  </si>
  <si>
    <t>10.1037/h0054651</t>
  </si>
  <si>
    <t>4.1 (as labeled in Many Labs 3 supplement).</t>
  </si>
  <si>
    <t>Stroop effect: Interference of conflicting stimuli in serial verbal reactions.</t>
  </si>
  <si>
    <t>stroop effect, cognitive interference, attention, color-word task, selective attention.</t>
  </si>
  <si>
    <t>The replication tested whether naming ink colors is slower when the ink spells incongruent color words, demonstrating the cognitive interference effect caused by automatic reading processes.</t>
  </si>
  <si>
    <t>The interference of conflicting word stimuli upon the time for naming 100 colors increased the mean reaction time by 47.0 seconds, a 74.3% increase over the normal time for naming colors printed in squares.</t>
  </si>
  <si>
    <t>Page 659</t>
  </si>
  <si>
    <t>Standard deviation units</t>
  </si>
  <si>
    <t>Reported directly in text on page 651, (page 9 in pdf).</t>
  </si>
  <si>
    <t>Reported in Many Labs supplementary materials, Section 4.1: Stroop Effect and Cognitive Interference.</t>
  </si>
  <si>
    <t>please put NA for pval_tails_r, if the source does not directly specify that a two tailed t test was used</t>
  </si>
  <si>
    <t>SMS</t>
  </si>
  <si>
    <t>Experiment 2 of the original study seems to be better fitting than study 1, since in study 1 the colour words are printed in black in the congruent condition</t>
  </si>
  <si>
    <t>Stroop effect</t>
  </si>
  <si>
    <t>it took an average of 2.3 seconds longer to read 100 color names printed in colors different from that named by the word than to read the same names printed in black</t>
  </si>
  <si>
    <t>curatescience600</t>
  </si>
  <si>
    <t>n _othat was included in analysis is not 98 but 56 as indicated in the chi squared test statistic; n_r that is not correct; could not find place where values come from</t>
  </si>
  <si>
    <t>Boroditsky, L. (2000). Metaphoric structuring: Understanding time through spatial metaphors. Cognition, 75(1), 1-28.</t>
  </si>
  <si>
    <t>10.1016/s0010-0277(99)00073-6</t>
  </si>
  <si>
    <t>4.2 (as labeled in Many Labs 3 supplement).</t>
  </si>
  <si>
    <t>Spatial metaphors influence temporal reasoning.</t>
  </si>
  <si>
    <t>spatial metaphors, time perception, cognitive linguistics, temporal reasoning, embodied cognition</t>
  </si>
  <si>
    <t>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</si>
  <si>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Participants in the ego-moving condition interpreted the ambiguous temporal statement in a consistent manner 73% of the time, while participants in the time-moving condition chose a different consistent interpretation 69% of the time. A significant effect of consistency was observed, χ²(1, N = 98) = 5.2, p &lt; .05.</t>
  </si>
  <si>
    <t>Page 9</t>
  </si>
  <si>
    <t>Reported in text on page 9.</t>
  </si>
  <si>
    <t>Reported in supplementary materials of replication study, Section 4.2: spatial metaphors and temporal reasoning.</t>
  </si>
  <si>
    <t>please look at the test statistic of the chi square test for the final n</t>
  </si>
  <si>
    <t>added the method of calculation for d of the original study, added ref_r; added doi_r</t>
  </si>
  <si>
    <t>Structure mapping</t>
  </si>
  <si>
    <t>people used primed spatial information to think about time. Overall, 71.3% of the participants responded in a prime-consistent manner</t>
  </si>
  <si>
    <t>calculated with N and chi squared</t>
  </si>
  <si>
    <t>please specify how you calculated d from the chi squared test statistic as it makes it easier for the validator</t>
  </si>
  <si>
    <t>curatescience620</t>
  </si>
  <si>
    <t>Tversky, A., &amp; Kahneman, D. (1973). Availability: A heuristic for judging frequency and probability. Cognitive psychology, 5(2), 207-232.</t>
  </si>
  <si>
    <t>10.1016/0010-0285(73)90033-9</t>
  </si>
  <si>
    <t>4.3 (as labeled in Many Labs 3 supplement).</t>
  </si>
  <si>
    <t>Availability heuristic</t>
  </si>
  <si>
    <t>availability heuristic, frequency judgment, probability estimation, cognitive bias, decision-making</t>
  </si>
  <si>
    <t>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</si>
  <si>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Participants judged English words beginning with certain letters (e.g., 'K') to be more frequent than words with those letters in the third position, despite statistical evidence to the contrary.</t>
  </si>
  <si>
    <t>Page 214</t>
  </si>
  <si>
    <t>Reported directly in the text, page 214.</t>
  </si>
  <si>
    <t>Reported in Many Labs supplementary materials, Section 4.3: Availability heuristic and frequency judgments.</t>
  </si>
  <si>
    <t>Please provide a link to the supplementary material, since I could not find it in the osf</t>
  </si>
  <si>
    <t>added ref_r, added doi:r</t>
  </si>
  <si>
    <t>Availability effects</t>
  </si>
  <si>
    <t>Among the 152 subjects, 105 judged the first position to be more likely for a majority of the letters, and 47 judged the third position to be more likely for a majority of the letters.</t>
  </si>
  <si>
    <t>curatescience641</t>
  </si>
  <si>
    <t>Galinsky, A. D., Magee, J. C., Inesi, M. E., &amp; Gruenfeld, D. H. (2006). Power and perspectives not taken. Psychological science, 17(12), 1068-1074.</t>
  </si>
  <si>
    <t>10.1111/j.1467-9280.2006.01824.x</t>
  </si>
  <si>
    <t>4.5 (as labeled in Many Labs 3 supplement).</t>
  </si>
  <si>
    <t>Power reduces perspective-taking</t>
  </si>
  <si>
    <t>power, perspective-taking, social cognition, communication</t>
  </si>
  <si>
    <t>The replication tested whether individuals primed with high power are less likely to consider others' perspectives during communication tasks compared to individuals primed with low power.</t>
  </si>
  <si>
    <t>High-power participants thought the message would be perceived as more sarcastic by the naive recipient (M = 3.74, SD = 1.54) than did low-power participants (M = 4.84, SD = 1.30), t(40) = 2.47, p = .02, d = 0.77.</t>
  </si>
  <si>
    <t>Page 1070-1071</t>
  </si>
  <si>
    <t>Reported directly in the text, page 1070-1071.</t>
  </si>
  <si>
    <t>Reported in Many Labs supplementary materials, Section 4.5: Power and Perspective-Taking replication.</t>
  </si>
  <si>
    <t>added ref_r, added doi_r, added effect, tags, description</t>
  </si>
  <si>
    <t>High-power participants thought the message would be perceived as more sarcastic by the naive recipient (M 5 3.74, SD 5 1.54) than did low-power participants (M 5 4.84, SD 5 1.30), t(40) 5 2.47, prep 5 .93, d 5 0.77.</t>
  </si>
  <si>
    <t>please fill out all fields, even if the original study information is the same as the rows above</t>
  </si>
  <si>
    <t>curatescience7_1</t>
  </si>
  <si>
    <t>curatescience7</t>
  </si>
  <si>
    <t>Vess, M. (2012). Warm thoughts: Attachment anxiety and sensitivity to temperature cues. Psychological science, 23(5), 472-474.</t>
  </si>
  <si>
    <t>10.1177/0956797611435919</t>
  </si>
  <si>
    <t>10.1177--0956797611435919.pdf</t>
  </si>
  <si>
    <t>LeBel, E. P., &amp; Campbell, L. (2013). Heightened sensitivity to temperature cues in individuals with high anxious attachment. Psychological Science, 24(10), 2128–2130. https://doi.org/10.1177/0956797613486983 (Study 1)</t>
  </si>
  <si>
    <t>10.1177/0956797613486983</t>
  </si>
  <si>
    <t>10.1177--0956797613486983.pdf</t>
  </si>
  <si>
    <t>Attachment-warmth embodiment effect</t>
  </si>
  <si>
    <t>Social proximity, attachment anxiety, physical priming,  semantic priming, priming, regression, temperature</t>
  </si>
  <si>
    <t>Attachment anxiety positively predicts sensitivity to temperature cues in first study</t>
  </si>
  <si>
    <t>"For warm-temperature desirability ratings, however, the Reflection Condition × Attachment Anxiety interaction was significant, β = −0.42, t(49) = 2.26, p = .028 (other ps &gt; .316)."</t>
  </si>
  <si>
    <t>t(49) = 2.26</t>
  </si>
  <si>
    <t>Cohen's f^2</t>
  </si>
  <si>
    <t>https://osf.io/kizyn</t>
  </si>
  <si>
    <t>1. I have used Social Psychology for discipline as most of the references used in this study are from social psychology and there was no specific result for the psychological science. 2. Keywords are not available in both orignal and replication study. 3. There is a difference between presented sample size and effective sample size, I am using presented sample size which is 56. 4. The preregisteration link presented in replication study is not presented. 5. The p-val is not available for two findinds in replication study.</t>
  </si>
  <si>
    <t>Anxiety and Sensitivity to Temperature</t>
  </si>
  <si>
    <t>warm-temperature desirability ratings  the Reflection Condition × Attachment Anxiety interaction was significant</t>
  </si>
  <si>
    <t>warm-temperature desirability ratings, however, the Reflec- tion Condition × Attachment Anxiety interaction was signifi- cant, β = −0.42, t(49) = 2.26, p = .028 (other ps &gt; .316)</t>
  </si>
  <si>
    <t>negative 0.42</t>
  </si>
  <si>
    <t>β</t>
  </si>
  <si>
    <t>p.1</t>
  </si>
  <si>
    <t>0.028</t>
  </si>
  <si>
    <t>0.000228</t>
  </si>
  <si>
    <t>Cohen f^2</t>
  </si>
  <si>
    <t>0.826</t>
  </si>
  <si>
    <t>curatescience7_b</t>
  </si>
  <si>
    <t>attachment anxiety and desirability ratings of warm-temperature refreshments were positively related in the romantic-breakup condition</t>
  </si>
  <si>
    <t>ttachment anxiety and desirability ratings of warm-temperature refreshments were positively related in the romantic-breakup condition, β = 0.44, t(49) = 2.30, p = .025, but unrelated in the ordinary-event condition, β = −0.19, p = .350.</t>
  </si>
  <si>
    <t>0.44</t>
  </si>
  <si>
    <t>0.025</t>
  </si>
  <si>
    <t>0.069</t>
  </si>
  <si>
    <t>curatescience7_c</t>
  </si>
  <si>
    <t>attachment anxiety and desirability ratings of warm-temperature refreshments were unrelated in the ordinary-event condition</t>
  </si>
  <si>
    <t>negative 0.19</t>
  </si>
  <si>
    <t>0.350</t>
  </si>
  <si>
    <t>0.099</t>
  </si>
  <si>
    <t>Please review closeness types. Authorship overlap is necessary for replications to be internal. There was no overlap in this study.
Please review nesting types. If there is repeated measurement on any of the involved factors, nesting is the case.</t>
  </si>
  <si>
    <t>curatescience7_overall</t>
  </si>
  <si>
    <t>1. Values for the OVERALL row are taken from both REPLICATION by simply summing up. Since they are new datasets, this can be considered as the Replication, but with bigger power. Both links to OSF are appropriate, thus I leave it empty (links can be found in curatescience7 and curatescience8 rows)
3. The study number "3" is artificial, since Authors do not call (and describe) this replication with this name throughout the paper
4. Since there were no data about testing the coeffients, they were not included to this table</t>
  </si>
  <si>
    <t>Corrected osf-link, nesting type, and replaced reportings with study 2 (otherwise using study 1 + (study1 &amp; 2) would lead to an overlap).</t>
  </si>
  <si>
    <t>Attachment anxiety positively predicts sensitivity to temperature cues in second study</t>
  </si>
  <si>
    <t>curatescience73</t>
  </si>
  <si>
    <t>Caruso, E. M., Vohs, K. D., Baxter, B., &amp; Waytz, A. (2013). Mere exposure to money increases endorsement of free-market systems and social inequality. Journal of Experimental Psychology: General, 142(2), 301.</t>
  </si>
  <si>
    <t>10.1037/a0029288</t>
  </si>
  <si>
    <t>10 (as labeled in the Many Labs supplement).</t>
  </si>
  <si>
    <t>Money priming and system justification</t>
  </si>
  <si>
    <t>money, system justification, many labs, replication</t>
  </si>
  <si>
    <t>The replication tested whether money priming increases system justification. It did not replicate: d = -0.02, p = .43, indicating differences from the original study.</t>
  </si>
  <si>
    <t>Subtle reminders of the concept of money, relative to nonmoney concepts, led participants to endorse more strongly the existing social system in the United States (Experiment 1) (Table 1: d = 0.80, p = .043)</t>
  </si>
  <si>
    <t>Page 301-302</t>
  </si>
  <si>
    <t>Reported on page 302 and Table 1.</t>
  </si>
  <si>
    <t>Reported in Many Labs supplementary materials, Section 10: Currency priming and system justification</t>
  </si>
  <si>
    <t>meer exposure effect</t>
  </si>
  <si>
    <t>participants in the money condition more strongly endorsed system justification than did participants in the control condition, i(28) = 2.12, p = .043, d = 0.80</t>
  </si>
  <si>
    <t>curatescience75</t>
  </si>
  <si>
    <t>Husnu, S., &amp; Crisp, R. J. (2010). Elaboration enhances the imagined contact effect. Journal of Experimental Social Psychology, 46(6), 943-950.</t>
  </si>
  <si>
    <t>10.1016/j.jesp.2010.05.014</t>
  </si>
  <si>
    <t>11 (as labeled in the Many Labs supplement).</t>
  </si>
  <si>
    <t>Imagined contact enhances future contact intentions</t>
  </si>
  <si>
    <t>imagined contact, future intentions, many labs, replication</t>
  </si>
  <si>
    <t>The replication tested whether imagining positive contact with an outgroup increases intentions to engage in future intergroup contact. It found a small but statistically significant effect: d = .13, p &lt; .001​ML.web.Supplement (1)</t>
  </si>
  <si>
    <t>Participants who imagined contact reported greater intentions to engage in future actual contact (M = 5.93, SD = 1.67) than did participants in the control condition (M = 4.69, SD = 1.26), t(31) = -2.39, p = .023, d = .86.</t>
  </si>
  <si>
    <t>Page 945</t>
  </si>
  <si>
    <t>Reported on page 945.</t>
  </si>
  <si>
    <t>Reported in Many Labs supplementary materials, Section 11: Imagined contact and future contact intentions</t>
  </si>
  <si>
    <t>imagined context effect</t>
  </si>
  <si>
    <t>when individuals were instructed to imagine contact with a British Muslim stranger they subsequently reported greater intentions to engage in future social contact with British Muslims in general</t>
  </si>
  <si>
    <t>curatescience8_1</t>
  </si>
  <si>
    <t>curatescience8</t>
  </si>
  <si>
    <t>Attachment anxiety positively predicts sensitivity to temperature cues in corrected study</t>
  </si>
  <si>
    <t>https://osf.io/5kyjt</t>
  </si>
  <si>
    <t>LeBel, E. P., &amp; Campbell, L. (2013). Heightened sensitivity to temperature cues in individuals with high anxious attachment. Psychological Science, 24(10), 2128–2130. https://doi.org/10.1177/0956797613486983 (Study 2)</t>
  </si>
  <si>
    <t xml:space="preserve">β </t>
  </si>
  <si>
    <t>0.000563</t>
  </si>
  <si>
    <t>0.720</t>
  </si>
  <si>
    <t>http://osf.io/Cju65/files/ReplicationProtocol_%20for_Vess2012_Replication_2_-_LeBel.doc</t>
  </si>
  <si>
    <t>Please rather use test statistics than beta coefficients. This makes conversions easier for us.</t>
  </si>
  <si>
    <t>curatescience8_b</t>
  </si>
  <si>
    <t>0.107</t>
  </si>
  <si>
    <t>curatescience8_c</t>
  </si>
  <si>
    <t>0.154</t>
  </si>
  <si>
    <t>curatescience86</t>
  </si>
  <si>
    <t>Oppenheimer, D. M., Meyvis, T., &amp; Davidenko, N. (2009). Instructional manipulation checks: Detecting satisficing to increase statistical power. Journal of experimental social psychology, 45(4), 867-872.</t>
  </si>
  <si>
    <t>10.1016/j.jesp.2009.03.009</t>
  </si>
  <si>
    <t>01 (as labeled in the Many Labs supplement).</t>
  </si>
  <si>
    <t>Instructional manipulation checks improve data quality and increase statistical power</t>
  </si>
  <si>
    <t>IMC, satisficing, many labs, replication</t>
  </si>
  <si>
    <t>The replication tested whether instructional manipulation checks (IMCs) reduce noise and improve data reliability. The effect was confirmed with key statistical results: e.g., F(1, 113) = 3.55, p = .06 for data reliability among participants passing the IMC​</t>
  </si>
  <si>
    <t>Participants who passed the IMC were more likely to show the expected price expectation effect: F(1, 113) = 7.72, p &lt; .01, η² = .06, compared to those who failed the IMC: F(1, 96) = 0.34, p &gt; .1.</t>
  </si>
  <si>
    <t>Page 869</t>
  </si>
  <si>
    <t>Reported on page 869.</t>
  </si>
  <si>
    <t>Reported in Many Labs supplementary materials, Section 1: Instructional Manipulation Checks and Detecting Satisficing</t>
  </si>
  <si>
    <t>Instructional manipulation checks</t>
  </si>
  <si>
    <t>Participants who clicked on the sports categories or the continue button rather than the title (as they were instructed to do), were coded as having failed the IMC. Overall, 46% of the sample failed the IMC.</t>
  </si>
  <si>
    <t>dqv9y_1</t>
  </si>
  <si>
    <t>dqv9y</t>
  </si>
  <si>
    <t>Kasia Banas</t>
  </si>
  <si>
    <t>updated reference, used verion 9; effect sizes based on OSF post completion registration</t>
  </si>
  <si>
    <t>Elliot, A. J., Niesta Kayser, D., Greitemeyer, T., Lichtenfeld, S., Gramzow, R. H., Maier, M. A., &amp; Lu, H. (2010). Red, rank, and romance in women viewing men. Journal of Experimental Psychology: General, 139(3), 399–417. DOI: https://doi.org/10.1037/ a0019689</t>
  </si>
  <si>
    <t>10.1037/a0019689</t>
  </si>
  <si>
    <t>10.1037--a0019689.pdf</t>
  </si>
  <si>
    <r>
      <rPr>
        <rFont val="Calibri"/>
        <color rgb="FF38761D"/>
        <sz val="11.0"/>
      </rPr>
      <t xml:space="preserve">Wagge, J. R., Baciu, C., Banas, K., Nadler, J. T., Schwarz, S., Weisberg, Y. J., … Grahe, J. E. (2018, June 22). A Demonstration of the Collaborative Replication and Education Project: Replication Attempts of the Red-Romance Effect. </t>
    </r>
    <r>
      <rPr>
        <rFont val="Calibri"/>
        <color rgb="FF38761D"/>
        <sz val="11.0"/>
        <u/>
      </rPr>
      <t>https://doi.org/10.31234/osf.io/chax8</t>
    </r>
  </si>
  <si>
    <t>10.17605/OSF.IO/DQV9Y</t>
  </si>
  <si>
    <t>10.17605--osf.io--dqv9y.pdf</t>
  </si>
  <si>
    <t>red-romance effect</t>
  </si>
  <si>
    <t>color, red, attractiveness, status, attraction</t>
  </si>
  <si>
    <t>effect of red on attractiveness perceptions</t>
  </si>
  <si>
    <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</si>
  <si>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https://osf.io/dqv9y</t>
  </si>
  <si>
    <t>https://doi.org/10.17605/OSF.IO/YCQN9</t>
  </si>
  <si>
    <t>Kasia Banas, Jyoti Bhogal</t>
  </si>
  <si>
    <t>Banas, K. (2014, June 17). Replication of Elliot et al.  (2010) for CREP at the University of Edinburgh. https://doi.org/10.17605/OSF.IO/DQV9Y</t>
  </si>
  <si>
    <t>influence of color condition on perceived attractiveness</t>
  </si>
  <si>
    <t>color not only has aesthetic value but can carry meaning
and impact psychological functioning in subtle, important, and provocative ways</t>
  </si>
  <si>
    <t>t</t>
  </si>
  <si>
    <t>p.405</t>
  </si>
  <si>
    <t>influence of color condition on desired sexual behavior</t>
  </si>
  <si>
    <t>p.406</t>
  </si>
  <si>
    <t>effect of color condition on perceived likability.</t>
  </si>
  <si>
    <t xml:space="preserve">unavailable
</t>
  </si>
  <si>
    <t>p.407</t>
  </si>
  <si>
    <t>dqv9y_b</t>
  </si>
  <si>
    <t>Wagge, J. R., Baciu, C., Banas, K., Nadler, J. T., Schwarz, S., Weisberg, Y. J., … Grahe, J. E. (2018, June 22). A Demonstration of the Collaborative Replication and Education Project: Replication Attempts of the Red-Romance Effect. https://doi.org/10.31234/osf.io/chax8</t>
  </si>
  <si>
    <t>effect of red on sexual attraction</t>
  </si>
  <si>
    <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</si>
  <si>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dqv9y_c</t>
  </si>
  <si>
    <t>effect of red on overall likability judgements</t>
  </si>
  <si>
    <t>"an independent-samples t test was used to examine the effect of color condition on perceived likability. The analysis yielded a null effect ( p  .63)"</t>
  </si>
  <si>
    <t>e9d3k_1</t>
  </si>
  <si>
    <t>e9d3k</t>
  </si>
  <si>
    <t>Jarret Crawford</t>
  </si>
  <si>
    <t>Cheung, B. Y., &amp; Heine, S. J. (2015). The double-edged sword of genetic accounts of criminality: Causal attributions from genetic ascriptions affect legal decision making. Personality and Social Psychology Bulletin, 41(12), 1723-1738.</t>
  </si>
  <si>
    <t>10.1177/0146167215610520</t>
  </si>
  <si>
    <t>10.1177--0146167215610520.pdf</t>
  </si>
  <si>
    <t>Crawford, J. (2016, May 2). Syntax and output files for Cheung &amp; Heine 2015 study 3 replication. https://doi.org/10.17605/OSF.IO/E9D3K</t>
  </si>
  <si>
    <t>10.17605/OSF.IO/E9D3K</t>
  </si>
  <si>
    <t>10.17605--osf.io--e9d3k.pdf</t>
  </si>
  <si>
    <t>mediation model</t>
  </si>
  <si>
    <t>genetic essentialism, attribution theory, legal decision making, psychological essentialism</t>
  </si>
  <si>
    <t>main effect of condition on the applicability of the insanity defense</t>
  </si>
  <si>
    <t>"Defense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</si>
  <si>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https://doi.org/10.17605/OSF.IO/E9D3K</t>
  </si>
  <si>
    <t>Jarret Crawford, Jyoti Bhogal</t>
  </si>
  <si>
    <t>to test whether genetic ascriptions affect people’s judgments
because they expect perpetrators to have stronger impulses
toward violence or have less control of their impulses.</t>
  </si>
  <si>
    <t>e9d3k_b</t>
  </si>
  <si>
    <t>main effect of condition for the diminished capacity defense</t>
  </si>
  <si>
    <t>"there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</si>
  <si>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e9d3k_c</t>
  </si>
  <si>
    <t>main effect of condition on the intoxication defense</t>
  </si>
  <si>
    <t>"there was no main effect of Condition on the intoxica-
tion defense, F(3, 289) = 1.10, p = .349, ηp2= 0.01, 95% 
CI = [0.00, 0.04].</t>
  </si>
  <si>
    <t>e9d3k_d</t>
  </si>
  <si>
    <t>main effect of condition on the sentencing</t>
  </si>
  <si>
    <t>"Sentencing.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</si>
  <si>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e9d3k_e</t>
  </si>
  <si>
    <t>significant effect of condition on perceived conscious control</t>
  </si>
  <si>
    <t>"perpetrator-relevant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</si>
  <si>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e9d3k_f</t>
  </si>
  <si>
    <t xml:space="preserve">effect of condition on perceived recidivism </t>
  </si>
  <si>
    <t>"condition did not affect perceived recidivism or intention to kill, Fs &lt; 2.00, ps &gt; .200, ηp2s = 0.01"</t>
  </si>
  <si>
    <t>e9d3k_g</t>
  </si>
  <si>
    <t>effect of condition on perceived intention to kill</t>
  </si>
  <si>
    <t>e9d3k_h</t>
  </si>
  <si>
    <t>effect of condition on criminal responsibility</t>
  </si>
  <si>
    <t>"condition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</si>
  <si>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e9d3k_i</t>
  </si>
  <si>
    <t>effect of condition on causal locus</t>
  </si>
  <si>
    <t>"causal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</si>
  <si>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e9d3k_j</t>
  </si>
  <si>
    <t>effect of condition on causal stability</t>
  </si>
  <si>
    <t>"condition did not affect causal stability, F(3, 291) = 0.67, p = .568, ηp2 = .01, 95% CI = [0.00, 0.03]"</t>
  </si>
  <si>
    <t>e9d3k_k</t>
  </si>
  <si>
    <t>effect of condition on causal specificity</t>
  </si>
  <si>
    <t>"condition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</si>
  <si>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p. 9-10</t>
  </si>
  <si>
    <t>e9d3k_l</t>
  </si>
  <si>
    <t>effect of condition on causal control</t>
  </si>
  <si>
    <t>"condition did not affect causal control, F(3, 289) = 0.60, p = .613, ηp2 = 0.01, 95% CI = [0.00, 0.02]"</t>
  </si>
  <si>
    <t>e9d3k_m</t>
  </si>
  <si>
    <t>effect of condition on causal malleability</t>
  </si>
  <si>
    <t>"condition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</si>
  <si>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fmd75_1</t>
  </si>
  <si>
    <t>fmd75</t>
  </si>
  <si>
    <t xml:space="preserve">1. Values for REPLICATION were taked from prepring 10.17605--osf.io--fmd75.pdf
2. In page 25 of the 10.17605--osf.io--fmd75.pdf there should by a typo, as the interaction was tested not with forewarning condition... </t>
  </si>
  <si>
    <t>Epley, N., &amp; Gilovich, T. (2006). The anchoring-and-adjustment heuristic: Why the adjustments are insufficient. Psychological science, 17(4), 311-318.</t>
  </si>
  <si>
    <t>10.1111/j.1467-9280.2006.01704.x</t>
  </si>
  <si>
    <t>10.1111--j.1467-9280.2006.01704.x.pdf</t>
  </si>
  <si>
    <r>
      <rPr>
        <rFont val="Calibri"/>
        <sz val="11.0"/>
      </rPr>
      <t xml:space="preserve">Röseler, L., Bögler, H. L., Koßmann, L., Krueger, S., Bickenbach, S., Bühler, R., … Ponader, S. (2023, July 11). Results Report: Replication of Epley and Gilovich  (2006, Study 2a). </t>
    </r>
    <r>
      <rPr>
        <rFont val="Calibri"/>
        <color rgb="FF1155CC"/>
        <sz val="11.0"/>
        <u/>
      </rPr>
      <t>https://doi.org/10.17605/OSF.IO/FMD75</t>
    </r>
  </si>
  <si>
    <t>10.17605/OSF.IO/FMD75</t>
  </si>
  <si>
    <t>10.17605--osf.io--fmd75.pdf</t>
  </si>
  <si>
    <t>Anchoring-and-Adjustment Heuristic</t>
  </si>
  <si>
    <t>Anchoring effect, self-generated, replication, anchoring and adjustment, adjustment model</t>
  </si>
  <si>
    <t>The magnitude of adjustment-based anchoring is moderated by the need for cognition with low NFC leading to less adjustment from self-generated anchors</t>
  </si>
  <si>
    <t>"In Study 2a, participants who scored high in NFC provided estimates further from their self-generated anchor values (mean z score 5 0.14) than participants who scored low (mean z score = _x0002_0.18),t(77) = 2.13, p &lt; .05, p_rep = .90, d = 0.49."</t>
  </si>
  <si>
    <t>r(298) = -0.17</t>
  </si>
  <si>
    <t>https://osf.io/fmd75</t>
  </si>
  <si>
    <t>1. Although Psychological Sciences is not present in the provided list, I have used cognitive psychology as a discipline as I found it more relevant relevant. 2. The value of effect size is negative, the excel is not allowing to inseert it correctly</t>
  </si>
  <si>
    <t>Röseler, L., Bögler, H. L., Koßmann, L., Krueger, S., Bickenbach, S., Bühler, R., … Ponader, S. (2023, July 11). Results Report: Replication of Epley and Gilovich  (2006, Study 2a). https://doi.org/10.17605/OSF.IO/FMD75</t>
  </si>
  <si>
    <t xml:space="preserve">Anchoring and Adjustment </t>
  </si>
  <si>
    <t>anchoring-and- adjustment, heuristic, biases, self-generated</t>
  </si>
  <si>
    <t>High Need for Cognition (NFC) individuals adjust more from self-generated anchors.</t>
  </si>
  <si>
    <t>"participants who scored high in NFC provided estimates further from their self-generated anchor values (mean z score 5 0.14) than participants who scored low (mean z score 5 􏰀0.18), t(77) 5 2.13, p &lt; .05, prep 5 .90, d 5 0.49"</t>
  </si>
  <si>
    <t>negative 0.49</t>
  </si>
  <si>
    <t>p.7</t>
  </si>
  <si>
    <t>0.05</t>
  </si>
  <si>
    <t>0.017</t>
  </si>
  <si>
    <t>0.383</t>
  </si>
  <si>
    <t>https://osf.io/8k9nt</t>
  </si>
  <si>
    <t>gh52k_1</t>
  </si>
  <si>
    <t>gh52k</t>
  </si>
  <si>
    <t>Lukas Röseler, Astrid Schütz, Evgenia Burlakovas, Marieluisa Dück, Sabine Fels, Sophie Janiczek , Jana Kupfer, Elena Prinz, Sarah Wieczorek, Christian Seida, Roksana Sobolak</t>
  </si>
  <si>
    <t>Reitsma-van Rooijen, M., &amp; Daamen, D. D. (2006). Subliminal anchoring: The effects of subliminally presented numbers on probability estimates. Journal of Experimental Social Psychology, 42(3), 380-387.</t>
  </si>
  <si>
    <t>10.1016/j.jesp.2005.05.001</t>
  </si>
  <si>
    <t>10.1016--j.jesp.2005.05.001.pdf</t>
  </si>
  <si>
    <t>Röseler, L., Schütz, A., Burlakovas, E., Dück, M., Fels, S., Janiczek, S., … Seida, C. (2022, September 15). Replication of Reitsma-van Rooijen and Daamen  (2006). https://doi.org/10.17605/OSF.IO/GH52K</t>
  </si>
  <si>
    <t>10.17605/OSF.IO/GH52K</t>
  </si>
  <si>
    <t>10.17605--osf.io--gh52k.pdf</t>
  </si>
  <si>
    <t xml:space="preserve">Judgement and Decision Making </t>
  </si>
  <si>
    <t>Subliminial anchoring</t>
  </si>
  <si>
    <t>Anchoring, Subliminal Anchoring, Subliminal Priming, Numeric Priming</t>
  </si>
  <si>
    <t>Subliminally presented anchor values influence probability estimates under time pressure</t>
  </si>
  <si>
    <t>"A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</si>
  <si>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F(1, 58) = 8.56</t>
  </si>
  <si>
    <t>https://osf.io/qxwhv</t>
  </si>
  <si>
    <t>Lukas Röseler, Astrid Schütz, Evgenia Burlakovas, Marieluisa Dück, Sabine Fels, Sophie Janiczek , Jana Kupfer, Elena Prinz, Sarah Wieczorek, Christian Seida, Thomas Miller</t>
  </si>
  <si>
    <t>found doi for actual R article, used that as basis for reported information: 10.1016/j.jesp.2020.104066</t>
  </si>
  <si>
    <t>A 2 (Anchor: low, high) × 2 (Time Pressure: absent, present) ANOVA revealed a significant interaction effect between Anchor and Time Pressure, F(1, 58) = 5.06, p &lt; .05. … The results of our study indicate that there is a sub- liminal anchor eVect and that this eVect is short-lived. The probability estimate assimilated towards the sublim- inally presented anchor value in the conditions with time pressure</t>
  </si>
  <si>
    <t>p.384</t>
  </si>
  <si>
    <t>https://osf.io/gh52k?mode=&amp;revisionId=&amp;view_only=</t>
  </si>
  <si>
    <t>gh52k_b</t>
  </si>
  <si>
    <t>"There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</si>
  <si>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 F(1, 58) &lt; 1</t>
  </si>
  <si>
    <t>gh52k_c</t>
  </si>
  <si>
    <t>"A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</si>
  <si>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F(1, 58) = 5.06</t>
  </si>
  <si>
    <t>Holzmeisteretal2024_1</t>
  </si>
  <si>
    <r>
      <rPr>
        <rFont val="Calibri"/>
        <color rgb="FFFF0000"/>
        <sz val="11.0"/>
      </rPr>
      <t>GENERAL NOTE: The results from the r_studies were sourced directly from the OSF file associated with each r_study (link_r), and I verified their consistency with the findings in the SM document. everything was consistent and accurate;</t>
    </r>
    <r>
      <rPr>
        <rFont val="Calibri"/>
        <sz val="11.0"/>
      </rPr>
      <t xml:space="preserve"> the o_paper included 5 studies but the r_paper only replicated  one claim from study number 3; in the o_study the authors perform independent-samples t-tests for each of five life history strategy-relevant suites separately but the authors of the r_study  created a composite score of all five life history strategies using the original data and perform an independent sample Student’s t-test. So for the o_study I reported the info related to the signle test used in the r_study with the original data to be able to match it with the replication test used in the r_study; 
there is also a pdf containing more information and data about the original study (I didn't use it but thoought I could add it here) </t>
    </r>
    <r>
      <rPr>
        <rFont val="Calibri"/>
        <color rgb="FF1155CC"/>
        <sz val="11.0"/>
        <u/>
      </rPr>
      <t>https://www.pnas.org/action/downloadSupplement?doi=10.1073%2Fpnas.1519401113&amp;file=pnas.201519401SI.pdf</t>
    </r>
    <r>
      <rPr>
        <rFont val="Calibri"/>
        <sz val="11.0"/>
      </rPr>
      <t xml:space="preserve"> </t>
    </r>
  </si>
  <si>
    <r>
      <t xml:space="preserve">Williams, K. E. G., Sng, O., &amp; Neuberg, S. L. (2016). Ecology-driven stereotypes override race stereotypes. Proceedings of the National Academy of Sciences, 113(2), 310–315. </t>
    </r>
    <r>
      <rPr>
        <rFont val="Arial"/>
        <color rgb="FF1155CC"/>
        <u/>
      </rPr>
      <t>https</t>
    </r>
    <r>
      <rPr>
        <rFont val="Arial"/>
        <color rgb="FF1155CC"/>
        <u/>
      </rPr>
      <t>://doi</t>
    </r>
    <r>
      <rPr>
        <rFont val="Arial"/>
        <color rgb="FF1155CC"/>
        <u/>
      </rPr>
      <t>.org</t>
    </r>
    <r>
      <rPr>
        <rFont val="Arial"/>
        <color rgb="FF1155CC"/>
        <u/>
      </rPr>
      <t>/10</t>
    </r>
    <r>
      <rPr>
        <rFont val="Arial"/>
        <color rgb="FF1155CC"/>
        <u/>
      </rPr>
      <t>/f76jnb</t>
    </r>
  </si>
  <si>
    <r>
      <rPr>
        <rFont val="Calibri, sans-serif"/>
        <color theme="1"/>
        <sz val="12.0"/>
      </rPr>
      <t>10.1073/pnas.1519401113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</si>
  <si>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</si>
  <si>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 xml:space="preserve">https://osf.io/sejyp </t>
  </si>
  <si>
    <t>Replication of Williams et al.pdf</t>
  </si>
  <si>
    <t xml:space="preserve">Replication of Williams et al., 2016 </t>
  </si>
  <si>
    <t>stereotypes</t>
  </si>
  <si>
    <t xml:space="preserve">race stereotypes, life history theory, stereotype content, ecology, affordance management </t>
  </si>
  <si>
    <t>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</si>
  <si>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</si>
  <si>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1.0e−05 </t>
  </si>
  <si>
    <t>https://osf.io/ugnsq</t>
  </si>
  <si>
    <r>
      <rPr>
        <rFont val="Calibri"/>
        <color theme="1"/>
        <sz val="11.0"/>
      </rPr>
      <t xml:space="preserve">As this is a close replication, I was not able to code the original authors' claims accurately as the replication did not make it clear which study (1-5) was being replicated. Instead, the replication created a composite score. Please see copied statement from replication paper- "The authors perform independent-samples t-tests for each of five life history strategy-relevant suites separately: sexual unrestrictedness, impulsivity, opportunistic behavior, investment in own education, and investment in children. </t>
    </r>
    <r>
      <rPr>
        <rFont val="Calibri"/>
        <color rgb="FFFF0000"/>
        <sz val="11.0"/>
      </rPr>
      <t>We instead create a composite score of all five life history strategies using the original data</t>
    </r>
    <r>
      <rPr>
        <rFont val="Calibri"/>
        <color rgb="FF000000"/>
        <sz val="11.0"/>
      </rPr>
      <t xml:space="preserve"> and perform an independent sample Student’s t-test (t(94) = 4.66, p &lt; .001). </t>
    </r>
    <r>
      <rPr>
        <rFont val="Calibri"/>
        <color rgb="FFFF0000"/>
        <sz val="11.0"/>
      </rPr>
      <t>This test statistic has been re-estimated based on the original data</t>
    </r>
    <r>
      <rPr>
        <rFont val="Calibri"/>
        <color rgb="FF000000"/>
        <sz val="11.0"/>
      </rPr>
      <t>. The high wealth condition was randomly chosen. [Note: in the original paper, the ecology effect is tested for all five life history strategy-relevant suites separately between a desperate or a hopeful ecology. The differences were statistically significant p &lt; 0.05, with effect sizes ranging from 0.42 to 1.21 (the test used was not reported, but we assume an independent sample t-test was used); p. 6 in SI.]</t>
    </r>
  </si>
  <si>
    <r>
      <rPr>
        <rFont val="Arial"/>
        <color rgb="FF1155CC"/>
        <u/>
      </rPr>
      <t xml:space="preserve">Williams, K. E. G., Sng, O., &amp; Neuberg, S. L. (2016). Ecology-driven stereotypes override race stereotypes. Proceedings of the National Academy of Sciences, 113(2), 310–315.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/f76jnb</t>
    </r>
  </si>
  <si>
    <r>
      <rPr>
        <rFont val="Calibri, sans-serif"/>
        <color theme="1"/>
        <sz val="12.0"/>
      </rPr>
      <t>10.1073/pnas.1519401113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</si>
  <si>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</si>
  <si>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"Close replication"</t>
  </si>
  <si>
    <t>Ecology-driven stereotypes overriding race stereotypes</t>
  </si>
  <si>
    <t>Race stereotypes, life history theory, stereotype content, ecology, affordance management</t>
  </si>
  <si>
    <t>This effect investigates how ecological conditions (e.g., harsh vs. resource-rich environments) shape behavior, leading to ecology-driven stereotypes, often linked to race.</t>
  </si>
  <si>
    <t>"…our findings provide strong evidence for the importance of ecology as a cue used by social perceivers in anticipating the affordances of others. Study 1 demonstrated that individuals hold ecology stereotypes, stereotyping individuals from desperate ecologies as possessing faster life history strategies than individuals from hopeful ecologies. In testing alternative explanations, studies 2–4 find that these ecology stereotypes are applied within race to both blacks and whites, within wealth to both rich and poor individuals, and that ecology stereotypes are not just the result of a positivity bias toward individuals from hopeful ecologies. Returning to our core premise, study 5 demonstrated that—in the absence of ecology information—race stereotypes track basic ecology stereotypes; however, when provided with information about both the race and ecology of others, individuals’ inferences reflect the targets’ ecology rather than the targets’ race. In the social inference process, ecology information trumps race."</t>
  </si>
  <si>
    <t>t(94) = 4.66</t>
  </si>
  <si>
    <t>- Please also add the page number for the effect sizes (eg es_rep_r)
- You could have added the individual pdf files for the reports in the file_r variable.</t>
  </si>
  <si>
    <t>Holzmeisteretal2024_10</t>
  </si>
  <si>
    <t>the o_paper included 7 studies but the r_paper only replicated  one claim from study number 1; the effect size reported for the orignial study in the o_paper and the SM doc are a bit diffrent</t>
  </si>
  <si>
    <r>
      <t xml:space="preserve">Klein, N., &amp; O’Brien, E. (2018). People use less information than they think to make up their minds. Proceedings of the National Academy of Sciences, 115(52), 13222–13227. </t>
    </r>
    <r>
      <rPr>
        <rFont val="Arial"/>
        <color rgb="FF1155CC"/>
        <u/>
      </rPr>
      <t>https</t>
    </r>
    <r>
      <rPr>
        <rFont val="Arial"/>
        <color rgb="FF1155CC"/>
        <u/>
      </rPr>
      <t>://doi</t>
    </r>
    <r>
      <rPr>
        <rFont val="Arial"/>
        <color rgb="FF1155CC"/>
        <u/>
      </rPr>
      <t>.org</t>
    </r>
    <r>
      <rPr>
        <rFont val="Arial"/>
        <color rgb="FF1155CC"/>
        <u/>
      </rPr>
      <t>/10</t>
    </r>
    <r>
      <rPr>
        <rFont val="Arial"/>
        <color rgb="FF1155CC"/>
        <u/>
      </rPr>
      <t>/gfs87p</t>
    </r>
  </si>
  <si>
    <r>
      <rPr>
        <rFont val="Calibri, sans-serif"/>
        <color theme="1"/>
        <sz val="12.0"/>
      </rPr>
      <t>10.1073/pnas.1805327115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</si>
  <si>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</si>
  <si>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Klein and OBrien.pdf</t>
  </si>
  <si>
    <t>Replication of Klein and O’Brienet al. 2018</t>
  </si>
  <si>
    <t>information processing</t>
  </si>
  <si>
    <t>tipping point,  change, self-insight,  judgment, information processing</t>
  </si>
  <si>
    <t>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</si>
  <si>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</si>
  <si>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https://osf.io/tg9ny</t>
  </si>
  <si>
    <r>
      <rPr>
        <rFont val="Arial"/>
        <color rgb="FF1155CC"/>
        <u/>
      </rPr>
      <t xml:space="preserve">Klein, N., &amp; O’Brien, E. (2018). People use less information than they think to make up their minds. Proceedings of the National Academy of Sciences, 115(52), 13222–13227.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/gfs87p</t>
    </r>
  </si>
  <si>
    <r>
      <rPr>
        <rFont val="Calibri, sans-serif"/>
        <color theme="1"/>
        <sz val="12.0"/>
      </rPr>
      <t>10.1073/pnas.1805327115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</si>
  <si>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</si>
  <si>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Overestimation of decision-making time</t>
  </si>
  <si>
    <t>Tipping point, change, self-insight, judgment, information processing</t>
  </si>
  <si>
    <r>
      <rPr>
        <rFont val="Calibri"/>
        <color theme="1"/>
        <sz val="11.0"/>
      </rPr>
      <t xml:space="preserve">The effect being investigated is the </t>
    </r>
    <r>
      <rPr>
        <rFont val="Calibri"/>
        <b/>
        <color rgb="FF000000"/>
        <sz val="11.0"/>
      </rPr>
      <t>discrepancy between the expected and actual number of paintings participants believe they need to see in order to form a verdict on whether they like or dislike a painting style.</t>
    </r>
  </si>
  <si>
    <t>"In the test trial, participants made up their minds sooner than they expected: Predictors expected they would need to see many more paintings to make up their minds (M = 16.29, SD = 12.04) than experiencers actually needed to see to make up their minds (M = 3.48, SD = 3.44), t(205) = 10.60, P &lt; 0.001, d = 1.45."</t>
  </si>
  <si>
    <t xml:space="preserve"> t(205) = 10.60</t>
  </si>
  <si>
    <t>Holzmeisteretal2024_11</t>
  </si>
  <si>
    <r>
      <rPr>
        <rFont val="Calibri"/>
        <sz val="11.0"/>
      </rPr>
      <t xml:space="preserve">the o_paper included 2 studies but the r_paper only replicated  one claim from study number 1; the effect size reported for the o_study comes from the SM not the o_paper </t>
    </r>
    <r>
      <rPr>
        <rFont val="Calibri"/>
        <color rgb="FF1155CC"/>
        <sz val="11.0"/>
        <u/>
      </rPr>
      <t>https://www.pnas.org/action/downloadSupplement?doi=10.1073%2Fpnas.1601280113&amp;file=pnas.1601280113.sapp.pdf</t>
    </r>
    <r>
      <rPr>
        <rFont val="Calibri"/>
        <sz val="11.0"/>
      </rPr>
      <t xml:space="preserve"> (page 8, table 1); for the r_study I did report d for effect size as mentioned in both the SM table and the paper (osf link) but the paper also report egression b=–0.129  so I am adding it here in case you want a more direct comparison with the effect size of the o_study.</t>
    </r>
  </si>
  <si>
    <r>
      <t xml:space="preserve">Jordan, J. J., Hoffman, M., Nowak, M. A., &amp; Rand, D. G. (2016). Uncalculating cooperation is used to signal trustworthiness. Proceedings of the National Academy of Sciences, 113(31), 8658–8663. </t>
    </r>
    <r>
      <rPr>
        <rFont val="Arial"/>
        <color rgb="FF1155CC"/>
        <u/>
      </rPr>
      <t>https</t>
    </r>
    <r>
      <rPr>
        <rFont val="Arial"/>
        <color rgb="FF1155CC"/>
        <u/>
      </rPr>
      <t>://doi</t>
    </r>
    <r>
      <rPr>
        <rFont val="Arial"/>
        <color rgb="FF1155CC"/>
        <u/>
      </rPr>
      <t>.org</t>
    </r>
    <r>
      <rPr>
        <rFont val="Arial"/>
        <color rgb="FF1155CC"/>
        <u/>
      </rPr>
      <t>/10</t>
    </r>
    <r>
      <rPr>
        <rFont val="Arial"/>
        <color rgb="FF1155CC"/>
        <u/>
      </rPr>
      <t>/f8w9bk</t>
    </r>
  </si>
  <si>
    <r>
      <rPr>
        <rFont val="Calibri, sans-serif"/>
        <color theme="1"/>
        <sz val="12.0"/>
      </rPr>
      <t>10.1073/pnas.1601280113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</si>
  <si>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</si>
  <si>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Jordan et al.pdf</t>
  </si>
  <si>
    <t>Replication of Jordan et al. 2016</t>
  </si>
  <si>
    <t>Uncalculating cooperation</t>
  </si>
  <si>
    <t>reputation, social evaluation, decision-making, experimental economics, moral psychology</t>
  </si>
  <si>
    <t>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</si>
  <si>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In Exp. 1, 70% of player As looked at the cost of helping in the process hidden condition compared with only 59% in the process observable condition (n = 735; P = 0.002)</t>
  </si>
  <si>
    <t>https://osf.io/sqxe8</t>
  </si>
  <si>
    <t>I could not find the actual coefficient so I copied it in from the one stated in the replication paper, please see copied in "To evaluate this hypothesis, the authors perform a logistic regression (b = −0.486, p = 0.002); p. 8660." The authors claims have the original finding.</t>
  </si>
  <si>
    <r>
      <rPr>
        <rFont val="Arial"/>
        <color rgb="FF1155CC"/>
        <u/>
      </rPr>
      <t xml:space="preserve">Jordan, J. J., Hoffman, M., Nowak, M. A., &amp; Rand, D. G. (2016). Uncalculating cooperation is used to signal trustworthiness. Proceedings of the National Academy of Sciences, 113(31), 8658–8663.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/f8w9bk</t>
    </r>
  </si>
  <si>
    <r>
      <rPr>
        <rFont val="Calibri, sans-serif"/>
        <color theme="1"/>
        <sz val="12.0"/>
      </rPr>
      <t>10.1073/pnas.1601280113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</si>
  <si>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</si>
  <si>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Uncalculating cooperation driven by reputation concerns</t>
  </si>
  <si>
    <t>Reputation, social evaluation, decision-making, experimental economics, moral psychology</t>
  </si>
  <si>
    <t>The effect being investigated is how observability of decision-making influences uncalculating cooperation when reputation is at stake.</t>
  </si>
  <si>
    <t>"In Exp. 1, 70% of player As looked at the cost of helping in the process hidden condition compared with only 59% in the process observable condition (n = 735; P = 0.002) (Fig. 2A)." , "Thus, we confirm our key prediction: Across two experiments, subjects behaved in a less calculating manner when their reputations were at stake. In Exp. 1, they looked less at the cost of helping when their looking choice was observable, and in Exp. 2, they decided faster when their decision time was observable."</t>
  </si>
  <si>
    <t>Holzmeisteretal2024_12</t>
  </si>
  <si>
    <t>the o_paper included 7 studies but the r_paper only replicated  one claim from study number 2a; sample size of o_study was infered from the statistical test; I calculated the effect size of the o_claim using the ES calculations sheet based on the informations I had but the effect size reported in the r_table for the o_study was a bit diffrent (0.349)</t>
  </si>
  <si>
    <r>
      <t xml:space="preserve">John, L. K., Barasz, K., &amp; Norton, M. I. (2016). Hiding personal information reveals the worst. Proceedings of the National Academy of Sciences, 113(4), 954–959. </t>
    </r>
    <r>
      <rPr>
        <rFont val="Arial"/>
        <color rgb="FF1155CC"/>
        <u/>
      </rPr>
      <t>https</t>
    </r>
    <r>
      <rPr>
        <rFont val="Arial"/>
        <color rgb="FF1155CC"/>
        <u/>
      </rPr>
      <t>://doi</t>
    </r>
    <r>
      <rPr>
        <rFont val="Arial"/>
        <color rgb="FF1155CC"/>
        <u/>
      </rPr>
      <t>.org</t>
    </r>
    <r>
      <rPr>
        <rFont val="Arial"/>
        <color rgb="FF1155CC"/>
        <u/>
      </rPr>
      <t>/10</t>
    </r>
    <r>
      <rPr>
        <rFont val="Arial"/>
        <color rgb="FF1155CC"/>
        <u/>
      </rPr>
      <t>/f77w6d</t>
    </r>
  </si>
  <si>
    <r>
      <rPr>
        <rFont val="Calibri, sans-serif"/>
        <color theme="1"/>
        <sz val="12.0"/>
      </rPr>
      <t>10.1073/pnas.1516868113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</si>
  <si>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</si>
  <si>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John et al.pdf</t>
  </si>
  <si>
    <t>Replication of John et al. 2016</t>
  </si>
  <si>
    <t>disclosure</t>
  </si>
  <si>
    <t>disclosure, transparency, trust, policy making, privacy</t>
  </si>
  <si>
    <t>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</si>
  <si>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There were significant differences in dating interest between conditions...interest in the Inadvertent Nondiscloser (M = 6.8, SD = 1.5) was higher than that of the Hider [t(140) = 2.08, P = 0.04]</t>
  </si>
  <si>
    <t>https://osf.io/r5mtg</t>
  </si>
  <si>
    <r>
      <rPr>
        <rFont val="Arial"/>
        <color rgb="FF1155CC"/>
        <u/>
      </rPr>
      <t xml:space="preserve">John, L. K., Barasz, K., &amp; Norton, M. I. (2016). Hiding personal information reveals the worst. Proceedings of the National Academy of Sciences, 113(4), 954–959.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/f77w6d</t>
    </r>
  </si>
  <si>
    <r>
      <rPr>
        <rFont val="Calibri, sans-serif"/>
        <color theme="1"/>
        <sz val="12.0"/>
      </rPr>
      <t>10.1073/pnas.1516868113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</si>
  <si>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</si>
  <si>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 xml:space="preserve">Deliberate non-disclosure </t>
  </si>
  <si>
    <t>Disclosure, transparency, trust, policy making, privacy</t>
  </si>
  <si>
    <t>The effect being invesigated is whether deliberate non-disclosure is judged more negatively than inadvertent non-disclosure, influencing interpersonal preferences (e.g., dating interest).</t>
  </si>
  <si>
    <t>"Most importantly, interest in the Inadvertent Nondiscloser (M = 6.8, SD = 1.5) was higher than that of the Hider t(140) = 2.08, P = 0.04; it was also lower than that of the Revealer t(142) = 1.99, P = 0.05."</t>
  </si>
  <si>
    <t>t(140) = 2.08</t>
  </si>
  <si>
    <t>Holzmeisteretal2024_13</t>
  </si>
  <si>
    <t>the o_paper included 9 studies but the r_paper only replicated  one claim from study number 2</t>
  </si>
  <si>
    <r>
      <t xml:space="preserve">Hofstetter, R., Rüppell, R., &amp; John, L. K. (2017). Temporary sharing prompts unrestrained disclosures that leave lasting negative impressions. Proceedings of the National Academy of Sciences, 114(45), 11902–11907. </t>
    </r>
    <r>
      <rPr>
        <rFont val="Arial"/>
        <color rgb="FF1155CC"/>
        <u/>
      </rPr>
      <t>https</t>
    </r>
    <r>
      <rPr>
        <rFont val="Arial"/>
        <color rgb="FF1155CC"/>
        <u/>
      </rPr>
      <t>://doi</t>
    </r>
    <r>
      <rPr>
        <rFont val="Arial"/>
        <color rgb="FF1155CC"/>
        <u/>
      </rPr>
      <t>.org</t>
    </r>
    <r>
      <rPr>
        <rFont val="Arial"/>
        <color rgb="FF1155CC"/>
        <u/>
      </rPr>
      <t>/10</t>
    </r>
    <r>
      <rPr>
        <rFont val="Arial"/>
        <color rgb="FF1155CC"/>
        <u/>
      </rPr>
      <t>/gckbgp</t>
    </r>
  </si>
  <si>
    <r>
      <rPr>
        <rFont val="Calibri, sans-serif"/>
        <color theme="1"/>
        <sz val="12.0"/>
      </rPr>
      <t>10.1073/pnas.1706913114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</si>
  <si>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</si>
  <si>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Hofstetter et al.pdf</t>
  </si>
  <si>
    <t>Replication of Hofstetter et al. 2017</t>
  </si>
  <si>
    <t>impression formation</t>
  </si>
  <si>
    <t>disclosure, privacy, self-presentation, impression formation, social media</t>
  </si>
  <si>
    <t>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</si>
  <si>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Privacy concerns mediated the relationship between temporary sharing and selfie disinhibition:Temporariness decreased privacy concerns (βtemporary = −0.70, SE = 0.22, P &lt; 0.005), which in turn accounted for increased disinhibition</t>
  </si>
  <si>
    <t>https://osf.io/wc4xm</t>
  </si>
  <si>
    <r>
      <rPr>
        <rFont val="Arial"/>
        <color rgb="FF1155CC"/>
        <u/>
      </rPr>
      <t xml:space="preserve">Hofstetter, R., Rüppell, R., &amp; John, L. K. (2017). Temporary sharing prompts unrestrained disclosures that leave lasting negative impressions. Proceedings of the National Academy of Sciences, 114(45), 11902–11907.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/gckbgp</t>
    </r>
  </si>
  <si>
    <r>
      <rPr>
        <rFont val="Calibri, sans-serif"/>
        <color theme="1"/>
        <sz val="12.0"/>
      </rPr>
      <t>10.1073/pnas.1706913114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</si>
  <si>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</si>
  <si>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 xml:space="preserve">The impact of temporary vs. permanent sharing on digital disclosures </t>
  </si>
  <si>
    <t>Disclosure, privacy, self-presentation, impression formation, social media</t>
  </si>
  <si>
    <t>The effect being investigated is whether temporary sharing of selfies reduces privacy concerns, leading to increased disinhibition in disclosures</t>
  </si>
  <si>
    <t>"Privacy concerns mediated the relationship between temporary sharing and selfie disinhibition: Temporariness decreased privacy concerns (βtemporary = −0.70, SE = 0.22, P &lt; 0.005)"</t>
  </si>
  <si>
    <t>Holzmeisteretal2024_14</t>
  </si>
  <si>
    <t>the o_paper included 2 studies but the r_paper only replicated  one claim from study number 1</t>
  </si>
  <si>
    <t>Data Curators were unsure about nesting. In all other reports it says "mixed" when nesting is present and here it does not, so I coded it as nested = no</t>
  </si>
  <si>
    <r>
      <t xml:space="preserve">Hoffman, K. M., Trawalter, S., Axt, J. R., &amp; Oliver, M. N. (2016). Racial bias in pain assessment and treatment recommendations, and false beliefs about biological differences between blacks and whites. Proceedings of the National Academy of Sciences, 113(16), 4296–4301. </t>
    </r>
    <r>
      <rPr>
        <rFont val="Arial"/>
        <color rgb="FF1155CC"/>
        <u/>
      </rPr>
      <t>https</t>
    </r>
    <r>
      <rPr>
        <rFont val="Arial"/>
        <color rgb="FF1155CC"/>
        <u/>
      </rPr>
      <t>://doi</t>
    </r>
    <r>
      <rPr>
        <rFont val="Arial"/>
        <color rgb="FF1155CC"/>
        <u/>
      </rPr>
      <t>.org</t>
    </r>
    <r>
      <rPr>
        <rFont val="Arial"/>
        <color rgb="FF1155CC"/>
        <u/>
      </rPr>
      <t>/10</t>
    </r>
    <r>
      <rPr>
        <rFont val="Arial"/>
        <color rgb="FF1155CC"/>
        <u/>
      </rPr>
      <t>/f8jpjp</t>
    </r>
  </si>
  <si>
    <r>
      <rPr>
        <rFont val="Calibri, sans-serif"/>
        <color theme="1"/>
        <sz val="12.0"/>
      </rPr>
      <t>10.1073/pnas.1516047113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</si>
  <si>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</si>
  <si>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Hoffman et al.pdf</t>
  </si>
  <si>
    <t>Replication of Hoffman et al 2016</t>
  </si>
  <si>
    <t>racial bias</t>
  </si>
  <si>
    <t>racial bias, pain perception,  health care disparities, pain treatment</t>
  </si>
  <si>
    <t>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</si>
  <si>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</si>
  <si>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2,3</t>
  </si>
  <si>
    <t>https://osf.io/6vnm5</t>
  </si>
  <si>
    <r>
      <rPr>
        <rFont val="Arial"/>
        <color rgb="FF1155CC"/>
        <u/>
      </rPr>
      <t xml:space="preserve">Hoffman, K. M., Trawalter, S., Axt, J. R., &amp; Oliver, M. N. (2016). Racial bias in pain assessment and treatment recommendations, and false beliefs about biological differences between blacks and whites. Proceedings of the National Academy of Sciences, 113(16), 4296–4301.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/f8jpjp</t>
    </r>
  </si>
  <si>
    <r>
      <rPr>
        <rFont val="Calibri, sans-serif"/>
        <color theme="1"/>
        <sz val="12.0"/>
      </rPr>
      <t>10.1073/pnas.1516047113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</si>
  <si>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</si>
  <si>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Racial bias in pain assessment and treatment</t>
  </si>
  <si>
    <t>Racial bias, pain perception, health care disparities, pain treatment</t>
  </si>
  <si>
    <t>The effect being investigated is whether racial bias in pain perception among non-medically trained white individuals is influenced by false beliefs about biological differences between Black and White people.</t>
  </si>
  <si>
    <t>"The effect was qualified by the predicted interaction between target race and false beliefs [β = −0.07, SE = 0.03, F(1, 85) = 4.36, P = 0.040, η²p = 0.05]."</t>
  </si>
  <si>
    <t>F(1,85) = 4.36</t>
  </si>
  <si>
    <t>Holzmeisteretal2024_15</t>
  </si>
  <si>
    <t>the o_paper included 6 studies but the r_paper only replicated  one claim from study number 6</t>
  </si>
  <si>
    <r>
      <t xml:space="preserve">Halevy, N., &amp; Halali, E. (2015). Selfish third parties act as peacemakers by transforming conflicts and promoting cooperation. Proceedings of the National Academy of Sciences, 112(22), 6937–6942. </t>
    </r>
    <r>
      <rPr>
        <rFont val="Arial"/>
        <color rgb="FF1155CC"/>
        <u/>
      </rPr>
      <t>https</t>
    </r>
    <r>
      <rPr>
        <rFont val="Arial"/>
        <color rgb="FF1155CC"/>
        <u/>
      </rPr>
      <t>://doi</t>
    </r>
    <r>
      <rPr>
        <rFont val="Arial"/>
        <color rgb="FF1155CC"/>
        <u/>
      </rPr>
      <t>.org</t>
    </r>
    <r>
      <rPr>
        <rFont val="Arial"/>
        <color rgb="FF1155CC"/>
        <u/>
      </rPr>
      <t>/10</t>
    </r>
    <r>
      <rPr>
        <rFont val="Arial"/>
        <color rgb="FF1155CC"/>
        <u/>
      </rPr>
      <t>/f7fzmv</t>
    </r>
  </si>
  <si>
    <r>
      <rPr>
        <rFont val="Calibri, sans-serif"/>
        <color theme="1"/>
        <sz val="12.0"/>
      </rPr>
      <t>10.1073/pnas.1505067112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</si>
  <si>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</si>
  <si>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Halevy and Halali.pdf</t>
  </si>
  <si>
    <t>Replication of Halevy &amp; Halali2015</t>
  </si>
  <si>
    <t>conflict resolution</t>
  </si>
  <si>
    <t>conflict, dispute resolution, war and peace, incentives, social dilemma</t>
  </si>
  <si>
    <t>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</si>
  <si>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compared with participants who described a situ-ation in which they chose not to intervene, participants who de-scribed a situation in which they chose to intervene perceived intervention to be...more beneficial [... t(196) = 6.34, P &lt; 0.001].</t>
  </si>
  <si>
    <t>t(196) = 6.34</t>
  </si>
  <si>
    <t>https://osf.io/xd947</t>
  </si>
  <si>
    <r>
      <rPr>
        <rFont val="Arial"/>
        <color rgb="FF1155CC"/>
        <u/>
      </rPr>
      <t xml:space="preserve">Halevy, N., &amp; Halali, E. (2015). Selfish third parties act as peacemakers by transforming conflicts and promoting cooperation. Proceedings of the National Academy of Sciences, 112(22), 6937–6942.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/f7fzmv</t>
    </r>
  </si>
  <si>
    <r>
      <rPr>
        <rFont val="Calibri, sans-serif"/>
        <color theme="1"/>
        <sz val="12.0"/>
      </rPr>
      <t>10.1073/pnas.1505067112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</si>
  <si>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</si>
  <si>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Conflict resolution and third-party intervention</t>
  </si>
  <si>
    <t>Conflict, dispute resolution, war and peace, incentives, social dilemma.</t>
  </si>
  <si>
    <t>The effect being investigated is whether recalling and describing a past experience of intervening in a conflict vs not intervening affects individuals' perceptions of the benefits of intervening in future conflicts.</t>
  </si>
  <si>
    <t>"As Fig. 4 shows, compared with participants who described a situation in which they chose not to intervene, participants who described a situation in which they chose to intervene perceived intervention to be less costly [independent samples t tests: experiment 5, t(204) = −7.25, P &lt; 0.001; experiment 6, t(196) = −2.89, P &lt; 0.005] and more beneficial [independent samples t tests: experiment 5, t(204) = 7.87, P &lt; 0.001; experiment 6, t(196) = 6.34, P &lt; 0.001]. These findings replicate and extend experiment 4’s findings across two real-world contexts in which individuals commonly observe disputes and can choose whether or not to intervene in them. The fact that these studies replicated experiment 4’s findings using a different methodology increases our confidence in the robust role that self-interest plays in shaping third parties’ intervention decisions."</t>
  </si>
  <si>
    <t>Holzmeisteretal2024_16</t>
  </si>
  <si>
    <t>the test reported for the o_study in the SM doc and r_osf file doesn't match any of the tests mentioned in the o_study. I copied the closest claim fro the o_study in the claim_text_o but kept the other columns empty because I wasn't sure what should be reported in this case</t>
  </si>
  <si>
    <r>
      <t xml:space="preserve">Guilbeault, D., Becker, J., &amp; Centola, D. (2018). Social learning and partisan bias in the interpretation of climate trends. Proceedings of the National Academy of Sciences, 115(39), 9714–9719. </t>
    </r>
    <r>
      <rPr>
        <rFont val="Arial"/>
        <color rgb="FF1155CC"/>
        <u/>
      </rPr>
      <t>https</t>
    </r>
    <r>
      <rPr>
        <rFont val="Arial"/>
        <color rgb="FF1155CC"/>
        <u/>
      </rPr>
      <t>://doi</t>
    </r>
    <r>
      <rPr>
        <rFont val="Arial"/>
        <color rgb="FF1155CC"/>
        <u/>
      </rPr>
      <t>.org</t>
    </r>
    <r>
      <rPr>
        <rFont val="Arial"/>
        <color rgb="FF1155CC"/>
        <u/>
      </rPr>
      <t>/10</t>
    </r>
    <r>
      <rPr>
        <rFont val="Arial"/>
        <color rgb="FF1155CC"/>
        <u/>
      </rPr>
      <t>/gd4t95</t>
    </r>
  </si>
  <si>
    <r>
      <rPr>
        <rFont val="Calibri, sans-serif"/>
        <color theme="1"/>
        <sz val="12.0"/>
      </rPr>
      <t>10.1073/pnas.1722664115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</si>
  <si>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</si>
  <si>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Guilbeault et al.pdf</t>
  </si>
  <si>
    <t>Replication of Guilbeault et al. 2018</t>
  </si>
  <si>
    <t>scientific communications</t>
  </si>
  <si>
    <t>social networks, collective intelligence, motivated reasoning, polarization, science communication</t>
  </si>
  <si>
    <t>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</si>
  <si>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</si>
  <si>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z = 3.207, N = 24</t>
  </si>
  <si>
    <t>https://osf.io/e37nu</t>
  </si>
  <si>
    <t xml:space="preserve">I could not find the original finding in sufficient detail  as reported in the replicated paper, as you can see from "authors' claims" . Therefore, I have coded the original finding reported by the replication paper, please see copied in here "Partisan priming reduces trend accuracy in networks when predicting climate trends. Trend accuracy is defined as the fraction of participants in a treatment that predicted the correct trend in the data, and the trends are compared in round 3. The authors test this hypothesis in a Mann-Whitney-U test with each network of 40 individuals aggregated into one observation and 12 aggregated observations per treatment (Mann-Whitney-U test, n = 24, z = 3.207, p = 0.0013; p. 9716)." </t>
  </si>
  <si>
    <r>
      <rPr>
        <rFont val="Arial"/>
        <color rgb="FF1155CC"/>
        <u/>
      </rPr>
      <t xml:space="preserve">Guilbeault, D., Becker, J., &amp; Centola, D. (2018). Social learning and partisan bias in the interpretation of climate trends. Proceedings of the National Academy of Sciences, 115(39), 9714–9719.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/gd4t95</t>
    </r>
  </si>
  <si>
    <r>
      <rPr>
        <rFont val="Calibri, sans-serif"/>
        <color theme="1"/>
        <sz val="12.0"/>
      </rPr>
      <t>10.1073/pnas.1722664115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</si>
  <si>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</si>
  <si>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Partisan Priming</t>
  </si>
  <si>
    <t>Social networks, collective intelligence, motivated reasoning, polarization, science communication</t>
  </si>
  <si>
    <t>The effect of partisan priming on reducing trend accuracy in predicting climate trends within networks.</t>
  </si>
  <si>
    <t>"In particular, at round 1, there were no significant differences between liberal control groups and bipartisan networks without partisan cues (n = 24; P = 0.32, Wilcoxon rank sum test); however, by round 3, bipartisan networks without partisan cues showed significantly greater trend accuracy than liberal control groups (by 9.4 percentage points: n = 24; P &lt; 0.01, Wilcoxon rank sum test)."</t>
  </si>
  <si>
    <t>z = 3.207</t>
  </si>
  <si>
    <t>Holzmeisteretal2024_17</t>
  </si>
  <si>
    <t xml:space="preserve">the o_paper included 6 studies but the r_paper only replicated  one claim from study number 4; as mentioned in the r_paper (osf link) and the SM doc the o_paper do not report the statistical results of the replicated claim. the p value is mentioned in the SM of the o_study (p.17) https://www.pnas.org/action/downloadSupplement?doi=10.1073%2Fpnas.1620542114&amp;file=pnas.1620542114.sapp.pdf . the statistical test was only mentioned in the r_study so I didn't report it. also the effect size of the o_study was reported in the SM of the o_study (p.2) but do not match the one reported by the r_study. </t>
  </si>
  <si>
    <r>
      <t xml:space="preserve">Gheorghiu, A. I., Callan, M. J., &amp; Skylark, W. J. (2017). Facial appearance affects science communication. Proceedings of the National Academy of Sciences, 114(23), 5970–5975. </t>
    </r>
    <r>
      <rPr>
        <rFont val="Arial"/>
        <color rgb="FF1155CC"/>
        <u/>
      </rPr>
      <t>https</t>
    </r>
    <r>
      <rPr>
        <rFont val="Arial"/>
        <color rgb="FF1155CC"/>
        <u/>
      </rPr>
      <t>://doi</t>
    </r>
    <r>
      <rPr>
        <rFont val="Arial"/>
        <color rgb="FF1155CC"/>
        <u/>
      </rPr>
      <t>.org</t>
    </r>
    <r>
      <rPr>
        <rFont val="Arial"/>
        <color rgb="FF1155CC"/>
        <u/>
      </rPr>
      <t>/10</t>
    </r>
    <r>
      <rPr>
        <rFont val="Arial"/>
        <color rgb="FF1155CC"/>
        <u/>
      </rPr>
      <t>/b9dr</t>
    </r>
  </si>
  <si>
    <r>
      <rPr>
        <rFont val="Calibri, sans-serif"/>
        <color theme="1"/>
        <sz val="12.0"/>
      </rPr>
      <t>10.1073/pnas.1620542114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</si>
  <si>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</si>
  <si>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Gheorghiu et al.pdf</t>
  </si>
  <si>
    <t>Replication of Gheorghiu et al. 2017</t>
  </si>
  <si>
    <t>First impressions</t>
  </si>
  <si>
    <t>science communication, impression formation, social cognition</t>
  </si>
  <si>
    <t>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</si>
  <si>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</si>
  <si>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https://osf.io/ev794</t>
  </si>
  <si>
    <t>https://osf.io/eknym</t>
  </si>
  <si>
    <t>The test statistic is not in the original paper so I coded the original finding as reported in the replication paper, please see copied in " To evaluate this hypothesis, the authors perform a mixed-effects regression as reported in the Table S16 in the SI appendix (the test statistic and p-value for this result are not reported in the main text). The p-value for this result is p = 0.032. The original study does not report a test statistic corresponding to the treatment effect. Based on the original data and analysis scripts that were kindly shared by the original authors, the corresponding test statistic is t(404) = 2.151 (using Satterthwaite's correction for degrees of freedom)."</t>
  </si>
  <si>
    <r>
      <rPr>
        <rFont val="Arial"/>
        <color rgb="FF1155CC"/>
        <u/>
      </rPr>
      <t xml:space="preserve">Gheorghiu, A. I., Callan, M. J., &amp; Skylark, W. J. (2017). Facial appearance affects science communication. Proceedings of the National Academy of Sciences, 114(23), 5970–5975.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/b9dr</t>
    </r>
  </si>
  <si>
    <r>
      <rPr>
        <rFont val="Calibri, sans-serif"/>
        <color theme="1"/>
        <sz val="12.0"/>
      </rPr>
      <t>10.1073/pnas.1620542114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</si>
  <si>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</si>
  <si>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Competence-based bias in science communication</t>
  </si>
  <si>
    <t>Science communication, impression formation, social cognition</t>
  </si>
  <si>
    <t>The effect being investigated is whether participants are more likely to select articles when they are paired with photographs of researchers perceived as highly competent.</t>
  </si>
  <si>
    <t xml:space="preserve">Please see Table S16 in the SI appendix - link copied in https://www.pnas.org/action/downloadSupplement?doi=10.1073%2Fpnas.1620542114&amp;file=pnas.1620542114.sapp.pdf </t>
  </si>
  <si>
    <t>Appendix</t>
  </si>
  <si>
    <t>t(404) = 2.151</t>
  </si>
  <si>
    <t>Holzmeisteretal2024_18</t>
  </si>
  <si>
    <t>the o_paper included 6 studies but the r_paper only replicated  one claim from study number 3b</t>
  </si>
  <si>
    <r>
      <t xml:space="preserve">Genschow, O., Rigoni, D., &amp; Brass, M. (2017). Belief in free will affects causal attributions when judging others’ behavior. Proceedings of the National Academy of Sciences, 114(38), 10071–10076. </t>
    </r>
    <r>
      <rPr>
        <rFont val="Arial"/>
        <color rgb="FF1155CC"/>
        <u/>
      </rPr>
      <t>https</t>
    </r>
    <r>
      <rPr>
        <rFont val="Arial"/>
        <color rgb="FF1155CC"/>
        <u/>
      </rPr>
      <t>://doi</t>
    </r>
    <r>
      <rPr>
        <rFont val="Arial"/>
        <color rgb="FF1155CC"/>
        <u/>
      </rPr>
      <t>.org</t>
    </r>
    <r>
      <rPr>
        <rFont val="Arial"/>
        <color rgb="FF1155CC"/>
        <u/>
      </rPr>
      <t>/10</t>
    </r>
    <r>
      <rPr>
        <rFont val="Arial"/>
        <color rgb="FF1155CC"/>
        <u/>
      </rPr>
      <t>/gbxsnh</t>
    </r>
  </si>
  <si>
    <r>
      <rPr>
        <rFont val="Calibri, sans-serif"/>
        <color theme="1"/>
        <sz val="12.0"/>
      </rPr>
      <t>10.1073/pnas.1701916114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</si>
  <si>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</si>
  <si>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Genschow et al.pdf</t>
  </si>
  <si>
    <t>Replication of Genschow et al. 2017</t>
  </si>
  <si>
    <t>free-will belief</t>
  </si>
  <si>
    <t>free-will belief, interpersonal perception, correspondence bias</t>
  </si>
  <si>
    <t>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</si>
  <si>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anti–free-will participants showed a smaller correspondence bias (M = 1.02, SD = 1.10) than control participants (M = 1.24, SD = 1.20) (t = 2.10, P = 0.036, d = 0.19)</t>
  </si>
  <si>
    <t>https://aspredicted.org/w82be.pdf</t>
  </si>
  <si>
    <t>https://osf.io/7qnv4</t>
  </si>
  <si>
    <r>
      <rPr>
        <rFont val="Arial"/>
        <color rgb="FF1155CC"/>
        <u/>
      </rPr>
      <t xml:space="preserve">Genschow, O., Rigoni, D., &amp; Brass, M. (2017). Belief in free will affects causal attributions when judging others’ behavior. Proceedings of the National Academy of Sciences, 114(38), 10071–10076.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/gbxsnh</t>
    </r>
  </si>
  <si>
    <r>
      <rPr>
        <rFont val="Calibri, sans-serif"/>
        <color theme="1"/>
        <sz val="12.0"/>
      </rPr>
      <t>10.1073/pnas.1701916114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</si>
  <si>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</si>
  <si>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3b</t>
  </si>
  <si>
    <t>Free will and correspondance bias</t>
  </si>
  <si>
    <t>Free-will belief, interpersonal perception, correspondence bias</t>
  </si>
  <si>
    <t>The effect being investigated is the impact of reducing belief in free will on the correspondence bias.</t>
  </si>
  <si>
    <t>"Crucially, however, the interaction between belief manipulation and attribution was significant [F(1,502) = 4.41, P = 0.036, ηp2 = 0.01]. This indicates that anti–free-will participants showed a smaller correspondence bias (M = 1.02, SD = 1.10) than control participants (M = 1.24, SD = 1.20) (t = 2.10, P = 0.036, d = 0.19) (Fig. 1)."</t>
  </si>
  <si>
    <t>t(502) = 2.10</t>
  </si>
  <si>
    <t>Holzmeisteretal2024_19</t>
  </si>
  <si>
    <t>the o_paper included 2 studies but the r_paper only replicated  one claim from study number 2; the results of the claim from the o_study come from table 2 page 3</t>
  </si>
  <si>
    <r>
      <t xml:space="preserve">Côté, S., House, J., &amp; Willer, R. (2015). High economic inequality leads higher-income individuals to be less generous. Proceedings of the National Academy of Sciences, 112(52), 15838–15843. </t>
    </r>
    <r>
      <rPr>
        <rFont val="Arial"/>
        <color rgb="FF1155CC"/>
        <u/>
      </rPr>
      <t>https</t>
    </r>
    <r>
      <rPr>
        <rFont val="Arial"/>
        <color rgb="FF1155CC"/>
        <u/>
      </rPr>
      <t>://doi</t>
    </r>
    <r>
      <rPr>
        <rFont val="Arial"/>
        <color rgb="FF1155CC"/>
        <u/>
      </rPr>
      <t>.org</t>
    </r>
    <r>
      <rPr>
        <rFont val="Arial"/>
        <color rgb="FF1155CC"/>
        <u/>
      </rPr>
      <t>/10</t>
    </r>
    <r>
      <rPr>
        <rFont val="Arial"/>
        <color rgb="FF1155CC"/>
        <u/>
      </rPr>
      <t>/gfzkq8</t>
    </r>
  </si>
  <si>
    <r>
      <rPr>
        <rFont val="Calibri, sans-serif"/>
        <color theme="1"/>
        <sz val="12.0"/>
      </rPr>
      <t>10.1073/pnas.1511536112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</si>
  <si>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</si>
  <si>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 xml:space="preserve">Replication of Cote et al..pdf
</t>
  </si>
  <si>
    <t>Replication of Côte et al., 2015</t>
  </si>
  <si>
    <t>economic inequality</t>
  </si>
  <si>
    <t>inequality, income, generosity</t>
  </si>
  <si>
    <t>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</si>
  <si>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</si>
  <si>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t = –2.15</t>
  </si>
  <si>
    <t>https://osf.io/tg2xb</t>
  </si>
  <si>
    <t>Please note this from the replication "High economic inequality (as compared to low economic inequality) reduces the generosity of high-income individuals (as compared to low-income individuals). The above hypothesis is tested using an OLS regression, interacting the high inequality treatment with a dummy for high-income participants. Specifically, we replicate the result on the interaction coefficient of Model 1 in Table 2 (b = −0.08, se = 0.04, t-value = −2.15); p. 15840."</t>
  </si>
  <si>
    <r>
      <rPr>
        <rFont val="Arial"/>
        <color rgb="FF1155CC"/>
        <u/>
      </rPr>
      <t xml:space="preserve">Côté, S., House, J., &amp; Willer, R. (2015). High economic inequality leads higher-income individuals to be less generous. Proceedings of the National Academy of Sciences, 112(52), 15838–15843.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/gfzkq8</t>
    </r>
  </si>
  <si>
    <r>
      <rPr>
        <rFont val="Calibri, sans-serif"/>
        <color theme="1"/>
        <sz val="12.0"/>
      </rPr>
      <t>10.1073/pnas.1511536112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</si>
  <si>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</si>
  <si>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Inequality-driven generosity gap</t>
  </si>
  <si>
    <t>Inequality, income, generosity</t>
  </si>
  <si>
    <t>The effect being investigated is whether high economic inequality reduces the generosity of high-income individuals compared to low-income individuals.</t>
  </si>
  <si>
    <t>Table 2</t>
  </si>
  <si>
    <t>t = -2.15</t>
  </si>
  <si>
    <t>Holzmeisteretal2024_2</t>
  </si>
  <si>
    <r>
      <rPr>
        <rFont val="Calibri"/>
        <sz val="11.0"/>
      </rPr>
      <t xml:space="preserve">the o_paper included 3 studies but the r_paper only replicated one claim from study number 2b; sample size in the o_study was induced from the statistical test; I calculated the effect size of the o_claim using the ES calculations sheet based on the informations I had but the effect size reported in the r_table for the o_study was a bit diffrent (1.746); there is also a pdf containing more information and data about the original study (I didn't use it but thoought I could add it here) </t>
    </r>
    <r>
      <rPr>
        <rFont val="Calibri"/>
        <color rgb="FF1155CC"/>
        <sz val="11.0"/>
        <u/>
      </rPr>
      <t>https://www.pnas.org/action/downloadSupplementdoi=10.1073%2Fpnas.1508932113&amp;file=pnas.201508932SI.pdf</t>
    </r>
    <r>
      <rPr>
        <rFont val="Calibri"/>
        <sz val="11.0"/>
      </rPr>
      <t xml:space="preserve"> </t>
    </r>
  </si>
  <si>
    <r>
      <t xml:space="preserve">Vacharkulksemsuk, T., Reit, E., Khambatta, P., Eastwick, P. W., Finkel, E. J., &amp; Carney, D. R. (2016). Dominant, open nonverbal displays are attractive at zero-acquaintance. Proceedings of the National Academy of Sciences, 113(15), 4009–4014. </t>
    </r>
    <r>
      <rPr>
        <rFont val="Arial"/>
        <color rgb="FF1155CC"/>
        <u/>
      </rPr>
      <t>https</t>
    </r>
    <r>
      <rPr>
        <rFont val="Arial"/>
        <color rgb="FF1155CC"/>
        <u/>
      </rPr>
      <t>://doi</t>
    </r>
    <r>
      <rPr>
        <rFont val="Arial"/>
        <color rgb="FF1155CC"/>
        <u/>
      </rPr>
      <t>.org</t>
    </r>
    <r>
      <rPr>
        <rFont val="Arial"/>
        <color rgb="FF1155CC"/>
        <u/>
      </rPr>
      <t>/10</t>
    </r>
    <r>
      <rPr>
        <rFont val="Arial"/>
        <color rgb="FF1155CC"/>
        <u/>
      </rPr>
      <t>/f8hms6</t>
    </r>
  </si>
  <si>
    <r>
      <rPr>
        <rFont val="Calibri, sans-serif"/>
        <color theme="1"/>
        <sz val="12.0"/>
      </rPr>
      <t>10.1073/pnas.1508932113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</si>
  <si>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</si>
  <si>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Vacharkulksemsuk et al.pdf</t>
  </si>
  <si>
    <t>Replication of Vacharkulksemsuk et al., 2016</t>
  </si>
  <si>
    <t>romantic attraction,</t>
  </si>
  <si>
    <t>attraction, postural expansiveness, mate selection, nonverbal behavior, romantic relationships</t>
  </si>
  <si>
    <t>Dominant, open nonverbal displays are attractive at zero-acquaintance</t>
  </si>
  <si>
    <t>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</si>
  <si>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https://osf.io/nuw8e</t>
  </si>
  <si>
    <r>
      <rPr>
        <rFont val="Arial"/>
        <color rgb="FF1155CC"/>
        <u/>
      </rPr>
      <t xml:space="preserve">Vacharkulksemsuk, T., Reit, E., Khambatta, P., Eastwick, P. W., Finkel, E. J., &amp; Carney, D. R. (2016). Dominant, open nonverbal displays are attractive at zero-acquaintance. Proceedings of the National Academy of Sciences, 113(15), 4009–4014.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/f8hms6</t>
    </r>
  </si>
  <si>
    <r>
      <rPr>
        <rFont val="Calibri, sans-serif"/>
        <color theme="1"/>
        <sz val="12.0"/>
      </rPr>
      <t>10.1073/pnas.1508932113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</si>
  <si>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</si>
  <si>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Dominance of open non-verbal displays</t>
  </si>
  <si>
    <t>Attraction, postural expansiveness, mate selection, nonverbal behavior, romantic relationships</t>
  </si>
  <si>
    <t>Postural expansiveness is associated with increased romantic dominance</t>
  </si>
  <si>
    <t>"Overall (across photographs of men and women), the expansive photographs were rated as more dominant (mean = 3.78, SD = 0.63) than the contractive photographs (mean = 2.44, SD = 0.88), [t(424) = 18.02, P &lt; 0.0001, 95% CI (1.19, 1.48)]."</t>
  </si>
  <si>
    <t>t(424) = 18.02</t>
  </si>
  <si>
    <t>Holzmeisteretal2024_20</t>
  </si>
  <si>
    <r>
      <rPr>
        <rFont val="Calibri"/>
        <sz val="11.0"/>
      </rPr>
      <t xml:space="preserve">the o_paper included 6 studies but the r_paper only replicated  one claim from study number 5; the results of the o_claim were reported from the SI appendix p.4 </t>
    </r>
    <r>
      <rPr>
        <rFont val="Calibri"/>
        <color rgb="FF1155CC"/>
        <sz val="11.0"/>
        <u/>
      </rPr>
      <t>https://www.pnas.org/action/downloadSupplement?doi=10.1073%2Fpnas.1606574113&amp;file=pnas.1606574113.sapp.pdf</t>
    </r>
    <r>
      <rPr>
        <rFont val="Calibri"/>
        <sz val="11.0"/>
      </rPr>
      <t xml:space="preserve"> however they do not match the o_claim reported by the r_study (SM doc or osf link) </t>
    </r>
  </si>
  <si>
    <r>
      <t xml:space="preserve">Cooney, G., Gilbert, D. T., &amp; Wilson, T. D. (2016). When fairness matters less than we expect. Proceedings of the National Academy of Sciences, 113(40), 11168–11171. </t>
    </r>
    <r>
      <rPr>
        <rFont val="Arial"/>
        <color rgb="FF1155CC"/>
        <u/>
      </rPr>
      <t>https</t>
    </r>
    <r>
      <rPr>
        <rFont val="Arial"/>
        <color rgb="FF1155CC"/>
        <u/>
      </rPr>
      <t>://doi</t>
    </r>
    <r>
      <rPr>
        <rFont val="Arial"/>
        <color rgb="FF1155CC"/>
        <u/>
      </rPr>
      <t>.org</t>
    </r>
    <r>
      <rPr>
        <rFont val="Arial"/>
        <color rgb="FF1155CC"/>
        <u/>
      </rPr>
      <t>/10</t>
    </r>
    <r>
      <rPr>
        <rFont val="Arial"/>
        <color rgb="FF1155CC"/>
        <u/>
      </rPr>
      <t>/f8646f</t>
    </r>
  </si>
  <si>
    <r>
      <rPr>
        <rFont val="Calibri, sans-serif"/>
        <color rgb="FF1155CC"/>
        <sz val="12.0"/>
        <u/>
      </rPr>
      <t>10.1073/pnas.1606574113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</si>
  <si>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</si>
  <si>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Cooney et al..pdf</t>
  </si>
  <si>
    <t>Replication ofCooneyet al2016</t>
  </si>
  <si>
    <t>fairness</t>
  </si>
  <si>
    <t>fairness, affective forecasting, decision-making</t>
  </si>
  <si>
    <t>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</si>
  <si>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</si>
  <si>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p.4 SI</t>
  </si>
  <si>
    <t>https://osf.io/8z2tm</t>
  </si>
  <si>
    <t xml:space="preserve">Please note that, for the original study, I coded based on the original finding reported in the replication as the original statistics are found in the Supplementary Information linked in the original paper which does not load up. Please see copied in "To evaluate this hypothesis, the authors perform an F-test on the Outcome x Procedure interaction (F(1,119) = 54.23, p &lt; 0.001, η²p = 0.313); p. 4 in SI." </t>
  </si>
  <si>
    <r>
      <rPr>
        <rFont val="Arial"/>
        <color rgb="FF1155CC"/>
        <u/>
      </rPr>
      <t xml:space="preserve">Cooney, G., Gilbert, D. T., &amp; Wilson, T. D. (2016). When fairness matters less than we expect. Proceedings of the National Academy of Sciences, 113(40), 11168–11171.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/f8646f</t>
    </r>
  </si>
  <si>
    <r>
      <rPr>
        <rFont val="Calibri, sans-serif"/>
        <color rgb="FF1155CC"/>
        <sz val="12.0"/>
        <u/>
      </rPr>
      <t>10.1073/pnas.1606574113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</si>
  <si>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</si>
  <si>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Affective forecasting error</t>
  </si>
  <si>
    <t>Fairness, affective forecasting, decision-making.</t>
  </si>
  <si>
    <t>The effect being investigated is whether participants predict that they would feel less bad about not receiving the bonus under a fair procedure compared to an unfair procedure</t>
  </si>
  <si>
    <t>Supplementary Information, however link for it found in original paper not working</t>
  </si>
  <si>
    <t>F(1,119) = 54.23</t>
  </si>
  <si>
    <t>Holzmeisteretal2024_21</t>
  </si>
  <si>
    <t>the o_paper included 3 studies but the r_paper only replicated  one claim from study number 2; the test of the o_study was not reported in the o_paper but directly communicated to the author's r_paper so I only reported the information mentioned in the o_paper; I calculated the effect size of the o_claim using the ES calculations sheet based on the informations I had but the effect size reported in the r_table for the o_study was a bit diffrent (0.320)</t>
  </si>
  <si>
    <r>
      <t xml:space="preserve">Cheon, B. K., &amp; Hong, Y.-Y. (2017). Mere experience of low subjective socioeconomic status stimulates appetite and food intake. Proceedings of the National Academy of Sciences, 114(1), 72–77. </t>
    </r>
    <r>
      <rPr>
        <rFont val="Arial"/>
        <color rgb="FF1155CC"/>
        <u/>
      </rPr>
      <t>https</t>
    </r>
    <r>
      <rPr>
        <rFont val="Arial"/>
        <color rgb="FF1155CC"/>
        <u/>
      </rPr>
      <t>://doi</t>
    </r>
    <r>
      <rPr>
        <rFont val="Arial"/>
        <color rgb="FF1155CC"/>
        <u/>
      </rPr>
      <t>.org</t>
    </r>
    <r>
      <rPr>
        <rFont val="Arial"/>
        <color rgb="FF1155CC"/>
        <u/>
      </rPr>
      <t>/10</t>
    </r>
    <r>
      <rPr>
        <rFont val="Arial"/>
        <color rgb="FF1155CC"/>
        <u/>
      </rPr>
      <t>/f9h49k</t>
    </r>
  </si>
  <si>
    <r>
      <rPr>
        <rFont val="Calibri, sans-serif"/>
        <color theme="1"/>
        <sz val="12.0"/>
      </rPr>
      <t>10.1073/pnas.1607330114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</si>
  <si>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</si>
  <si>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Cheon and Hong.pdf</t>
  </si>
  <si>
    <t>Replication of Cheon and Hong,2017</t>
  </si>
  <si>
    <t>eating behavior</t>
  </si>
  <si>
    <t>subjective socioeconomic status, social class, appetite, eating behavior, food preferences</t>
  </si>
  <si>
    <t>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</si>
  <si>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</si>
  <si>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https://osf.io/j7syt</t>
  </si>
  <si>
    <t>I was not able to source the orignal finding from the original paper as this information was provided directly by the authors, so I got it from the replication paper, please see copied in "The paper only reports a 2 (SSES: low or high) × 2 (gender) ANOVA, with a significant main effect for SSES, F(1, 79) = 4.92, p = 0.03, p. 74. As the replication focuses only on the effect of the subjective socioeconomic status manipulation, and not on the effect of gender or the interaction between gender and SSES, the authors provided the result of a direct comparison of implicit preferences for calorie-dense foods over fruits/vegetables between the two SSES conditions (n1 = 87, n2 = 80) based on an independent-samples t-test: t(165) = 2.07, p = 0.04."</t>
  </si>
  <si>
    <r>
      <rPr>
        <rFont val="Arial"/>
        <color rgb="FF1155CC"/>
        <u/>
      </rPr>
      <t xml:space="preserve">Cheon, B. K., &amp; Hong, Y.-Y. (2017). Mere experience of low subjective socioeconomic status stimulates appetite and food intake. Proceedings of the National Academy of Sciences, 114(1), 72–77.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/f9h49k</t>
    </r>
  </si>
  <si>
    <r>
      <rPr>
        <rFont val="Calibri, sans-serif"/>
        <color theme="1"/>
        <sz val="12.0"/>
      </rPr>
      <t>10.1073/pnas.1607330114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</si>
  <si>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</si>
  <si>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The influence of subjective socioeconomic status (SSES) on implicit food preferences</t>
  </si>
  <si>
    <t>Subjective socioeconomic status, social class, appetite, eating behavior, food preferences</t>
  </si>
  <si>
    <t>The effect being investigated is whether participants in the low SSES condition exhibit stronger implicit preferences for calorie-dense foods compared to fruits/vegetables relative to those in the high SSES condition.</t>
  </si>
  <si>
    <t>"Study 3 examined whether the experience of low SSES stimulates actual food intake from snacks during a fixed time interval. Eighty-three nondieting participants (41 female, age M = 20.29, SD = 1.38) completed the SSES manipulation from studies 1 and 2, then viewed a short documentary video while freely eating three snacks: potato chips, M&amp;M candies, and California raisins, from separate bowls. A 2 (SSES: low or high) × 2 (gender) ANOVA revealed only a significant main effect of SSES on caloric intake, F(1, 79) = 4.92, p = 0.03, η²p = 0.06, but no significant main effects of gender or interaction between gender and SSES condition. Participants in the low SSES condition (n = 47) consumed significantly greater calories (M = 88.24, SD = 75.32) compared with those in the high SSES condition (n = 36) (M = 53.62, SD = 63.66)."</t>
  </si>
  <si>
    <t>t(165) = 2.07</t>
  </si>
  <si>
    <t>Holzmeisteretal2024_22</t>
  </si>
  <si>
    <t>the o_paper included 2 studies but the r_paper only replicated  one claim from study number 2; only p was reported in the o_study</t>
  </si>
  <si>
    <r>
      <t xml:space="preserve">Chao, M. (2017). Demotivating incentives and motivation crowding out in charitable giving. Proceedings of the National Academy of Sciences, 114(28), 7301–7306. </t>
    </r>
    <r>
      <rPr>
        <rFont val="Arial"/>
        <color rgb="FF1155CC"/>
        <u/>
      </rPr>
      <t>https</t>
    </r>
    <r>
      <rPr>
        <rFont val="Arial"/>
        <color rgb="FF1155CC"/>
        <u/>
      </rPr>
      <t>://doi</t>
    </r>
    <r>
      <rPr>
        <rFont val="Arial"/>
        <color rgb="FF1155CC"/>
        <u/>
      </rPr>
      <t>.org</t>
    </r>
    <r>
      <rPr>
        <rFont val="Arial"/>
        <color rgb="FF1155CC"/>
        <u/>
      </rPr>
      <t>/10</t>
    </r>
    <r>
      <rPr>
        <rFont val="Arial"/>
        <color rgb="FF1155CC"/>
        <u/>
      </rPr>
      <t>/gbnk55</t>
    </r>
  </si>
  <si>
    <r>
      <rPr>
        <rFont val="Calibri, sans-serif"/>
        <color theme="1"/>
        <sz val="12.0"/>
      </rPr>
      <t>10.1073/pnas.1616921114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</si>
  <si>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</si>
  <si>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Chao.pdf</t>
  </si>
  <si>
    <t>Replication of Chao201</t>
  </si>
  <si>
    <t>charitable giving</t>
  </si>
  <si>
    <t>motivation crowding out, charitable giving, multiattribute choice, attention, saliency</t>
  </si>
  <si>
    <t>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</si>
  <si>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</si>
  <si>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https://osf.io/e6pq5</t>
  </si>
  <si>
    <t>I could not find the reported original effect size in the original paper, please see the insufficient detail in what I coded in 'authors claims' so instead I coded the effect size that the replication paper reported in table 3 of the supplementary materials for Holzmeister.</t>
  </si>
  <si>
    <r>
      <rPr>
        <rFont val="Arial"/>
        <color rgb="FF1155CC"/>
        <u/>
      </rPr>
      <t xml:space="preserve">Chao, M. (2017). Demotivating incentives and motivation crowding out in charitable giving. Proceedings of the National Academy of Sciences, 114(28), 7301–7306.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/gbnk55</t>
    </r>
  </si>
  <si>
    <r>
      <rPr>
        <rFont val="Calibri, sans-serif"/>
        <color theme="1"/>
        <sz val="12.0"/>
      </rPr>
      <t>10.1073/pnas.1616921114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</si>
  <si>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</si>
  <si>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Motivation crowding out</t>
  </si>
  <si>
    <t>Motivation crowding out, charitable giving, multiattribute choice, attention, saliency</t>
  </si>
  <si>
    <t>The effect examines how the visibility of a gift card (extrinsic incentive) shifts attention away from intrinsic motivation (e.g., altruism) and leads to reduced donation rates</t>
  </si>
  <si>
    <t>"Only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 This is as predicted by the attention-based mechanism."</t>
  </si>
  <si>
    <t>Holzmeisteretal2024_23</t>
  </si>
  <si>
    <r>
      <rPr>
        <rFont val="Calibri"/>
        <sz val="11.0"/>
      </rPr>
      <t xml:space="preserve">the o_paper included 6 studies but the r_paper only replicated  one claim from study number 4; the results of the o_claim were reported from the SI appendix p.12 </t>
    </r>
    <r>
      <rPr>
        <rFont val="Calibri"/>
        <color rgb="FF1155CC"/>
        <sz val="11.0"/>
        <u/>
      </rPr>
      <t>https://ftp.ebi.ac.uk/biostudies/nfs/S-EPMC/472/S-EPMC6275472/Files/pnas.1717092115.sapp.pdf</t>
    </r>
    <r>
      <rPr>
        <rFont val="Calibri"/>
        <sz val="11.0"/>
      </rPr>
      <t>; the sample size of the o_study is diffrent when reported by the o_study (370) and the SM doc or the osf link of the r_study (260)</t>
    </r>
  </si>
  <si>
    <r>
      <t xml:space="preserve">Boswell, R. G., Sun, W., Suzuki, S., &amp; Kober, H. (2018). Training in cognitive strategies reduces eating and improves food choice. Proceedings of the National Academy of Sciences, 115(48), E11238–E11247. </t>
    </r>
    <r>
      <rPr>
        <rFont val="Arial"/>
        <color rgb="FF1155CC"/>
        <u/>
      </rPr>
      <t>https</t>
    </r>
    <r>
      <rPr>
        <rFont val="Arial"/>
        <color rgb="FF1155CC"/>
        <u/>
      </rPr>
      <t>://doi</t>
    </r>
    <r>
      <rPr>
        <rFont val="Arial"/>
        <color rgb="FF1155CC"/>
        <u/>
      </rPr>
      <t>.org</t>
    </r>
    <r>
      <rPr>
        <rFont val="Arial"/>
        <color rgb="FF1155CC"/>
        <u/>
      </rPr>
      <t>/10</t>
    </r>
    <r>
      <rPr>
        <rFont val="Arial"/>
        <color rgb="FF1155CC"/>
        <u/>
      </rPr>
      <t>/gfqzv6</t>
    </r>
  </si>
  <si>
    <r>
      <rPr>
        <rFont val="Calibri, sans-serif"/>
        <color theme="1"/>
        <sz val="12.0"/>
      </rPr>
      <t>10.1073/pnas.1717092115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</si>
  <si>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</si>
  <si>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 xml:space="preserve">Replication of Boswell et al.pdf
</t>
  </si>
  <si>
    <t>Replication ofBoswell et al2018</t>
  </si>
  <si>
    <t>craving</t>
  </si>
  <si>
    <t>cognitive strategies, craving, food, obesity, self control</t>
  </si>
  <si>
    <t>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</si>
  <si>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both ROC-T conditions significantly increased healthy food choices and were signifi-cantly different from CONTROL</t>
  </si>
  <si>
    <t xml:space="preserve"> t(173.36) = 5.37</t>
  </si>
  <si>
    <t>p.12 SI</t>
  </si>
  <si>
    <t>https://osf.io/qfhe4/</t>
  </si>
  <si>
    <t>https://osf.io/gq2fr</t>
  </si>
  <si>
    <r>
      <rPr>
        <rFont val="Arial"/>
        <color rgb="FF1155CC"/>
        <u/>
      </rPr>
      <t xml:space="preserve">Boswell, R. G., Sun, W., Suzuki, S., &amp; Kober, H. (2018). Training in cognitive strategies reduces eating and improves food choice. Proceedings of the National Academy of Sciences, 115(48), E11238–E11247.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/gfqzv6</t>
    </r>
  </si>
  <si>
    <r>
      <rPr>
        <rFont val="Calibri, sans-serif"/>
        <color theme="1"/>
        <sz val="12.0"/>
      </rPr>
      <t>10.1073/pnas.1717092115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</si>
  <si>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</si>
  <si>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Cognitive regulation of craving</t>
  </si>
  <si>
    <t>Cognitive strategies, craving, food, obesity, self-control</t>
  </si>
  <si>
    <t>The effect evaluates whether the ROC-T training leads to an increase in healthy food choices despite the availability of unhealthy tempting options</t>
  </si>
  <si>
    <t>"The training conditions did not significantly differ (p = .28), but were each different than CONTROL (POSITIVE vs. CONTROL: t(193.22) = 4.43, p &lt; .001; NEGATIVE vs. CONTROL: t(173.36) = 5.37, p &lt; .001).</t>
  </si>
  <si>
    <t>Supplementary Appendix, p12, linked here: https://www.pnas.org/doi/suppl/10.1073/pnas.1717092115</t>
  </si>
  <si>
    <t>t(173.36) = 5.37</t>
  </si>
  <si>
    <t>Holzmeisteretal2024_24</t>
  </si>
  <si>
    <r>
      <rPr>
        <rFont val="Calibri"/>
        <sz val="11.0"/>
      </rPr>
      <t xml:space="preserve">the o_paper included 8 studies but the r_paper only replicated  one claim from study number 3; o_sample size was reported from the SI appendix </t>
    </r>
    <r>
      <rPr>
        <rFont val="Calibri"/>
        <color rgb="FF1155CC"/>
        <sz val="11.0"/>
        <u/>
      </rPr>
      <t>https://www.pnas.org/doi/suppl/10.1073/pnas.1610834113</t>
    </r>
    <r>
      <rPr>
        <rFont val="Calibri"/>
        <sz val="11.0"/>
      </rPr>
      <t xml:space="preserve"> </t>
    </r>
  </si>
  <si>
    <r>
      <t xml:space="preserve">Baldwin, M., &amp; Lammers, J. (2016). Past-focused environmental comparisons promote proenvironmental outcomes for conservatives. Proceedings of the National Academy of Sciences, 113(52), 14953–14957. </t>
    </r>
    <r>
      <rPr>
        <rFont val="Arial"/>
        <color rgb="FF1155CC"/>
        <u/>
      </rPr>
      <t>https</t>
    </r>
    <r>
      <rPr>
        <rFont val="Arial"/>
        <color rgb="FF1155CC"/>
        <u/>
      </rPr>
      <t>://doi</t>
    </r>
    <r>
      <rPr>
        <rFont val="Arial"/>
        <color rgb="FF1155CC"/>
        <u/>
      </rPr>
      <t>.org</t>
    </r>
    <r>
      <rPr>
        <rFont val="Arial"/>
        <color rgb="FF1155CC"/>
        <u/>
      </rPr>
      <t>/10</t>
    </r>
    <r>
      <rPr>
        <rFont val="Arial"/>
        <color rgb="FF1155CC"/>
        <u/>
      </rPr>
      <t>/f9hmdp</t>
    </r>
  </si>
  <si>
    <r>
      <rPr>
        <rFont val="Calibri, sans-serif"/>
        <color theme="1"/>
        <sz val="12.0"/>
      </rPr>
      <t>10.1073/pnas.1610834113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</si>
  <si>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</si>
  <si>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Baldwin and Lammers.pdf</t>
  </si>
  <si>
    <t>Replication of Baldwin and Lammers,2016</t>
  </si>
  <si>
    <t>climate change</t>
  </si>
  <si>
    <t>climate change, temporal comparison, political ideology, attitudes, framing</t>
  </si>
  <si>
    <t>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</si>
  <si>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As expected, conservatives expressed less favorable attitudes in the future-focused comparison...but this association was greatly attenuated in the past-focused comparison...interaction b = 0.008, P = 0.03)</t>
  </si>
  <si>
    <t>https://osf.io/cyg6v</t>
  </si>
  <si>
    <r>
      <rPr>
        <rFont val="Arial"/>
        <color rgb="FF1155CC"/>
        <u/>
      </rPr>
      <t xml:space="preserve">Baldwin, M., &amp; Lammers, J. (2016). Past-focused environmental comparisons promote proenvironmental outcomes for conservatives. Proceedings of the National Academy of Sciences, 113(52), 14953–14957.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/f9hmdp</t>
    </r>
  </si>
  <si>
    <r>
      <rPr>
        <rFont val="Calibri, sans-serif"/>
        <color theme="1"/>
        <sz val="12.0"/>
      </rPr>
      <t>10.1073/pnas.1610834113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</si>
  <si>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</si>
  <si>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Temporal framing on pro-environmental behavior</t>
  </si>
  <si>
    <t>Climate change, temporal comparison, political ideology, attitudes, framing</t>
  </si>
  <si>
    <t>The effect examines how presenting climate change appeals as past-focused comparisons (rather than future-focused) can increase pro-environmental attitudes and behaviors among conservatives</t>
  </si>
  <si>
    <t>"As expected, conservatives expressed less favorable attitudes in the future-focused comparison (b = −0.015, P &lt; 0.0001), but this association was greatly attenuated in the past-focused comparison (b = −0.007, P = 0.011; interaction b = 0.008, P = 0.03). Importantly, these results remained significant when controlling for feelings of uncertainty and personal need for closure (e.g., intolerance of ambiguity) measured after the manipulation."</t>
  </si>
  <si>
    <t>Holzmeisteretal2024_25</t>
  </si>
  <si>
    <t>the o_paper included 8 studies but the r_paper only replicated  one claim from study number 8</t>
  </si>
  <si>
    <r>
      <t xml:space="preserve">Atir, S., &amp; Ferguson, M. J. (2018). How gender determines the way we speak about professionals. Proceedings of the National Academy of Sciences, 115(28), 7278–7283. </t>
    </r>
    <r>
      <rPr>
        <rFont val="Arial"/>
        <color rgb="FF1155CC"/>
        <u/>
      </rPr>
      <t>https</t>
    </r>
    <r>
      <rPr>
        <rFont val="Arial"/>
        <color rgb="FF1155CC"/>
        <u/>
      </rPr>
      <t>://doi</t>
    </r>
    <r>
      <rPr>
        <rFont val="Arial"/>
        <color rgb="FF1155CC"/>
        <u/>
      </rPr>
      <t>.org</t>
    </r>
    <r>
      <rPr>
        <rFont val="Arial"/>
        <color rgb="FF1155CC"/>
        <u/>
      </rPr>
      <t>/10</t>
    </r>
    <r>
      <rPr>
        <rFont val="Arial"/>
        <color rgb="FF1155CC"/>
        <u/>
      </rPr>
      <t>/crgh</t>
    </r>
  </si>
  <si>
    <r>
      <rPr>
        <rFont val="Calibri, sans-serif"/>
        <color theme="1"/>
        <sz val="12.0"/>
      </rPr>
      <t>10.1073/pnas.1805284115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</si>
  <si>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</si>
  <si>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Atir and Ferguson.pdf</t>
  </si>
  <si>
    <t>Replication of Atir and Ferguson, 2018</t>
  </si>
  <si>
    <t>gender bias</t>
  </si>
  <si>
    <t>gender, gender bias, reference, judgment, evaluation</t>
  </si>
  <si>
    <t>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</si>
  <si>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</si>
  <si>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F(1,551) = 4.61</t>
  </si>
  <si>
    <t>https://aspredicted.org/ij46t.pdf</t>
  </si>
  <si>
    <t>https://osf.io/kpvwg</t>
  </si>
  <si>
    <r>
      <rPr>
        <rFont val="Arial"/>
        <color rgb="FF1155CC"/>
        <u/>
      </rPr>
      <t xml:space="preserve">Atir, S., &amp; Ferguson, M. J. (2018). How gender determines the way we speak about professionals. Proceedings of the National Academy of Sciences, 115(28), 7278–7283.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/crgh</t>
    </r>
  </si>
  <si>
    <r>
      <rPr>
        <rFont val="Calibri, sans-serif"/>
        <color theme="1"/>
        <sz val="12.0"/>
      </rPr>
      <t>10.1073/pnas.1805284115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</si>
  <si>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</si>
  <si>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Gender bias in professional recognition</t>
  </si>
  <si>
    <t>Gender, gender bias, reference, judgment, evaluation</t>
  </si>
  <si>
    <t>The effect being investigated here is the influence of gender bias in how professionals are referred to (surname vs. full name) on perceptions of status, eminence, and allocation of resources or rewards (e.g., award money)</t>
  </si>
  <si>
    <t>"Researchers referred to by surname were also allocated a larger share of the award money by 6%: F(1,551) = 4.61, P = 0.032 (Fig. 3)."</t>
  </si>
  <si>
    <t>Holzmeisteretal2024_26</t>
  </si>
  <si>
    <t>the o_paper included 2 studies but the r_paper only replicated  one claim from study number 1; o_sample size was not reported in o_paper</t>
  </si>
  <si>
    <r>
      <t xml:space="preserve">Ames, D. L., &amp; Fiske, S. T. (2015). Perceived intent motivates people to magnify observed harms. Proceedings of the National Academy of Sciences, 112(12), 3599–3605. </t>
    </r>
    <r>
      <rPr>
        <rFont val="Arial"/>
        <color rgb="FF1155CC"/>
        <u/>
      </rPr>
      <t>https</t>
    </r>
    <r>
      <rPr>
        <rFont val="Arial"/>
        <color rgb="FF1155CC"/>
        <u/>
      </rPr>
      <t>://doi</t>
    </r>
    <r>
      <rPr>
        <rFont val="Arial"/>
        <color rgb="FF1155CC"/>
        <u/>
      </rPr>
      <t>.org</t>
    </r>
    <r>
      <rPr>
        <rFont val="Arial"/>
        <color rgb="FF1155CC"/>
        <u/>
      </rPr>
      <t>/10</t>
    </r>
    <r>
      <rPr>
        <rFont val="Arial"/>
        <color rgb="FF1155CC"/>
        <u/>
      </rPr>
      <t>/gsv6xm</t>
    </r>
  </si>
  <si>
    <r>
      <rPr>
        <rFont val="Calibri, sans-serif"/>
        <color theme="1"/>
        <sz val="12.0"/>
      </rPr>
      <t>10.1073/pnas.1501592112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</si>
  <si>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</si>
  <si>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Ames and Fiske.pdf</t>
  </si>
  <si>
    <t>Replication of AmesandFiske,2015</t>
  </si>
  <si>
    <t>morality</t>
  </si>
  <si>
    <t>intent, motivation, harm, blame, morality</t>
  </si>
  <si>
    <t>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</si>
  <si>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However, in the intentional harm condition—that is, when the vignette was identical except that the medi-cations were switched intentionally—selection of the “blame” task more than doubled, χ2(1) = 6.7, P = 0.009. Although other tasks could have been similarly (or inversely) affected, the blame task proved to be uniquely sensitive to the intentionality ma-nipulation</t>
  </si>
  <si>
    <t>χ2(1) = 6.7</t>
  </si>
  <si>
    <t>https://osf.io/4aqu7</t>
  </si>
  <si>
    <r>
      <rPr>
        <rFont val="Arial"/>
        <color rgb="FF1155CC"/>
        <u/>
      </rPr>
      <t xml:space="preserve">Ames, D. L., &amp; Fiske, S. T. (2015). Perceived intent motivates people to magnify observed harms. Proceedings of the National Academy of Sciences, 112(12), 3599–3605.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/gsv6xm</t>
    </r>
  </si>
  <si>
    <r>
      <rPr>
        <rFont val="Calibri, sans-serif"/>
        <color theme="1"/>
        <sz val="12.0"/>
      </rPr>
      <t>10.1073/pnas.1501592112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</si>
  <si>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</si>
  <si>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Intentionality bias, harm magnification</t>
  </si>
  <si>
    <t>Intent, motivation, harm, blame, morality</t>
  </si>
  <si>
    <t>The effect examines whether participants who read about an intentional act (mixing up medications intentionally) are more likely to choose a task involving blame compared to those who read about an unintentional act (mixing up medications unintentionally)</t>
  </si>
  <si>
    <t>"However, in the intentional harm condition—that is, when the vignette was identical except that the medications were switched intentionally—selection of the "blame" task more than doubled, χ2(1) = 6.7, P = 0.009."</t>
  </si>
  <si>
    <t>(𝜒²(1) = 6.7</t>
  </si>
  <si>
    <t>Holzmeisteretal2024_3</t>
  </si>
  <si>
    <t>the o_paper included 7 studies but the r_paper only replicated one claim from study number 7; for the r_study I did report d for effect size as mentioned in both the SM table and the paper (osf link) but the paper also report b=0.028 so I am adding it here in case you want a more direct comparison with the effect size of the o_study.</t>
  </si>
  <si>
    <r>
      <t xml:space="preserve">Stern, C., West, T. V., &amp; Rule, N. O. (2015). Conservatives negatively evaluate counterstereotypical people to maintain a sense of certainty. Proceedings of the National Academy of Sciences, 112(50), 15337–15342. </t>
    </r>
    <r>
      <rPr>
        <rFont val="Arial"/>
        <color rgb="FF1155CC"/>
        <u/>
      </rPr>
      <t>https</t>
    </r>
    <r>
      <rPr>
        <rFont val="Arial"/>
        <color rgb="FF1155CC"/>
        <u/>
      </rPr>
      <t>://doi</t>
    </r>
    <r>
      <rPr>
        <rFont val="Arial"/>
        <color rgb="FF1155CC"/>
        <u/>
      </rPr>
      <t>.org</t>
    </r>
    <r>
      <rPr>
        <rFont val="Arial"/>
        <color rgb="FF1155CC"/>
        <u/>
      </rPr>
      <t>/10</t>
    </r>
    <r>
      <rPr>
        <rFont val="Arial"/>
        <color rgb="FF1155CC"/>
        <u/>
      </rPr>
      <t>/f74fb4</t>
    </r>
  </si>
  <si>
    <r>
      <rPr>
        <rFont val="Calibri, sans-serif"/>
        <color theme="1"/>
        <sz val="12.0"/>
      </rPr>
      <t>10.1073/pnas.1517662112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</si>
  <si>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</si>
  <si>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Stern et al.pdf</t>
  </si>
  <si>
    <t>Replication of Stern et al, 2015</t>
  </si>
  <si>
    <t>stereotyping</t>
  </si>
  <si>
    <t>ideology, stereotyping, social evaluation</t>
  </si>
  <si>
    <t>conservatives are not only more likely to use stereotypes than are liberals, but are especially likely to negatively evaluate counterstereotypical people to organize the social world with greater certainty.</t>
  </si>
  <si>
    <t>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</si>
  <si>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https://osf.io/3pu8d</t>
  </si>
  <si>
    <r>
      <rPr>
        <rFont val="Arial"/>
        <color rgb="FF1155CC"/>
        <u/>
      </rPr>
      <t xml:space="preserve">Stern, C., West, T. V., &amp; Rule, N. O. (2015). Conservatives negatively evaluate counterstereotypical people to maintain a sense of certainty. Proceedings of the National Academy of Sciences, 112(50), 15337–15342.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/f74fb4</t>
    </r>
  </si>
  <si>
    <r>
      <rPr>
        <rFont val="Calibri, sans-serif"/>
        <color theme="1"/>
        <sz val="12.0"/>
      </rPr>
      <t>10.1073/pnas.1517662112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</si>
  <si>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</si>
  <si>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Conservatives' evaluations of counterstereotypical people</t>
  </si>
  <si>
    <t>Ideology, stereotyping, social evaluation</t>
  </si>
  <si>
    <t>Conservatives negatively evaluate counterstereotypical people to maintain a sense of certainty</t>
  </si>
  <si>
    <t>"Conservatives allocated less money to counterstereotypical targets than to stereotypical targets [B = 0.52, SE = 0.14, Z = 3.65, P &lt; 0.001], but liberals did not [B = −0.05, SE = 0.10, Z = −0.50, P = 0.62]. Conservatives therefore allocated fewer economic resources to counterstereotypical people who belonged to both real and fictional groups."</t>
  </si>
  <si>
    <t>Holzmeisteretal2024_4</t>
  </si>
  <si>
    <t>the o_paper included 2 studies but the r_paper only replicated one claim from study number 2; for the r_study I did report d for effect size as mentioned in both the SM table and the paper (osf link) but the paper also report β=–0.051 so I am adding it here in case you want a more direct comparison with the effect size of the o_study.</t>
  </si>
  <si>
    <r>
      <t xml:space="preserve">Reeck, C., Wall, D., &amp; Johnson, E. J. (2017). Search predicts and changes patience in intertemporal choice. Proceedings of the National Academy of Sciences, 114(45), 11890–11895. </t>
    </r>
    <r>
      <rPr>
        <rFont val="Arial"/>
        <color rgb="FF1155CC"/>
        <u/>
      </rPr>
      <t>https</t>
    </r>
    <r>
      <rPr>
        <rFont val="Arial"/>
        <color rgb="FF1155CC"/>
        <u/>
      </rPr>
      <t>://doi</t>
    </r>
    <r>
      <rPr>
        <rFont val="Arial"/>
        <color rgb="FF1155CC"/>
        <u/>
      </rPr>
      <t>.org</t>
    </r>
    <r>
      <rPr>
        <rFont val="Arial"/>
        <color rgb="FF1155CC"/>
        <u/>
      </rPr>
      <t>/10</t>
    </r>
    <r>
      <rPr>
        <rFont val="Arial"/>
        <color rgb="FF1155CC"/>
        <u/>
      </rPr>
      <t>/ggb75r</t>
    </r>
  </si>
  <si>
    <r>
      <rPr>
        <rFont val="Calibri, sans-serif"/>
        <color theme="1"/>
        <sz val="12.0"/>
      </rPr>
      <t>10.1073/pnas.1707040114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</si>
  <si>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</si>
  <si>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Reeck et al.pdf</t>
  </si>
  <si>
    <t>Replication of Reeck et al 2017</t>
  </si>
  <si>
    <t>intertemporal choice</t>
  </si>
  <si>
    <t>temporal discounting, delay of gratification, decision making, process tracing, choice architecture</t>
  </si>
  <si>
    <t>People often make decisions with consequences that unfold over time. When facing such intertemporal choices, people use differ-ent search strategies. We examine how these search strategies differ and how they relate to patience in intertemporal choice.</t>
  </si>
  <si>
    <t>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</si>
  <si>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https://osf.io/szntm</t>
  </si>
  <si>
    <r>
      <rPr>
        <rFont val="Arial"/>
        <color rgb="FF1155CC"/>
        <u/>
      </rPr>
      <t xml:space="preserve">Reeck, C., Wall, D., &amp; Johnson, E. J. (2017). Search predicts and changes patience in intertemporal choice. Proceedings of the National Academy of Sciences, 114(45), 11890–11895.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/ggb75r</t>
    </r>
  </si>
  <si>
    <r>
      <rPr>
        <rFont val="Calibri, sans-serif"/>
        <color theme="1"/>
        <sz val="12.0"/>
      </rPr>
      <t>10.1073/pnas.1707040114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</si>
  <si>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</si>
  <si>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Search strategy and its impact on intertemporal choice</t>
  </si>
  <si>
    <t>Temporal discounting, delay of gratification, decision making, process tracing, choice architecture</t>
  </si>
  <si>
    <t>The effect under investigation is how comparative searchers make more patient choices (i.e., choose a larger monetary reward which is delivered later) than integrative searchers</t>
  </si>
  <si>
    <t>"A hierarchical logistic regression was conducted to examine whether the search condition influenced participants' decisions, with choices modeled as a function of framing (acceleration or delay) and search condition (easy comparative or easy integrative) across all trials. The results revealed a significant effect of search condition, β = −0.23, SE = 0.10, P = 0.027, indicating that participants in the easy comparative condition exhibited greater patience than those in the easy integrative condition."</t>
  </si>
  <si>
    <t>Holzmeisteretal2024_5</t>
  </si>
  <si>
    <t xml:space="preserve">the o_paper included 5 studies but the r_paper only replicated one claim from study number 3; </t>
  </si>
  <si>
    <r>
      <t xml:space="preserve">Rai, T. S., Valdesolo, P., &amp; Graham, J. (2017). Dehumanization increases instrumental violence, but not moral violence. Proceedings of the National Academy of Sciences, 114(32), 8511–8516. </t>
    </r>
    <r>
      <rPr>
        <rFont val="Arial"/>
        <color rgb="FF1155CC"/>
        <u/>
      </rPr>
      <t>https</t>
    </r>
    <r>
      <rPr>
        <rFont val="Arial"/>
        <color rgb="FF1155CC"/>
        <u/>
      </rPr>
      <t>://doi</t>
    </r>
    <r>
      <rPr>
        <rFont val="Arial"/>
        <color rgb="FF1155CC"/>
        <u/>
      </rPr>
      <t>.org</t>
    </r>
    <r>
      <rPr>
        <rFont val="Arial"/>
        <color rgb="FF1155CC"/>
        <u/>
      </rPr>
      <t>/10</t>
    </r>
    <r>
      <rPr>
        <rFont val="Arial"/>
        <color rgb="FF1155CC"/>
        <u/>
      </rPr>
      <t>/gg6grh</t>
    </r>
  </si>
  <si>
    <r>
      <rPr>
        <rFont val="Calibri, sans-serif"/>
        <color theme="1"/>
        <sz val="12.0"/>
      </rPr>
      <t>10.1073/pnas.1705238114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</si>
  <si>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</si>
  <si>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Rai et al.pdf</t>
  </si>
  <si>
    <t>Replication of Rai et al.2017</t>
  </si>
  <si>
    <t>Dehumanization</t>
  </si>
  <si>
    <t>moral, violence, dehumanization, instrumental, aggression</t>
  </si>
  <si>
    <t>Across five experiments, we show that dehumanization—the act of perceiving victims as not completely human—increases instrumen-tal, but not moral, violence.</t>
  </si>
  <si>
    <t>Participants were significantly more likely to report that they would break the stranger’s thumb for money when he was described in dehumanized (M = 4.64, SD = 2.14) rather than humanized terms (M = 3.90, SD = 2.36; t = 2.26, P = 0.025).</t>
  </si>
  <si>
    <t>t = 2.26</t>
  </si>
  <si>
    <t>https://osf.io/9avrm</t>
  </si>
  <si>
    <r>
      <rPr>
        <rFont val="Arial"/>
        <color rgb="FF1155CC"/>
        <u/>
      </rPr>
      <t xml:space="preserve">Rai, T. S., Valdesolo, P., &amp; Graham, J. (2017). Dehumanization increases instrumental violence, but not moral violence. Proceedings of the National Academy of Sciences, 114(32), 8511–8516.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/gg6grh</t>
    </r>
  </si>
  <si>
    <r>
      <rPr>
        <rFont val="Calibri, sans-serif"/>
        <color theme="1"/>
        <sz val="12.0"/>
      </rPr>
      <t>10.1073/pnas.1705238114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</si>
  <si>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</si>
  <si>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Dehumanisation and instrumental harm</t>
  </si>
  <si>
    <t>Moral, violence, dehumanization, instrumental, aggression</t>
  </si>
  <si>
    <t>The effect being investigated is whether people are more willing to harm a stranger described in dehumanised terms rather than humanised terms when the motives are instrumental.</t>
  </si>
  <si>
    <t>"Participants were significantly more likely to report that they would break the stranger’s thumb for money when he was described in dehumanized (M = 4.64, SD = 2.14) rather than humanized terms (M = 3.90, SD = 2.36; t = 2.26, P = 0.025)."</t>
  </si>
  <si>
    <t>Holzmeisteretal2024_6</t>
  </si>
  <si>
    <t>the likelihood ratio test of the o_study reported by the o_study doesn't match the one reported by the r_study</t>
  </si>
  <si>
    <r>
      <t xml:space="preserve">Morris, A., MacGlashan, J., Littman, M. L., &amp; Cushman, F. (2017). Evolution of flexibility and rigidity in retaliatory punishment. Proceedings of the National Academy of Sciences, 114(39), 10396–10401. </t>
    </r>
    <r>
      <rPr>
        <rFont val="Arial"/>
        <color rgb="FF1155CC"/>
        <u/>
      </rPr>
      <t>https</t>
    </r>
    <r>
      <rPr>
        <rFont val="Arial"/>
        <color rgb="FF1155CC"/>
        <u/>
      </rPr>
      <t>://doi</t>
    </r>
    <r>
      <rPr>
        <rFont val="Arial"/>
        <color rgb="FF1155CC"/>
        <u/>
      </rPr>
      <t>.org</t>
    </r>
    <r>
      <rPr>
        <rFont val="Arial"/>
        <color rgb="FF1155CC"/>
        <u/>
      </rPr>
      <t>/10</t>
    </r>
    <r>
      <rPr>
        <rFont val="Arial"/>
        <color rgb="FF1155CC"/>
        <u/>
      </rPr>
      <t>/gb4vmc</t>
    </r>
  </si>
  <si>
    <r>
      <rPr>
        <rFont val="Calibri, sans-serif"/>
        <color theme="1"/>
        <sz val="12.0"/>
      </rPr>
      <t>10.1073/pnas.1704032114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</si>
  <si>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</si>
  <si>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Morris et al.pdf</t>
  </si>
  <si>
    <t>Replication of Morris et al. 2017</t>
  </si>
  <si>
    <t>retaliatory punishment</t>
  </si>
  <si>
    <t>punishment, evolution, reinforcement learning, game theory, commitment</t>
  </si>
  <si>
    <t>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</si>
  <si>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We fit a mixed-effects model, regressing participant choices on their role, the round number, and the interaction between role and round. The interaction between role and round is significant likelihood ratio test, χ2(1)=21. P &lt; 0.001; = 0.03, 95% CI = (0.024, 0.24)]. Consistent with our predictions, in repeated games against inflexible opponents, thieves act relatively flexibly and victims act relatively rigidly.</t>
  </si>
  <si>
    <t>χ2(1)=21.7</t>
  </si>
  <si>
    <t>https://osf.io/yd69c</t>
  </si>
  <si>
    <r>
      <rPr>
        <rFont val="Calibri"/>
        <color theme="1"/>
        <sz val="11.0"/>
      </rPr>
      <t>There was a discrepency between the findings reported in the original paper and the 'original findings' reported by the replication paper in table 1 (</t>
    </r>
    <r>
      <rPr>
        <rFont val="Calibri"/>
        <color rgb="FFFF0000"/>
        <sz val="11.0"/>
      </rPr>
      <t>"In repeated games against rigid opponents, participants assigned to be thieves act relatively flexibly in their stealing behavior while participants assigned to be victims act relatively rigidly in their punishment behavior. The authors test the above hypothesis through an interaction between role and round in a mixed-effects model using a likelihood ratio test (χ²(1) = 24.3, p &lt; 0.001); p. 10399").</t>
    </r>
    <r>
      <rPr>
        <rFont val="Calibri"/>
        <color rgb="FF000000"/>
        <sz val="11.0"/>
      </rPr>
      <t xml:space="preserve"> I coded those reported in the original paper instead which I have highlighted in paper linked in this row.</t>
    </r>
  </si>
  <si>
    <r>
      <rPr>
        <rFont val="Arial"/>
        <color rgb="FF1155CC"/>
        <u/>
      </rPr>
      <t xml:space="preserve">Morris, A., MacGlashan, J., Littman, M. L., &amp; Cushman, F. (2017). Evolution of flexibility and rigidity in retaliatory punishment. Proceedings of the National Academy of Sciences, 114(39), 10396–10401.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/gb4vmc</t>
    </r>
  </si>
  <si>
    <r>
      <rPr>
        <rFont val="Calibri, sans-serif"/>
        <color theme="1"/>
        <sz val="12.0"/>
      </rPr>
      <t>10.1073/pnas.1704032114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</si>
  <si>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</si>
  <si>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Role-based flexibility in behaviour</t>
  </si>
  <si>
    <t>Punishment, evolution, reinforcement learning, game theory, commitment</t>
  </si>
  <si>
    <t>The effect being investigated is that in repeated games against rigid opponents, thieves exhibit flexible stealing behavior, while victims display rigid punishment behavior.</t>
  </si>
  <si>
    <t>"We fit a mixed-effects model, regressing participant choices on their role, the round number, and the interaction between role and round. The interaction between role and round is significant likelihood ratio test, χ2(1)=21.7, P &lt; 0.001, = 0.03, 95% CI = (0.024, 0.24). Consistent with our predictions, in repeated games against inflexible opponents, thieves act relatively flexibly and victims act relatively rigidly."</t>
  </si>
  <si>
    <t>χ²(1) = 21.7</t>
  </si>
  <si>
    <t>Holzmeisteretal2024_7</t>
  </si>
  <si>
    <t>the o_paper included 3 studies but the r_paper only replicated  one claim from study number 1; for the r_study I did report d for effect size as mentioned in both the SM table and the paper (osf link) but the paper also report β=0.156  so I am adding it here in case you want a more direct comparison with the effect size of the o_study.</t>
  </si>
  <si>
    <r>
      <t xml:space="preserve">McCall, L., Burk, D., Laperrière, M., &amp; Richeson, J. A. (2017). Exposure to rising inequality shapes Americans’ opportunity beliefs and policy support. Proceedings of the National Academy of Sciences, 114(36), 9593–9598. </t>
    </r>
    <r>
      <rPr>
        <rFont val="Arial"/>
        <color rgb="FF1155CC"/>
        <u/>
      </rPr>
      <t>https</t>
    </r>
    <r>
      <rPr>
        <rFont val="Arial"/>
        <color rgb="FF1155CC"/>
        <u/>
      </rPr>
      <t>://doi</t>
    </r>
    <r>
      <rPr>
        <rFont val="Arial"/>
        <color rgb="FF1155CC"/>
        <u/>
      </rPr>
      <t>.org</t>
    </r>
    <r>
      <rPr>
        <rFont val="Arial"/>
        <color rgb="FF1155CC"/>
        <u/>
      </rPr>
      <t>/10</t>
    </r>
    <r>
      <rPr>
        <rFont val="Arial"/>
        <color rgb="FF1155CC"/>
        <u/>
      </rPr>
      <t>/gbwx4j</t>
    </r>
  </si>
  <si>
    <r>
      <rPr>
        <rFont val="Calibri, sans-serif"/>
        <color theme="1"/>
        <sz val="12.0"/>
      </rPr>
      <t>10.1073/pnas.1706253114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</si>
  <si>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</si>
  <si>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McCall et al.pdf</t>
  </si>
  <si>
    <t>Replication of McCall et al. 2017</t>
  </si>
  <si>
    <t>Economic inequality</t>
  </si>
  <si>
    <t>economic inequality, opportunity beliefs, policy preferences, redistribution, system justification</t>
  </si>
  <si>
    <t>Exposure to rising inequality shapes Americans’ opportunity beliefs and policy support...perceptions of rising economic inequality spark skepticism about the existence of economic opportunity in society that, in turn, may motivate support for equity-enhancing policies.</t>
  </si>
  <si>
    <t>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</si>
  <si>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https://osf.io/cs82h</t>
  </si>
  <si>
    <r>
      <rPr>
        <rFont val="Arial"/>
        <color rgb="FF1155CC"/>
        <u/>
      </rPr>
      <t xml:space="preserve">McCall, L., Burk, D., Laperrière, M., &amp; Richeson, J. A. (2017). Exposure to rising inequality shapes Americans’ opportunity beliefs and policy support. Proceedings of the National Academy of Sciences, 114(36), 9593–9598.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/gbwx4j</t>
    </r>
  </si>
  <si>
    <r>
      <rPr>
        <rFont val="Calibri, sans-serif"/>
        <color theme="1"/>
        <sz val="12.0"/>
      </rPr>
      <t>10.1073/pnas.1706253114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</si>
  <si>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</si>
  <si>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Impact of inequality exposure on opportunity beliefs and system justification</t>
  </si>
  <si>
    <t>Economic inequality, opportunity beliefs, policy preferences, redistribution, system justification</t>
  </si>
  <si>
    <t>The effect being investigated is the effect of inequality exposure on attributing success to structural factors compared to individual factors</t>
  </si>
  <si>
    <t>"Regressions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β = −0.290, SE = 0.072, P &lt; 0.001, RMSE = 0.783 for individual factors].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</si>
  <si>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Holzmeisteretal2024_8</t>
  </si>
  <si>
    <t>the o_paper included 4 studies but the r_paper only replicated  one claim from study number 4</t>
  </si>
  <si>
    <r>
      <t xml:space="preserve">Kraus, M. W., Rucker, J. M., &amp; Richeson, J. A. (2017). Americans misperceive racial economic equality. Proceedings of the National Academy of Sciences, 114(39), 10324–10331. </t>
    </r>
    <r>
      <rPr>
        <rFont val="Arial"/>
        <color rgb="FF1155CC"/>
        <u/>
      </rPr>
      <t>https</t>
    </r>
    <r>
      <rPr>
        <rFont val="Arial"/>
        <color rgb="FF1155CC"/>
        <u/>
      </rPr>
      <t>://doi</t>
    </r>
    <r>
      <rPr>
        <rFont val="Arial"/>
        <color rgb="FF1155CC"/>
        <u/>
      </rPr>
      <t>.org</t>
    </r>
    <r>
      <rPr>
        <rFont val="Arial"/>
        <color rgb="FF1155CC"/>
        <u/>
      </rPr>
      <t>/10</t>
    </r>
    <r>
      <rPr>
        <rFont val="Arial"/>
        <color rgb="FF1155CC"/>
        <u/>
      </rPr>
      <t>/gb4sh4</t>
    </r>
  </si>
  <si>
    <r>
      <rPr>
        <rFont val="Calibri, sans-serif"/>
        <color theme="1"/>
        <sz val="12.0"/>
      </rPr>
      <t>10.1073/pnas.1707719114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</si>
  <si>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</si>
  <si>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Kraus et al.pdf</t>
  </si>
  <si>
    <t>Replication of Kraus et al 2017</t>
  </si>
  <si>
    <t>racial economic equality</t>
  </si>
  <si>
    <t>economic inequality, racial disparities, socioeconomic status, racial stratification, motivated perception</t>
  </si>
  <si>
    <t>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</si>
  <si>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</si>
  <si>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t(201) = 17.51</t>
  </si>
  <si>
    <t>https://osf.io/yt9vb</t>
  </si>
  <si>
    <t>I coded the effect size found in original paper as instructed but please see replication notes about this, "The authors test the above hypothesis using a paired t-test, t(201) = 17.51, p &lt; 0.001, dRM = 0.50; p. 10329. Note, however, the test could not be replicated using the original dataset. When testing estimates of equality of “Discriminatory USA” and “Current” using a paired t-test, the test statistic we calculate is t(201) = 7.0258, p &lt; 0.001. The reporting error in the original paper has also been acknowledged by the original authors. We thus base our power analysis on the latter test statistic."</t>
  </si>
  <si>
    <r>
      <rPr>
        <rFont val="Arial"/>
        <color rgb="FF1155CC"/>
        <u/>
      </rPr>
      <t xml:space="preserve">Kraus, M. W., Rucker, J. M., &amp; Richeson, J. A. (2017). Americans misperceive racial economic equality. Proceedings of the National Academy of Sciences, 114(39), 10324–10331.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/gb4sh4</t>
    </r>
  </si>
  <si>
    <r>
      <rPr>
        <rFont val="Calibri, sans-serif"/>
        <color theme="1"/>
        <sz val="12.0"/>
      </rPr>
      <t>10.1073/pnas.1707719114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</si>
  <si>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</si>
  <si>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Racial discrimination and racial economic equality perceptions</t>
  </si>
  <si>
    <t>Economic inequality, racial disparities, socioeconomic status, racial stratification, motivated perception</t>
  </si>
  <si>
    <t>The effect being investigated is the impact of inducing consideration of the persistence of racial discrimination on the overestimation of racial economic equality</t>
  </si>
  <si>
    <t>"As in study 3, experimentally inducing reflection on a similar Black family increased overestimates of Black–White income equality in this mostly White American sample [t(201) = 10.93, p &lt; 0.001, dRM = 0.31], whereas inducing consideration of the persistence of racial discrimination in the United States resulted in estimates of racial income equality that were much closer to reality, t(201) = 17.51, p &lt; 0.001, dRM = 0.50. Together, the findings of studies 3 and 4 offer support for our central argument that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</si>
  <si>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t(201) = 10.93</t>
  </si>
  <si>
    <t>Holzmeisteretal2024_9</t>
  </si>
  <si>
    <t>the o_paper included 9 studies but the r_paper only replicated  one claim from study number 7b</t>
  </si>
  <si>
    <r>
      <t xml:space="preserve">Kouchaki, M., &amp; Gino, F. (2016). Memories of unethical actions become obfuscated over time. Proceedings of the National Academy of Sciences, 113(22), 6166–6171. </t>
    </r>
    <r>
      <rPr>
        <rFont val="Arial"/>
        <color rgb="FF1155CC"/>
        <u/>
      </rPr>
      <t>https</t>
    </r>
    <r>
      <rPr>
        <rFont val="Arial"/>
        <color rgb="FF1155CC"/>
        <u/>
      </rPr>
      <t>://doi</t>
    </r>
    <r>
      <rPr>
        <rFont val="Arial"/>
        <color rgb="FF1155CC"/>
        <u/>
      </rPr>
      <t>.org</t>
    </r>
    <r>
      <rPr>
        <rFont val="Arial"/>
        <color rgb="FF1155CC"/>
        <u/>
      </rPr>
      <t>/10</t>
    </r>
    <r>
      <rPr>
        <rFont val="Arial"/>
        <color rgb="FF1155CC"/>
        <u/>
      </rPr>
      <t>/f8qfrh</t>
    </r>
  </si>
  <si>
    <r>
      <rPr>
        <rFont val="Calibri, sans-serif"/>
        <color theme="1"/>
        <sz val="12.0"/>
      </rPr>
      <t>10.1073/pnas.1523586113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</si>
  <si>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</si>
  <si>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Kouchaki and Gino.pdf</t>
  </si>
  <si>
    <t>Replication of Kouchaki and Gino,201</t>
  </si>
  <si>
    <t>unethical amnesia</t>
  </si>
  <si>
    <t>dishonesty, memory, unethical behavior, psychological dissonance, morality</t>
  </si>
  <si>
    <t>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</si>
  <si>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As predicted, participants in the likely-cheating condition...were more likely to cheat at time 2 [χ2(n = 258) = 10.48, P = 0.001, Cramer’s V = 0.20]...than those in the no-cheating condition...providing further evidence for the consequences of unethical amnesia</t>
  </si>
  <si>
    <t>χ2 = 10.48</t>
  </si>
  <si>
    <t>–0.038</t>
  </si>
  <si>
    <t>https://osf.io/nc49e</t>
  </si>
  <si>
    <r>
      <rPr>
        <rFont val="Arial"/>
        <color rgb="FF1155CC"/>
        <u/>
      </rPr>
      <t xml:space="preserve">Kouchaki, M., &amp; Gino, F. (2016). Memories of unethical actions become obfuscated over time. Proceedings of the National Academy of Sciences, 113(22), 6166–6171.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/f8qfrh</t>
    </r>
  </si>
  <si>
    <r>
      <rPr>
        <rFont val="Calibri, sans-serif"/>
        <color theme="1"/>
        <sz val="12.0"/>
      </rPr>
      <t>10.1073/pnas.1523586113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</si>
  <si>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</si>
  <si>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7b</t>
  </si>
  <si>
    <t>Unethical amnesia</t>
  </si>
  <si>
    <t>Dishonesty, memory, unethical behavior, psychological dissonance, morality</t>
  </si>
  <si>
    <r>
      <rPr>
        <rFont val="Calibri"/>
        <color theme="1"/>
        <sz val="11.0"/>
      </rPr>
      <t xml:space="preserve">The effect being investigated is </t>
    </r>
    <r>
      <rPr>
        <rFont val="Calibri"/>
        <b/>
        <color rgb="FF000000"/>
        <sz val="11.0"/>
      </rPr>
      <t>how prior cheating in a die-throwing game influences increased dishonesty in a subsequent Boggle game, after a three-day delay</t>
    </r>
  </si>
  <si>
    <t>"As predicted, participants in the likely-cheating condition recalled the die-throwing task less precisely (M = 2.59, SD = 1.08) than those in the no-cheating condition (M = 2.97, SD = 1.22) [t(256) = −2.66, P = 0.008, d = 0.33]. They also were more likely to cheat at time 2 [χ2 (n = 258) = 10.48, P = 0.001, Cramer’s V = 0.20], providing further evidence for the consequences of unethical amnesia; in fact, 78% (96 of 123) of the participants in the likely-cheating condition cheated at time 2 on the Boggle task, a percentage that was higher than observed in the no-cheating condition, in which 59% (80 of 135) of the participants cheated."</t>
  </si>
  <si>
    <t>χ2(n = 258)=10.48</t>
  </si>
  <si>
    <t>j8a4p_1</t>
  </si>
  <si>
    <t>j8a4p</t>
  </si>
  <si>
    <t xml:space="preserve">1. The abstract of the paper reflect that the study 1 is a replication study. The study 2a also replicates the actual study (study 2) conducted in the current papers. Leaving replication studies, I am just annotating the study 2 which is an online experiment and is orignal. 2. Study 2 presents number of vintages, however, I have only considered the overall results as in the replication study it is not clear what the sub-variables like Equal variances refered to. Moreover, it is not clear from replication if whole study was replicated or one of the findings. 3. I have made assumptions about the p-value, first it is equal (e (=)), second, two tailed t-tests are for the specific variables not for the overall. 4. There is no information about the type of replication (even no information is provided that it the replication study is actualy a replication, I have annotated it as it is provided as a replication). 5. I have used value of "d" (test static was also provided) )as effect size. In the orignal study it was present, however, document associated with replication study didn't had value of "d". Therefore I used the value given on this link: https://osf.io/j8a4p </t>
  </si>
  <si>
    <t>Values are correct, but more detailled description of results between and over all vignettes was preffered; changed pval_value_r tp 0.667 (was mixed up with t value)</t>
  </si>
  <si>
    <t>Huang, J. L. (2014). Does cleanliness influence moral judgments? Response effort moderates the effect of cleanliness priming on moral judgments. Frontiers in Psychology, 5, 1276.</t>
  </si>
  <si>
    <t>10.3389/fpsyg.2014.01276</t>
  </si>
  <si>
    <t>10.3389--fpsyg.2014.01276.pdf</t>
  </si>
  <si>
    <t>Mahlke, J., Weaver, A., Hall, M. M., Koenig, B., Poulter, L., Lee, A. A., … Gentry, A. (2018, April 27). Huang  (2014) Replication. https://doi.org/10.17605/OSF.IO/J8A4P</t>
  </si>
  <si>
    <t>10.17605/OSF.IO/J8A4P</t>
  </si>
  <si>
    <t>10.17605--osf.io--j8a4p.pdf</t>
  </si>
  <si>
    <t>cleanliness priming effect</t>
  </si>
  <si>
    <t>priming, moral judgment, response effort, cleanliness</t>
  </si>
  <si>
    <t>the cleanliness and neutral conditions revealed non-significant difference</t>
  </si>
  <si>
    <t>"the cleanliness and neutral conditions revealed non-significant difference, t(438) = −0.42, p = 0.68, d = −0.04."</t>
  </si>
  <si>
    <t>negative 0.04</t>
  </si>
  <si>
    <t>0.68</t>
  </si>
  <si>
    <t>0.06</t>
  </si>
  <si>
    <t>0.667</t>
  </si>
  <si>
    <t>https://osf.io/3xcnm/</t>
  </si>
  <si>
    <t>j8a4p_composite</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</si>
  <si>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</si>
  <si>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t xml:space="preserve">Since replication claimed to wanting to replicate effect in the low effort group, n= 218, whereas n over both conditions is indeed 440. </t>
  </si>
  <si>
    <r>
      <rPr>
        <rFont val="Calibri"/>
        <sz val="11.0"/>
      </rPr>
      <t xml:space="preserve">Mahlke, J., Weaver, A., Hall, M. M., Koenig, B., Poulter, L., Lee, A. A., … Gentry, A. (2018, April 27). Huang  (2014) Replication. </t>
    </r>
    <r>
      <rPr>
        <rFont val="Calibri"/>
        <color rgb="FF1155CC"/>
        <sz val="11.0"/>
        <u/>
      </rPr>
      <t>https://doi.org/10.17605/OSF.IO/J8A4P</t>
    </r>
  </si>
  <si>
    <t>Moral priming (cleanliness)</t>
  </si>
  <si>
    <t>Priming, moral judgment, response effort, replication, cleanliness</t>
  </si>
  <si>
    <t>Cleanliness condition in the low response effort group significantly influenced the moral judgements averaged across all vignettes</t>
  </si>
  <si>
    <t>"The cleanliness condition had a lower mean composite rating than the neutral condition, d = −0.29, p = 0.04 in the low response effort condition"</t>
  </si>
  <si>
    <t>https://osf.io/j8a4p</t>
  </si>
  <si>
    <t>j8a4p_dog</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</si>
  <si>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</si>
  <si>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</si>
  <si>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significantly influenced the moral judgements in the "Dog" vignettes</t>
  </si>
  <si>
    <t>"In particular, the cleanliness priming resulted in a significantly less extreme rating on the “dog” scenario than the neutral condition, d = −0.38, p = 0.005"</t>
  </si>
  <si>
    <t>j8a4p_kitten</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</si>
  <si>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</si>
  <si>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</si>
  <si>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"Kitten" vignettes</t>
  </si>
  <si>
    <t>"A further examination of the cleanliness hypothesis on individual vignettes in the low response effort condition revealed a pattern consistent with the expectation, with ds ranging from – 0.03 to −0.38 (see Table 2)."</t>
  </si>
  <si>
    <t>j8a4p_plane</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</si>
  <si>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</si>
  <si>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</si>
  <si>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"Plane" vignettes</t>
  </si>
  <si>
    <t>j8a4p_resume</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</si>
  <si>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</si>
  <si>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</si>
  <si>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"Resume" vignettes</t>
  </si>
  <si>
    <t>j8a4p_trolley</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</si>
  <si>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</si>
  <si>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</si>
  <si>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"Trolley" vignettes</t>
  </si>
  <si>
    <t>j8a4p_wallet</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</si>
  <si>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</si>
  <si>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</si>
  <si>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"Walley" vignettes</t>
  </si>
  <si>
    <t>jcre_01_1</t>
  </si>
  <si>
    <t>jcre_01</t>
  </si>
  <si>
    <t>1. The paper has replicated with the same data and with the new data. So I am reporting both. 2.This part is related to the replication through the same data as of original study. 3.The sample size is not mentioned in the original study, but replication study has estimated the sample size so I am reporting it. 4. There is one main finding which is supported through numerous results (Table 5 with 2 x (with and without income) variables and 7 y variables (columns)). 5. There are no aggrgated effect sizes for the main finding, however, the results supporting this finding has respective effect sizes. In the first instance, I reported all of the results then omitted them as I am not sure which one to follow. Therefore, if needed, I have kept these results in the sheet study 10.</t>
  </si>
  <si>
    <t>Fiorito, R. &amp; Kollintzas, T. (2004). Public goods, merit goods, and the relation between private and government consumption. European Economic Review 48(6), 1367-1398. DOI:
10.1016/j.euroecorev.2004.01.004</t>
  </si>
  <si>
    <t>10.1016/j.euroecorev.2004.01.004</t>
  </si>
  <si>
    <t>10.1016--j.euroecorev.2004.01.004.pdf</t>
  </si>
  <si>
    <t>Song, Z. (2022). The Relationship between Government and Private Consumption: A Replication Study of Fiorito and Kollintzas (2004). Journal of Comments and Replications in Economics, Vol 1(2022-1). DOI: 10.18718/81781.23</t>
  </si>
  <si>
    <t>10.18718/81781.23</t>
  </si>
  <si>
    <t>10.18718--81781.23.pdf</t>
  </si>
  <si>
    <t>replication with same data</t>
  </si>
  <si>
    <t>Government and Private Consumption</t>
  </si>
  <si>
    <t>Public goods; Merit goods; Government consumption; Dynamic panel estimation</t>
  </si>
  <si>
    <t>public goods are substitutes and merit goods are complements to private goods consumption</t>
  </si>
  <si>
    <t>"public goods are substitutes and merit goods are complements to private goods consumption "</t>
  </si>
  <si>
    <t>p. 22</t>
  </si>
  <si>
    <t>jcre_01_a</t>
  </si>
  <si>
    <t>1. The paper has replicated with the same data and with the new data. So I am reporting both. 2.This part is related to the replication through the new data as of original study. 3.The sample size is not mentioned in the original study, but replication study has estimated the sample size so I am reporting it. 4. There is one main finding which is supported through numerous results (Table 5 with 2 x (with and without income) variables and 7 y variables (columns)). 5. There are no aggrgated effect sizes for the main finding, however, the results supporting this finding has. respective effect sizes. In the first instance, I reported all of the results then omitted them as I am not sure which one to follow. Therefore, if needed, I have kept these results in the sheet study 10.</t>
  </si>
  <si>
    <t>replication with new data</t>
  </si>
  <si>
    <t>jcre_01_c2</t>
  </si>
  <si>
    <t>1. For the replication only results from the time period 1996-2016 were used.
2. In the original study the sample size should be the number of observations, which is 12 * 27 = 324
3. The file 10.18718--81781.23.pdf was uploaded
4. The papers applied Newey–West covariance matrices (I guess, it means that we have unstandardized coefficients?)</t>
  </si>
  <si>
    <t>Consumption</t>
  </si>
  <si>
    <t xml:space="preserve">Public goods, Merit goods, Government consumption, Consumption, Dynamic panel estimation, Crowding Out Effect </t>
  </si>
  <si>
    <t>Per capita household consumption (private consumption) together with public and merit goods, aggregate consumption in this economy</t>
  </si>
  <si>
    <t>"The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</si>
  <si>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α = 0.773, (0.11)</t>
  </si>
  <si>
    <t>α = 0.843, (0.154)</t>
  </si>
  <si>
    <t>p.12</t>
  </si>
  <si>
    <t>jcre_01_c2a</t>
  </si>
  <si>
    <t>Justified per capita household consumption (private consumption) together with public and merit goods, aggregate consumption in this economy</t>
  </si>
  <si>
    <t>α = 0.530, (0.142)</t>
  </si>
  <si>
    <t>α = 0.743, (0.289)</t>
  </si>
  <si>
    <t>p.15</t>
  </si>
  <si>
    <t>jcre_01_c3</t>
  </si>
  <si>
    <t>α = 0.464, (0.127)</t>
  </si>
  <si>
    <t>α = 1.001, (0.257)</t>
  </si>
  <si>
    <t>jcre_01_c3a</t>
  </si>
  <si>
    <t>α = 0.633, (0.193)</t>
  </si>
  <si>
    <t>α = 0.688, (0.248)</t>
  </si>
  <si>
    <t>jcre_01_c6</t>
  </si>
  <si>
    <t>α = 0.543, (0.144)</t>
  </si>
  <si>
    <t>α = 0.880, (0.19)</t>
  </si>
  <si>
    <t>p.14</t>
  </si>
  <si>
    <t>jcre_01_c6a</t>
  </si>
  <si>
    <t>α = 0.513, (0.134)</t>
  </si>
  <si>
    <t>α = 0.719, (0.205)</t>
  </si>
  <si>
    <t>jcre_01_d2</t>
  </si>
  <si>
    <t>Working age population share influence the consumption</t>
  </si>
  <si>
    <t>"Merit goods are mostly education and health expenditures and both should be inversely related to the working age population share.</t>
  </si>
  <si>
    <t>α = -0.375, (0.134)</t>
  </si>
  <si>
    <t>α = -0.420, (0.41)</t>
  </si>
  <si>
    <t>α = -0.239 , (0.156)</t>
  </si>
  <si>
    <t>p.21</t>
  </si>
  <si>
    <t>α = -0.465, (0.421)</t>
  </si>
  <si>
    <t>jcre_01_d3</t>
  </si>
  <si>
    <t>α = 0.218 , (0.124)</t>
  </si>
  <si>
    <t>α = -0.551, (0.435)</t>
  </si>
  <si>
    <t>α = -0.179, (0.124)</t>
  </si>
  <si>
    <t>α = -0.422, (0.417)</t>
  </si>
  <si>
    <t>jcre_01_d6</t>
  </si>
  <si>
    <t>α = -0.203, (0.115)</t>
  </si>
  <si>
    <t>α = -0.137, (0.476)</t>
  </si>
  <si>
    <t>α = -0.215, (0.128)</t>
  </si>
  <si>
    <t>α = -0.270, (0.543)</t>
  </si>
  <si>
    <t>jcre_01_g2</t>
  </si>
  <si>
    <t>Public goods substitute private consumption</t>
  </si>
  <si>
    <t>"The public goods variables tend to be insignificant the higher is their public good content, irrespective of the deflator choice"</t>
  </si>
  <si>
    <t>α = -0.067, (0.063)</t>
  </si>
  <si>
    <t>α = -0.106, (0.097)</t>
  </si>
  <si>
    <t>jcre_01_g2a</t>
  </si>
  <si>
    <t>α = -0.123, (0.095)</t>
  </si>
  <si>
    <t>α = 0.024, (0.143)</t>
  </si>
  <si>
    <t>jcre_01_g3</t>
  </si>
  <si>
    <t>α = -0.062, (0.088)</t>
  </si>
  <si>
    <t>α = -0.085, (0.093)</t>
  </si>
  <si>
    <t>jcre_01_g3a</t>
  </si>
  <si>
    <t>α = 0.012, (0.115)</t>
  </si>
  <si>
    <t>α = -0.010, (0.158)</t>
  </si>
  <si>
    <t>jcre_01_g6</t>
  </si>
  <si>
    <t>Public order and defence government (public goods) substitute private consumption</t>
  </si>
  <si>
    <t>"Defence spending has a smaller elasticity than public order and in most cases its elasticity is null. We take this to be consistent with the very nature of these goods. That is, the purer the public goods category the less the expected interaction with private consumption"</t>
  </si>
  <si>
    <t>α = 0.011, (0.073)</t>
  </si>
  <si>
    <t>α = -0.090, (0.115)</t>
  </si>
  <si>
    <t>jcre_01_g6a</t>
  </si>
  <si>
    <t>α = -0.029, (0.078)</t>
  </si>
  <si>
    <t>α = 0.019, (0.15)</t>
  </si>
  <si>
    <t>jcre_01_gt2</t>
  </si>
  <si>
    <t>Public goods substitute private consumption in the past periods</t>
  </si>
  <si>
    <t>α = -0.093, (0.038)</t>
  </si>
  <si>
    <t>α = -0.011, (0.075)</t>
  </si>
  <si>
    <t>jcre_01_gt2a</t>
  </si>
  <si>
    <t>α = 0.057, (0.066)</t>
  </si>
  <si>
    <t>α = -0.084, (0.072)</t>
  </si>
  <si>
    <t>jcre_01_gt3</t>
  </si>
  <si>
    <t>α = -0.248, (0.062)</t>
  </si>
  <si>
    <t>α = -0.104, (0.121)</t>
  </si>
  <si>
    <t>jcre_01_gt3a</t>
  </si>
  <si>
    <t>α = 0.063, (0.068)</t>
  </si>
  <si>
    <t>α = -0.005, (0.036)</t>
  </si>
  <si>
    <t>jcre_01_gt6</t>
  </si>
  <si>
    <t>Public order and defence government (public goods) substitute private consumption in past periods</t>
  </si>
  <si>
    <t>α = 0.055, (0.047)</t>
  </si>
  <si>
    <t>α = -0.073, (0.164)</t>
  </si>
  <si>
    <t>jcre_01_gt6a</t>
  </si>
  <si>
    <t>α = 0.101, (0.068)</t>
  </si>
  <si>
    <t>α = -0.057, (0.087)</t>
  </si>
  <si>
    <t>jcre_01_h2</t>
  </si>
  <si>
    <t>Hansen J-test supports the notion of plausible restrictions in GMM.</t>
  </si>
  <si>
    <t>"The main finding of our paper is in Table 5. [...] The J -tests support the plausibility of the instrument restrictions"</t>
  </si>
  <si>
    <t>18, 19</t>
  </si>
  <si>
    <t xml:space="preserve">𝜒2 (15) = 15.3 </t>
  </si>
  <si>
    <t>𝜒2 (15) = 8.55</t>
  </si>
  <si>
    <t>jcre_01_h2a</t>
  </si>
  <si>
    <t xml:space="preserve">𝜒2 (11) = 11.3 </t>
  </si>
  <si>
    <t>𝜒2 (11) = 3.17</t>
  </si>
  <si>
    <t>jcre_01_h3</t>
  </si>
  <si>
    <t>𝜒2 (13) = 11.4</t>
  </si>
  <si>
    <t>𝜒2 (13) = 2.51</t>
  </si>
  <si>
    <t>jcre_01_h3a</t>
  </si>
  <si>
    <t xml:space="preserve">𝜒2 (13) = 9.4 </t>
  </si>
  <si>
    <t>𝜒2 (13) = 3.11</t>
  </si>
  <si>
    <t>jcre_01_h6</t>
  </si>
  <si>
    <t>𝜒2 (13) = 11.7</t>
  </si>
  <si>
    <t>𝜒2 (13) = 3.98</t>
  </si>
  <si>
    <t>jcre_01_h6a</t>
  </si>
  <si>
    <t xml:space="preserve">𝜒2 (13) = 9.7 </t>
  </si>
  <si>
    <t>𝜒2 (13) = 1.43</t>
  </si>
  <si>
    <t>jcre_01_m2</t>
  </si>
  <si>
    <t>Merit goods complement private consumption</t>
  </si>
  <si>
    <t>α = 0.498, (0.063)</t>
  </si>
  <si>
    <t>α = 0.517, (0.09)</t>
  </si>
  <si>
    <t>jcre_01_m2a</t>
  </si>
  <si>
    <t>α = 0.534, (0.115)</t>
  </si>
  <si>
    <t>α = 0.357, (0.141)</t>
  </si>
  <si>
    <t>jcre_01_m3</t>
  </si>
  <si>
    <t>Education and health government (merit goods) complement private consumption</t>
  </si>
  <si>
    <t>"In the same table we find that education has a bigger effect on private consumption than health when the interest rate variable is omitted, while the effect is about the same when the latter enters the specification"</t>
  </si>
  <si>
    <t>α = 0.504, (0.081)</t>
  </si>
  <si>
    <t>α = 0.442, (0.14)</t>
  </si>
  <si>
    <t>jcre_01_m3a</t>
  </si>
  <si>
    <t>α = 0.554, (0.105)</t>
  </si>
  <si>
    <t>α = 0.386, (0.143)</t>
  </si>
  <si>
    <t>jcre_01_m6</t>
  </si>
  <si>
    <t>α = 0.610, (0.082)</t>
  </si>
  <si>
    <t>α = 0.448, (0.17)</t>
  </si>
  <si>
    <t>jcre_01_m6a</t>
  </si>
  <si>
    <t>α = 0.661, (0.154)</t>
  </si>
  <si>
    <t>α = 0.373, (0.106)</t>
  </si>
  <si>
    <t>jcre_01_mt2</t>
  </si>
  <si>
    <t>Merit goods complement private consumption in the past periods</t>
  </si>
  <si>
    <t>α = -0.277, (0.048)</t>
  </si>
  <si>
    <t>α = -0.430, (0.117)</t>
  </si>
  <si>
    <t>jcre_01_mt2a</t>
  </si>
  <si>
    <t>α = -0.239, (0.146)</t>
  </si>
  <si>
    <t>α = -0.248, (0.052)</t>
  </si>
  <si>
    <t>jcre_01_mt3</t>
  </si>
  <si>
    <t>Education and health government (merit goods) complement private consumption in past periods</t>
  </si>
  <si>
    <t>α = -0.010, (0.066)</t>
  </si>
  <si>
    <t>α = -0.407, (0.064)</t>
  </si>
  <si>
    <t>jcre_01_mt3a</t>
  </si>
  <si>
    <t>α = -0.311, (0.141)</t>
  </si>
  <si>
    <t>α = -0.265, (0.077)</t>
  </si>
  <si>
    <t>jcre_01_mt6</t>
  </si>
  <si>
    <t>α = -0.359, (0.103)</t>
  </si>
  <si>
    <t>α = -0.372, (0.194)</t>
  </si>
  <si>
    <t>jcre_01_mt6a</t>
  </si>
  <si>
    <t>α = -0.365, (0.13)</t>
  </si>
  <si>
    <t>α = -0.255, (0.122)</t>
  </si>
  <si>
    <t>jcre_01_r2</t>
  </si>
  <si>
    <t>After tax real interest rate influence the consumption</t>
  </si>
  <si>
    <t>"An important result of our estimates is that we found for aggregate NIPA data rather than for individual data units a significant and positive effect of the after tax real interest rate variable"</t>
  </si>
  <si>
    <t>α = 0.082, (0.193)</t>
  </si>
  <si>
    <t>α = -0.005, (0.006)</t>
  </si>
  <si>
    <t>After tax real interest rate  influence the consumption</t>
  </si>
  <si>
    <t>α = 0.054, (0.292)</t>
  </si>
  <si>
    <t>α = -0.013, (0.006)</t>
  </si>
  <si>
    <t>jcre_01_r3</t>
  </si>
  <si>
    <t>α = 0.139, (0.173)</t>
  </si>
  <si>
    <t>α = -0.007, (0.007)</t>
  </si>
  <si>
    <t>α = 0.374, (0.284)</t>
  </si>
  <si>
    <t>α = -0.010, (0.006)</t>
  </si>
  <si>
    <t>jcre_01_r6</t>
  </si>
  <si>
    <t>α = 0.428, (0.229)</t>
  </si>
  <si>
    <t>α = -0.006, (0.006)</t>
  </si>
  <si>
    <t>α = 0.199, (0.3)</t>
  </si>
  <si>
    <t>jcre_01_y2a</t>
  </si>
  <si>
    <t>Disposable income captures some transient income eHect but is not sustained enough to provide a convincing alternative to the permanent income mode</t>
  </si>
  <si>
    <t>"In Table 5(1), however, we estimated an analog to Eq. (9) by adding to each equation on Table 5 the current and the past value of the logged per capita disposable income changes. The relevant results still con1rm the complementarity of the merit goods variable while the public goods appear to be always insigni1cant in the regression" [...] "At the 10% level, the current and past disposable income enters the regression in three cases only."</t>
  </si>
  <si>
    <t>α = 0.453, (0.21)</t>
  </si>
  <si>
    <t>α = 0.413, (0.207)</t>
  </si>
  <si>
    <t>jcre_01_y3a</t>
  </si>
  <si>
    <t>α = 0.309, (0.211)</t>
  </si>
  <si>
    <t>α = 0.389, (0.154)</t>
  </si>
  <si>
    <t>jcre_01_y6a</t>
  </si>
  <si>
    <t>α = 0.22, (0.27)</t>
  </si>
  <si>
    <t>α = 0.398, (0.13)</t>
  </si>
  <si>
    <t>jcre_01_yt2a</t>
  </si>
  <si>
    <t>Disposable income captures some transient income eHect but is not sustained enough to provide a convincing alternative to the permanent income mode in past periods</t>
  </si>
  <si>
    <t>α = -0.340, (0.208)</t>
  </si>
  <si>
    <t>α = -0.022, (0.052)</t>
  </si>
  <si>
    <t>jcre_01_yt3a</t>
  </si>
  <si>
    <t>α = -0.403, (0.222)</t>
  </si>
  <si>
    <t>α = 0.005, (0.031)</t>
  </si>
  <si>
    <t>jcre_01_yt6a</t>
  </si>
  <si>
    <t>α = -0.252 , (0.226)</t>
  </si>
  <si>
    <t>α = 0.008, (0.057)</t>
  </si>
  <si>
    <t>jcre_02_1</t>
  </si>
  <si>
    <t>jcre_02</t>
  </si>
  <si>
    <t>Outside my area of expertise - unable to code this entry further</t>
  </si>
  <si>
    <t>Svensson, L. E. O. (2015). The Possible Unemployment Cost of Average Inflation below a
Credible Target. American Economic Journal: Macroeconomics, 7 (1): 258-96. DOI: 10.1257/ma
c.20130176</t>
  </si>
  <si>
    <t>10.1257/ma c.20130176</t>
  </si>
  <si>
    <t>10.1257--ma c.20130176.pdf</t>
  </si>
  <si>
    <t>Oraby, R. (2022). The Possible Unemployment Cost of Average Inflation Below a
Credible Target:A Replication Study of Svensson (2015). Journal of Comments and Replications in
Economics, Vol 1(2022-2). DOI: 10.18718/81781.24</t>
  </si>
  <si>
    <t>10.18718/81781.24</t>
  </si>
  <si>
    <t>10.18718--81781.24.pdf</t>
  </si>
  <si>
    <t>"This paper replicates the main analysis of Svensson (2015) with some expansion to the original analysis, mainly for the United States."</t>
  </si>
  <si>
    <t>non-vertical long run Phillips curve</t>
  </si>
  <si>
    <t>Estimating the unemployment cost of having the average inflation rate below the targeted level requires estimating the long run Philips curve. Following Svensson (2015), the long run Phillips curve is estimated by taking the unconditional mean of the short run Phillips curve.</t>
  </si>
  <si>
    <t>jcre_03_1</t>
  </si>
  <si>
    <t>jcre_03</t>
  </si>
  <si>
    <t>Chowdhury, S. M., Jeon, J. Y., Saha, B. (2017). Gender differences in the giving and
taking variants of the dictator game. Southern Economic Journal, 84(2), 474–83. DOI:
10.1002/soej.12223</t>
  </si>
  <si>
    <t>10.1002/soej.12223</t>
  </si>
  <si>
    <t>10.1002--soej.12223.pdf</t>
  </si>
  <si>
    <t>von Blanckenburg, K., Tebbe, E., Iseke, A. (2023). Giving and taking
in dictator games – differences by gender? A replication study of Chowdhury et al. (2017). Journal
of Comments and Replications in Economics, Vol 2(2023-1). DOI: 10.18718/81781.27</t>
  </si>
  <si>
    <t>10.18718/81781.27</t>
  </si>
  <si>
    <t>10.18718--81781.27.pdf</t>
  </si>
  <si>
    <t>"This study attempts to replicate experimental results from Chowdhury et al. published in Southern Economic Journal (2017)"</t>
  </si>
  <si>
    <t xml:space="preserve"> Dictator games have been used extensively to study social preferences and framing effects of giving vs. taking.</t>
  </si>
  <si>
    <t>"A Mann-Whitney test shows no
significant difference in final amount allocated to recipients between the two treatments (p-
value = 0.583)"</t>
  </si>
  <si>
    <t>p. 477</t>
  </si>
  <si>
    <t>p. 478</t>
  </si>
  <si>
    <t xml:space="preserve">Gender differences - Giving </t>
  </si>
  <si>
    <t>Gender differences in the giving and taking variants of the dictator game can occur</t>
  </si>
  <si>
    <t>"In the GG, the amounts given by males and females are not different (p-value = 0.594)."</t>
  </si>
  <si>
    <t xml:space="preserve">Gender differences - Taking </t>
  </si>
  <si>
    <t>"The TG, however, shows gender differences. The average amount left by the male dictators is significantly lower than the amount left by the female dictators at 1%
level."</t>
  </si>
  <si>
    <t>jcre_04_1</t>
  </si>
  <si>
    <t>jcre_04</t>
  </si>
  <si>
    <t>Fernández, R., &amp; Fogli, A. (2009). Culture: An Empirical Investigation of Beliefs, Work, and
Fertility. American Economic Journal: Macroeconomics, 1(1), 146–177. DOI: 10.1257/mac.1.1.
146</t>
  </si>
  <si>
    <t>10.1257/mac.1.1. 146</t>
  </si>
  <si>
    <t>10.1257--mac.1.1. 146.pdf</t>
  </si>
  <si>
    <t>Gay, V. (2023). Culture: An Empirical Investigation of Beliefs, Work, and Fertility: A Verification and Reproduction of Fernández and Fogli (2009). Journal of Comments and
Replications in Economics, Vol 2(2023-2). DOI: 10.18718/81781.28</t>
  </si>
  <si>
    <t>10.18718/81781.28</t>
  </si>
  <si>
    <t>10.18718--81781.28.pdf</t>
  </si>
  <si>
    <t>"In this article, I perform a verification and a reproduction of the main results in Fernández and Fogli (2009) [...]"</t>
  </si>
  <si>
    <t>Women from countries with traditionally higher rates of female labor force participation (FLFP) are more likely to be in the labor force and that those from countries with traditionally lower total fertility rates (TFR) have relatively less children.</t>
  </si>
  <si>
    <t>jcre_05_1</t>
  </si>
  <si>
    <t>jcre_05</t>
  </si>
  <si>
    <t>Poole, J. P. (2013). Knowledge Transfers from Multinational to Domestic Firms: Evidence from Worker Mobility. The Review of Economics and Statistics, 95(2), 393–406. DOI:
10.1162/REST_a_00258</t>
  </si>
  <si>
    <t>10.1162/REST_a_00258</t>
  </si>
  <si>
    <t>10.1162--rest_a_00258.pdf</t>
  </si>
  <si>
    <t>Haller, S. A., Flaherty, E. T., Balsvik, R. (2023). Knowledge Transfers
from Multinational to Domestic Firms: Evidence from Worker Mobility. A Replication Study of Poole (Review of Economics and Statistics, 2013). Journal of Comments and Replications in Economics, Vol 2(2023-3). DOI: 10.18718/81781.29</t>
  </si>
  <si>
    <t>10.18718/81781.29</t>
  </si>
  <si>
    <t>10.18718--81781.29.pdf</t>
  </si>
  <si>
    <t>"This paper replicates Poole (2013) using comprehensive Norwegian and Irish register data."</t>
  </si>
  <si>
    <t>When workers leave multinationals and are rehired at domestic establishments, the wages of their new coworkers who have already been present in the establishment increase</t>
  </si>
  <si>
    <t>jcre_06_1</t>
  </si>
  <si>
    <t>jcre_06</t>
  </si>
  <si>
    <t>Unable to code as economics papers differ from psychology/social science papers in structure, focus, and reporting. They emphasise calculations and procedures applied to different datasets/settings rather than replicating an effect.</t>
  </si>
  <si>
    <t>Autor, D. H., Katz, L. F., &amp; Kearney, M. S. (2008). Trends in U.S. Wage Inequality: Revising
the Revisionists. Review of Economics and Statistics, 90 (2): 300–323. DOI: 10.1162/rest.90.
2.300</t>
  </si>
  <si>
    <t>10.1162/rest.90. 2.300</t>
  </si>
  <si>
    <t>10.1162--rest.90. 2.300.pdf</t>
  </si>
  <si>
    <t>Stephenson, C. (2024). Trends in U.S. Wage Inequality: Revising the Revisionists. A Replication Study of Autor, Katz, and Kearney (2008). Journal of Comments and Replications
in Economics, Vol.3 (2024-4). DOI: 10.18718/81781.34</t>
  </si>
  <si>
    <t>10.18718--81781.34.pdf</t>
  </si>
  <si>
    <t>"This paper successfully replicates Autor et al. (2008) and extends their analysis through 2022."</t>
  </si>
  <si>
    <t>replication; ECLS-K; teacher certification; teacher qualifications</t>
  </si>
  <si>
    <t>Certain teacher qualifications [...]  positively   impacted reading and  math achievement  for first grade  students  in  the  United  States.</t>
  </si>
  <si>
    <t>"Students taught by teachers with an elementary education degree, however, gain more in reading (0.08 SD) than students taught by teachers with a different type of degree (e.g., early childhood education) [...]"</t>
  </si>
  <si>
    <t>p. 320</t>
  </si>
  <si>
    <t>q6tv8_1</t>
  </si>
  <si>
    <t>q6tv8</t>
  </si>
  <si>
    <t>2c</t>
  </si>
  <si>
    <t>Röseler, L., Bögler, H. L., Koßmann, L., Krueger, S., Bickenbach, S., Bühler, R., … Ponader, S. (2023, July 11). Results Report: Replication of Epley and Gilovich  (2006, Study 2c). https://doi.org/10.17605/OSF.IO/Q6TV8</t>
  </si>
  <si>
    <t>10.17605/OSF.IO/Q6TV8</t>
  </si>
  <si>
    <t>10.17605--osf.io--q6tv8.pdf</t>
  </si>
  <si>
    <t>Online replication</t>
  </si>
  <si>
    <t xml:space="preserve">The magnitude of adjustment-based anchoring is moderated by the cognitive load with high cognitive load leading to less adjustment from self-generated anchors
</t>
  </si>
  <si>
    <t>"In Study 2c, participants who were not cognitively busy provided estimates further from their self-generated anchor values (mean z score 5 0.14) than those who were cognitively encumbered (mean z score =_x0002_0.13), t(92) = 3.18, p &lt; .01, prep = .98, d = 0.66."</t>
  </si>
  <si>
    <t>p.25</t>
  </si>
  <si>
    <t>https://osf.io/q6tv8</t>
  </si>
  <si>
    <t>"There was a significant interaction between our manipulations (NFC, alcohol consumption, or busyness) and question type (self-generated or experimenter-provided anchor) [...] and a marginally significant interaction in Study 2c, F(1, 90) = 3.22, p = .08, prep = .84, eta-square = .03"</t>
  </si>
  <si>
    <t>1. Although Psychological Sciences is not present in the provided list, I have used cognitive psychology as a discipline as I found it more relevant relevant.</t>
  </si>
  <si>
    <t>Close Replication</t>
  </si>
  <si>
    <t>Cognitively busy participants adjusted less from self-generated anchors than those not cognitively busy.</t>
  </si>
  <si>
    <t>"participants who were not cognitively busy provided estimates further from their self-generated anchor values (mean z score 5 0.14) than those who were cognitively encumbered (mean z score 5 􏰀0.13), t(92) 5 3.18, p &lt; .01, prep 5 .98, d 5 0.66."</t>
  </si>
  <si>
    <t>0.66</t>
  </si>
  <si>
    <t>0.215</t>
  </si>
  <si>
    <t>p. 25</t>
  </si>
  <si>
    <t>0.925</t>
  </si>
  <si>
    <t>https://osf.io/ktjc4/</t>
  </si>
  <si>
    <t>resciencex_01_1</t>
  </si>
  <si>
    <t>resciencex_01</t>
  </si>
  <si>
    <t>Croninger, R.G., Rice, J.K., Rathbun, A., &amp; Nishio, M.(2007).Teacher qualifications and early learning: Effects of certification, degree, and experience on first-grade student achievement.Economics of Education Review, 26(3), 312–324.http://doi.org/10.1016/j.econedurev.2005.05.008</t>
  </si>
  <si>
    <t>10.1016--j.econedurev.2005.05.008.pdf</t>
  </si>
  <si>
    <t>Renbarger, R., Sulak, T., &amp; Morgan, G. (2022). The Importance of Teacher Credentials for Early Achievement: A Replication of Croninger et al. (2007) Econ. Edu. Rev. ReScience X, 1(1). https://doi.org/10.5281/zenodo.6426882</t>
  </si>
  <si>
    <t>10.5281/zenodo.6426882</t>
  </si>
  <si>
    <t>10.5281--zenodo.6426882.pdf</t>
  </si>
  <si>
    <t>"This study aimed to replicate a study prior to recent teacher education reforms [...]"</t>
  </si>
  <si>
    <t>Relationships between teacher  qualifications and elementary student achievement</t>
  </si>
  <si>
    <t>rtn9s_1</t>
  </si>
  <si>
    <t>rtn9s</t>
  </si>
  <si>
    <t>Sanja Djordjević, Hans IJzerman</t>
  </si>
  <si>
    <t>replaced DOI with the one from the SSRN website</t>
  </si>
  <si>
    <t>10.1111--j.1467-9280.2009.02426.x.pdf</t>
  </si>
  <si>
    <r>
      <rPr>
        <rFont val="Calibri"/>
        <sz val="11.0"/>
      </rPr>
      <t xml:space="preserve">Djordjević, S., &amp; IJzerman, H. (2015). Weight as an Embodiment of Importance: Replications and Extensions. </t>
    </r>
    <r>
      <rPr>
        <rFont val="Calibri"/>
        <color rgb="FF1155CC"/>
        <sz val="11.0"/>
        <u/>
      </rPr>
      <t>https://dx.doi.org/10.2139/ssrn.2586261</t>
    </r>
  </si>
  <si>
    <t>10.2139/ssrn.2586261</t>
  </si>
  <si>
    <t>10.17605--osf.io--rtn9s.pdf</t>
  </si>
  <si>
    <t>weight, importance, judgements, decision-making</t>
  </si>
  <si>
    <t>importance of weight on having a voice in a decision-making procedure</t>
  </si>
  <si>
    <t>"revealed that participants in the heavy-clipboard ondition (M = 5.27, SD = 1.28) found it more im-portant that the committee listen to the students’ opinions than did participants in the light-clipboard condition (M = 4.21, SD 5 2.10), F(1, 49) = 4.33, p &lt; .05, prep 5 .92, Zp
2 5 .08"</t>
  </si>
  <si>
    <t>https://osf.io/rtn9s/</t>
  </si>
  <si>
    <t>Please review text after copying it and correct it (eg "=" gets copied as "5")</t>
  </si>
  <si>
    <t>Sanja Djordjević, Hans IJzerman, Jyoti Bhogal</t>
  </si>
  <si>
    <t>Djordjević, S., &amp; IJzerman, H. (2015, March 7). Weight as an Embodiment of Importance: Replications and Extensions. https://doi.org/10.17605/OSF.IO/RTN9S</t>
  </si>
  <si>
    <t>10.17605/OSF.IO/RTN9S</t>
  </si>
  <si>
    <t>uxajg_1</t>
  </si>
  <si>
    <t>uxajg</t>
  </si>
  <si>
    <r>
      <rPr>
        <rFont val="Calibri"/>
        <sz val="11.0"/>
      </rPr>
      <t xml:space="preserve">1. Since no paper / report or notes in the OSF, the values for REPLICATION statistical inferences were taken the site: </t>
    </r>
    <r>
      <rPr>
        <rFont val="Calibri"/>
        <color rgb="FF1155CC"/>
        <sz val="11.0"/>
        <u/>
      </rPr>
      <t>https://osf.io/uxajg</t>
    </r>
    <r>
      <rPr>
        <rFont val="Calibri"/>
        <sz val="11.0"/>
      </rPr>
      <t xml:space="preserve"> 
2. Initial OSF registration is under the link: </t>
    </r>
    <r>
      <rPr>
        <rFont val="Calibri"/>
        <color rgb="FF1155CC"/>
        <sz val="11.0"/>
        <u/>
      </rPr>
      <t>https://osf.io/jqzsf</t>
    </r>
  </si>
  <si>
    <t>Adams, D., Koenig, B., Sanders, C., Jackson, D., &amp; Davis, C. (2018, December 4). Response Effort on Cleanliness Priming for Moral Judgements. https://doi.org/10.17605/OSF.IO/UXAJG</t>
  </si>
  <si>
    <t>10.17605/OSF.IO/UXAJG</t>
  </si>
  <si>
    <t>10.17605--osf.io--uxajg.pdf</t>
  </si>
  <si>
    <t>https://osf.io/uxajg</t>
  </si>
  <si>
    <t>1. The description only focused on the "low response effort condition" because replication study mentions that it only replicates the low response effort condition. This was implied from sample size of the original effect. 2. Results for rhe replication are not presented.</t>
  </si>
  <si>
    <t>The cleanliness condition had a lower mean composite rating than the neutral condition in the low response effort condition</t>
  </si>
  <si>
    <t>negative 0.29</t>
  </si>
  <si>
    <t>0.04</t>
  </si>
  <si>
    <t xml:space="preserve">https://osf.io/658pq/ </t>
  </si>
  <si>
    <t>XPHI1_1</t>
  </si>
  <si>
    <t>XPHI1</t>
  </si>
  <si>
    <t>replication study states that the p-value in the original study was p &lt; .01, while the original states that it was p &lt; .001</t>
  </si>
  <si>
    <t>Knobe, J. (2003). Intentional Action and Side Effects in Ordinary Language. Analysis, 63, 190-193.</t>
  </si>
  <si>
    <t>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</si>
  <si>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 </t>
  </si>
  <si>
    <t>10.1007/s13164-018-0400-9</t>
  </si>
  <si>
    <t>https://osf.io/4ewkh</t>
  </si>
  <si>
    <t>10.1007--s13164-018-0400-9.pdf</t>
  </si>
  <si>
    <t>Reproducibility Project</t>
  </si>
  <si>
    <t>Side effect</t>
  </si>
  <si>
    <t>intentional action, side effect</t>
  </si>
  <si>
    <t>Side effects of behavior aimed at a different target</t>
  </si>
  <si>
    <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χ2(1,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</si>
  <si>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3, 4</t>
  </si>
  <si>
    <t>χ2(1) = 27.2</t>
  </si>
  <si>
    <t>kendall's w</t>
  </si>
  <si>
    <t>https://doi.org/10.17605/OSF.IO/GZRMV</t>
  </si>
  <si>
    <t>XPHI states ES for O  w = 0.59, mistake in the p value for O in XPHI (p &lt; .01, while it's actually  &lt; .001)</t>
  </si>
  <si>
    <t>10.1111--1467-8284.00419.pdf</t>
  </si>
  <si>
    <t>experimental philosophy</t>
  </si>
  <si>
    <t>Intentional Action and Side Effects in Ordinary Language</t>
  </si>
  <si>
    <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χ2(1, N = 78) = 27.2, p &lt; .001.</t>
  </si>
  <si>
    <t>p. 3 χ2(1, N = 78) = 27.2, p &lt; .001.</t>
  </si>
  <si>
    <t>χ2(1, N = 100) = 37.25, p = 0.001</t>
  </si>
  <si>
    <r>
      <rPr>
        <rFont val="&quot;Helvetica Neue&quot;"/>
        <color rgb="FF1155CC"/>
        <sz val="11.0"/>
        <u/>
      </rPr>
      <t>osf.io/hdz5x</t>
    </r>
  </si>
  <si>
    <t>validated - chosen (external)</t>
  </si>
  <si>
    <t>XPHI10_1</t>
  </si>
  <si>
    <t>XPHI10</t>
  </si>
  <si>
    <t>No statistics in O, extracted from XPHI</t>
  </si>
  <si>
    <t>Entry from another coder not found</t>
  </si>
  <si>
    <t>Nahmias, E., Morris, S. G., Nadelhoffer, T., &amp; Turner, J. (2006). Is incompatibilism intuitive? Philosophy and Phenomenological Research, 73(1), 28-53</t>
  </si>
  <si>
    <t>10.1111/j.1933-1592.2006.tb00603.x</t>
  </si>
  <si>
    <t>10.1111--j.1933-1592.2006.tb00603.x.pdf</t>
  </si>
  <si>
    <t>X2(1, N = 82) = 8.2439, p = 0.004089)</t>
  </si>
  <si>
    <t>X2(1, N = 161) = 2.2422 df = 1, p = 0.1343</t>
  </si>
  <si>
    <r>
      <rPr>
        <rFont val="&quot;Helvetica Neue&quot;"/>
        <color rgb="FF1155CC"/>
        <sz val="8.0"/>
        <u/>
      </rPr>
      <t>osf.io/m8t3k/</t>
    </r>
  </si>
  <si>
    <t>XPHI11_1</t>
  </si>
  <si>
    <t>XPHI11</t>
  </si>
  <si>
    <t>Knobe, J., &amp; Burra, A. (2006). The folk concepts of intention and intentional action: A cross-cultural study. Journal of Cognition and Culture, 6(1), 113-132.</t>
  </si>
  <si>
    <t>10.1163/156853706776931222</t>
  </si>
  <si>
    <t>intention and intentional action</t>
  </si>
  <si>
    <t>Theory of mind, moral cognition, intention, intentional action, cross-cultural evidence, experimental philosophy</t>
  </si>
  <si>
    <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</si>
  <si>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15, 18, 19</t>
  </si>
  <si>
    <t>χ2(1) = 15.3</t>
  </si>
  <si>
    <t>p. 18-19</t>
  </si>
  <si>
    <t>https://doi.org/10.17605/OSF.IO/N5ZSX</t>
  </si>
  <si>
    <t>XPHI states ES for O  w = 0.61</t>
  </si>
  <si>
    <t>10.1163--156853706776931222.pdf</t>
  </si>
  <si>
    <t>Subjects were significantly more likely to say that the chairman acted jaan-bujhkar in the harm condition than in the help condition,</t>
  </si>
  <si>
    <t>p. 18-19, X2(1, N = 41) = 15.3, p &lt;.001</t>
  </si>
  <si>
    <t>X2(1, N = 48) = 17.85, p &lt; .001</t>
  </si>
  <si>
    <r>
      <rPr>
        <rFont val="&quot;Helvetica Neue&quot;"/>
        <color rgb="FF1155CC"/>
        <sz val="11.0"/>
        <u/>
      </rPr>
      <t>osf.io/p48sa/</t>
    </r>
  </si>
  <si>
    <t>XPHI12_1</t>
  </si>
  <si>
    <t>XPHI12</t>
  </si>
  <si>
    <t>The p-value in the original paper is described as "p &lt; .05" while the table states that the original p-value was p = 0.03.</t>
  </si>
  <si>
    <t>Nichols, S. (2006). Folk intuitions on free will. Journal of Cognition and Culture, 6(1), 57-86.</t>
  </si>
  <si>
    <t>10.1163/156853706776931385</t>
  </si>
  <si>
    <t>Free will, responsibility, folk intuitions, experimental philosophy, conceptual analysis</t>
  </si>
  <si>
    <t>"For Part I, 6 responded as determinists, and 2 responded as indeterminists.", "The appeal to indeterminist choice was extremely rare when subjects were asked to predict the decision of psychological duplicates. This provides some rudimentary support for Hume’s claim that people really accept psychological determinism."</t>
  </si>
  <si>
    <t>16, 17</t>
  </si>
  <si>
    <t>χ2(1) = 4.500</t>
  </si>
  <si>
    <t>https://osf.io/mr3nb</t>
  </si>
  <si>
    <t>https://doi.org/10.17605/OSF.IO/TFC6X</t>
  </si>
  <si>
    <r>
      <rPr>
        <rFont val="Arial"/>
        <color theme="1"/>
        <sz val="11.0"/>
      </rPr>
      <t xml:space="preserve">XPHI states ES for O  w = 0.75, </t>
    </r>
    <r>
      <rPr>
        <rFont val="Arial"/>
        <color rgb="FFB6D7A8"/>
        <sz val="11.0"/>
      </rPr>
      <t>The p-value in the original paper is described as "p &lt; .05" while the table states that the original p-value was p = 0.03.</t>
    </r>
  </si>
  <si>
    <t>10.1163--156853706776931385.pdf</t>
  </si>
  <si>
    <t>Moral Responsibility</t>
  </si>
  <si>
    <t>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</si>
  <si>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p. 17 X2(1, N = 8) = 4.5, p = 0.03</t>
  </si>
  <si>
    <t>X2(1, N = 50) = 9.68, p = 0.001863</t>
  </si>
  <si>
    <r>
      <rPr>
        <rFont val="&quot;Helvetica Neue&quot;"/>
        <color rgb="FF1155CC"/>
        <sz val="11.0"/>
        <u/>
      </rPr>
      <t>osf.io/8kf3p/</t>
    </r>
  </si>
  <si>
    <t>XPHI13_1</t>
  </si>
  <si>
    <t>XPHI13</t>
  </si>
  <si>
    <t>ES for O copied from XPHI dataset</t>
  </si>
  <si>
    <t>Nadelhoffer, T. (2006). Bad acts, blameworthy agents, and intentional actions: Some problems for juror impartiality. Philosophical explorations, 9(2), 203-219.</t>
  </si>
  <si>
    <t>10.1080/13869790600641905</t>
  </si>
  <si>
    <t>10.1080--13869790600641905.pdf</t>
  </si>
  <si>
    <t>the participants in C1 were more likely to say that the thief knowingly brought about the officer’s death (75 percent) than the participants in C2 were to say that the driver knowingly brought about the death of the car thief</t>
  </si>
  <si>
    <t>p. 210</t>
  </si>
  <si>
    <t>p. 210 X2(1, N = 126) = 7.62, p &lt; .01</t>
  </si>
  <si>
    <t>χ2(1, N = 259) = 43.02, p &lt; 0.001</t>
  </si>
  <si>
    <r>
      <rPr>
        <rFont val="&quot;Helvetica Neue&quot;"/>
        <color rgb="FF1155CC"/>
        <sz val="11.0"/>
        <u/>
      </rPr>
      <t>osf.io/bv42c/</t>
    </r>
  </si>
  <si>
    <t>XPHI14_1</t>
  </si>
  <si>
    <t>XPHI14</t>
  </si>
  <si>
    <t>Nichols, S., &amp; Knobe, J. (2007). Moral responsibility and determinism: The cognitive science of folk intuitions. Nous, 41(4), 663-685.</t>
  </si>
  <si>
    <t>10.1111/j.1468-0068.2007.00666.x</t>
  </si>
  <si>
    <t>10.1111--j.1468-0068.2007.00666.x.pdf</t>
  </si>
  <si>
    <t>Experimental Evidence: First Phase</t>
  </si>
  <si>
    <t>50% of subjects gave the compatibilist response, which is still significantly different from the very low number of compatibilist responses in the abstract condition.8</t>
  </si>
  <si>
    <t>p. 670</t>
  </si>
  <si>
    <t>p. 682 X2(1, N = 41) = 6.034, p &lt; 0.05</t>
  </si>
  <si>
    <t>Χ2 = 42.2, df = 1, p&lt;.001</t>
  </si>
  <si>
    <r>
      <rPr>
        <rFont val="&quot;Helvetica Neue&quot;"/>
        <color rgb="FF1155CC"/>
        <sz val="11.0"/>
        <u/>
      </rPr>
      <t>osf.io/693bm/</t>
    </r>
  </si>
  <si>
    <t>XPHI15_1</t>
  </si>
  <si>
    <t>XPHI15</t>
  </si>
  <si>
    <t xml:space="preserve">The study states that "All analyses were conducted on the remaining sample of 632 participants.", but the replication states that only 307 participants were analzed (which seems to be more logically when having a look on the analyses) </t>
  </si>
  <si>
    <t>Nahmias, E., Coates, D. J., &amp; Kvaran, T. (2007). Free will, moral responsibility, and mechanism: Experiments on folk intuitions. Midwest studies in Philosophy, 31(1), 214-242.</t>
  </si>
  <si>
    <t>10.1111/j.1475-4975.2007.00158.x</t>
  </si>
  <si>
    <t>free will, moral responsibility, folk intuitions</t>
  </si>
  <si>
    <t xml:space="preserve">free will: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 parison to agents and actions described in an abstract way. We found strong evidence in support of all of these predictions." </t>
  </si>
  <si>
    <t>15, 19</t>
  </si>
  <si>
    <t>F(1, 298) = 36.375</t>
  </si>
  <si>
    <t>F(1, 172) = 20.08</t>
  </si>
  <si>
    <t>https://osf.io/n4573</t>
  </si>
  <si>
    <t>https://doi.org/10.17605/OSF.IO/69DQC</t>
  </si>
  <si>
    <t>XPHI dataset states: partial η2 = .109 as ES</t>
  </si>
  <si>
    <t>10.1111--j.1475-4975.2007.00158.x.pdf</t>
  </si>
  <si>
    <t>free will</t>
  </si>
  <si>
    <t>For judgments of each of the five variables, we found similar results that indicated highly significant differences (p &lt; .001) depending on whether agents’ decision-making in the scenario was described in psychological terms or neuroscientific (mechanistic) terms ... free will.</t>
  </si>
  <si>
    <t>p. 15 F(1, 298) = 36.375, p &lt; .001</t>
  </si>
  <si>
    <t>F(1, 172) = 20.08, MSE = 2.02, p &lt; .001</t>
  </si>
  <si>
    <r>
      <rPr>
        <rFont val="&quot;Helvetica Neue&quot;"/>
        <color rgb="FF1155CC"/>
        <sz val="11.0"/>
        <u/>
      </rPr>
      <t>osf.io/pjdkg</t>
    </r>
  </si>
  <si>
    <t>XPHI16_1</t>
  </si>
  <si>
    <t>XPHI16</t>
  </si>
  <si>
    <t>Replication report reports Cohens d as d = 0.42, while the original report report d = 0.43</t>
  </si>
  <si>
    <t>Statistics added to es_repr_O, otherwise no discrepancies. Claim O extracted better</t>
  </si>
  <si>
    <t>Livengood, J., &amp; Machery, E. (2007). The folk probably don't think what you think they think: Experiments on causation by absence. Midwest Studies in Philosophy, 31(1), 107-127.</t>
  </si>
  <si>
    <t>10.1111/j.1475-4975.2007.00150.x</t>
  </si>
  <si>
    <t>causation by absence</t>
  </si>
  <si>
    <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</si>
  <si>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10, 14, 15</t>
  </si>
  <si>
    <t>0.43</t>
  </si>
  <si>
    <r>
      <rPr>
        <rFont val="Calibri"/>
        <color theme="1"/>
        <sz val="11.0"/>
      </rPr>
      <t xml:space="preserve">p. 10, </t>
    </r>
    <r>
      <rPr>
        <rFont val="Calibri"/>
        <color rgb="FFB6D7A8"/>
        <sz val="11.0"/>
      </rPr>
      <t>t(93) = 2.07, p &lt; .05</t>
    </r>
  </si>
  <si>
    <t>0.57</t>
  </si>
  <si>
    <t>https://doi.org/10.17605/OSF.IO/N9HDV</t>
  </si>
  <si>
    <t>10.1111--j.1475-4975.2007.00150.x.pdf</t>
  </si>
  <si>
    <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</si>
  <si>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p. 116</t>
  </si>
  <si>
    <t>p. 116, t(93) = 2.07, p &lt; .05</t>
  </si>
  <si>
    <t>t(270) = 4.7265, p &lt; .001</t>
  </si>
  <si>
    <r>
      <rPr>
        <rFont val="&quot;Helvetica Neue&quot;"/>
        <color rgb="FF1155CC"/>
        <sz val="11.0"/>
        <u/>
      </rPr>
      <t>osf.io/7er6r/</t>
    </r>
  </si>
  <si>
    <t>XPHI17_1</t>
  </si>
  <si>
    <t>XPHI17</t>
  </si>
  <si>
    <t>They used the RMEL fitting method as their test statistic; There was no preregistration under "registrations"</t>
  </si>
  <si>
    <t>Greene, J. D., Morelli, S. A., Lowenberg, K., Nystrom, L. E., &amp; Cohen, J. D. (2008). Cognitive load selectively interferes with utilitarian moral judgment. Cognition, 107(3), 1144-1154.</t>
  </si>
  <si>
    <t>10.1016/j.cognition.2007.11.004</t>
  </si>
  <si>
    <t>moral judgement, morality, utilitarian, cognitive control, cognitive load</t>
  </si>
  <si>
    <t>"Critically, we observed the predicted interaction between load and judgment (F(1, 62.9) = 8.5, p = .005).", "Cognitive load selectively increased RT for utilitarian judgment, yielding the predicted interaction between load and judgment type. In the full sample, load increased the average RT for utilitarian judgments by three quarters of a second, but did not increase average RT for non-utilitarian judgments at all. The predicted RT effects were observed in participants who tend toward utilitarian judgment as well those who do not. These results provide direct evidence for the hypothesized asymmetry between utilitarian and non-utilitarian judgments, with the former driven by controlled cognitive processes and the latter driven by more automatic processes. While load impacted RT, it did not reduce the proportion of utilitarian judgments, as one might have expected based on our theory."; RT = previous reaction time</t>
  </si>
  <si>
    <t>6, 8</t>
  </si>
  <si>
    <t>F(1, 62.9) = 8.5</t>
  </si>
  <si>
    <t>F (1, 828.54) = 1.20</t>
  </si>
  <si>
    <t>XPHI doesn't have SE, but has F value. N for R extracted from XPHI ReplicationN_Overall</t>
  </si>
  <si>
    <t>10.1016--j.cognition.2007.11.004.pdf</t>
  </si>
  <si>
    <t>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</si>
  <si>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p 6,8</t>
  </si>
  <si>
    <t>p. 6 F(1, 62.9) = 8.5, p = .005</t>
  </si>
  <si>
    <t>F (1, 828.54) = 1.20, p = .27</t>
  </si>
  <si>
    <r>
      <rPr>
        <rFont val="&quot;Helvetica Neue&quot;"/>
        <color rgb="FF1155CC"/>
        <sz val="11.0"/>
        <u/>
      </rPr>
      <t>osf.io/yb38c</t>
    </r>
  </si>
  <si>
    <t>XPHI18_1</t>
  </si>
  <si>
    <t>XPHI18</t>
  </si>
  <si>
    <t>Gonnerman, C. (2008). Reading conflicted minds: An empirical follow-up to Knobe and Roedder. Philosophical Psychology, 21(2), 193-205.</t>
  </si>
  <si>
    <t>10.1080/09515080801978777</t>
  </si>
  <si>
    <t>egocentric biases in mindreading, valuing</t>
  </si>
  <si>
    <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</si>
  <si>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7, 8</t>
  </si>
  <si>
    <t>0.67</t>
  </si>
  <si>
    <t>https://doi.org/10.17605/OSF.IO/CKJTF</t>
  </si>
  <si>
    <t>XPHI doesn't provide ES, claim from O extracted based on the sample size and p value in XPHI. N for R extracted from XPHI ReplicationN_Overall</t>
  </si>
  <si>
    <t>10.1080--09515080801978777.pdf</t>
  </si>
  <si>
    <t>3.1. Folk Attributions of Desires</t>
  </si>
  <si>
    <t>we found a K&amp;R-pattern in attributions of desires... This suggests that in general, people are more willing to say that what racist George really wants is racial equality than they are willing to say that what liberal George really wants is racial equality.</t>
  </si>
  <si>
    <t>p. 198</t>
  </si>
  <si>
    <r>
      <rPr>
        <rFont val="&quot;Helvetica Neue&quot;"/>
        <color rgb="FF1155CC"/>
        <sz val="11.0"/>
        <u/>
      </rPr>
      <t>osf.io/wy8ab</t>
    </r>
  </si>
  <si>
    <t>XPHI19_1</t>
  </si>
  <si>
    <t>XPHI19</t>
  </si>
  <si>
    <t>Nadelhoffer, T., &amp; Feltz, A. (2008). The actor–observer bias and moral intuitions: Adding fuel to Sinnott-Armstrong’s fire. Neuroethics, 1, 133-144.</t>
  </si>
  <si>
    <t>10.1007/s12152-008-9015-7</t>
  </si>
  <si>
    <t>10.1007--s12152-008-9015-7.pdf</t>
  </si>
  <si>
    <t>Sixty-five percent of the participants in the actor condition judged that it was morally permissible for them to hit the switch, 90% of the participants in the observer condition judged that it was morally permissible for John to hit the switch</t>
  </si>
  <si>
    <t>pp. 140-141</t>
  </si>
  <si>
    <t>p. 140 X2(1, N = 85) = 7.873, p = .005</t>
  </si>
  <si>
    <t>X2(1, N = 150) = 0.33, p = 0.56</t>
  </si>
  <si>
    <r>
      <rPr>
        <rFont val="&quot;Helvetica Neue&quot;"/>
        <color rgb="FF1155CC"/>
        <sz val="11.0"/>
        <u/>
      </rPr>
      <t>osf.io/jb8yp/</t>
    </r>
  </si>
  <si>
    <t>XPHI2_1</t>
  </si>
  <si>
    <t>XPHI2</t>
  </si>
  <si>
    <t>Knobe, J. (2003). Intentional action in folk psychology: An experimental investigation. Philosophical Psychology, 16(2), 309-324.</t>
  </si>
  <si>
    <t>10.1080/09515080307771</t>
  </si>
  <si>
    <t>10.1080--09515080307771.pdf</t>
  </si>
  <si>
    <t>In the absence of skill, murder is judged intentional but achievement is not</t>
  </si>
  <si>
    <t>Notice in particular the results for vignettes in the no-skill conditions. Only 28% of subjects in the achievement condition said the behavior was intentional, but a full 76% of subjects in the immoral condition
thought the behavior was intentional.</t>
  </si>
  <si>
    <t>pp. 313-314</t>
  </si>
  <si>
    <t>p. 314 X2(1, N=37) = 7.7, df = 1, p &lt; .01</t>
  </si>
  <si>
    <t>χ2(1, N = 145) = 52.5, p &lt; .001</t>
  </si>
  <si>
    <r>
      <rPr>
        <rFont val="&quot;Helvetica Neue&quot;"/>
        <color rgb="FF1155CC"/>
        <sz val="11.0"/>
        <u/>
      </rPr>
      <t>osf.io/78sqa/</t>
    </r>
  </si>
  <si>
    <t>XPHI20_1</t>
  </si>
  <si>
    <t>XPHI20</t>
  </si>
  <si>
    <t>In the original paper, it is stated that 3,422 individuals participated. In the table of the replication report, however, an effective sample size of 3,413 is listed. I used this number because it seems more plausible with regard to the t-test. I applied this number for both effects.</t>
  </si>
  <si>
    <t>seems that statistics from O put in tn the wrong cells</t>
  </si>
  <si>
    <t>Hitchcock, C., &amp; Knobe, J. (2009). Cause and norm. The Journal of Philosophy, 106(11), 587-612.</t>
  </si>
  <si>
    <t>10.5840/jphil20091061128</t>
  </si>
  <si>
    <t>cause, norm</t>
  </si>
  <si>
    <t>"Here the attending doctor is clearly violating a norm, but there is no sense at all in which he can be considered blameworthy for the patient's recovery. (Mter all, the patient's recovery is something good, and there can therefore be no question about who is to blame for it.) 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""Subjects rated each statement on a scale from 1 ('disagree') to 7 ('agree'). Overall, the statement about the attending donor received a mean rating of 3.9; the statement about the pharmacist received a mean rating of 2.5, This difference was statistically significant, t(3411) = 21.5, P &lt; .001."</t>
  </si>
  <si>
    <t>t(3411) = 21.5</t>
  </si>
  <si>
    <t>https://doi.org/10.17605/OSF.IO/JW84M</t>
  </si>
  <si>
    <t>10.5840--jphil20091061128.pdf</t>
  </si>
  <si>
    <t>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</si>
  <si>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p. 18 t(3411) = 21.5, p &lt; .001</t>
  </si>
  <si>
    <t>t(198) = 4.44, p &lt; 0.001</t>
  </si>
  <si>
    <r>
      <rPr>
        <rFont val="&quot;Helvetica Neue&quot;"/>
        <color rgb="FF1155CC"/>
        <sz val="11.0"/>
        <u/>
      </rPr>
      <t>osf.io/ykt7z</t>
    </r>
  </si>
  <si>
    <t>XPHI21_1</t>
  </si>
  <si>
    <t>XPHI21</t>
  </si>
  <si>
    <t>Emplty cells</t>
  </si>
  <si>
    <t>Roxborough, C., &amp; Cumby, J. (2009). Folk psychological concepts: Causation. Philosophical Psychology, 22(2), 205-213.</t>
  </si>
  <si>
    <t>10.1080/09515080902802769</t>
  </si>
  <si>
    <t>atypicality, causality, folk psychology</t>
  </si>
  <si>
    <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</si>
  <si>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t(117) = 21.05</t>
  </si>
  <si>
    <t>https://doi.org/10.17605/OSF.IO/P56KE</t>
  </si>
  <si>
    <t xml:space="preserve">More precise </t>
  </si>
  <si>
    <t>10.1080--09515080902802769.pdf</t>
  </si>
  <si>
    <t>As it turns out, participants in our study were significantly less willing to agree with the claim that Professor Smith caused the problem</t>
  </si>
  <si>
    <t>p. 8, 10</t>
  </si>
  <si>
    <t xml:space="preserve">p. 10  t(117) = 7.47, p &lt; .001 </t>
  </si>
  <si>
    <t>t(204) = -1.387, p = 0.917</t>
  </si>
  <si>
    <r>
      <rPr>
        <rFont val="&quot;Helvetica Neue&quot;"/>
        <color rgb="FF1155CC"/>
        <sz val="11.0"/>
        <u/>
      </rPr>
      <t>osf.io/5eanz/</t>
    </r>
  </si>
  <si>
    <t>XPHI22_1</t>
  </si>
  <si>
    <t>XPHI22</t>
  </si>
  <si>
    <t>There was no preregistration under "registrations"; The correlation was not significant, but test statistics were not specified further</t>
  </si>
  <si>
    <t>Nadelhoffer, T., Kvaran, T., &amp; Nahmias, E. (2009). Temperament and intuition: A commentary on Feltz and Cokely. Consciousness and cognition, 18(1), 351-355.</t>
  </si>
  <si>
    <t>10.1016/j.concog.2008.11.006</t>
  </si>
  <si>
    <t>free will, moral responsibility, personality, extraversion, folk intuitions</t>
  </si>
  <si>
    <t xml:space="preserve">"We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 </t>
  </si>
  <si>
    <t>XPHI dataset doesn't provide statistics for O, so not possible to extract data. Based on the sample size I would assume, that p. 353 of O has some results provided.</t>
  </si>
  <si>
    <t>10.1016--j.concog.2008.11.006.pdf</t>
  </si>
  <si>
    <t>r = 0.139, p = 0.002</t>
  </si>
  <si>
    <r>
      <rPr>
        <rFont val="&quot;Helvetica Neue&quot;"/>
        <color rgb="FF1155CC"/>
        <sz val="11.0"/>
        <u/>
      </rPr>
      <t>osf.io/txs86</t>
    </r>
  </si>
  <si>
    <t>XPHI23_1</t>
  </si>
  <si>
    <t>XPHI23</t>
  </si>
  <si>
    <t>I calculated the original effect size using the ES calculation excel sheet. The original paper only reports a comparison between the positive, negative and neutral scenario. The replication table reports a p-value of p &lt; .05.</t>
  </si>
  <si>
    <t>Marked as help needed, cause both rows have correct info, but use different approach, Probably the best approach will be to combine them</t>
  </si>
  <si>
    <t>De Brigard, F. (2010). If you like it, does it matter if it's real?. Philosophical Psychology, 23(1), 43-57.</t>
  </si>
  <si>
    <t>10.1080/09515080903532290</t>
  </si>
  <si>
    <t>experience machine, Nozick, pleasure, reality, status quo bias</t>
  </si>
  <si>
    <t>"The results were quite surprising (figure 1). For the Negative scenario, only 13% of the participants said to prefer reality; 87% of them would prefer to remain connected. In the Positive scenario, the distribution evened out: 50% of the participants said they would like to go back to reality, and 50% said they would like to remain connected.", "Taken at face value these results show that the variable ‘‘contact with reality’’ is not as critical as the original version of the thought-experiment suggests. If it were the case that people care about reality more than they care about how their life is experienced from the inside, then one would expect that, regardless of how reality turns out to be, they would choose it over a simulated life."</t>
  </si>
  <si>
    <t>6, 7</t>
  </si>
  <si>
    <t>0.149</t>
  </si>
  <si>
    <t>p. 6-7</t>
  </si>
  <si>
    <t>https://doi.org/10.17605/OSF.IO/ZWKMN</t>
  </si>
  <si>
    <t>Mathcing statistics for O not found, copied from XPHI</t>
  </si>
  <si>
    <t>10.1080--09515080903532290.pdf</t>
  </si>
  <si>
    <t>X2(1, N = 48) = 6.2061, p &lt; .05</t>
  </si>
  <si>
    <t>X2(1, 60) = 4.3015, p = 0.04</t>
  </si>
  <si>
    <r>
      <rPr>
        <rFont val="&quot;Helvetica Neue&quot;"/>
        <color rgb="FF1155CC"/>
        <sz val="11.0"/>
        <u/>
      </rPr>
      <t>osf.io/cvuwy/</t>
    </r>
  </si>
  <si>
    <t>XPHI24_1</t>
  </si>
  <si>
    <t>XPHI24</t>
  </si>
  <si>
    <t>There was no preregistration under "registrations"; While the table reports d = 0.66 and p &lt; .001 for the replication, the post-replication report states that it was d = 0.672, p &lt; .0005</t>
  </si>
  <si>
    <t>Beebe, J. R., &amp; Buckwalter, W. (2010). The epistemic side‐effect effect. Mind &amp; Language, 25(4), 474-498.</t>
  </si>
  <si>
    <t>10.1111/j.1468-0017.2010.01398.x</t>
  </si>
  <si>
    <t>epistemic side-effect</t>
  </si>
  <si>
    <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</si>
  <si>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 t(747) = −10.126</t>
  </si>
  <si>
    <t>10.1111--j.1468-0017.2010.01398.x.pdf</t>
  </si>
  <si>
    <t>On the Gradient scoring method, participants’ mean level of agreement in the harm condition (M = 2.25, SD = 1.50) varied from that of the help condition (M = 0.91, SD = 2.09).</t>
  </si>
  <si>
    <t>p. 476</t>
  </si>
  <si>
    <t>p. 476 t = −10.126, df = 747, p&lt;.001</t>
  </si>
  <si>
    <t>t(512) = 7.4773, p &lt; .001</t>
  </si>
  <si>
    <r>
      <rPr>
        <rFont val="&quot;Helvetica Neue&quot;"/>
        <color rgb="FF1155CC"/>
        <sz val="11.0"/>
        <u/>
      </rPr>
      <t>osf.io/n6r3b/</t>
    </r>
  </si>
  <si>
    <t>XPHI25_1</t>
  </si>
  <si>
    <t>XPHI25</t>
  </si>
  <si>
    <t>There was no preregistration under "registrations"; While the table reports d = 0.52 for the replication, the post-replication report states that it was d = 0.51; I calculated the original effect size using the ES calculation excel sheet.</t>
  </si>
  <si>
    <t>Sytsma, J., &amp; Machery, E. (2010). Two conceptions of subjective experience. Philosophical studies, 151, 299-327.</t>
  </si>
  <si>
    <t>10.1007/s11098-009-9439-x</t>
  </si>
  <si>
    <t>phenomenal consciousnee, folk concept of subjective experience, hard problem of consciousness</t>
  </si>
  <si>
    <t>"Consistent with our hypothesis, philosophers [...] were unwilling to ascribe [...]  the perceptual experience of seeing red [...]  to the robot (the mean answers are significantly lower than 4). By contrast, philosophers were willing to ascribe [...]  states to a normal human male (the mean answers are significantly higher than 4). Contrary to the hypothesis that the folk and philosophers conceive of subjective experience similarly", "In contrast to the prediction derived from the hypothesis that the philosophical concept of phenomenal consciousness coincides with the common-sense conception of subjective experience, the results show a clear divergence between philosophers and the folk: On average, the folk (but not philosophers) are willing to ascribe the perceptual state of seeing red to a simple robot. Given the illustrative centrality of the example of the redness of red to the philosophical concept of phenomenal consciousness, our results indicate that philosophers’ concept of phenomenal consciousness is not how the folk understand subjective experience."</t>
  </si>
  <si>
    <t>9, 10</t>
  </si>
  <si>
    <t>0.875</t>
  </si>
  <si>
    <t>XPHI states N O as 148, while for study 1 it's 601 after exclusion. Data for O extracted based on the ES stated in XPHI. ES for O extracted from XPHI</t>
  </si>
  <si>
    <t>10.1007--s11098-009-9439-x.pdf</t>
  </si>
  <si>
    <t>Study 1</t>
  </si>
  <si>
    <t>The difference between the average folk ascription of seeing red and of feeling pain is statistically significant...</t>
  </si>
  <si>
    <t>p. 325</t>
  </si>
  <si>
    <t>p.325 t(109) = 7.12, p&lt;001] and the effect size (d = 0.87) i</t>
  </si>
  <si>
    <t>t(86) = 2.420, p = .018</t>
  </si>
  <si>
    <r>
      <rPr>
        <rFont val="&quot;Helvetica Neue&quot;"/>
        <color rgb="FF1155CC"/>
        <sz val="11.0"/>
        <u/>
      </rPr>
      <t>osf.io/z2fj8</t>
    </r>
  </si>
  <si>
    <t>XPHI26_1</t>
  </si>
  <si>
    <t>XPHI26</t>
  </si>
  <si>
    <t>The number of participants corresponds to the effective sample size listed in the table. This number also aligns with the ANOVA.</t>
  </si>
  <si>
    <t>Alicke, M. D., Rose, D., &amp; Bloom, D. (2011). Causation, norm violation, and culpable control. The Journal of Philosophy, 108(12), 670-696.</t>
  </si>
  <si>
    <t>10.5840/jphil20111081238</t>
  </si>
  <si>
    <t>causation, norm violation, culpable control</t>
  </si>
  <si>
    <t>"Significant interactions between the drug decision (that is, to violate the norm and administer the drug or to adhere to the norm and reftise the drug) and the outcome of the decision (that is, recovery, death, or no outcome) on evaluations (that is, blame/praise) of the physician's  [...]  ratings of his causal involvement, F{1, 213) = 13.05, p &lt; .001, supported culpable-control predictions.",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</si>
  <si>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10, 11</t>
  </si>
  <si>
    <t xml:space="preserve">F(1, 213) = 13.05 </t>
  </si>
  <si>
    <t>https://doi.org/10.17605/OSF.IO/QP8V3</t>
  </si>
  <si>
    <t>10.5840--jphil20111081238.pdf</t>
  </si>
  <si>
    <t xml:space="preserve">Significant interactions between the drug decision (that is, to violate the norm and administer the drug or to adhere to the norm and reftise the drug) and ... on ratings of his causal involvement, E{1, 213) = 13.05, p &lt; .001, supported culpable-control predictions. </t>
  </si>
  <si>
    <t>p 10,11</t>
  </si>
  <si>
    <t>Interaction effect, F(1, 213) = 13.05, p &lt; .001</t>
  </si>
  <si>
    <t>F(1, 213) = 0.98, p=.32</t>
  </si>
  <si>
    <r>
      <rPr>
        <rFont val="&quot;Helvetica Neue&quot;"/>
        <color rgb="FF1155CC"/>
        <sz val="11.0"/>
        <u/>
      </rPr>
      <t>osf.io/4yuym</t>
    </r>
  </si>
  <si>
    <t>XPHI27_1</t>
  </si>
  <si>
    <t>XPHI27</t>
  </si>
  <si>
    <t>There was no testing of participants. The study was about search hits.; No test statistics are reported in the original article, but the table includes a reconstructed Chi-squared test: X2(1, N = 15664) = 1512.4, p &lt; 0.001</t>
  </si>
  <si>
    <t>Reuter, K. (2011). Distinguishing the appearance from the reality of pain. Journal of Consciousness Studies, 18(9-10), 94-109.</t>
  </si>
  <si>
    <t>reality of pain, appearance of pain</t>
  </si>
  <si>
    <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</si>
  <si>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0.27</t>
  </si>
  <si>
    <t>There was no testing of participants. The study was about search hits.; No test statistics are reported in the original article, but the table includes a reconstructed Chi-squared test: X2(1, N = 15664) = 1512.4, p &lt; 0.001.  Matching statistics not found in the paper. N, ES and P value for O extracted based on the XPHI</t>
  </si>
  <si>
    <t>X2(1, N = 15664) = 1512.4, p &lt; 0.001</t>
  </si>
  <si>
    <t>X2(1, N = 2211) = 159.39, p &lt; 0.001</t>
  </si>
  <si>
    <r>
      <rPr>
        <rFont val="&quot;Helvetica Neue&quot;"/>
        <color rgb="FF1155CC"/>
        <sz val="11.0"/>
        <u/>
      </rPr>
      <t>osf.io/3sn6j</t>
    </r>
  </si>
  <si>
    <t>XPHI28_1</t>
  </si>
  <si>
    <t>XPHI28</t>
  </si>
  <si>
    <t>XPHI also statest partial η2 = .16 as ES for O</t>
  </si>
  <si>
    <t>Sarkissian, H., Park, J., Tien, D., Wright, J. C., &amp; Knobe, J. (2011). Folk moral relativism. Mind &amp; Language, 26(4), 482-505.</t>
  </si>
  <si>
    <t>10.1111/j.1468-0017.2011.01428.x</t>
  </si>
  <si>
    <t>10.1111--j.1468-0017.2011.01428.x.pdf</t>
  </si>
  <si>
    <t>There was no main effect of transgression and no interaction effect. However, there was a significant main effect of condition,</t>
  </si>
  <si>
    <t>p. 488</t>
  </si>
  <si>
    <t>p. 488 F (2, 218) = 20.7, p &lt; 0.001</t>
  </si>
  <si>
    <t>F(2,360) = 20.9, p &lt; 0.001</t>
  </si>
  <si>
    <r>
      <rPr>
        <rFont val="&quot;Helvetica Neue&quot;"/>
        <color rgb="FF1155CC"/>
        <sz val="11.0"/>
        <u/>
      </rPr>
      <t>osf.io/dbx75/</t>
    </r>
  </si>
  <si>
    <t>XPHI29_1</t>
  </si>
  <si>
    <t>XPHI29</t>
  </si>
  <si>
    <t>There is a second preregistration: https://doi.org/10.17605/OSF.IO/ERB5W</t>
  </si>
  <si>
    <t>Paxton, J. M., Ungar, L., &amp; Greene, J. D. (2012). Reflection and reasoning in moral judgment. Cognitive science, 36(1), 163-177.</t>
  </si>
  <si>
    <t>10.1111/j.1551-6709.2011.01210.x</t>
  </si>
  <si>
    <t>Dual-process model, Moral decision making, Moral judgment, Moral psychology, Moral reasoning, Morality, Reflection, Social intuitionist model</t>
  </si>
  <si>
    <t>"Results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</si>
  <si>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4, 7</t>
  </si>
  <si>
    <t>0.13</t>
  </si>
  <si>
    <t>https://doi.org/10.17605/OSF.IO/5NZ6W</t>
  </si>
  <si>
    <t>10.1111--j.1551-6709.2011.01210.x.pdf</t>
  </si>
  <si>
    <t xml:space="preserve">Results confirmed our first prediction: Subjects in the CRT-First condition judged the utilitarian actions to be more
acceptable </t>
  </si>
  <si>
    <t>p. 166</t>
  </si>
  <si>
    <t>p. 166 CRT-First: M = 3.77; Dilemmas-First: M = 3.25; t(90) = 2.03, p = .05, d = 0.43).</t>
  </si>
  <si>
    <t>t(296) = 1.16, p = 0.24</t>
  </si>
  <si>
    <r>
      <rPr>
        <rFont val="&quot;Helvetica Neue&quot;"/>
        <color rgb="FF1155CC"/>
        <sz val="11.0"/>
        <u/>
      </rPr>
      <t>osf.io/ejmyw</t>
    </r>
  </si>
  <si>
    <t>XPHI3_1</t>
  </si>
  <si>
    <t>XPHI3</t>
  </si>
  <si>
    <t>Machery, E., Mallon, R., Nichols, S., &amp; Stich, S. P. (2004). Semantics, cross-cultural style. Cognition, 92(3), B1-B12.</t>
  </si>
  <si>
    <t>10.1016/j.cognition.2003.10.003</t>
  </si>
  <si>
    <t>semantic intuition (cultural differences)</t>
  </si>
  <si>
    <t>Semantic intuitions, Proper names, Reference, Cultural differences, Kripke, Descriptivism;,Causal historical theory</t>
  </si>
  <si>
    <t>Westerners are more likely than East Asians to report intuitions that are consistent with the causal-historical view (see Abstract)</t>
  </si>
  <si>
    <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</si>
  <si>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t(70) = -2.55</t>
  </si>
  <si>
    <t>https://doi.org/10.17605/OSF.IO/SSDMT</t>
  </si>
  <si>
    <t xml:space="preserve">t value extracted in compliance with O, XPHI also ststes ES d = 0.61 </t>
  </si>
  <si>
    <t>added study numbers in original ref</t>
  </si>
  <si>
    <t>1+2</t>
  </si>
  <si>
    <t>10.1016--j.cognition.2003.10.003.pdf</t>
  </si>
  <si>
    <t>Westerners are more likely than East Asians to report intuitions that are consistent with the causal-historical view</t>
  </si>
  <si>
    <t xml:space="preserve">The Westerners were more likely than the Chinese to give causal-historical responses. </t>
  </si>
  <si>
    <t>p, 7 t(70) = -2.55 p &lt; .05</t>
  </si>
  <si>
    <t>t(179) = 0.004, p =.99</t>
  </si>
  <si>
    <r>
      <rPr>
        <rFont val="&quot;Helvetica Neue&quot;"/>
        <color rgb="FF1155CC"/>
        <sz val="8.0"/>
        <u/>
      </rPr>
      <t>osf.io/qdekc/</t>
    </r>
  </si>
  <si>
    <t>XPHI30_1</t>
  </si>
  <si>
    <t>XPHI30</t>
  </si>
  <si>
    <t>Participants in the thief contrast condition tended to agree with the knowledge ascription they received (mean rating: 4.6), while participants in the jewel contrast condition tended to disagree with the knowledge ascription they received (mean rating: 3.1).</t>
  </si>
  <si>
    <t>p. 690</t>
  </si>
  <si>
    <t>p. 705 t(98) = 3.4, p = .001</t>
  </si>
  <si>
    <t>p &lt;.001</t>
  </si>
  <si>
    <r>
      <rPr>
        <rFont val="&quot;Helvetica Neue&quot;"/>
        <color rgb="FF1155CC"/>
        <sz val="11.0"/>
        <u/>
      </rPr>
      <t>osf.io/pfng2</t>
    </r>
  </si>
  <si>
    <t>XPHI31_1</t>
  </si>
  <si>
    <t>XPHI31</t>
  </si>
  <si>
    <t>There was no preregistration under "registrations"</t>
  </si>
  <si>
    <t>May, J., &amp; Holton, R. (2012). What in the world is weakness of will?. Philosophical Studies, 157, 341-360.</t>
  </si>
  <si>
    <t>10.1007/s11098-010-9651-8</t>
  </si>
  <si>
    <t>Akrasia  Weakness of will,  Intention, Resolution, Prototype concepts, Knobe effect</t>
  </si>
  <si>
    <t>"an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</si>
  <si>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15, 16</t>
  </si>
  <si>
    <t>F(1, 113) = 4.10</t>
  </si>
  <si>
    <t>F(1, 364) = 7.06</t>
  </si>
  <si>
    <t>XPHI also states ES for O - partial η2 = .035, and for R - partial η2 = 0.019, also N for R extracted from N R overall (N ES is missing), looks correct based on F</t>
  </si>
  <si>
    <t>10.1007--s11098-010-9651-8.pdf</t>
  </si>
  <si>
    <t>Moreover, an analysis of the data revealed a significant effect of the Action-Valence variable such that subjects are more inclined to agree with the attribution of weakness of will when the valence of the action the agent ends up succumbing to perform is bad as opposed to neutral.</t>
  </si>
  <si>
    <t>p. 355</t>
  </si>
  <si>
    <t>p. 355 F(1, 113) = 4.10, p = .045</t>
  </si>
  <si>
    <t>F(1, 364) = 7.06, p =.008</t>
  </si>
  <si>
    <r>
      <rPr>
        <rFont val="&quot;Helvetica Neue&quot;"/>
        <color rgb="FF1155CC"/>
        <sz val="11.0"/>
        <u/>
      </rPr>
      <t>osf.io/s37h6/</t>
    </r>
  </si>
  <si>
    <t>XPHI32_1</t>
  </si>
  <si>
    <t>XPHI32</t>
  </si>
  <si>
    <t>The authors of the replication study used a GEE analysis and described their results as follows " We found a significant difference in knowledge ascriptions between Standard True Belief cases and Gettier cases (χ2= 58.23, df =1, N = 63, p &lt; .001, r= 0.96)"</t>
  </si>
  <si>
    <t>Nagel, J., San Juan, V., &amp; Mar, R. A. (2013). Lay denial of knowledge for justified true beliefs. Cognition, 129(3), 652-661.</t>
  </si>
  <si>
    <t>10.1016/j.cognition.2013.02.008</t>
  </si>
  <si>
    <t>Justified true belief, Knowledge ascription, Gettier cases, Mental state inference, Individual differences, Lay beliefs</t>
  </si>
  <si>
    <t>"There was a greater likelihood of ascribing knowledge in cases of: […] Standard True Belief versus Gettier Cases (χ2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</si>
  <si>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6, 7, 8</t>
  </si>
  <si>
    <t>χ2(1) = 107.81</t>
  </si>
  <si>
    <t>χ2(1) = 58.23</t>
  </si>
  <si>
    <t>https://doi.org/10.17605/OSF.IO/THM7D</t>
  </si>
  <si>
    <t>ES for O and R in XPHI are absent, so I calculated those myself based on the statistics</t>
  </si>
  <si>
    <t>10.1016--j.cognition.2013.02.008.pdf</t>
  </si>
  <si>
    <t>Knowledge ascription scores</t>
  </si>
  <si>
    <t>There was a greater likelihood of ascribing knowledge in cases of: ... (2) Standard True Belief versus Gettier Cases</t>
  </si>
  <si>
    <t>p.  6</t>
  </si>
  <si>
    <t>χ2 = 107.81, df = 1, N = 202, p &lt; .001, B = 1.62, Exp(B) = 5.07</t>
  </si>
  <si>
    <t>p. 2 χ2(1, N = 63) = 58.23, p &lt; .001, B = 0.42, Exp(B) = 1.52</t>
  </si>
  <si>
    <r>
      <rPr>
        <rFont val="&quot;Helvetica Neue&quot;"/>
        <color rgb="FF1155CC"/>
        <sz val="11.0"/>
        <u/>
      </rPr>
      <t>osf.io/6yfxz</t>
    </r>
  </si>
  <si>
    <t>XPHI33_1</t>
  </si>
  <si>
    <t>XPHI33</t>
  </si>
  <si>
    <t>The replication report states that the influence of participants gender was also analyzed. If this is also relevant, I am happy to code it too: "Third, following up on Starmans and Friedman’s results (2009), the authors investigated whether participants’ gender made a difference in terms of the dependent variable by testing the main effect of gender and its interaction with the outcome factor within scenario types. As in the original study, none of these tests yielded a significant result [Water (gender): F(1,100) = 0.224, p = .64; Water (gender * condition): F(1,100) = 3.55, p= .062; Movies (gender): F(1,100) = 0.053, p = .82; Movies (gender * condition): F(1,100) =0.22, p = .64; Sales (gender): F(1,102) = 0.53, p = .47; Sales (gender * condition): F(1,102) =0.0003, p = .99; Nazi (gender): F(1,98) = 1.59, p = .21; Nazi (gender * condition): F(1,98) =0.87, p = .35]." (replication report, p. 7)</t>
  </si>
  <si>
    <t>Beebe, J. R., &amp; Shea, J. (2013). Gettierized Knobe effects. Episteme, 10(3), 219-240.</t>
  </si>
  <si>
    <t>10.1017/epi.2013.23</t>
  </si>
  <si>
    <t>knobe effects</t>
  </si>
  <si>
    <t xml:space="preserve">"Nevertheless, treating Experiment 1 as having a 4 × 2 design and analyzing the results with a two-way ANOVA reveals a main effect for the ‘full/violate’ variable with a small to medium effect size." </t>
  </si>
  <si>
    <t>0.28</t>
  </si>
  <si>
    <t>F(1, 410) = 55.8</t>
  </si>
  <si>
    <t>https://doi.org/10.17605/OSF.IO/AY2YE</t>
  </si>
  <si>
    <t>O also states that r = 0.28., XPHI also states partial η2 = .078 for O and partial η2 = 0.12 for R</t>
  </si>
  <si>
    <t>10.1017--epi.2013.23.pdf</t>
  </si>
  <si>
    <t>Nevertheless, treating Experiment 1 as having a 4 × 2 design and analyzing the results with a two-way ANOVA reveals a main effect for the ‘fulll/violate’ variable with a small to medium effect size</t>
  </si>
  <si>
    <t>p. 226</t>
  </si>
  <si>
    <t>p. 226 F(1, 368) = 31.127, p &lt; 0.001, r = 0.28.</t>
  </si>
  <si>
    <t>F(1, 410) = 55.8, p &lt; .001</t>
  </si>
  <si>
    <r>
      <rPr>
        <rFont val="&quot;Helvetica Neue&quot;"/>
        <color rgb="FF1155CC"/>
        <sz val="11.0"/>
        <u/>
      </rPr>
      <t>osf.io/k89fc</t>
    </r>
  </si>
  <si>
    <t>XPHI34_1</t>
  </si>
  <si>
    <t>XPHI34</t>
  </si>
  <si>
    <t>Test statistics: Structural Equation Modelling (Chi-square)</t>
  </si>
  <si>
    <t>Rose, D., &amp; Nichols, S. (2013). The lesson of bypassing. Review of Philosophy and Psychology, 4, 599-619.</t>
  </si>
  <si>
    <t>10.1007/s13164-013-0154-3</t>
  </si>
  <si>
    <t>incompatilism, bypassing</t>
  </si>
  <si>
    <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χ2 (1)=.9026, p=.3421, BIC=−3.1918."</t>
  </si>
  <si>
    <t>χ2(1) = 0.9026</t>
  </si>
  <si>
    <t>χ2(1) = 0.198</t>
  </si>
  <si>
    <t>https://doi.org/10.17605/OSF.IO/7EN89</t>
  </si>
  <si>
    <t>ES for O and R are absent</t>
  </si>
  <si>
    <t>10.1007--s13164-013-0154-3.pdf</t>
  </si>
  <si>
    <t>The model returned from GES was the MR/FW Incompatibilist Model.</t>
  </si>
  <si>
    <t>χ2(1, N = 60) =.9026, p=.3421</t>
  </si>
  <si>
    <t>χ2(1, N = 155) = .198, p = .656</t>
  </si>
  <si>
    <r>
      <rPr>
        <rFont val="&quot;Helvetica Neue&quot;"/>
        <color rgb="FF1155CC"/>
        <sz val="11.0"/>
        <u/>
      </rPr>
      <t>osf.io/ggw7c/</t>
    </r>
  </si>
  <si>
    <t>XPHI35_1</t>
  </si>
  <si>
    <t>XPHI35</t>
  </si>
  <si>
    <t>3 preregistrations: https://doi.org/10.17605/OSF.IO/RX9ZP https://doi.org/10.17605/OSF.IO/VYWMY; The used a Sobel test; The replication report states that pearson correlation coefficients between the MR/FWand Bypassing composite scores were computed for each scenario. If this is also relevant, I am happy to code it too: I"n the original study, Pearson correlation coefficients between the MR/FW and Bypassing composite scores were computed for each scenario, and a strong inverse correlation between Bypassingand MR/FWscores were found in each scenario (NK abstract: r(75) = -0.65, p&lt; 0.001; NMNT abstract: r(54) = -0.803, p&lt; 0.001). Collapsing across all four surveys, the correlation coefficient between Bypassing and MR/FW scores was high: r(247) = -0.734, p&lt; 0.001.  Likewise, in the replication study, a strong inverse correlation between Bypassing and MR/FW scores were found in each scenario (NK abstract: r(161) = -0.65, p&lt; 0.001; NMNT abstract: r(174)= -0.75, p&lt; 0.001).And collapsing across bothsurveys, the correlation coefficient between Bypassingand MR/FW scores was high: r(335) = -0.72, p&lt; 0.001." (replication report, p. 6)</t>
  </si>
  <si>
    <t>Murray, D., &amp; Nahmias, E. (2014). Explaining away incompatibilist intuitions. Philosophy and Phenomenological Research, 88(2), 434-467.</t>
  </si>
  <si>
    <t>10.1111/j.1933-1592.2012.00609.x</t>
  </si>
  <si>
    <t>"Mediation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</si>
  <si>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t() = 2.286</t>
  </si>
  <si>
    <t xml:space="preserve"> t() = 3.82</t>
  </si>
  <si>
    <t>https://doi.org/10.17605/OSF.IO/3G3HV</t>
  </si>
  <si>
    <t>Not sure what exactly was replicated, ES for O absent in XPHI. Extracted claim is my best quess based on the available info. XPHI states for R: R2 = 0.066</t>
  </si>
  <si>
    <t>10.1111--j.1933-1592.2012.00609.x.pdf</t>
  </si>
  <si>
    <t>Mediation analyses involve the speci- fication of a causal model between three variables and the strengths of the paths between them using multiple regression (see Figure 2). They are designed to determine whether the effect of one variable (in our case, the description of determinism: N&amp;K’s vs. NMNT’s) on another variable (MR⁄FW judgments) is mediated by a third variable (Bypassing). If the description of determinism no longer has a significant effect on MR⁄FW once Bypassing is taken into account, then mediation obtains, which provides evidence that the difference between N&amp;K’s and NMNT’s descriptions of determinism makes a difference to people’s judgments about MR⁄FW because of the difference in the degree to which people interpret the descriptions to involve bypassing.
And this is exactly what we found.</t>
  </si>
  <si>
    <t>p. 15, Figure 2. Sobel test = 2.286, p &lt; .022</t>
  </si>
  <si>
    <t>Sobel test = 3.82, p = 0.0001</t>
  </si>
  <si>
    <r>
      <rPr>
        <rFont val="&quot;Helvetica Neue&quot;"/>
        <color rgb="FF1155CC"/>
        <sz val="11.0"/>
        <u/>
      </rPr>
      <t>osf.io/rpkjk/</t>
    </r>
  </si>
  <si>
    <t>XPHI36_1</t>
  </si>
  <si>
    <t>XPHI36</t>
  </si>
  <si>
    <t>Grau, C., &amp; Pury, C. L. (2014). Attitudes towards reference and replaceability. Review of Philosophy and Psychology, 5(2), 155-168</t>
  </si>
  <si>
    <t>10.1007/s13164-013-0162-3</t>
  </si>
  <si>
    <t>replaceability, attitude towards refernce</t>
  </si>
  <si>
    <t>"As predicted by Hypothesis 1 and shown in the first row, Kripkeans rated having the same feelings toward a replaced Loved One as significantly both less likely and less appropriate than Descriptivists.",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</si>
  <si>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t(160) = 2.58</t>
  </si>
  <si>
    <t>https://doi.org/10.17605/OSF.IO/Y62DH</t>
  </si>
  <si>
    <t>XPHI also states ES for O d = 0.41,  η2 is also available for O and R, which are 0.040 and 0.007 respectively</t>
  </si>
  <si>
    <t>10.1007--s13164-013-0162-3.pdf</t>
  </si>
  <si>
    <t>As predicted by Hypothesis 1 and shown in the first row, Kripkeans rated having the same feelings toward a replaced Loved One as significantly both less likely and less appropriate than Descriptivists.</t>
  </si>
  <si>
    <t>p. 10. Table 2 t(160)=2.58, p = .01, η2=0.040</t>
  </si>
  <si>
    <t>t(385)=1.69, p=0.092, η2=0.007</t>
  </si>
  <si>
    <r>
      <rPr>
        <rFont val="&quot;Helvetica Neue&quot;"/>
        <color rgb="FF1155CC"/>
        <sz val="11.0"/>
        <u/>
      </rPr>
      <t>osf.io/xrhqe/</t>
    </r>
  </si>
  <si>
    <t>XPHI37_1</t>
  </si>
  <si>
    <t>XPHI37</t>
  </si>
  <si>
    <t>Liao, S. Y., Strohminger, N., &amp; Sripada, C. S. (2014). Empirically investigating imaginative resistance. British Journal of Aesthetics, 54(3), 339-355.</t>
  </si>
  <si>
    <t>10.1093/aesthj/ayu027</t>
  </si>
  <si>
    <t xml:space="preserve">imaginative resistance </t>
  </si>
  <si>
    <t>"Imaginative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</si>
  <si>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 </t>
  </si>
  <si>
    <t>14, 15</t>
  </si>
  <si>
    <t>0.54</t>
  </si>
  <si>
    <t>0.55</t>
  </si>
  <si>
    <t>https://doi.org/10.17605/OSF.IO/W62XY</t>
  </si>
  <si>
    <t>10.1093--aesthj--ayu027.pdf</t>
  </si>
  <si>
    <t>The experimental manipulation produced a statistically significant large effect with respect to the Morality question (t (29) = 3.42, p = 0.002, effect size r = 0.54; Figure 3b).</t>
  </si>
  <si>
    <t>p. 352</t>
  </si>
  <si>
    <t>p. 352 t = 3.42, df = 29, p = .002</t>
  </si>
  <si>
    <t>t(97) = 6.483, p &lt; .001</t>
  </si>
  <si>
    <r>
      <rPr>
        <rFont val="&quot;Helvetica Neue&quot;"/>
        <color rgb="FF1155CC"/>
        <sz val="11.0"/>
        <u/>
      </rPr>
      <t>osf.io/7e8hz</t>
    </r>
  </si>
  <si>
    <t>XPHI38_1</t>
  </si>
  <si>
    <t>XPHI38</t>
  </si>
  <si>
    <t>The original study does not include any test statistics. I calculated the effect sizes using the excel sheet.</t>
  </si>
  <si>
    <t xml:space="preserve">Björnsson, G., Eriksson, J., Strandberg, C., Olinder, R. F., &amp; Björklund, F. (2015). Motivational internalism and folk intuitions. Philosophical Psychology, 28(5), 715–734. </t>
  </si>
  <si>
    <t>10.1080/09515089.2014.894431</t>
  </si>
  <si>
    <t>Belief, Folk Intuitions, Moral Judgment, Motivational Internalism, Shaun Nichols, Understanding</t>
  </si>
  <si>
    <t>"The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</si>
  <si>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0.26</t>
  </si>
  <si>
    <t>https://doi.org/10.17605/OSF.IO/R3KTH</t>
  </si>
  <si>
    <t>data for O copied from XPHI dataset, matching statistics not present in the paper (were recalculated in XPHI)</t>
  </si>
  <si>
    <t>Björnsson, G., Eriksson, J., Strandberg, C., Olinder, R. F., &amp; Björklund, F. (2015). Motivational internalism and folk intuitions. Philosophical Psychology, 28(5), 715–734.</t>
  </si>
  <si>
    <t>10.1080--09515089.2014.894431.pdf</t>
  </si>
  <si>
    <t>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t>
  </si>
  <si>
    <t>p 9,10</t>
  </si>
  <si>
    <t>p. 9 X2(1, N = 162) = 14.421, df = 1, p &lt; .001</t>
  </si>
  <si>
    <t>X2(1, N = 302) = 19.945, p &lt; .001</t>
  </si>
  <si>
    <r>
      <rPr>
        <rFont val="Calibri"/>
        <color rgb="FF1155CC"/>
        <sz val="8.0"/>
        <u/>
      </rPr>
      <t>osf.io/d8uvg/</t>
    </r>
  </si>
  <si>
    <t>XPHI39_1</t>
  </si>
  <si>
    <t>XPHI39</t>
  </si>
  <si>
    <t>Buckwalter, W., &amp; Schaffer, J. (2015). Knowledge, stakes, and mistakes. Noûs, 49(2), 201-234.</t>
  </si>
  <si>
    <t>10.1111/nous.12017</t>
  </si>
  <si>
    <t xml:space="preserve">knowledge, stakes, mistakes </t>
  </si>
  <si>
    <t>"Typo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</si>
  <si>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31, 13, 14</t>
  </si>
  <si>
    <t>F(1, 260) = 99.46</t>
  </si>
  <si>
    <t>p. 31</t>
  </si>
  <si>
    <t>F(1, 436) = 87.36</t>
  </si>
  <si>
    <t>https://doi.org/10.17605/OSF.IO/M9VRK</t>
  </si>
  <si>
    <t>10.1111--nous.12017.pdf</t>
  </si>
  <si>
    <t>Typo low hope, Typo high short hope</t>
  </si>
  <si>
    <t xml:space="preserve">Typo low hope (M = 2.50, SD = 1.04), Typo high short hope (M = 5.37, SD = 2.61). Combined from above, a 2 (stakes) x 3 (verb type) between-subjects analysis of variance reveals a main effect for the factor of stakes, F (1, 260) = 99.46, p &lt; 0.001. ... [...] What we find especially relevant is not just that Pinillos’s stakes effect persisted when ‘know’ was replaced with ‘believe,’ and still persisted with ‘guess,’ and continued to persist with ‘hope,’ but that the nature of the effect seemed entirely unaltered through this process. </t>
  </si>
  <si>
    <t>p. 31, 13</t>
  </si>
  <si>
    <t>p. 31 F(1, 260) = 99.46, p &lt; .001</t>
  </si>
  <si>
    <t>F(1, 436) = 87.36, p &lt;.001</t>
  </si>
  <si>
    <r>
      <rPr>
        <rFont val="Calibri"/>
        <color rgb="FF1155CC"/>
        <sz val="8.0"/>
        <u/>
      </rPr>
      <t>osf.io/2ukpq</t>
    </r>
  </si>
  <si>
    <t>XPHI4_1</t>
  </si>
  <si>
    <t>XPHI4</t>
  </si>
  <si>
    <t xml:space="preserve">The Post Replication Form states that the replication analysis were performed with 129 participants, while the table states that 127 were part of the analysis. </t>
  </si>
  <si>
    <t>Knobe, J. (2004). Intention, intentional action and moral considerations. Analysis, 64(282), 181-187.</t>
  </si>
  <si>
    <t>10.1111/j.1467-8284.2004.00481.x</t>
  </si>
  <si>
    <t>intention, intentional action, moral considerations</t>
  </si>
  <si>
    <t>"The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</si>
  <si>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t(77) = 2.65</t>
  </si>
  <si>
    <t>https://doi.org/10.17605/OSF.IO/9E3T5</t>
  </si>
  <si>
    <t>XPHI also states ES for O d = 0.41</t>
  </si>
  <si>
    <t>corrected orignial sample size; cant find the statistic in column teststatistic_rep</t>
  </si>
  <si>
    <t>10.1111--j.1467-8284.2004.00481.x.pdf</t>
  </si>
  <si>
    <t>intention, intentional action and moral considerations</t>
  </si>
  <si>
    <t>The average rating for subjects in the harm condition was +.6; the average for subjects in the help condition was -1.</t>
  </si>
  <si>
    <t>p. 4 t(75) = 2.65, p = 0.01</t>
  </si>
  <si>
    <t>t(125) = 7.15, p &lt; 0.001</t>
  </si>
  <si>
    <r>
      <rPr>
        <rFont val="&quot;Helvetica Neue&quot;"/>
        <color rgb="FF1155CC"/>
        <sz val="8.0"/>
        <u/>
      </rPr>
      <t>osf.io/ka5wv/</t>
    </r>
  </si>
  <si>
    <t>XPHI40_1</t>
  </si>
  <si>
    <t>XPHI40</t>
  </si>
  <si>
    <t>Kominsky, J. F., Phillips, J., Gerstenberg, T., Lagnado, D., &amp; Knobe, J. (2015). Causal superseding. Cognition, 137, 196-209.</t>
  </si>
  <si>
    <t>10.1016/j.cognition.2015.01.013</t>
  </si>
  <si>
    <t>Causal reasoning, Counterfactuals, Morality, Superseding</t>
  </si>
  <si>
    <t>"For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</si>
  <si>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5, 6</t>
  </si>
  <si>
    <t>0.568</t>
  </si>
  <si>
    <t>0.58</t>
  </si>
  <si>
    <t>https://doi.org/10.17605/OSF.IO/DNQE7</t>
  </si>
  <si>
    <t>10.1016--j.cognition.2015.01.013.pdf</t>
  </si>
  <si>
    <t>Agreement ratings for the fixed agent were lower when the varied agent violated a norm than when he did not</t>
  </si>
  <si>
    <t>p. 6 t(58) = -2.210, p = .031</t>
  </si>
  <si>
    <t>t(198) = 4.1119, p &lt; .001</t>
  </si>
  <si>
    <r>
      <rPr>
        <rFont val="&quot;Helvetica Neue&quot;"/>
        <color rgb="FF1155CC"/>
        <sz val="8.0"/>
        <u/>
      </rPr>
      <t>osf.io/f5svw</t>
    </r>
  </si>
  <si>
    <t>XPHI5_1</t>
  </si>
  <si>
    <t>XPHI5</t>
  </si>
  <si>
    <t>Both rows are chosen, differrent results extracted</t>
  </si>
  <si>
    <t>Nichols, S. (2004). After objectivity: An empirical study of moral judgment. Philosophical Psychology, 17(1), 3-26. Chicago.</t>
  </si>
  <si>
    <t>10.1080/0951508042000202354</t>
  </si>
  <si>
    <t>moral judgement, canonical moral, moral objectivity</t>
  </si>
  <si>
    <t>"On permissibility, there was no significant difference (F(1,8) = 1, p  = 0.347, n.s.). This is not surprising, since a less permissible item (leaving class without permission) was explicitly sought and added.", "Participants who give nonobjectivist responses to moral cases still draw the moral/ conventional distinction."</t>
  </si>
  <si>
    <t>F(1, 8) = 1</t>
  </si>
  <si>
    <t>https://osf.io/mykq6</t>
  </si>
  <si>
    <t>https://doi.org/10.17605/OSF.IO/9VXSF</t>
  </si>
  <si>
    <t>10.1080--0951508042000202354.pdf</t>
  </si>
  <si>
    <t>participants who respond as nonobjectivists about canonical moral violations still treat such violations in typical ways</t>
  </si>
  <si>
    <t>However, there were clear main effects for ... authority contingence.</t>
  </si>
  <si>
    <t>F(1,8) = 12, p = .008</t>
  </si>
  <si>
    <r>
      <rPr>
        <rFont val="&quot;Helvetica Neue&quot;"/>
        <color rgb="FF1155CC"/>
        <sz val="8.0"/>
        <u/>
      </rPr>
      <t>osf.io/bv4ep</t>
    </r>
  </si>
  <si>
    <t>XPHI6_1</t>
  </si>
  <si>
    <t>XPHI6</t>
  </si>
  <si>
    <t>The effect size of the original study can not be determined using the effect size calculator. The replication study describes the effect as follows: "Whereas not a single one of the subjects in Case 1 judged that John intentionally upset Susan [...],64% of the subjects in Case 2 judged that he intentionally upset her [...]” (p. 267). Assuming equal sample sizes, this translates to the following result: χ2 (1, N = 44) = 20.53, p &lt; .001, w = 0.69"</t>
  </si>
  <si>
    <t>Nadelhoffer, T. (2004). Blame, badness, andintentional action: A reply to Knobe and Mendlow. Journal of Theoretical and Philosophical Psychology, 24, 259–269.</t>
  </si>
  <si>
    <t>10.1037/h0091247</t>
  </si>
  <si>
    <t>blame, badness, intentional action, side effect</t>
  </si>
  <si>
    <t>"Whereas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</si>
  <si>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https://doi.org/10.17605/OSF.IO/HBPXN</t>
  </si>
  <si>
    <t>Matching statistics not found, extracted from XPHI</t>
  </si>
  <si>
    <t>10.1037--h0091247.pdf</t>
  </si>
  <si>
    <t>X2(1, N = 44) = 20.53, p &lt;.001</t>
  </si>
  <si>
    <t>X2(1, N = 47) = 32.36, p &lt;.001</t>
  </si>
  <si>
    <r>
      <rPr>
        <rFont val="&quot;Helvetica Neue&quot;"/>
        <color rgb="FF1155CC"/>
        <sz val="8.0"/>
        <u/>
      </rPr>
      <t>osf.io/w9bza/</t>
    </r>
  </si>
  <si>
    <t>XPHI7_1</t>
  </si>
  <si>
    <t>XPHI7</t>
  </si>
  <si>
    <t>Nahmias, E., Morris, S., Nadelhoffer, T., and Turner, J. (2005). Surveying Freedom: Folk Intuitions About Free Will and Moral Responsibility. Philosophical Psychology, 18(5), 561-584.</t>
  </si>
  <si>
    <t>10.1080/09515080500264180</t>
  </si>
  <si>
    <t>Free Will, Moral Responsibility, Folk Psychology</t>
  </si>
  <si>
    <t>"The results indicate that a significant majority of participants (76%) judged that Jeremy robs the bank of his own free will.18", "We offer two related interpretations of these interesting results. First, the results may suggest that some folk have Frankfurtian intuitions (see note 6). That is, they think, as suggested by Frankfurt (1969), that an agent’s action may be free and responsible without the agent’s having the ability to do otherwise—though this trend did not appear with the blameworthy actions. So perhaps these intuitions are more pronounced regarding agents who perform praiseworthy (or morally neutral) actions."</t>
  </si>
  <si>
    <t>7, 9</t>
  </si>
  <si>
    <t>χ2(1) = 5.76</t>
  </si>
  <si>
    <t>https://doi.org/10.17605/OSF.IO/26YZU</t>
  </si>
  <si>
    <t>XPHI also states ES w = 0.52</t>
  </si>
  <si>
    <t>10.1080--09515080500264180.pdf</t>
  </si>
  <si>
    <t>The results indicate that a significant majority of participants (76%) judged that Jeremy robs the bank of his own free will</t>
  </si>
  <si>
    <t>X2(1, N = 186) = 67.4, p &lt; .001</t>
  </si>
  <si>
    <r>
      <rPr>
        <rFont val="&quot;Helvetica Neue&quot;"/>
        <color rgb="FF1155CC"/>
        <sz val="8.0"/>
        <u/>
      </rPr>
      <t>osf.io/4gvd5/</t>
    </r>
  </si>
  <si>
    <t>XPHI8_1</t>
  </si>
  <si>
    <t>XPHI8</t>
  </si>
  <si>
    <t>McCann, H. J. (2005). Intentional action and intending: Recent empirical studies. Philosophical Psychology, 18(6), 737-748.</t>
  </si>
  <si>
    <t>10.1080/09515080500355236</t>
  </si>
  <si>
    <t>10.1080--09515080500355236.pdf</t>
  </si>
  <si>
    <t>X2(1, N = 77) = 1.8348, p = 0.1756</t>
  </si>
  <si>
    <t>X2(1, N = 221) = 0.42374, p = 0.5151</t>
  </si>
  <si>
    <r>
      <rPr>
        <rFont val="&quot;Helvetica Neue&quot;"/>
        <color rgb="FF1155CC"/>
        <sz val="8.0"/>
        <u/>
      </rPr>
      <t>osf.io/jtsnn/</t>
    </r>
  </si>
  <si>
    <t>XPHI9_1</t>
  </si>
  <si>
    <t>XPHI9</t>
  </si>
  <si>
    <t>The Post Replication Form states that 123 were included in the analysis, while the tables states 128.; The effect size of the original study can not be calculated using the effect size calculator, but the replication report states "85 (69%) participants chose answer ‘Yes’ when they were asked ‘Did Fred intentionally prevent the explosion?’, while 38 (31%) chose ‘No’. Statistical analyses using R returned thefollowing results: X2(1, N = 123) = 17.959, p = 0.000023, w = 0.38. The 95% confidence interval extends from 0.601 to 0.771. The rate of ‘Intentionally’ answers was within the rangeof the original 95% CI [0.56-0.85].", p. 1; https://osf.io/7s5vy</t>
  </si>
  <si>
    <t>Nadelhoffer, T. (2005). Skill, luck, control, and intentional action. Philosophical Psychology, 18(3), 341-352.</t>
  </si>
  <si>
    <t>10.1080/09515080500177309</t>
  </si>
  <si>
    <t>skill, luck, control, intentional action</t>
  </si>
  <si>
    <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</si>
  <si>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8, 10</t>
  </si>
  <si>
    <t>https://doi.org/10.17605/OSF.IO/Q2E5K</t>
  </si>
  <si>
    <t xml:space="preserve">No statistics in O, extracted from XPHI. </t>
  </si>
  <si>
    <t>Note from another coder = The Post Replication Form states that 123 were included in the analysis, while the tables states 128.; The effect size of the original study can not be calculated using the effect size calculator, but the replication report states "85 (69%) participants chose answer ‘Yes’ when they were asked ‘Did Fred intentionally prevent the explosion?’, while 38 (31%) chose ‘No’. Statistical analyses using R returned thefollowing results: X2(1, N = 123) = 17.959, p = 0.000023, w = 0.38. The 95% confidence interval extends from 0.601 to 0.771. The rate of ‘Intentionally’ answers was within the rangeof the original 95% CI [0.56-0.85].", p. 1; https://osf.io/7s5vy</t>
  </si>
  <si>
    <t>10.1080--09515080500177309.pdf</t>
  </si>
  <si>
    <t>X2(1, N = 40) = 8.10,  p = .004</t>
  </si>
  <si>
    <t>X2(1, N = 128) = 17.96, p &lt; .001</t>
  </si>
  <si>
    <r>
      <rPr>
        <rFont val="&quot;Helvetica Neue&quot;"/>
        <color rgb="FF1155CC"/>
        <sz val="8.0"/>
        <u/>
      </rPr>
      <t>osf.io/6ds5e/</t>
    </r>
  </si>
  <si>
    <t>XPHI11_b</t>
  </si>
  <si>
    <t xml:space="preserve">In the post-replication report, there are also some results listed that provide insufficient statistical reporting. Therefore, I have not included them in this table for now but can gladly do so if needed.: "To analyze the answers regarding the degree of praise or blame appropriate, we conducted a logit model, as in the original experiment, with praise or blame as DV and vignette (Harm vs Help) and question-type (jaan vs jaan-bujhkar) as IV. As in the original experiment, there was a significant effect for vignette-type, Z=3.5, but no significant effect of question-type, Z=0.38, nor a significant interaction, Z=0.16. The reader can find the proportions of participants answering “Yes” to questions about praise or blame in Table 2. As in the original experiment, again, we found that judgments about whether thechairman  acted  jaan-bujhkar  were  correlated  with  judgment  about  whether  the  chairman deserved praise or blame, φ=0.36, p&lt;.001. As in the original experiment, judgments about whether the chairman did jaan that starting the program would help or harm the environment were not significantly correlated with judgments of praise or blame, φ =.01, p=.30." </t>
  </si>
  <si>
    <t>additional entry with extra results</t>
  </si>
  <si>
    <t>Knobe, J., &amp; Burra, A. (2006). The folk concepts of intention andintentional action: A cross-cultural study. Journal of Cognition and Culture, 6(1), 113-132.</t>
  </si>
  <si>
    <t>Theory of mind, moral cognition, intention, intentional action, cross-cultural evidence</t>
  </si>
  <si>
    <t xml:space="preserve">"Similarly, subjects were significantly more likely to say that the chairman did jaan that the environment would be helped than that he helped the environment jaan-bujhkar, x2 (1, N = 31) = 16.3, p &lt; .001." </t>
  </si>
  <si>
    <t>χ2(1) = 16.3</t>
  </si>
  <si>
    <t>χ2(1) = 10</t>
  </si>
  <si>
    <t>XPHI15_b</t>
  </si>
  <si>
    <t>additional entry based on postreplication report</t>
  </si>
  <si>
    <t>extra result (not included in XPHI table)</t>
  </si>
  <si>
    <t>moral responisbility</t>
  </si>
  <si>
    <t>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</si>
  <si>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F(1, 295) = 52.81</t>
  </si>
  <si>
    <t>F(1, 173) = 11.04</t>
  </si>
  <si>
    <r>
      <rPr>
        <rFont val="&quot;Helvetica Neue&quot;"/>
        <color rgb="FF1155CC"/>
        <sz val="11.0"/>
        <u/>
      </rPr>
      <t>osf.io/pjdkg</t>
    </r>
  </si>
  <si>
    <t xml:space="preserve">moral responsibility: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 </t>
  </si>
  <si>
    <t>XPHI15_c</t>
  </si>
  <si>
    <t>blame</t>
  </si>
  <si>
    <t>For judgments of each of the five variables, we found similar results that indicated highly significant differences (p &lt; .001) depending on whether agents’ decision-making in the scenario was described in psychological terms or neuroscientific (mechanistic) terms ... blame.</t>
  </si>
  <si>
    <t>F(1, 294) = 44.973</t>
  </si>
  <si>
    <t>F(1, 173) = 8.72</t>
  </si>
  <si>
    <r>
      <rPr>
        <rFont val="&quot;Helvetica Neue&quot;"/>
        <color rgb="FF1155CC"/>
        <sz val="11.0"/>
        <u/>
      </rPr>
      <t>osf.io/pjdkg</t>
    </r>
  </si>
  <si>
    <t xml:space="preserve">blame: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 </t>
  </si>
  <si>
    <t>XPHI15_d</t>
  </si>
  <si>
    <t>praise</t>
  </si>
  <si>
    <t>For judgments of each of the five variables, we found similar results that indicated highly significant differences (p &lt; .001) depending on whether agents’ decision-making in the scenario was described in psychological terms or neuroscientific (mechanistic) terms ... praise.</t>
  </si>
  <si>
    <t>F(1, 297) = 18.84</t>
  </si>
  <si>
    <t>F(1, 175) = 18.14</t>
  </si>
  <si>
    <r>
      <rPr>
        <rFont val="&quot;Helvetica Neue&quot;"/>
        <color rgb="FF1155CC"/>
        <sz val="11.0"/>
        <u/>
      </rPr>
      <t>osf.io/pjdkg</t>
    </r>
  </si>
  <si>
    <t xml:space="preserve">praise: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 </t>
  </si>
  <si>
    <t>XPHI15_e</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</si>
  <si>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 </t>
  </si>
  <si>
    <t>F(1, 301) = 36.45</t>
  </si>
  <si>
    <t>F(1, 175) = 20.94</t>
  </si>
  <si>
    <t>XPHI20_b</t>
  </si>
  <si>
    <t>seems that statistics from O put in tn the wrong cells, no statistics from R</t>
  </si>
  <si>
    <t>"Here again, wt' have a case of norm violation without blameworthiness. Specifically, it seems that the red wire is violating a certain kind of norm, but it also seems clear that no one could literally blame the red wire for the short circuit. Nonethelt'ss, people were more willing to say that the red wire touching the battery caused the short circuit than they were to say that the black wire touching the battery caused the short circuit.~" So once again, it seems that people's causal intuitions are being atIected by norm violations even in the absence of any judgment of blame.", "Subjects rated "ach statement on a scalc from I ('disagree') to 7 ('agree'). Overall, the statement about the red wire received a mean rating of 4.9; the statement about the black wire received a mean rating of 2.7. This difference was statistically significant, t(3410) = 30.2, P &lt; ,001."</t>
  </si>
  <si>
    <t>t(3410) = 30.2</t>
  </si>
  <si>
    <t>XPHI26_b</t>
  </si>
  <si>
    <t>The number of participants corresponds to the total number of reported participants. No exclusions were mentioned, but the ANOVA might suggest that fewer participants were possibly involved.</t>
  </si>
  <si>
    <t>extra result (not included in XPHI table), values for O wasn't filled, so I extracted it myself (Aleksandr P.)</t>
  </si>
  <si>
    <t>"Significant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</si>
  <si>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 p. 10</t>
  </si>
  <si>
    <t>F(2, 313) = 11.28</t>
  </si>
  <si>
    <t>XPHI26_c</t>
  </si>
  <si>
    <t>"When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</si>
  <si>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313) = 23.92</t>
  </si>
  <si>
    <t>XPHI26_d</t>
  </si>
  <si>
    <t>"These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</si>
  <si>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313) = 48.59</t>
  </si>
  <si>
    <t>XPHI26_e</t>
  </si>
  <si>
    <t>"These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</si>
  <si>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213) = 9.59</t>
  </si>
  <si>
    <t>XPHI26_f</t>
  </si>
  <si>
    <t>"First,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</si>
  <si>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313) = 56.28</t>
  </si>
  <si>
    <t>XPHI26_g</t>
  </si>
  <si>
    <t>"Comparisons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</si>
  <si>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313) = 188.24</t>
  </si>
  <si>
    <t>XPHI29_b</t>
  </si>
  <si>
    <t>"Again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</si>
  <si>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0.39</t>
  </si>
  <si>
    <t>0.08</t>
  </si>
  <si>
    <t>https://osf.io/mjvsd</t>
  </si>
  <si>
    <t>XPHI32_b</t>
  </si>
  <si>
    <t>extra result (not included in XPHI table), basically the same, one coder extracted b (unstd), another one - test statistics X2. Otherwise  statistics checked, validated</t>
  </si>
  <si>
    <t>Story type</t>
  </si>
  <si>
    <t>A significant effect of story type was observed (χ2 = 247.97, df = 3, N = 207, p &lt; .001)</t>
  </si>
  <si>
    <t>χ2(3) = 247.97</t>
  </si>
  <si>
    <t>χ2(3) = 103.77</t>
  </si>
  <si>
    <t>p. 2 χ2= 103.77, df =3, N = 63, p &lt; .001</t>
  </si>
  <si>
    <r>
      <rPr>
        <rFont val="&quot;Helvetica Neue&quot;"/>
        <color rgb="FF1155CC"/>
        <sz val="11.0"/>
        <u/>
      </rPr>
      <t>osf.io/6yfxz</t>
    </r>
  </si>
  <si>
    <t>"A significant effect of story type was observed (χ2 = 247.97, df = 3, N = 207, p &lt; .001)"</t>
  </si>
  <si>
    <t>https://osf.io/exqch</t>
  </si>
  <si>
    <t>XPHI32_c</t>
  </si>
  <si>
    <t>Standard True Belief versus Skeptical Pressure</t>
  </si>
  <si>
    <t>There was a greater likelihood of ascribing knowledge in cases of: (1) Standard True Belief versus Skeptical Pressure (χ2 = 81.52, df = 1, N = 204, p &lt; .001, B = 1.35, Exp(B) = 3.87)</t>
  </si>
  <si>
    <t>(χ2= 28.90, df =1, N = 63, p &lt; .001, B= 0.87)</t>
  </si>
  <si>
    <r>
      <rPr>
        <rFont val="&quot;Helvetica Neue&quot;"/>
        <color rgb="FF1155CC"/>
        <sz val="11.0"/>
        <u/>
      </rPr>
      <t>osf.io/6yfxz</t>
    </r>
  </si>
  <si>
    <t>"There was a greater likelihood of ascribing knowledge in cases of: (1) Standard True Belief versus Skeptical Pressure (χ2 = 81.52, df = 1, N = 204, p &lt; .001, B = 1.35, Exp(B) = 3.87)"</t>
  </si>
  <si>
    <t>χ2(1) = 81.52</t>
  </si>
  <si>
    <t>χ2(1) = 28.90</t>
  </si>
  <si>
    <t>XPHI32_d</t>
  </si>
  <si>
    <t>Standard True Belief vs False Belief</t>
  </si>
  <si>
    <t>There was a greater likelihood of ascribing knowledge in cases of: Standard True Belief vs False Belief</t>
  </si>
  <si>
    <t>p. 2 χ2=100.33, df =1, N = 63, p &lt; .001, B= 2.30</t>
  </si>
  <si>
    <r>
      <rPr>
        <rFont val="&quot;Helvetica Neue&quot;"/>
        <color rgb="FF1155CC"/>
        <sz val="11.0"/>
        <u/>
      </rPr>
      <t>osf.io/6yfxz</t>
    </r>
  </si>
  <si>
    <t>"There was a greater likelihood of ascribing knowledge in cases of: Standard True Belief vs False Belief (χ2 = 231.60, df = 1, N = 204, p &lt; .001, B = 2.71, Exp(B) = 14.99)"</t>
  </si>
  <si>
    <t>χ2(1) = 231.60</t>
  </si>
  <si>
    <t>χ2(1) = 100.33</t>
  </si>
  <si>
    <t>XPHI32_e</t>
  </si>
  <si>
    <t>Skeptical Pressure vs False Belief</t>
  </si>
  <si>
    <t>There was a greater likelihood of ascribing knowledge in cases of: Skeptical Pressure vs False Belief</t>
  </si>
  <si>
    <t>p. 2 χ2=50.04, df =1, N = 63, p &lt; .001, B= 1.44</t>
  </si>
  <si>
    <r>
      <rPr>
        <rFont val="&quot;Helvetica Neue&quot;"/>
        <color rgb="FF1155CC"/>
        <sz val="11.0"/>
        <u/>
      </rPr>
      <t>osf.io/6yfxz</t>
    </r>
  </si>
  <si>
    <t>"There was a greater likelihood of ascribing knowledge in cases of: Skeptical Pressure vs False Belief (χ2 = 59.48, df = 1, N = 197, p &lt; .001, B = 1.45, Exp(B) = 4.27)"</t>
  </si>
  <si>
    <t>χ2(1) = 59.48</t>
  </si>
  <si>
    <t>χ2(1) = 50.04</t>
  </si>
  <si>
    <t>XPHI32_f</t>
  </si>
  <si>
    <t>Gettier vs False belief</t>
  </si>
  <si>
    <t>There was a greater likelihood of ascribing knowledge in cases of: Gettier vs False belief (χ2 = 49.08, df = 1, N = 196, p &lt; .001, B = 1.13, Exp(B) = 3.09)."</t>
  </si>
  <si>
    <t>p. 2 χ2= 26.37, df =1, N = 63, p &lt; .001, B= 1.07)</t>
  </si>
  <si>
    <r>
      <rPr>
        <rFont val="&quot;Helvetica Neue&quot;"/>
        <color rgb="FF1155CC"/>
        <sz val="11.0"/>
        <u/>
      </rPr>
      <t>osf.io/6yfxz</t>
    </r>
  </si>
  <si>
    <t>"There was a greater likelihood of ascribing knowledge in cases of: Gettier vs False belief (χ2 = 49.08, df = 1, N = 196, p &lt; .001, B = 1.13, Exp(B) = 3.09)."</t>
  </si>
  <si>
    <t>χ2(1) = 49.08</t>
  </si>
  <si>
    <t>χ2(1) = 26.37</t>
  </si>
  <si>
    <t>XPHI32_g</t>
  </si>
  <si>
    <t>Standard True Belief versus Gettier Cases</t>
  </si>
  <si>
    <t>p. 2 χ2= 58.23, df =1, N = 63, p &lt; .001, B= 1.32</t>
  </si>
  <si>
    <r>
      <rPr>
        <rFont val="&quot;Helvetica Neue&quot;"/>
        <color rgb="FF1155CC"/>
        <sz val="11.0"/>
        <u/>
      </rPr>
      <t>osf.io/6yfxz</t>
    </r>
  </si>
  <si>
    <t>XPHI33_b</t>
  </si>
  <si>
    <t>"However, only in WATER and NAZI was the difference between the means in the ‘fulll’ and ‘violate’ conditions statistically signicant; the effect sizes were small and medium, respectively.", "Water: t(88) = −2.462, p &lt; 0.05, r = 0.25;"</t>
  </si>
  <si>
    <t>0.25</t>
  </si>
  <si>
    <t>https://osf.io/4ydaf</t>
  </si>
  <si>
    <t>XPHI33_c</t>
  </si>
  <si>
    <t>"However, only in WATER and NAZI was the difference between the means in the ‘full’ and ‘violate’ conditions statistically signicant; the effect sizes were small and medium, respectively.", "Movies: t(92) = −1.804, p &gt; 0.05, r = 0.18;"</t>
  </si>
  <si>
    <t>0.18</t>
  </si>
  <si>
    <t>1.2</t>
  </si>
  <si>
    <t>XPHI33_d</t>
  </si>
  <si>
    <t>"However, only in WATER and NAZI was the difference between the means in the ‘full’ and ‘violate’ conditions statistically signicant; the effect sizes were small and medium, respectively.", "Sales: t(92) = −1.807, p &gt; 0.05, r = 0.19;"</t>
  </si>
  <si>
    <t>0.19</t>
  </si>
  <si>
    <t>0.75</t>
  </si>
  <si>
    <t>XPHI33_e</t>
  </si>
  <si>
    <t>"However, only in WATER and NAZI was the difference between the means in the ‘full’ and ‘violate’ conditions statistically signicant; the effect sizes were small and medium, respectively.", "Nazi: t(90) = −5.15, p &lt; 0.0001, r = 0.48."</t>
  </si>
  <si>
    <t>0.48</t>
  </si>
  <si>
    <t>0.41</t>
  </si>
  <si>
    <t>XPHI35_b</t>
  </si>
  <si>
    <t>Number of participants derived from t-test</t>
  </si>
  <si>
    <t>extra result (not included in XPHI table) es_repr_r corrected</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</si>
  <si>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 </t>
  </si>
  <si>
    <t>t(132) = 2.973</t>
  </si>
  <si>
    <t>0.30</t>
  </si>
  <si>
    <t>XPHI35_c</t>
  </si>
  <si>
    <t>"The second regression equation estimated changes in Bypassing score using description of determinism and also yielded a significant effect: t(132) = - 2.319, p = .022, showing that participants interpreted N&amp;K abstract to involve bypassing more than they did NMNT abstract"</t>
  </si>
  <si>
    <t>t(132) = - 2.319</t>
  </si>
  <si>
    <t>0.21</t>
  </si>
  <si>
    <t>XPHI38_b</t>
  </si>
  <si>
    <t>"The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</si>
  <si>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χ2(1) = 33.487</t>
  </si>
  <si>
    <t>https://osf.io/682ga</t>
  </si>
  <si>
    <t>XPHI39_b</t>
  </si>
  <si>
    <t>verb type</t>
  </si>
  <si>
    <t>However a main effect was not found for verb type F (2,260) = 1.45, p = 0.24, and no interaction effect was detected between these two factors, F (2,260) = 0.191, p = 0.83.</t>
  </si>
  <si>
    <t>F(2, 436) = 0.45</t>
  </si>
  <si>
    <r>
      <rPr>
        <rFont val="Calibri"/>
        <color rgb="FF1155CC"/>
        <sz val="8.0"/>
        <u/>
      </rPr>
      <t>osf.io/2ukpq</t>
    </r>
  </si>
  <si>
    <t>"However a main effect was not found for verb type F (2,260) = 1.45, p = 0.24," ,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</si>
  <si>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F(2,260) = 1.45</t>
  </si>
  <si>
    <t>https://osf.io/j2m8u</t>
  </si>
  <si>
    <t>XPHI39_c</t>
  </si>
  <si>
    <t>interaction effect, verb type</t>
  </si>
  <si>
    <t>F(2,  436)  = 1.06</t>
  </si>
  <si>
    <r>
      <rPr>
        <rFont val="Calibri"/>
        <color rgb="FF1155CC"/>
        <sz val="8.0"/>
        <u/>
      </rPr>
      <t>osf.io/2ukpq</t>
    </r>
  </si>
  <si>
    <t>"no interaction effect was detected between these two factors [stakes and verb type], F(2,260) = 0.191, p = 0.83. We also reconfirmed these findings using the Wilcoxon-Mann-Whitney test, which revealed significant stakes effects for all predicates, but no differences between individual verbs within either Typo low or within Typo high short.",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</si>
  <si>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F(2,260) = 0.191</t>
  </si>
  <si>
    <t>XPHI40_b</t>
  </si>
  <si>
    <t>"Replicating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</si>
  <si>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0.764</t>
  </si>
  <si>
    <t>t(198) = 1.3948</t>
  </si>
  <si>
    <t>https://osf.io/m5q6z</t>
  </si>
  <si>
    <t>XPHI5_b</t>
  </si>
  <si>
    <t>"However, there were clear main effects for seriousness (F(1,9) = 30.519, p &lt; 0.001)", "Participants who give nonobjectivist responses to moral cases still draw the moral/ conventional distinction."</t>
  </si>
  <si>
    <t>F(1, 9) = 30.519</t>
  </si>
  <si>
    <t>XPHI5_c</t>
  </si>
  <si>
    <t xml:space="preserve">"However, there were clear main effects for […] justification (F(1,8)  21.333, p &lt; 0.01)", "Participants who give nonobjectivist responses to moral cases still draw the moral/ conventional distinction."
</t>
  </si>
  <si>
    <t>F(1,8) = 21.333</t>
  </si>
  <si>
    <t>XPHI5_d</t>
  </si>
  <si>
    <t>"However, there were clear main effects for […] and authority contingence (F(1,8) = 18, p &lt; 0.01).", "Participants who give nonobjectivist responses to moral cases still draw the moral/ conventional distinction."</t>
  </si>
  <si>
    <t>F(1,8) = 18</t>
  </si>
  <si>
    <t>Boyce_etal202329_1</t>
  </si>
  <si>
    <t>Boyce_etal202329</t>
  </si>
  <si>
    <t>Maureen Osano</t>
  </si>
  <si>
    <t>The proportion of this claim text was not reported but has been coded while coding the same proportion reported in the replication table</t>
  </si>
  <si>
    <t xml:space="preserve"> study is possibly pregistered but links are not always included in the reports</t>
  </si>
  <si>
    <t>Dai, X., Wertenbroch, K., &amp; Brendl, C. M. (2008). The value heuristic in judgments of relative frequency. Psychological Science, 19(1), 18.</t>
  </si>
  <si>
    <t>10.1111/j.1467-9280.2008.02039.x</t>
  </si>
  <si>
    <t>10.1111--j.1467-9280.2008.02039.x.pdf</t>
  </si>
  <si>
    <t>Boyce, V., Mathur, M., &amp; Frank, M. C. (2023). Eleven years of student replication projects provide evidence on the correlates of replicability in psychology. Royal Society Open Science, 10(11), 231240. https://doi.org/10.1098/rsos.231240</t>
  </si>
  <si>
    <t>10.1098/rsos.231240</t>
  </si>
  <si>
    <t>10.1098--rsos.231240.pdf</t>
  </si>
  <si>
    <t>heuristic, value, stimuli, judgment</t>
  </si>
  <si>
    <t>The value heuristic in judgments of relative frequency (flowers endowed)</t>
  </si>
  <si>
    <t>"participants were more likely to underestimate the number of flower pictures relative to bird pictures when they expected payment for flower pictures (15 of 31 participants, 48%) than when they expected payment for bird pictures (8 of 32 participants, 25%) "," Underestimating the frequency of the endowed category was independent of perceiving the endowment procedure to be random"</t>
  </si>
  <si>
    <t>1,2</t>
  </si>
  <si>
    <t>prop:15/31,8/32</t>
  </si>
  <si>
    <t>prop:5/15,2/11</t>
  </si>
  <si>
    <t>https://github.com/vboyce/251-254-MA/blob/main/data/processed_data.csv column rep_d_calc</t>
  </si>
  <si>
    <t>Maureen Osano, LR</t>
  </si>
  <si>
    <t>Boyce_etal202329_b</t>
  </si>
  <si>
    <t>Only the proportion of this claim text was reported in the replication table</t>
  </si>
  <si>
    <t>This row requires further validation study is possibly pregistered but links are not always included in the reports</t>
  </si>
  <si>
    <t>very close</t>
  </si>
  <si>
    <t>The value heuristic in judgments of relative frequency (birds endowed)</t>
  </si>
  <si>
    <r>
      <rPr>
        <rFont val="Arial"/>
        <color theme="1"/>
      </rPr>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t>
    </r>
    <r>
      <rPr>
        <rFont val="Arial"/>
        <i/>
        <color theme="1"/>
      </rPr>
      <t>P</t>
    </r>
    <r>
      <rPr>
        <rFont val="Arial"/>
        <color theme="1"/>
      </rPr>
      <t>prep = .93, odds ratio = 3.28^2. Underestimating the frequency of the endowed category was independent of perceiving the endowment procedure to be random."</t>
    </r>
  </si>
  <si>
    <t>proportion: 5/15,2/11</t>
  </si>
  <si>
    <t>The study numbers are missing in all the rows; There is a need to resolve the replication type that the coder has categorized as close, very close, and exact; is closeness and replication type the same?  study is possibly pregistered but links are not always included in the reports</t>
  </si>
  <si>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</si>
  <si>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In contrast, they were more likely to underestimate the number of bird pictures relative to flower pictures when they expected payment for bird pictures (21 of 32 participants, 66%) than when they expected payment for flower pictures (12 of 31 participants, 39%), w2 (1, N = 56) = 4.51, p = .037, prep =  .93, odds ratio = 3.28.2</t>
  </si>
  <si>
    <t>Boyce_etal20233_1</t>
  </si>
  <si>
    <t>Boyce_etal20233</t>
  </si>
  <si>
    <t>N (shape condition)=28; Only statistics for the shape condition have been reported in the replication table. The same statistics have been coded for the word condition.</t>
  </si>
  <si>
    <t>Aryani, A., Isbilen, E. S., &amp; Christiansen, M. H. (2020). Affective arousal links sound to meaning. Psychological science, 31(8), 978-986.</t>
  </si>
  <si>
    <t>10.1177/0956797620927967</t>
  </si>
  <si>
    <t>10.1177--0956797620927967.pdf</t>
  </si>
  <si>
    <t>bouba-kiki</t>
  </si>
  <si>
    <t>bouba-kiki effect, arousal, emotional mediation hypothesis, language evolution, affective iconicity, open data, open materials, preregistered</t>
  </si>
  <si>
    <t>Affective arousal links sound to meaning (shape condition)</t>
  </si>
  <si>
    <t>"A comparison of the arousal ratings in the shape condition revealed significantly higher arousal for spiky shapes than rounded shapes (spiky: M = 3.45, SE = 0.039; rounded: M = 2.43, SE = 0.037; p &lt; .0001, d = 0.92) "," the ratings for both shapes and words showed a consistent effect of category on arousal, with spiky shapes and kiki-like words rated higher in arousal than rounded shapes and bouba-like words across all of the studies"</t>
  </si>
  <si>
    <t>https://aspredicted.org/mq97g.pdf</t>
  </si>
  <si>
    <t>Boyce_etal20233_b</t>
  </si>
  <si>
    <t>N (shape condition)=24</t>
  </si>
  <si>
    <t>This row needs to be validated further study is possibly pregistered but links are not always included in the reports</t>
  </si>
  <si>
    <t>Affective arousal links sound to meaning (word condition)</t>
  </si>
  <si>
    <t>"In the word condition, we compared arousal ratings for bouba-like and kiki-like words; kiki-like words were rated significantly higher in arousal than bouba-like words (kiki: M = 3.16, SE = 0.033; bouba: M = 2.53, SE = 0.033; p &lt; .0001, d = 0.57) "," the ratings for both shapes and words showed a consistent effect of category on arousal, with spiky shapes and kiki-like words rated higher in arousal than rounded shapes and bouba-like words across all of the studies"</t>
  </si>
  <si>
    <t>Writing N/As in areas with no entries should be considered in all the rows. The discipline for this entry should be categorized as social psychology and not differential psychology (this can be validated, though) 
study is possibly pregistered but links are not always included in the reports; -&gt; field coded as social psych</t>
  </si>
  <si>
    <t>Boyce, V., Mathur, M., &amp; Frank, M. C. (2023). Eleven years of student replication projects provide evidence on the correlates of replicability in psychology. Royal Society Open Science, 10(11), 231240. https://doi.org/10.1098/rsos.231065</t>
  </si>
  <si>
    <t>A comparison of the arousal ratings in the shape condition revealed significantly higher arousal for spiky shapes than rounded shapes (spiky: M = 3.45, SE = 0.039; rounded: M = 2.43, SE = 0.037; p &lt; .0001, d = 0.92).</t>
  </si>
  <si>
    <t>Boyce_etal202330_1</t>
  </si>
  <si>
    <t>Boyce_etal202330</t>
  </si>
  <si>
    <t>This has been chosen but requires further validation study is possibly pregistered but links are not always included in the reports</t>
  </si>
  <si>
    <t>Dale, R., &amp; Duran, N. D. (2011). The cognitive dynamics of negated sentence verification. Cognitive science, 35(5), 983-996.</t>
  </si>
  <si>
    <t>10.1111/j.1551-6709.2010.01164.x</t>
  </si>
  <si>
    <t>1,3</t>
  </si>
  <si>
    <t>10.1111--j.1551-6709.2010.01164.x.pdf</t>
  </si>
  <si>
    <t>negation, discrete and continuous processing, sentence verification, cognitive dynamics, action, pluralism</t>
  </si>
  <si>
    <t>cognitive dynamics of negated sentence verification (interaction between negation and x-flips)</t>
  </si>
  <si>
    <t>"For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</si>
  <si>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7,8</t>
  </si>
  <si>
    <t xml:space="preserve"> F(1,655) = 14.5</t>
  </si>
  <si>
    <t>bseb=.26(.25)</t>
  </si>
  <si>
    <t>Boyce, V., Mathur, M., &amp; Frank, M. C. (2023). Eleven years of student replication projects provide evidence on the correlates of replicability in psychology. Royal Society Open Science, 10(11), 231240. https://doi.org/10.1098/rsos.231091</t>
  </si>
  <si>
    <t>the model revealed ... and a significant interaction between negation and truth, F(1,655) = 6.9, p &lt; .01.</t>
  </si>
  <si>
    <t>p. 989</t>
  </si>
  <si>
    <t>Boyce_etal202330_b</t>
  </si>
  <si>
    <t>Chose central claim due to one replication finding, only
study is possibly pregistered but links are not always included in the reports</t>
  </si>
  <si>
    <t>cognitive dynamics of negated sentence verification (negation and truth)</t>
  </si>
  <si>
    <t>"a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</si>
  <si>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 F(1,655) = 6.9</t>
  </si>
  <si>
    <t>Boyce_etal202330_c</t>
  </si>
  <si>
    <t>This claim should be validated further study is possibly pregistered but links are not always included in the reports</t>
  </si>
  <si>
    <t>cognitive dynamics of negated sentence verification (negation and acceleration ⁄ deceleration events)</t>
  </si>
  <si>
    <t>"Negation increases of the number of acceleration ⁄ deceleration events by approximately 0.70, F(1,655) = 19.1, p &lt; .0001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</si>
  <si>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F(1,655) = 19.1</t>
  </si>
  <si>
    <t>Boyce_etal202330_d</t>
  </si>
  <si>
    <t>cognitive dynamics of negated sentence verification (negation and veracity)</t>
  </si>
  <si>
    <t>"its interaction with veracity is significant, F(1,655) = 13.3,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</si>
  <si>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F(1,655) = 13.3</t>
  </si>
  <si>
    <t>Boyce_etal202331_1</t>
  </si>
  <si>
    <t>Boyce_etal202331</t>
  </si>
  <si>
    <t>This task does not have sufficient data (test statistics) for coding in the original study and replication table. There is no report for the replication study as well</t>
  </si>
  <si>
    <t>In agreement; There is no sufficient information to code this this task study is possibly pregistered but links are not always included in the reports</t>
  </si>
  <si>
    <t>Daw, N. D., Gershman, S. J., Seymour, B., Dayan, P., &amp; Dolan, R. J. (2011). Model-based influences on humans' choices and striatal prediction errors. Neuron, 69(6), 1204-1215.</t>
  </si>
  <si>
    <t>model-based, model-free, prediction errors, choice</t>
  </si>
  <si>
    <t>Model-based influences on humans' choices and striatal prediction errors</t>
  </si>
  <si>
    <t>No information about O in Boyce, impossible to understand which claiim was tested, report absent</t>
  </si>
  <si>
    <t>10.1016/j.neuron.2011.02.027</t>
  </si>
  <si>
    <t>Boyce, V., Mathur, M., &amp; Frank, M. C. (2023). Eleven years of student replication projects provide evidence on the correlates of replicability in psychology. Royal Society Open Science, 10(11), 231240. https://doi.org/10.1098/rsos.231092</t>
  </si>
  <si>
    <t>Boyce_etal202332_1</t>
  </si>
  <si>
    <t>Boyce_etal202332</t>
  </si>
  <si>
    <t>There is no clear information in the replication study and no sufficient information/ data (test statistics) on the replication table to code this task</t>
  </si>
  <si>
    <t>Dehaene, S., Nakamura, K., Jobert, A., Kuroki, C., Ogawa, S., &amp; Cohen, L. (2010). Why do children make mirror errors in reading? Neural correlates of mirror invariance in the visual word form area. Neuroimage, 49(2), 1837-1848.</t>
  </si>
  <si>
    <t>10.1016/j.neuroimage.2009.09.024</t>
  </si>
  <si>
    <t>mirror errors, mirror invariance, recognition, children</t>
  </si>
  <si>
    <t>Neural correlates of mirror invariance in the visual word form area</t>
  </si>
  <si>
    <t>No statistics in Boyce, report absent</t>
  </si>
  <si>
    <t>Tags and description variables missing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</si>
  <si>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https://doi.org/10.1098/rsos.231093</t>
  </si>
  <si>
    <t>Boyce_etal202333_1</t>
  </si>
  <si>
    <t>Boyce_etal202333</t>
  </si>
  <si>
    <t>There is no sufficient data for the replication study in the replication table to fully code this task</t>
  </si>
  <si>
    <t>Djärv, K., Zehr, J., &amp; Schwarz, F. (2018). Cognitive vs. emotive factives: An experimental differentiation. In Proceedings of Sinn und Bedeutung (Vol. 21, No. 1, pp. 367-386).</t>
  </si>
  <si>
    <t>djärv_2018</t>
  </si>
  <si>
    <t>semantics, experimental pragmatics, presupposition, factivity, entailment</t>
  </si>
  <si>
    <t>Cognitive vs. emotive factives</t>
  </si>
  <si>
    <t>"There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</si>
  <si>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bse:b=0.8605(0.2108)</t>
  </si>
  <si>
    <t>bse:b=0.8082(0.2215)</t>
  </si>
  <si>
    <t>Boyce, V., Mathur, M., &amp; Frank, M. C. (2023). Eleven years of student replication projects provide evidence on the correlates of replicability in psychology. Royal Society Open Science, 10(11), 231240. https://doi.org/10.1098/rsos.231094</t>
  </si>
  <si>
    <t>Boyce_etal202334_1</t>
  </si>
  <si>
    <t>Boyce_etal202334</t>
  </si>
  <si>
    <t>Dubey, R., &amp; Griffiths, T. L. (2020). Reconciling novelty and complexity through a rational analysis of curiosity. Psychological Review, 127(3), 455.</t>
  </si>
  <si>
    <t>10.1037/rev0000175</t>
  </si>
  <si>
    <t>curiosity, exploration, rational analysis, computational model</t>
  </si>
  <si>
    <t>Reconciling novelty and complexity through a rational analysis of curiosity</t>
  </si>
  <si>
    <t>Information on tags and description are missing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</si>
  <si>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https://doi.org/10.1098/rsos.231095</t>
  </si>
  <si>
    <t>Boyce_etal202335_1</t>
  </si>
  <si>
    <t>Boyce_etal202335</t>
  </si>
  <si>
    <t>Durso, G. R., Briñol, P., &amp; Petty, R. E. (2016). From power to inaction: Ambivalence gives pause to the powerful. Psychological Science, 27(12), 1660-1666.</t>
  </si>
  <si>
    <t>10.1177/0956797616669947</t>
  </si>
  <si>
    <t>10.1177--0956797616669947.pdf</t>
  </si>
  <si>
    <t>power, ambivalence, self-validation, action, decision time, open data</t>
  </si>
  <si>
    <t>Ambivalence gives pause to the powerful</t>
  </si>
  <si>
    <t>"Only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</si>
  <si>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4,5</t>
  </si>
  <si>
    <t>https://osf.io/5ybej/.</t>
  </si>
  <si>
    <t>Boyce, V., Mathur, M., &amp; Frank, M. C. (2023). Eleven years of student replication projects provide evidence on the correlates of replicability in psychology. Royal Society Open Science, 10(11), 231240. https://doi.org/10.1098/rsos.231096</t>
  </si>
  <si>
    <t>Boyce_etal202336_1</t>
  </si>
  <si>
    <t>Boyce_etal202336</t>
  </si>
  <si>
    <t>Endress, A. D., &amp; Hauser, M. D. (2009). Syntax-induced pattern deafness. Proceedings of the National Academy of Sciences, 106(49), 21001-21006.</t>
  </si>
  <si>
    <t>10.1073/pnas.0908963106</t>
  </si>
  <si>
    <t>10.1073--pnas.0908963106.pdf</t>
  </si>
  <si>
    <t>illusions, language acquisition, modularity, perception, syntax</t>
  </si>
  <si>
    <t>Syntax-induced pattern deafness</t>
  </si>
  <si>
    <t>"participants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</si>
  <si>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t (19) = 1.26</t>
  </si>
  <si>
    <t xml:space="preserve">p.1 </t>
  </si>
  <si>
    <t>Boyce, V., Mathur, M., &amp; Frank, M. C. (2023). Eleven years of student replication projects provide evidence on the correlates of replicability in psychology. Royal Society Open Science, 10(11), 231240. https://doi.org/10.1098/rsos.231097</t>
  </si>
  <si>
    <t>participants in Experiment 1 failed to learn the repetition patterns [percentage correct: M  53.0%, SD  10.7%), t (19)  1.26, P  0.05]. There was no difference n performance for AAB as opposed to ABB;</t>
  </si>
  <si>
    <t>calculated based on the data in the paper - [percentage correct: M  53.0%,SD  10.7%), t (19) = 1.26, P  &gt; 0.05]. N = 20</t>
  </si>
  <si>
    <t>Boyce_etal202337_1</t>
  </si>
  <si>
    <t>Boyce_etal202337</t>
  </si>
  <si>
    <t>Exline, J. J., Baumeister, R. F., Zell, A. L., Kraft, A. J., &amp; Witvliet, C. V. (2008). Not so innocent: Does seeing one's own capability for wrongdoing predict forgiveness?. Journal of Personality and Social Psychology, 94(3), 495.</t>
  </si>
  <si>
    <t>10.1037/0022-3514.94.3.495</t>
  </si>
  <si>
    <t>forgiveness, vengefulness, humility, empathy, gender</t>
  </si>
  <si>
    <t>Seeing one's own capability for wrongdoing predicts forgiveness</t>
  </si>
  <si>
    <t>"When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</si>
  <si>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F(1,151)=9.40</t>
  </si>
  <si>
    <t>t. 3</t>
  </si>
  <si>
    <t>F(1,131)=0.018</t>
  </si>
  <si>
    <t>Boyce, V., Mathur, M., &amp; Frank, M. C. (2023). Eleven years of student replication projects provide evidence on the correlates of replicability in psychology. Royal Society Open Science, 10(11), 231240. https://doi.org/10.1098/rsos.231098</t>
  </si>
  <si>
    <t>Prime</t>
  </si>
  <si>
    <t>study 7</t>
  </si>
  <si>
    <t>occurs when an individual's exposure to a certain stimulus influences their response to a subsequent prompt, without any awareness of the connection.</t>
  </si>
  <si>
    <t>we examined
whether a more subtle manipulation could be effective.</t>
  </si>
  <si>
    <t>p. 506</t>
  </si>
  <si>
    <t>Boyce_etal202338_1</t>
  </si>
  <si>
    <t>Boyce_etal202338</t>
  </si>
  <si>
    <t>Feinberg, M., &amp; Willer, R. (2013). The moral roots of environmental attitudes. Psychological science, 24(1), 56-62.</t>
  </si>
  <si>
    <t>10.1177/0956797612449177</t>
  </si>
  <si>
    <t>10.1177--0956797612449177.pdf</t>
  </si>
  <si>
    <t>morality, policymaking, personal values, scientific communication</t>
  </si>
  <si>
    <t>moral roots of environmental attitudes</t>
  </si>
  <si>
    <t>"revealed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</si>
  <si>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5,6</t>
  </si>
  <si>
    <t>β = −0.29</t>
  </si>
  <si>
    <t>Boyce_etal202338_b</t>
  </si>
  <si>
    <t>moral roots of environmental attitudes (neutral condition)</t>
  </si>
  <si>
    <t>"and the Neutral Condition × Ideology interactions, β = −0.17, p &lt; .05 "," presenting conservatives with proenvironmental messages couched within a particularly conservative moral domain led them to adopt more proenvironmental attitudes, comparable to those of liberals."</t>
  </si>
  <si>
    <t>β = −0.17</t>
  </si>
  <si>
    <t>Boyce, V., Mathur, M., &amp; Frank, M. C. (2023). Eleven years of student replication projects provide evidence on the correlates of replicability in psychology. Royal Society Open Science, 10(11), 231240. https://doi.org/10.1098/rsos.231099</t>
  </si>
  <si>
    <t>Study 3</t>
  </si>
  <si>
    <t>our findings suggest that reframing environmental messages in terms of purity and
sanctity can reduce or even eliminate the differences in liberal and conservative environmental attitudes.</t>
  </si>
  <si>
    <t>p. 61</t>
  </si>
  <si>
    <t>Boyce_etal202339_1</t>
  </si>
  <si>
    <t>Boyce_etal202339</t>
  </si>
  <si>
    <t>The test statistics reported in the original and replication studies are not clear and requires further validation; study is possibly pregistered but links are not always included in the reports</t>
  </si>
  <si>
    <t>Fischer, P., Schulz-Hardt, S., &amp; Frey, D. (2008). Selective exposure and information quantity: how different information quantities moderate decision makers' preference for consistent and inconsistent information. Journal of personality and social psychology, 94(2), 231.</t>
  </si>
  <si>
    <t>10.1037/0022-3514.94.2.94.2.231</t>
  </si>
  <si>
    <t>information seeking, selective exposure, information quantity, selection criterion, information direction</t>
  </si>
  <si>
    <t>information quantities moderate decision makers' preference for consistent and inconsistent information</t>
  </si>
  <si>
    <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</si>
  <si>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prop:8/26,21/26</t>
  </si>
  <si>
    <t>prop:29/38,33/38</t>
  </si>
  <si>
    <t>Based on the information in the dataset it's impossible to clearly compare the results and calculate statistics, extracted both claims matching the proportion numbers in the dataset</t>
  </si>
  <si>
    <t>The test statistics reported in the original and replication studies are not clear and requires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</si>
  <si>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https://doi.org/10.1098/rsos.231100</t>
  </si>
  <si>
    <t>study 4</t>
  </si>
  <si>
    <t>indicating that participants in the 2-information condition selected more inconsistent (69%) than
consistent pieces of information (31%), 2 (1, N  26)  3.85, p  .05, whereas participants in the 10-information condition selected significantly more consistent (81%) than inconsistent pieces of nformation (19%), 2 (1, N  26)  9.85, p  .003.</t>
  </si>
  <si>
    <t>Boyce_etal20234_1</t>
  </si>
  <si>
    <t>Boyce_etal20234</t>
  </si>
  <si>
    <t>Atir, S., Rosenzweig, E., &amp; Dunning, D. (2015). When knowledge knows no bounds: Self-perceived expertise predicts claims of impossible knowledge. Psychological Science, 26(8), 1295-1303.</t>
  </si>
  <si>
    <t>10.1177/0956797615588195</t>
  </si>
  <si>
    <t>10.1177--0956797615588195.pdf</t>
  </si>
  <si>
    <t>https://osf.io/d5e7b</t>
  </si>
  <si>
    <t>exact</t>
  </si>
  <si>
    <t>knowledge level, judgment, inference, thinking, open data</t>
  </si>
  <si>
    <t>Self-perceived expertise predicts claims of impossible knowledge</t>
  </si>
  <si>
    <t>Boyce, V., Mathur, M., &amp; Frank, M. C. (2023). Eleven years of student replication projects provide evidence on the correlates of replicability in psychology. Royal Society Open Science, 10(11), 231240. https://doi.org/10.1098/rsos.231066</t>
  </si>
  <si>
    <t>in Study 1b, self-perceived knowledge of personal finance (M = 4.43, SD = 1.17) positively pre- dicted overclaiming, b = 0.10, t(199) = 13.07, p &lt; .001.</t>
  </si>
  <si>
    <t>t(199) = 13.07</t>
  </si>
  <si>
    <t>p.  190</t>
  </si>
  <si>
    <t>Boyce_etal202340_1</t>
  </si>
  <si>
    <t>Boyce_etal202340</t>
  </si>
  <si>
    <t>Forwood, S. E., Ahern, A., Hollands, G. J., Fletcher, P. C., &amp; Marteau, T. M. (2013). Underestimating calorie content when healthy foods are present: an averaging effect or a reference-dependent anchoring effect?. Plos one, 8(8), e71475.</t>
  </si>
  <si>
    <t>10.1371/journal.pone.0071475</t>
  </si>
  <si>
    <t>negative calorie illusion.</t>
  </si>
  <si>
    <t>calorie content, negative calorie illusion, healthy, food</t>
  </si>
  <si>
    <t>Underestimating calorie content when healthy foods are present: an averaging effect or a reference-dependent anchoring effect (reference food on calorie estimates)</t>
  </si>
  <si>
    <t>"a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</si>
  <si>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F(1,431) = 5.24</t>
  </si>
  <si>
    <t>Boyce_etal202340_b</t>
  </si>
  <si>
    <t>Underestimating calorie content when healthy foods are present: an averaging effect or a reference-dependent anchoring effect</t>
  </si>
  <si>
    <t>"a significant interaction between a healthy side in the reference and a healthy side in the test food on calorie estimates (F(1,431) = 5.24, p = 0.02)"</t>
  </si>
  <si>
    <t>(F(1,431) = 5.24</t>
  </si>
  <si>
    <t>test statstic</t>
  </si>
  <si>
    <t>Boyce, V., Mathur, M., &amp; Frank, M. C. (2023). Eleven years of student replication projects provide evidence on the correlates of replicability in psychology. Royal Society Open Science, 10(11), 231240. https://doi.org/10.1098/rsos.231101</t>
  </si>
  <si>
    <t>Anchoring</t>
  </si>
  <si>
    <t>a cognitive bias that describes the common human tendency to rely too heavily on the first piece of information offered (the “anchor”) when making decisions.</t>
  </si>
  <si>
    <t>a significant effect of healthy side in the reference food on calorie estimates (F(1,431) = 4.63, p = 0.03),</t>
  </si>
  <si>
    <t>Boyce_etal202341_1</t>
  </si>
  <si>
    <t>Boyce_etal202341</t>
  </si>
  <si>
    <t>There are few discrepancies that need further validation study is possibly pregistered but links are not always included in the reports</t>
  </si>
  <si>
    <t>Franke, M., &amp; Degen, J. (2016). Reasoning in reference games: Individual-vs. population-level probabilistic modeling. PloS one, 11(5), e0154854.</t>
  </si>
  <si>
    <t>10.1371/journal.pone.0154854</t>
  </si>
  <si>
    <t>probabilistic pragmatics, probabilistic model, reference games, reasoning</t>
  </si>
  <si>
    <t>Individual-vs. population-level probabilistic modeling of reasoning in reference games (simple versus complex implicature situations)</t>
  </si>
  <si>
    <t>"participants made more target choices in simple than in complex implicature situations (β = 1.28, SE = .12, p &lt; .0001) "," what we are calling simple implicatures are indeed simpler than what we are calling complex implicatures."</t>
  </si>
  <si>
    <t>p. 9; bseb=1.28(.12)</t>
  </si>
  <si>
    <t>Boyce_etal202341_b</t>
  </si>
  <si>
    <t>Individual-vs. population-level probabilistic modeling of reasoning in reference games (in complex implicature situations versus on ambiguous filler trials)</t>
  </si>
  <si>
    <t>"made more target choices in complex implicature situations than on ambiguous filler trials (β = .44, SE = .13, p &lt; .001) "," while participants performed similarly on complex and ambiguous trials, they nevertheless performed significantly above chance on complex trials"</t>
  </si>
  <si>
    <t>p. 9; bseb=.44(.13)</t>
  </si>
  <si>
    <t>If you are validating an entry and there are two identical rows, please mark one as "validated - chosen" and one as "validated - discarded"</t>
  </si>
  <si>
    <t>There are a few discrepancies that need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</si>
  <si>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https://doi.org/10.1098/rsos.231102</t>
  </si>
  <si>
    <t>participants made more target choices in simple than in complex implicature situations (β = 1.28, SE = .12, p &lt; .0001),</t>
  </si>
  <si>
    <t>Boyce_etal202342_1</t>
  </si>
  <si>
    <t>Boyce_etal202342</t>
  </si>
  <si>
    <t>There is no sufficient information (test statistics) or report for the original study and replication to code this task</t>
  </si>
  <si>
    <t>Freeman, J., &amp; Simoncelli, E. P. (2011). Metamers of the ventral stream. Nature neuroscience, 14(9), 1195-1201.</t>
  </si>
  <si>
    <t>10.1038/nn.2889</t>
  </si>
  <si>
    <t>metamers, ventral stream, population model, stimuli</t>
  </si>
  <si>
    <t>Metamers of the ventral stream</t>
  </si>
  <si>
    <t>No information to extract statistics in the dataset</t>
  </si>
  <si>
    <t>Boyce, V., Mathur, M., &amp; Frank, M. C. (2023). Eleven years of student replication projects provide evidence on the correlates of replicability in psychology. Royal Society Open Science, 10(11), 231240. https://doi.org/10.1098/rsos.231103</t>
  </si>
  <si>
    <t>Boyce_etal202343_1</t>
  </si>
  <si>
    <t>Boyce_etal202343</t>
  </si>
  <si>
    <t>The closeness has been categorized as far; hence coded as conceptual</t>
  </si>
  <si>
    <t>Fu, A. S., &amp; Markus, H. R. (2014). My mother and me: Why tiger mothers motivate Asian Americans but not European Americans. Personality and Social Psychology Bulletin, 40(6), 739-749.</t>
  </si>
  <si>
    <t>10.1177/0146167214524992</t>
  </si>
  <si>
    <t>3a</t>
  </si>
  <si>
    <t>10.1177--0146167214524992.pdf</t>
  </si>
  <si>
    <t>far</t>
  </si>
  <si>
    <t>culture, motivation, interdependence, academic achievement</t>
  </si>
  <si>
    <t>tiger mothers motivate Asian Americans but not European Americans</t>
  </si>
  <si>
    <t>a significant interaction between culture and condition (mother vs. self) on motivation, F(1, 113) = 6.12, p = .01.</t>
  </si>
  <si>
    <t>F(1, 113) = 6.12</t>
  </si>
  <si>
    <t>p. 744</t>
  </si>
  <si>
    <t>Boyce, V., Mathur, M., &amp; Frank, M. C. (2023). Eleven years of student replication projects provide evidence on the correlates of replicability in psychology. Royal Society Open Science, 10(11), 231240. https://doi.org/10.1098/rsos.231104</t>
  </si>
  <si>
    <t>Boyce_etal202344_1</t>
  </si>
  <si>
    <t>Boyce_etal202344</t>
  </si>
  <si>
    <t>The closeness has been categorized as far; hence coded as conceptual; administrative science discipline categorized as management</t>
  </si>
  <si>
    <t>Help needed to validate the entries study is possibly pregistered but links are not always included in the reports -&gt; coded as conceptual R, took test statistic from claim</t>
  </si>
  <si>
    <t>Galperin, R. V., Hahl, O., Sterling, A. D., &amp; Guo, J. (2020). Too good to hire? Capability and inferences about commitment in labor markets. Administrative Science Quarterly, 65(2), 275-313.</t>
  </si>
  <si>
    <t>10.1177/0001839219840022</t>
  </si>
  <si>
    <t>10.1177--0001839219840022.pdf</t>
  </si>
  <si>
    <t>hiring, signaling, organizational commitment, credentialing, labor markets</t>
  </si>
  <si>
    <t>Capability and inferences about commitment in labor markets</t>
  </si>
  <si>
    <t>By contrast, in the high- commitment conditions, participants randomly assigned to the extremely high-capability condition (N = 53, mean = 6.04, S.D. = 1.18) were more likely to give the candidate an offer (t = − 3.34, d.f. = 105, p = .001, two-tailed test)</t>
  </si>
  <si>
    <t>t(105) = -3.34</t>
  </si>
  <si>
    <t>Effect size value for O copied from Boyce dataset, not sure that it's calculated correctly</t>
  </si>
  <si>
    <t>Help needed to validate the calculated effect sizes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</si>
  <si>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https://doi.org/10.1098/rsos.231105</t>
  </si>
  <si>
    <t>Boyce_etal202345_1</t>
  </si>
  <si>
    <t>Boyce_etal202345</t>
  </si>
  <si>
    <t xml:space="preserve"> study is possibly pregistered but links are not always included in the reports; took o es values from claim</t>
  </si>
  <si>
    <t>García-Castro, J. D., Rodríguez-Bailón, R., &amp; Willis, G. B. (2020). Perceiving economic inequality in everyday life decreases tolerance to inequality. Journal of Experimental Social Psychology, 90, 104019.</t>
  </si>
  <si>
    <t>10.1016/j.jesp.2020.104019</t>
  </si>
  <si>
    <t>economic inequality, everyday life, perceived inequality, tolerance to inequality, attitudes toward redistribution</t>
  </si>
  <si>
    <t>Perceiving economic inequality in everyday life decreases tolerance to inequality (PEIEL condition)</t>
  </si>
  <si>
    <t>Based on our preregistered hypotheses, participants assigned to the PEIEL condition showed higher intolerance of inequality (M = 5.50, 95% CI [5.31, 5.68]) compared to those assigned to the control group (M = 5.18, 95% CI [5.00, 5.37], t(370) = 2.303, p = .022, d = 0.24, 95% CI [0.04, 0.44]).</t>
  </si>
  <si>
    <t>https://osf.io/nsk8h/?view_only=b1e702d061484d1bb4150754892d9197</t>
  </si>
  <si>
    <t>Boyce_etal202345_b</t>
  </si>
  <si>
    <t>Perceiving economic inequality in everyday life decreases tolerance to inequality(control condition)</t>
  </si>
  <si>
    <t>Boyce, V., Mathur, M., &amp; Frank, M. C. (2023). Eleven years of student replication projects provide evidence on the correlates of replicability in psychology. Royal Society Open Science, 10(11), 231240. https://doi.org/10.1098/rsos.231106</t>
  </si>
  <si>
    <t>https://osf.io/krx8m/?view_only=069f8366242e4dccb0309ccf89f88324.</t>
  </si>
  <si>
    <t>Boyce_etal202346_1</t>
  </si>
  <si>
    <t>Boyce_etal202346</t>
  </si>
  <si>
    <t>Gibson, E., Bergen, L., &amp; Piantadosi, S. T. (2013). Rational integration of noisy evidence and prior semantic expectations in sentence interpretation. Proceedings of the National Academy of Sciences, 110(20), 8051-8056.</t>
  </si>
  <si>
    <t>10.1073/pnas.1216438110</t>
  </si>
  <si>
    <t>10.1073--pnas.1216438110.pdf</t>
  </si>
  <si>
    <t>communication, psycholinguistics, rational inference</t>
  </si>
  <si>
    <t>Rational integration of noisy evidence and prior semantic expectations in sentence interpretation</t>
  </si>
  <si>
    <t>Boyce, V., Mathur, M., &amp; Frank, M. C. (2023). Eleven years of student replication projects provide evidence on the correlates of replicability in psychology. Royal Society Open Science, 10(11), 231240. https://doi.org/10.1098/rsos.231107</t>
  </si>
  <si>
    <t>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</si>
  <si>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p. 8054</t>
  </si>
  <si>
    <t>Boyce_etal202347_1</t>
  </si>
  <si>
    <t>Boyce_etal202347</t>
  </si>
  <si>
    <t>Gick, M. L., &amp; Holyoak, K. J. (1983). Schema induction and analogical transfer. Cognitive psychology, 15(1), 1-38.</t>
  </si>
  <si>
    <t>10.1016/0010-0285(83)90002-6</t>
  </si>
  <si>
    <t>analogical transfer, analogical thinking, schema induction</t>
  </si>
  <si>
    <t>Schema induction and analogical transfer</t>
  </si>
  <si>
    <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</si>
  <si>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prop45/73,28/70</t>
  </si>
  <si>
    <t>prop:32/82,13/93</t>
  </si>
  <si>
    <t>the dataset includes only proportions, report is absent, not possible to extract statistics</t>
  </si>
  <si>
    <t>This requires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</si>
  <si>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https://doi.org/10.1098/rsos.231108</t>
  </si>
  <si>
    <t>Boyce_etal202348_1</t>
  </si>
  <si>
    <t>Boyce_etal202348</t>
  </si>
  <si>
    <t>There is no claim text. Data from the replication table has been used to code this row</t>
  </si>
  <si>
    <t>Goff, P. A., Jackson, M. C., Di Leone, B. A. L., Culotta, C. M., &amp; DiTomasso, N. A. (2014). The essence of innocence: consequences of dehumanizing Black children. Journal of personality and social psychology, 106(4), 526.</t>
  </si>
  <si>
    <t>10.1037/a0035663</t>
  </si>
  <si>
    <t>dehumanization, racial discrimination, police bias, intergroup processes, juvenile justice</t>
  </si>
  <si>
    <t>consequences of dehumanizing Black children</t>
  </si>
  <si>
    <t>statistics extracted from Boyce dataset, original claim not identified, cause I didn;t find the matching statistics in the paper</t>
  </si>
  <si>
    <t>Information on tags and description variables need to be added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</si>
  <si>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https://doi.org/10.1098/rsos.231109</t>
  </si>
  <si>
    <t>Boyce_etal202349_1</t>
  </si>
  <si>
    <t>Boyce_etal202349</t>
  </si>
  <si>
    <t>Gong, X., Zhang, F., &amp; Fung, H. H. (2019). Are older adults more willing to donate? The roles of donation form and social relationship. The Journals of Gerontology: Series B, 74(3), 440-448.</t>
  </si>
  <si>
    <t>10.1093/geronb/gbx099</t>
  </si>
  <si>
    <t>aging, donation, kin selection, prosocial behavior, social discounting</t>
  </si>
  <si>
    <t>Are older adults more willing to donate?</t>
  </si>
  <si>
    <t>"a significant three-way interaction of age × donation form × kinship, F(1,134) = 4.03, p &lt; .05, ηp2 = .03 , suggesting that the age difference could be moderated by kinship and donation form."</t>
  </si>
  <si>
    <t>F(1,134)=4.03</t>
  </si>
  <si>
    <t>test</t>
  </si>
  <si>
    <t>F(1,70)=.06</t>
  </si>
  <si>
    <t>Boyce, V., Mathur, M., &amp; Frank, M. C. (2023). Eleven years of student replication projects provide evidence on the correlates of replicability in psychology. Royal Society Open Science, 10(11), 231240. https://doi.org/10.1098/rsos.231110</t>
  </si>
  <si>
    <t>a significant three-way inter- action of age × donation form × kinship, F(1,134) = 4.03, p &lt; .05, ηp 2 = .03 , suggesting that the age difference could be moderated by kinship and donation form.</t>
  </si>
  <si>
    <t>p. 444</t>
  </si>
  <si>
    <t>Boyce_etal20235_1</t>
  </si>
  <si>
    <t>Boyce_etal20235</t>
  </si>
  <si>
    <t>Austerweil, J. L., &amp; Griffiths, T. L. (2011). Seeking confirmation is rational for deterministic hypotheses. Cognitive Science, 35(3), 499-526.</t>
  </si>
  <si>
    <t>10.1111/j.1551-6709.2010.01161.x</t>
  </si>
  <si>
    <t>10.1111--j.1551-6709.2010.01161.x.pdf</t>
  </si>
  <si>
    <t>https://osf.io/9fcjx</t>
  </si>
  <si>
    <t>confirmation bias, rational analysis, hypothesis testing, decision making, bayesian inference, determinism</t>
  </si>
  <si>
    <t>Seeking confirmation is rational for deterministic hypotheses</t>
  </si>
  <si>
    <t>extracation and effect size based on the report, table states that N original is 25, while it's 29 (Experiment 4). Might be excluded based on the report "The present study was not a straightforward replication of the original study. We failed to replicate Austerweil &amp; Griffith’s (2011) key 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</si>
  <si>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Chosen but requires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</si>
  <si>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https://doi.org/10.1098/rsos.231067</t>
  </si>
  <si>
    <t>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</si>
  <si>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X2(2) = 8.14</t>
  </si>
  <si>
    <t>p. 519</t>
  </si>
  <si>
    <t>Boyce_etal202350_1</t>
  </si>
  <si>
    <t>Boyce_etal202350</t>
  </si>
  <si>
    <t>Gray, H. M., Gray, K., &amp; Wegner, D. M. (2007). Dimensions of mind perception. science, 315(5812), 619-619.</t>
  </si>
  <si>
    <t>10.1126/science.1134475</t>
  </si>
  <si>
    <t>10.1126--science.1134475.pdf</t>
  </si>
  <si>
    <t>dimension, mind perception</t>
  </si>
  <si>
    <t>Mind perception</t>
  </si>
  <si>
    <t>the dataset doesn't include statistics, report is absent</t>
  </si>
  <si>
    <t>Boyce, V., Mathur, M., &amp; Frank, M. C. (2023). Eleven years of student replication projects provide evidence on the correlates of replicability in psychology. Royal Society Open Science, 10(11), 231240. https://doi.org/10.1098/rsos.231111</t>
  </si>
  <si>
    <t>Boyce_etal202351_1</t>
  </si>
  <si>
    <t>Boyce_etal202351</t>
  </si>
  <si>
    <t>Gray, K., Ward, A. F., &amp; Norton, M. I. (2014). Paying it forward: generalized reciprocity and the limits of generosity. Journal of experimental psychology: General, 143(1), 247.</t>
  </si>
  <si>
    <t>10.1037/a0031047</t>
  </si>
  <si>
    <t>4b</t>
  </si>
  <si>
    <t>morality, gratitude, evolution, victims, altruism</t>
  </si>
  <si>
    <t>generalized reciprocity and the limits of generosity</t>
  </si>
  <si>
    <t>"the predicted interaction effect, F(1, 161) = 7.00, p &lt; .01, on the number of good tasks given "," provide evidence that the tendency to symmetrically pay forward greed stems from negative affect"</t>
  </si>
  <si>
    <t>Test statistics are not written in their complete form. This applies to all the test statistics highlighted in red.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</si>
  <si>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https://doi.org/10.1098/rsos.231112</t>
  </si>
  <si>
    <t>F(1, 161) = 7.00</t>
  </si>
  <si>
    <t>p.252</t>
  </si>
  <si>
    <t>Boyce_etal202352_1</t>
  </si>
  <si>
    <t>Boyce_etal202352</t>
  </si>
  <si>
    <t>The discipline variable coded as "social psychology" instead of "other-psych" as indicated in the replication table</t>
  </si>
  <si>
    <t>Help needed to harmonize the entries study is possibly pregistered but links are not always included in the reports</t>
  </si>
  <si>
    <t>Greenberg, A. E., &amp; Spiller, S. A. (2016). Opportunity cost neglect attenuates the effect of choices on preferences. Psychological science, 27(1), 103-113.</t>
  </si>
  <si>
    <t>10.1177/0956797615608267</t>
  </si>
  <si>
    <t>10.1177--0956797615608267.pdf</t>
  </si>
  <si>
    <t>opportunity costs, choices, preferences, open data, open materials</t>
  </si>
  <si>
    <t>Opportunity cost neglect attenuates the effect of choices on preferences</t>
  </si>
  <si>
    <t>"The test of interest is the interaction. Controlling for prechoice spread, the degree to which postchoice spread varied with the proportion of options chosen depended on whether opportunity costs were explicit at the time of choice."</t>
  </si>
  <si>
    <t>t(96)=2.310</t>
  </si>
  <si>
    <t>t. 1/ p. 3</t>
  </si>
  <si>
    <t>Boyce, V., Mathur, M., &amp; Frank, M. C. (2023). Eleven years of student replication projects provide evidence on the correlates of replicability in psychology. Royal Society Open Science, 10(11), 231240. https://doi.org/10.1098/rsos.231113</t>
  </si>
  <si>
    <t>test whether the effect of opportunity cost consideration on spread was driven by the salience of opportunity costs at the time of choice or at the time of evaluations,</t>
  </si>
  <si>
    <t>p.105</t>
  </si>
  <si>
    <t>Boyce_etal202353_1</t>
  </si>
  <si>
    <t>Boyce_etal202353</t>
  </si>
  <si>
    <t>moral judgment, morality, utilitarian, cognitive control, cognitive load</t>
  </si>
  <si>
    <t>Cognitive load selectively interferes with utilitarian moral judgment</t>
  </si>
  <si>
    <t>"we observed the predicted interaction between load and judgment (F(1, 62.9) = 8.5, p = .005) "," Cognitive load selectively increased RT for utilitarian judgment, yielding the predicted interaction between load and judgment type."</t>
  </si>
  <si>
    <t>6,8</t>
  </si>
  <si>
    <t>F(1,62.9)=8.5</t>
  </si>
  <si>
    <t>No statistics and report for replication</t>
  </si>
  <si>
    <t>Boyce, V., Mathur, M., &amp; Frank, M. C. (2023). Eleven years of student replication projects provide evidence on the correlates of replicability in psychology. Royal Society Open Science, 10(11), 231240. https://doi.org/10.1098/rsos.231114</t>
  </si>
  <si>
    <t>we observed the predicted interaction between load and judgment (F(1, 62.9) = 8.5, p = .005).</t>
  </si>
  <si>
    <t>p.1149</t>
  </si>
  <si>
    <t>Boyce_etal202354_1</t>
  </si>
  <si>
    <t>Boyce_etal202354</t>
  </si>
  <si>
    <t>"Effect size is not applicable to this study" - replication report</t>
  </si>
  <si>
    <t>Griffiths, T. L., &amp; Tenenbaum, J. B. (2006). Optimal predictions in everyday cognition. Psychological science, 17(9), 767-773.</t>
  </si>
  <si>
    <t>10.1111/j.1467-9280.2006.01780.x</t>
  </si>
  <si>
    <t>10.1111--j.1467-9280.2006.01780.x.pdf</t>
  </si>
  <si>
    <t>cognitive judgements, optimal predictions, perception, memory</t>
  </si>
  <si>
    <t>Optimal predictions in everyday cognition</t>
  </si>
  <si>
    <t>Boyce, V., Mathur, M., &amp; Frank, M. C. (2023). Eleven years of student replication projects provide evidence on the correlates of replicability in psychology. Royal Society Open Science, 10(11), 231240. https://doi.org/10.1098/rsos.231115</t>
  </si>
  <si>
    <t>Boyce_etal202355_1</t>
  </si>
  <si>
    <t>Boyce_etal202355</t>
  </si>
  <si>
    <t>Haimovitz, K., &amp; Dweck, C. S. (2016). What predicts children’s fixed and growth intelligence mind-sets? Not their parents’ views of intelligence but their parents’ views of failure. Psychological science, 27(6), 859-869.</t>
  </si>
  <si>
    <t>10.1177/0956797616639727</t>
  </si>
  <si>
    <t>academic achievement, childhood development, educational psychology, motivation, open materials</t>
  </si>
  <si>
    <t>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</si>
  <si>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 </t>
  </si>
  <si>
    <t>9,10</t>
  </si>
  <si>
    <t>t(131) = 3.246</t>
  </si>
  <si>
    <t>https://github.com/vboyce/251-254-MA/blob/main/data/processed_data.csv column rep_d_calc (haimovitz2016_1)</t>
  </si>
  <si>
    <t>These are two separate entries treated the same; Hence requires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</si>
  <si>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https://doi.org/10.1098/rsos.231116</t>
  </si>
  <si>
    <t>haimovitz2016_1</t>
  </si>
  <si>
    <t>Boyce_etal202355_b</t>
  </si>
  <si>
    <t>Boyce, V., Mathur, M., &amp; Frank, M. C. (2023). Eleven years of student replication projects provide evidence on the correlates of replicability in psychology. Royal Society Open Science, 10(11), 231240. https://doi.org/10.1098/rsos.231117</t>
  </si>
  <si>
    <t>haimovitz2016_2</t>
  </si>
  <si>
    <t>https://github.com/vboyce/251-254-MA/blob/main/data/processed_data.csv column rep_d_calc (haimovitz2016_2)</t>
  </si>
  <si>
    <t>Boyce_etal202356_1</t>
  </si>
  <si>
    <t>Boyce_etal202356</t>
  </si>
  <si>
    <t>Boyce_etal202357_1</t>
  </si>
  <si>
    <t>Boyce_etal202357</t>
  </si>
  <si>
    <t>The test statistics for the original study reported in the replication table cannot be traced in the original study pdf and there is no report to help trace it. Therefore this trask requires validation.</t>
  </si>
  <si>
    <t>Hart, Y., Dillon, M. R., Marantan, A., Cardenas, A. L., Spelke, E., &amp; Mahadevan, L. (2018). The statistical shape of geometric reasoning. Scientific reports, 8(1), 1-12.</t>
  </si>
  <si>
    <t>10.1038/s41598-018-30314-y</t>
  </si>
  <si>
    <t>geometric reasoning, Eclidean, statistics, shape, planar triangles</t>
  </si>
  <si>
    <t>statistical shape of geometric reasoning</t>
  </si>
  <si>
    <t>t(99)=-6.354</t>
  </si>
  <si>
    <t>Statistics for o and r copied from Boyce database, mentioned raw stats not found</t>
  </si>
  <si>
    <t xml:space="preserve"> study is possibly pregistered but links are not always included in the reports; coded as nested due to the experiments being repeated measures</t>
  </si>
  <si>
    <t>Boyce, V., Mathur, M., &amp; Frank, M. C. (2023). Eleven years of student replication projects provide evidence on the correlates of replicability in psychology. Royal Society Open Science, 10(11), 231240. https://doi.org/10.1098/rsos.231118</t>
  </si>
  <si>
    <t>Boyce_etal202358_1</t>
  </si>
  <si>
    <t>Boyce_etal202358</t>
  </si>
  <si>
    <t>coded as nested (within-subjects = yes according to table), study is possibly pregistered but links are not always included in the reports</t>
  </si>
  <si>
    <t>Heck, P. R., Chabris, C. F., Watts, D. J., &amp; Meyer, M. N. (2020). Objecting to experiments even while approving of the policies or treatments they compare. Proceedings of the National Academy of Sciences, 117(32), 18948-18950.</t>
  </si>
  <si>
    <t>10.1073/pnas.2009030117</t>
  </si>
  <si>
    <t>10.1073--pnas.2009030117.pdf</t>
  </si>
  <si>
    <t>A/B Effect</t>
  </si>
  <si>
    <t>field experiments, A/B tests, randomized controlled trials, research ethics, pragmatic trials</t>
  </si>
  <si>
    <t>Objecting to experiments even while approving of the policies or treatments they compare</t>
  </si>
  <si>
    <t>Participants also demonstrated the A/B Effect by rating each A/B test as less appropriate than their average rating of policies (Table 1)</t>
  </si>
  <si>
    <t>https://osf.io/w6qub/</t>
  </si>
  <si>
    <t>Help is needed to harmonize the effect sizes of the original study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</si>
  <si>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https://doi.org/10.1098/rsos.231119</t>
  </si>
  <si>
    <t>Boyce_etal202359_1</t>
  </si>
  <si>
    <t>Boyce_etal202359</t>
  </si>
  <si>
    <t>Coded as not nested (t test for 2 samples); study is possibly pregistered but links are not always included in the reports</t>
  </si>
  <si>
    <t>Henderson, M. D., De Liver, Y., &amp; Gollwitzer, P. M. (2008). The effects of an implemental mind-set on attitude strength. Journal of personality and social psychology, 94(3), 396.</t>
  </si>
  <si>
    <t>10.1037/0022-3514.94.3.396 (1)</t>
  </si>
  <si>
    <t>extremity, ambivalence, accessibility, mind-set, attitude strength</t>
  </si>
  <si>
    <t>effects of an implemental mind-set on attitude strength</t>
  </si>
  <si>
    <t>Specific comparisons revealed that the implemental mind-set group evidenced a significantly lower amount of ambivalence  ... compared with the deliberative (M   2.74, SD   0.67), t(80)   2.02, p   .05, d   0.45,</t>
  </si>
  <si>
    <t>p. 401</t>
  </si>
  <si>
    <t>10.1037/0022-3514.94.3.396</t>
  </si>
  <si>
    <t>Boyce, V., Mathur, M., &amp; Frank, M. C. (2023). Eleven years of student replication projects provide evidence on the correlates of replicability in psychology. Royal Society Open Science, 10(11), 231240. https://doi.org/10.1098/rsos.231120</t>
  </si>
  <si>
    <t>attitude ambivalence</t>
  </si>
  <si>
    <t>Boyce_etal20236_1</t>
  </si>
  <si>
    <t>Boyce_etal20236</t>
  </si>
  <si>
    <t>No sufficient information study is possibly pregistered but links are not always included in the reports</t>
  </si>
  <si>
    <t>Balas, B. J. (2006). Texture synthesis and perception: Using computational models to study texture representations in the human visual system. Vision research, 46(3), 299-309.</t>
  </si>
  <si>
    <t>10.1016/j.visres.2005.04.013</t>
  </si>
  <si>
    <t>10.1016--j.visres.2005.04.013.pdf</t>
  </si>
  <si>
    <t>texture, perception, computational vision, natural images</t>
  </si>
  <si>
    <t>texture representations in the human visual system</t>
  </si>
  <si>
    <t>Boyce, V., Mathur, M., &amp; Frank, M. C. (2023). Eleven years of student replication projects provide evidence on the correlates of replicability in psychology. Royal Society Open Science, 10(11), 231240. https://doi.org/10.1098/rsos.231068</t>
  </si>
  <si>
    <t>Boyce_etal202360_1</t>
  </si>
  <si>
    <t>Boyce_etal202360</t>
  </si>
  <si>
    <t>Hernandez, I. A., Silverman, D. M., &amp; Destin, M. (2021). From deficit to benefit: Highlighting lower-SES students' background-specific strengths reinforces their academic persistence. Journal of Experimental Social Psychology, 92, 104080.</t>
  </si>
  <si>
    <t>10.1016/j.jesp.2020.104080</t>
  </si>
  <si>
    <t>socioeconomic status, strengths-based, adversity, academic persistence, motivation</t>
  </si>
  <si>
    <t>Highlighting lower-SES students' background-specific strengths reinforces their academic persistence</t>
  </si>
  <si>
    <t>"These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</si>
  <si>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https://osf.io/7dh3m</t>
  </si>
  <si>
    <t>Boyce, V., Mathur, M., &amp; Frank, M. C. (2023). Eleven years of student replication projects provide evidence on the correlates of replicability in psychology. Royal Society Open Science, 10(11), 231240. https://doi.org/10.1098/rsos.231121</t>
  </si>
  <si>
    <t>Participants randomly assigned to the BSS condition displayed significantly greater endorsement of background-specific strengths than participants in the control conditions</t>
  </si>
  <si>
    <t>Boyce_etal202361_1</t>
  </si>
  <si>
    <t>Boyce_etal202361</t>
  </si>
  <si>
    <t xml:space="preserve"> study is possibly pregistered but links are not always included in the reports; coded as nested (mixed-effects regression) and not reported tails (95% CI is two-tailed but no note on p-values is present for the table)</t>
  </si>
  <si>
    <t>Hopkins, E. J., Weisberg, D. S., &amp; Taylor, J. C. (2016). The seductive allure is a reductive allure: People prefer scientific explanations that contain logically irrelevant reductive information. Cognition, 155, 67-76.</t>
  </si>
  <si>
    <t>10.1016/j.cognition.2016.06.011</t>
  </si>
  <si>
    <t>seductive allure effect</t>
  </si>
  <si>
    <t>explanations, seductive allure, decision making</t>
  </si>
  <si>
    <t>People prefer scientific explanations that contain logically irrelevant reductive information</t>
  </si>
  <si>
    <t>"The primary research questions were whether participants would prefer reductive explanations and whether this would differ by the science of the phenomenon. The regression revealed a significant main effect of explanation level"</t>
  </si>
  <si>
    <t>t. 2</t>
  </si>
  <si>
    <t>The p value tails and nested variables values for the original and replication studies need to be validated further;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</si>
  <si>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https://doi.org/10.1098/rsos.231122</t>
  </si>
  <si>
    <t>reductive explanations</t>
  </si>
  <si>
    <t>whether participants would prefer reductive explanations and whether this would differ by the science of the phenomenon.</t>
  </si>
  <si>
    <t>p.72</t>
  </si>
  <si>
    <t>Boyce_etal202362_1</t>
  </si>
  <si>
    <t>Boyce_etal202362</t>
  </si>
  <si>
    <t>Hughes, M. L., Geraci, L., &amp; De Forrest, R. L. (2013). Aging 5 years in 5 minutes: The effect of taking a memory test on older adults’ subjective age. Psychological Science, 24(12), 2481-2488.</t>
  </si>
  <si>
    <t>10.1177/0956797613494853</t>
  </si>
  <si>
    <t>10.1177--0956797613494853.pdf</t>
  </si>
  <si>
    <t>subjective-aging effect</t>
  </si>
  <si>
    <t>aging, memory, subjective age, context, stereotypes</t>
  </si>
  <si>
    <t>effect of taking a memory test on older adults’ subjective age</t>
  </si>
  <si>
    <t>"Participants felt older after taking a memory test (M = 54.79 years, SD = 16.79) than at baseline (M = 50.04 years, SD = 13.80), t(27) = 2.71, SE = 1.75; d = 0.76, 95% CI = [0.33, 1.18] "," the subjective-aging effect observed in Studies 1 and 2 was replicated in Study 3, which used a constant wording of the subjective-age question."</t>
  </si>
  <si>
    <t>Boyce data set reports 57 participants in O, while 6 were excluded from the analysis. Calculated p for O myself</t>
  </si>
  <si>
    <t>The number of participants for the memory test which was the main focus for this replication was 57. The three participants excluded were for the vocabulary test; therefore, the 51 participants is not correct. study is possibly pregistered but links are not always included in the reports -&gt; -&gt; p-value not reported (CI does not include 0, though); N coded from df (27+2) for pairs of observations</t>
  </si>
  <si>
    <t>Boyce, V., Mathur, M., &amp; Frank, M. C. (2023). Eleven years of student replication projects provide evidence on the correlates of replicability in psychology. Royal Society Open Science, 10(11), 231240. https://doi.org/10.1098/rsos.231123</t>
  </si>
  <si>
    <t>Participants felt older after taking a memory test (M = 54.79 years, SD = 16.79) than at baseline (M = 50.04 years, SD = 13.80), t(27) = 2.71, SE = 1.75; d = 0.76, 95% CI = [0.33, 1.18].</t>
  </si>
  <si>
    <t>Boyce_etal202363_1</t>
  </si>
  <si>
    <t>Boyce_etal202363</t>
  </si>
  <si>
    <t xml:space="preserve"> study is possibly pregistered but links are not always included in the reports; coded as within subjects (nested = yes)</t>
  </si>
  <si>
    <t>Huh, Y. E., Vosgerau, J., &amp; Morewedge, C. K. (2016). More similar but less satisfying: Comparing preferences for and the efficacy of within-and cross-category substitutes for food. Psychological Science, 27(6), 894-903.</t>
  </si>
  <si>
    <t>10.1177/0956797616640705</t>
  </si>
  <si>
    <t>10.1177--0956797616640705.pdf</t>
  </si>
  <si>
    <t>Contrast effect</t>
  </si>
  <si>
    <t>substitution, preferences, satiation, contrast effect, categorization, open data, open materials</t>
  </si>
  <si>
    <t>preferences for and the efficacy of within-and cross-category substitutes for food</t>
  </si>
  <si>
    <t>"participants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</si>
  <si>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3,8</t>
  </si>
  <si>
    <t>Boyce, V., Mathur, M., &amp; Frank, M. C. (2023). Eleven years of student replication projects provide evidence on the correlates of replicability in psychology. Royal Society Open Science, 10(11), 231240. https://doi.org/10.1098/rsos.231124</t>
  </si>
  <si>
    <t>On average, participants expected to enjoy eating the desired foods (M = 3.85, SD = 0.83) more than the cross-category substitutes (M = 3.48, SD = 0.81),</t>
  </si>
  <si>
    <t>Boyce_etal202364_1</t>
  </si>
  <si>
    <t>Boyce_etal202364</t>
  </si>
  <si>
    <t>The claim cannot be traced from the test statistic of the original study in the replication table. There is no sufficient data for the replication study in the replication table to fully code this task</t>
  </si>
  <si>
    <t>This needs to be validated further study is possibly pregistered but links are not always included in the reports</t>
  </si>
  <si>
    <t>Huntington‐Klein, N. (2018). College choice as a collective decision. Economic Inquiry, 56(2), 1202-1219.</t>
  </si>
  <si>
    <t>10.1111/ecin.12470</t>
  </si>
  <si>
    <t>10.1111--ecin.12470.pdf</t>
  </si>
  <si>
    <t>Marginal effecr</t>
  </si>
  <si>
    <t>choice, college, decision, education</t>
  </si>
  <si>
    <t>College choice as a collective decision</t>
  </si>
  <si>
    <t>Parents put more emphasis on the student’s opinion than the student puts on the parent’s opinion, at least for the higher two marginal effects. The difference is especially strong for the change from Dislike to Like.</t>
  </si>
  <si>
    <t>p.1210, Table 2, row "dislike to like", difference</t>
  </si>
  <si>
    <t>bse:b=.061</t>
  </si>
  <si>
    <t>No statistics for R in Boyce data set, d for O calculated by me</t>
  </si>
  <si>
    <t>There is a need to validate the calculated values for the original study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</si>
  <si>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https://doi.org/10.1098/rsos.231125</t>
  </si>
  <si>
    <t>p.1210</t>
  </si>
  <si>
    <t>Boyce_etal202365_1</t>
  </si>
  <si>
    <t>Boyce_etal202365</t>
  </si>
  <si>
    <t>There is no sufficient data for the replication study in the replication table to code this task fully</t>
  </si>
  <si>
    <t>help needed to validate this entry study is possibly pregistered but links are not always included in the reports</t>
  </si>
  <si>
    <t>Jakesch, M., French, M., Ma, X., Hancock, J. T., &amp; Naaman, M. (2019, May). AI-mediated communication: How the perception that profile text was written by AI affects trustworthiness. In Proceedings of the 2019 CHI Conference on Human Factors in Computing Systems (pp. 1-13).</t>
  </si>
  <si>
    <t>10.1145/3290605.3300469</t>
  </si>
  <si>
    <t>10.1145--3290605.3300469.pdf</t>
  </si>
  <si>
    <t>Replicant effect</t>
  </si>
  <si>
    <t>AI-MC, artificial Intelligence, CMC, trust</t>
  </si>
  <si>
    <t>How the perception that profile text was written by AI affects trustworthiness (Control)</t>
  </si>
  <si>
    <t>"None of the main effects were significant predictors; as expected, the treatment did not have a significant effect on the evaluation of “human” pro files. However, in the labeled and primed conditions hosts with AI-like profiles received significantly lower trust rat ings."</t>
  </si>
  <si>
    <t>bseb=0.089(1.434)</t>
  </si>
  <si>
    <t>https://osf.io/qg3m2/registrations</t>
  </si>
  <si>
    <t>bseb=-2.63845(1.747710)</t>
  </si>
  <si>
    <t>Boyce_etal202365_b</t>
  </si>
  <si>
    <t>How the perception that profile text was written by AI affects trustworthiness (Unlabeled)</t>
  </si>
  <si>
    <t>bseb=-3.096(1.981)</t>
  </si>
  <si>
    <t>Boyce_etal202365_c</t>
  </si>
  <si>
    <t>How the perception that profile text was written by AI affects trustworthiness (Labeled)</t>
  </si>
  <si>
    <t>bseb=-4.352(2.135)</t>
  </si>
  <si>
    <t>Boyce_etal202365_d</t>
  </si>
  <si>
    <t>How the perception that profile text was written by AI affects trustworthiness (Primed)</t>
  </si>
  <si>
    <t>bseb=-4.976(2.028)</t>
  </si>
  <si>
    <t>Sample zise in O after exclusion is 208, while in Boyce reported as 108, probably typo. No Size effect and P value reported in R</t>
  </si>
  <si>
    <t>Boyce, V., Mathur, M., &amp; Frank, M. C. (2023). Eleven years of student replication projects provide evidence on the correlates of replicability in psychology. Royal Society Open Science, 10(11), 231240. https://doi.org/10.1098/rsos.231126</t>
  </si>
  <si>
    <t xml:space="preserve">However, in ... primed condition hosts with Al-like profiles received significantly lower trust ratings. </t>
  </si>
  <si>
    <t>https://osf.io/qg3m2/</t>
  </si>
  <si>
    <t>Boyce_etal202366_1</t>
  </si>
  <si>
    <t>Boyce_etal202366</t>
  </si>
  <si>
    <t>Jara-Ettinger, J., Levy, R., Sakel, J., Huanca, T., &amp; Gibson, E. (2022). The origins of the shape bias: Evidence from the Tsimane’. Journal of Experimental Psychology: General.</t>
  </si>
  <si>
    <t>10.1037/xge0001195</t>
  </si>
  <si>
    <t>word learning, shape bias, cross-cultural studies</t>
  </si>
  <si>
    <t>shape bias: Evidence from the Tsimane’</t>
  </si>
  <si>
    <t>"the majority of U.S. adults preferred to generalize the object label by shape (68.75% of choices) over material (28.48% of choices) and color (2.77% of choices) "," that humans generalize object labels based on the features that they believe will be diagnostic of the object’s category"</t>
  </si>
  <si>
    <t>6,7</t>
  </si>
  <si>
    <t>proportion: 99/144</t>
  </si>
  <si>
    <t>https://osf.io/egc9y/</t>
  </si>
  <si>
    <t>proportion: 91/147</t>
  </si>
  <si>
    <t>Boyce, V., Mathur, M., &amp; Frank, M. C. (2023). Eleven years of student replication projects provide evidence on the correlates of replicability in psychology. Royal Society Open Science, 10(11), 231240. https://doi.org/10.1098/rsos.231127</t>
  </si>
  <si>
    <t>https://osf.io/egc9y/.</t>
  </si>
  <si>
    <t>Boyce_etal202367_1</t>
  </si>
  <si>
    <t>Boyce_etal202367</t>
  </si>
  <si>
    <t xml:space="preserve"> study is possibly pregistered but links are not always included in the reports; replaced value from r report with test statistics from o report</t>
  </si>
  <si>
    <t>Jones, L. L., &amp; Estes, Z. (2006). Roosters, robins, and alarm clocks: Aptness and conventionality in metaphor comprehension. Journal of Memory and Language, 55(1), 18-32.</t>
  </si>
  <si>
    <t>10.1016/j.jml.2006.02.004</t>
  </si>
  <si>
    <t>metaphor comprehension, career of metaphor, conventionality, aptness</t>
  </si>
  <si>
    <t>Aptness and conventionality in metaphor comprehension</t>
  </si>
  <si>
    <t>"The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</si>
  <si>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F(1, 59) = 77.05</t>
  </si>
  <si>
    <t>Boyce, V., Mathur, M., &amp; Frank, M. C. (2023). Eleven years of student replication projects provide evidence on the correlates of replicability in psychology. Royal Society Open Science, 10(11), 231240. https://doi.org/10.1098/rsos.231128</t>
  </si>
  <si>
    <t>ease of comprehension</t>
  </si>
  <si>
    <t>Aptness facilitated both the speed and the ease of comprehension. The main effect of Aptness was highly significant in the analyses of ... comprehension times [Fp (1, 59) = 77.05, p &lt; .001</t>
  </si>
  <si>
    <t>26,27</t>
  </si>
  <si>
    <t>Boyce_etal202368_1</t>
  </si>
  <si>
    <t>Boyce_etal202368</t>
  </si>
  <si>
    <t>Jordan, J. J., Sommers, R., Bloom, P., &amp; Rand, D. G. (2017). Why do we hate hypocrites? Evidence for a theory of false signaling. Psychological science, 28(3), 356-368.</t>
  </si>
  <si>
    <t>10.1177/0956797616685771</t>
  </si>
  <si>
    <t>10.1177--0956797616685771.pdf</t>
  </si>
  <si>
    <t>moral psychology, condemnation, vignettes, deception, social signaling, open data, open materials</t>
  </si>
  <si>
    <t>Disliking hypocrites (theory of false signaling)</t>
  </si>
  <si>
    <t>"a significant effect of condition, F(2, 448) = 26.48, p &lt; .001, ηp2 = .106 "," This result confirmed our prediction that hypocrites would be seen as worse than liars. It also  demonstrates that people disapprove of false signalers (hypocrites and liars) more than they disapprove of people who commit the same transgressions but do not condemn other people for those transgressions or lie about engaging in them."</t>
  </si>
  <si>
    <t>pairwise comparison was chosen over omnibus test</t>
  </si>
  <si>
    <t>Boyce, V., Mathur, M., &amp; Frank, M. C. (2023). Eleven years of student replication projects provide evidence on the correlates of replicability in psychology. Royal Society Open Science, 10(11), 231240. https://doi.org/10.1098/rsos.231129</t>
  </si>
  <si>
    <t>We followed up with pairwise comparisons and found that hypocrites (M = 32.07, SD = 15.93) were evaluated as worse than liars (M = 36.15, SD = 15.37), mean difference = −4.08, 95% CI = [−7.63, −0.53], t(299) =
−2.26, p = .025, d = −0.26,</t>
  </si>
  <si>
    <t>p.7, 8</t>
  </si>
  <si>
    <t>Boyce_etal202368_b</t>
  </si>
  <si>
    <t>Boyce, V., Mathur, M., &amp; Frank, M. C. (2023). Eleven years of student replication projects provide evidence on the correlates of replicability in psychology. Royal Society Open Science, 10(11), 231240. https://doi.org/10.1098/rsos.231130</t>
  </si>
  <si>
    <t>Pairwise comparisons revealed that traditional hypocrites (M = 34.35, SD = 13.76) were evalu-
ated more negatively than both honest hypocrites (M = 46.62, SD = 14.01), mean difference = −12.28, 95% CI = [−15.41, −9.14], t(301) = −7.69, p &lt; .001, d = −0.88,</t>
  </si>
  <si>
    <t>Boyce_etal202369_1</t>
  </si>
  <si>
    <t>Boyce_etal202369</t>
  </si>
  <si>
    <t>"a significant effect of condition, F(2, 449) = 35.62, p &lt; .001, ηp2 = .137 "," as predicted, our honest hypocrite manipulation fully eliminated disapproval of 
hypocrisy; honest hypocrites received ratings that were no worse than the ratings of control transgressors."</t>
  </si>
  <si>
    <t>Boyce_etal20237_1</t>
  </si>
  <si>
    <t>Boyce_etal20237</t>
  </si>
  <si>
    <t>The entries are both correct study is possibly pregistered but links are not always included in the reports</t>
  </si>
  <si>
    <t>Belding, J. N., Naufel, K. Z., &amp; Fujita, K. (2015). Using high-level construal and perceptions of changeability to promote self-change over self-protection motives in response to negative feedback. Personality and Social Psychology Bulletin, 41(6), 822-838.</t>
  </si>
  <si>
    <t>10.1177/0146167215580776</t>
  </si>
  <si>
    <t>3A</t>
  </si>
  <si>
    <t>10.1177--0146167215580776.pdf</t>
  </si>
  <si>
    <t>construal level theory, perceived changeability, defensive information processing, self-threat, self-change, health communication</t>
  </si>
  <si>
    <t>Promoting self-change over self-protection motives in response to negative feedback using high-level construal and perceptions and changeability</t>
  </si>
  <si>
    <t>"when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</si>
  <si>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8,9</t>
  </si>
  <si>
    <t>Boyce, V., Mathur, M., &amp; Frank, M. C. (2023). Eleven years of student replication projects provide evidence on the correlates of replicability in psychology. Royal Society Open Science, 10(11), 231240. https://doi.org/10.1098/rsos.231069</t>
  </si>
  <si>
    <t>when one’s risk was portrayed as changeable, high-level construal (M3A = 3.95, SD3A = 1.55) generally increased motivation to get supplementary information relative to low-level construal (M3A = 3.51, SD3A = 1.74), F3A(1, 160) = 7.81, p = .006, d = 0.44 (95% CI = [0.18, 0.70]).</t>
  </si>
  <si>
    <t>p. 829</t>
  </si>
  <si>
    <t>Boyce_etal202370_1</t>
  </si>
  <si>
    <t>Boyce_etal202370</t>
  </si>
  <si>
    <t>Organizational science discipline categorized as management</t>
  </si>
  <si>
    <t xml:space="preserve"> study is possibly pregistered but links are not always included in the reports; coded as conceptual ("far"), chose effect size as identified in R report</t>
  </si>
  <si>
    <t>Kacperczyk, O., &amp; Younkin, P. (2022). A founding penalty: evidence from an audit study on gender, entrepreneurship, and future employment. Organization Science, 33(2), 716-745.</t>
  </si>
  <si>
    <t>10.1287/orsc.2021.1456</t>
  </si>
  <si>
    <t>10.1287--orsc.2021.1456.pdf</t>
  </si>
  <si>
    <t>entrepreneurship, gender inequality, field study</t>
  </si>
  <si>
    <t>A founding penalty: evidence from an audit study on gender, entrepreneurship, and future employment</t>
  </si>
  <si>
    <t>"participants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</si>
  <si>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16,17,18</t>
  </si>
  <si>
    <t>Alisa</t>
  </si>
  <si>
    <t>Boyce, V., Mathur, M., &amp; Frank, M. C. (2023). Eleven years of student replication projects provide evidence on the correlates of replicability in psychology. Royal Society Open Science, 10(11), 231240. https://doi.org/10.1098/rsos.231131</t>
  </si>
  <si>
    <t>Consistent with the audit results, participants gave a significantly stronger (t  2.05, p  0.04) interview recommendation to nonfounders</t>
  </si>
  <si>
    <t>p.730</t>
  </si>
  <si>
    <t>Boyce_etal202371_1</t>
  </si>
  <si>
    <t>Boyce_etal202371</t>
  </si>
  <si>
    <t>Keysar, B., Lin, S., &amp; Barr, D. J. (2003). Limits on theory of mind use in adults. Cognition, 89(1), 25-41.</t>
  </si>
  <si>
    <t>10.1016/s0010-0277(03)00064-7</t>
  </si>
  <si>
    <t>10.1016--s0010-0277(03)00064-7.pdf</t>
  </si>
  <si>
    <t>theory of mind, perspective taking, egocentrism</t>
  </si>
  <si>
    <t>Limits on theory of mind use in adults</t>
  </si>
  <si>
    <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</si>
  <si>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 prop:27/38,0/38</t>
  </si>
  <si>
    <t>prop:13/14,2/14</t>
  </si>
  <si>
    <t>Boyce, V., Mathur, M., &amp; Frank, M. C. (2023). Eleven years of student replication projects provide evidence on the correlates of replicability in psychology. Royal Society Open Science, 10(11), 231240. https://doi.org/10.1098/rsos.231132</t>
  </si>
  <si>
    <t>Boyce_etal202372_1</t>
  </si>
  <si>
    <t>Boyce_etal202372</t>
  </si>
  <si>
    <t>Kim, H., &amp; Markus, H. R. (1999). Deviance or uniqueness, harmony or conformity? A cultural analysis. Journal of personality and social psychology, 77(4), 785.</t>
  </si>
  <si>
    <t>10.1037/0022-3514.77.4.785</t>
  </si>
  <si>
    <t>deviance, uniqueness, harmony, conformity, cultural values</t>
  </si>
  <si>
    <t>Deviance or uniqueness, harmony or conformity?</t>
  </si>
  <si>
    <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</si>
  <si>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d for O copied from Boyce dataset, though I'm not sure that it's correct</t>
  </si>
  <si>
    <t>The d is correct from the double coding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</si>
  <si>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https://doi.org/10.1098/rsos.231133</t>
  </si>
  <si>
    <t>a strong cultural difference for both unique and plural minority subfigures. Planned comparisons showed that liking for the unique subfigures differed between European Americans (M = 5.88, SD = 2.11) and Koreans (M = 3.81, SD = 1.91), t (74) = 4.55, p &lt; 01.</t>
  </si>
  <si>
    <t>p.789</t>
  </si>
  <si>
    <t>Boyce_etal202373_1</t>
  </si>
  <si>
    <t>Boyce_etal202373</t>
  </si>
  <si>
    <t>The double coding are similar; hence both are correct "chosen" study is possibly pregistered but links are not always included in the reports</t>
  </si>
  <si>
    <t>Kiyonaga, A., &amp; Egner, T. (2014). The working memory Stroop effect: When internal representations clash with external stimuli. Psychological science, 25(8), 1619-1629.</t>
  </si>
  <si>
    <t>10.1177/0956797614536739</t>
  </si>
  <si>
    <t>10.1177--0956797614536739.pdf</t>
  </si>
  <si>
    <t>working memory, short-term memory, visual attention, selective attention, open materials</t>
  </si>
  <si>
    <t>working memory Stroop effect</t>
  </si>
  <si>
    <t>"participants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</si>
  <si>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Boyce, V., Mathur, M., &amp; Frank, M. C. (2023). Eleven years of student replication projects provide evidence on the correlates of replicability in psychology. Royal Society Open Science, 10(11), 231240. https://doi.org/10.1098/rsos.231134</t>
  </si>
  <si>
    <t>Experiment 1</t>
  </si>
  <si>
    <t>For both tasks combined, participants were much slower to make the ink-color response in the incongruent condition than in the congruent condition, F(1, 33) = 74.14, p &lt; .001, ηp2 = .69.</t>
  </si>
  <si>
    <t>p. 1622</t>
  </si>
  <si>
    <t>Boyce_etal202374_1</t>
  </si>
  <si>
    <t>Boyce_etal202374</t>
  </si>
  <si>
    <t>Ko, S. J., Sadler, M. S., &amp; Galinsky, A. D. (2015). The sound of power: Conveying and detecting hierarchical rank through voice. Psychological Science, 26(1), 3-14.</t>
  </si>
  <si>
    <t>10.1177/0956797614553009</t>
  </si>
  <si>
    <t>10.1177--0956797614553009.pdf</t>
  </si>
  <si>
    <t>social cognition, social perception, open data, open materials</t>
  </si>
  <si>
    <t>Conveying and detecting hierarchical rank through voice</t>
  </si>
  <si>
    <t>"a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</si>
  <si>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Boyce, V., Mathur, M., &amp; Frank, M. C. (2023). Eleven years of student replication projects provide evidence on the correlates of replicability in psychology. Royal Society Open Science, 10(11), 231240. https://doi.org/10.1098/rsos.231135</t>
  </si>
  <si>
    <t>We found only a main effect of speaker’s condition, F(1, 55) = 83.67, p &lt; .001</t>
  </si>
  <si>
    <t>Boyce_etal202375_1</t>
  </si>
  <si>
    <t>Boyce_etal202375</t>
  </si>
  <si>
    <t>Help needed to validate this entry study is possibly pregistered but links are not always included in the reports</t>
  </si>
  <si>
    <t>Konkle, T., &amp; Oliva, A. (2011). Canonical visual size for real-world objects. Journal of Experimental Psychology: human perception and performance, 37(1), 23.</t>
  </si>
  <si>
    <t>10.1037/a0020413</t>
  </si>
  <si>
    <t>canonical perspective, canonical viewpoint, visual size, physical size, object representation</t>
  </si>
  <si>
    <t>Canonical visual size for real-world objects (effect of the size rank of the object on the drawn size of the object)</t>
  </si>
  <si>
    <t>"There was a significant main effect of the size rank of the object on the drawn size of the object (F(7, 391) = 30.1, p &lt; .001, np2 = .35). That is, objects that are small in the world were drawn smaller on the page than objects that are large in the world "," show a clear linear relationship between the drawn size and the size rank (r2 = 0.88, p &lt; .001, collapsing across paper size). Thus, this also demonstrates that the drawn size of an object is proportional to the logarithm of its real-world size."</t>
  </si>
  <si>
    <t>Boyce_etal202375_b</t>
  </si>
  <si>
    <t>Canonical visual size for real-world objects (effect of paper size on drawn size)</t>
  </si>
  <si>
    <t>"There was also a significant effect of paper size on drawn size (F(2, 41) = 70.9, p &lt; .001, np2 = .78), where the average drawn size of objects increased as the paper size increased "," show a clear linear relationship between the drawn size and the size rank (r2 = 0.88, p &lt; .001, collapsing across paper size). Thus, this also demonstrates that the drawn size of an object is proportional to the logarithm of its real-world size."</t>
  </si>
  <si>
    <t>Boyce_etal202375_c</t>
  </si>
  <si>
    <t>Canonical visual size for real-world objects (interaction between the paper size and the effect of the object size)</t>
  </si>
  <si>
    <t>"there was a significant interaction between the paper size and the effect of the object size (F(14, 391) = 4.3, p &lt; .001, np2 = .13). In other words, there was a smaller range of drawn object sizes on the small paper, with progressively greater ranges of drawn sizes on the medium and large paper. "," show a clear linear relationship between the drawn size and the size rank (r2 = 0.88, p &lt; .001, collapsing across paper size). Thus, this also demonstrates that the drawn size of an object is proportional to the logarithm of its real-world size."</t>
  </si>
  <si>
    <t>replication states pear:r=0.9380832,n=1024 for O, but no matching statistics in the paper, hence not possible to extract claim and check reliability. Available statistics extracted from Boyce</t>
  </si>
  <si>
    <t>Boyce, V., Mathur, M., &amp; Frank, M. C. (2023). Eleven years of student replication projects provide evidence on the correlates of replicability in psychology. Royal Society Open Science, 10(11), 231240. https://doi.org/10.1098/rsos.231136</t>
  </si>
  <si>
    <t>Boyce_etal202376_1</t>
  </si>
  <si>
    <t>Boyce_etal202376</t>
  </si>
  <si>
    <t>No statistics for coding study is possibly pregistered but links are not always included in the reports</t>
  </si>
  <si>
    <t>Korman, J., &amp; Khemlani, S. (2020). Teleological generics. Cognition, 200, 104157.</t>
  </si>
  <si>
    <t>10.1016/j.cognition.2019.104157</t>
  </si>
  <si>
    <t>generics, teleology, concepts, principled connections, formal explanations</t>
  </si>
  <si>
    <t>Teleological generics</t>
  </si>
  <si>
    <t>https://osf.io/92qp3/.</t>
  </si>
  <si>
    <t>Boyce, V., Mathur, M., &amp; Frank, M. C. (2023). Eleven years of student replication projects provide evidence on the correlates of replicability in psychology. Royal Society Open Science, 10(11), 231240. https://doi.org/10.1098/rsos.231137</t>
  </si>
  <si>
    <t>https://osf.io/vzmdj</t>
  </si>
  <si>
    <t>Boyce_etal202377_1</t>
  </si>
  <si>
    <t>Boyce_etal202377</t>
  </si>
  <si>
    <t>Kouchaki, M., Dobson, K. S., Waytz, A., &amp; Kteily, N. S. (2018). The link between self-dehumanization and immoral behavior. Psychological science, 29(8), 1234-1246.</t>
  </si>
  <si>
    <t>10.1177/0956797618760784</t>
  </si>
  <si>
    <t>10.1177--0956797618760784.pdf</t>
  </si>
  <si>
    <t>morality, self-dehumanization, repeated dishonesty, open data, preregistered</t>
  </si>
  <si>
    <t>link between self-dehumanization and immoral behavior</t>
  </si>
  <si>
    <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</si>
  <si>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d Orig extracted from Boyce</t>
  </si>
  <si>
    <t>help needed to validate the d chosen from the replication table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</si>
  <si>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https://doi.org/10.1098/rsos.231138</t>
  </si>
  <si>
    <t>marginally lower</t>
  </si>
  <si>
    <t>Participants who recalled an unethical act self-reported marginally lower human capabilities (M = 5.82, SD = 1.11) ... and significantly lower human capabilities compared with those who recalled an ethical act (M = 6.23, SD = 0.65, p = .022).</t>
  </si>
  <si>
    <t>https://osf.io/ebhku/</t>
  </si>
  <si>
    <t>Boyce_etal202378_1</t>
  </si>
  <si>
    <t>Boyce_etal202378</t>
  </si>
  <si>
    <t>Kovács, Á. M., Téglás, E., &amp; Endress, A. D. (2010). The social sense: Susceptibility to others’ beliefs in human infants and adults. Science, 330(6012), 1830-1834.</t>
  </si>
  <si>
    <t>10.1126/science.1190792</t>
  </si>
  <si>
    <t>10.1126--science.1190792.pdf</t>
  </si>
  <si>
    <t>social sense, beliefs, infants, adults</t>
  </si>
  <si>
    <t>Susceptibility to others’ beliefs in human infants and adults</t>
  </si>
  <si>
    <t>"Our critical comparison involves the baseline condition and the condition where only the agent believed that the ball was behind the occluder. Results showed that participants were faster than in the baseline condition when only the agent believed the ball to be behind the occluder [t(23) = 2.42, P = 0.02]. This suggests that they computed the agent’s belief and that this belief influenced their behavior even though it was inconsistent with their own belief."</t>
  </si>
  <si>
    <t>Boyce_etal202379_1</t>
  </si>
  <si>
    <t>Boyce_etal202379</t>
  </si>
  <si>
    <t>There is no sufficient data for the replication study in the replication table to code this task fully. Also, the claim is not clear in the original study.</t>
  </si>
  <si>
    <t>Krauss, S., &amp; Wang, X. T. (2003). The psychology of the Monty Hall problem: discovering psychological mechanisms for solving a tenacious brain teaser. Journal of Experimental Psychology: General, 132(1), 3.</t>
  </si>
  <si>
    <t>10.1037/0096-3445.132.1.3</t>
  </si>
  <si>
    <t>monty hall problem, tenacious brain teaser, mental models, frequency</t>
  </si>
  <si>
    <t>Monty Hall problem: discovering psychological mechanisms for solving a tenacious brain teaser</t>
  </si>
  <si>
    <t>Boyce, V., Mathur, M., &amp; Frank, M. C. (2023). Eleven years of student replication projects provide evidence on the correlates of replicability in psychology. Royal Society Open Science, 10(11), 231240. https://doi.org/10.1098/rsos.231139</t>
  </si>
  <si>
    <t>MA</t>
  </si>
  <si>
    <t>Boyce_etal20238_1</t>
  </si>
  <si>
    <t>Boyce_etal20238</t>
  </si>
  <si>
    <t>help needed to validate the entries study is possibly pregistered but links are not always included in the reports</t>
  </si>
  <si>
    <t>Birch, S. A., &amp; Bloom, P. (2007). The curse of knowledge in reasoning about false beliefs. Psychological Science, 18(5), 382-386.</t>
  </si>
  <si>
    <t>10.1111/j.1467-9280.2007.01909.x</t>
  </si>
  <si>
    <t>10.1111--j.1467-9280.2007.01909.x.pdf</t>
  </si>
  <si>
    <t>https://rpubs.com/lrborchers/450894</t>
  </si>
  <si>
    <t>curse of knowledge, false belief, social cognition, reasoning</t>
  </si>
  <si>
    <t>curse of knowledge (red container versus ignorance condition)</t>
  </si>
  <si>
    <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 an adult’s own knowledge can compromise his or her ability to reason about other people’s false beliefs and to make predictions about their actions."</t>
  </si>
  <si>
    <t>3,4</t>
  </si>
  <si>
    <t>Boyce_etal20238_b</t>
  </si>
  <si>
    <t>curse of knowledge (blue container versus ignorance condition)</t>
  </si>
  <si>
    <t>"subjects in the knowledge-plausible condition assigned significantly lower probabilities to the blue container than did subjects in the ignorance condition, t(105) = 2.35, prep = .95, d = 0.459 "," an adult’s own knowledge can compromise his or her ability to reason about other people’s false beliefs and to make predictions about their actions."</t>
  </si>
  <si>
    <t>Boyce, V., Mathur, M., &amp; Frank, M. C. (2023). Eleven years of student replication projects provide evidence on the correlates of replicability in psychology. Royal Society Open Science, 10(11), 231240. https://doi.org/10.1098/rsos.231070</t>
  </si>
  <si>
    <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t>
  </si>
  <si>
    <t>p. 384</t>
  </si>
  <si>
    <t>Boyce_etal202380_1</t>
  </si>
  <si>
    <t>Boyce_etal202380</t>
  </si>
  <si>
    <t>Kupor, D. M., Laurin, K., &amp; Levav, J. (2015). Anticipating divine protection? Reminders of god can increase nonmoral risk taking. Psychological science, 26(4), 374-384.</t>
  </si>
  <si>
    <t>10.1177/0956797614563108</t>
  </si>
  <si>
    <t>10.1177--0956797614563108.pdf</t>
  </si>
  <si>
    <t>risk taking, God, religion, risk tolerance</t>
  </si>
  <si>
    <t>Reminders of god can increase nonmoral risk taking</t>
  </si>
  <si>
    <t>"participants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</si>
  <si>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t(99)=2.29</t>
  </si>
  <si>
    <t>Boyce, V., Mathur, M., &amp; Frank, M. C. (2023). Eleven years of student replication projects provide evidence on the correlates of replicability in psychology. Royal Society Open Science, 10(11), 231240. https://doi.org/10.1098/rsos.231140</t>
  </si>
  <si>
    <t>participants in the God condition reported a higher willingness to take risks, b = 0.61, t(99) = 2.29, p = .024,</t>
  </si>
  <si>
    <t>b (std)</t>
  </si>
  <si>
    <t>Boyce_etal202381_1</t>
  </si>
  <si>
    <t>Boyce_etal202381</t>
  </si>
  <si>
    <t>Lau, G. P., Kay, A. C., &amp; Spencer, S. J. (2008). Loving those who justify inequality: the effects of system threat on attraction to women who embody benevolent sexist ideals. Psychological Science.</t>
  </si>
  <si>
    <t>10.1111/j.1467-9280.2008.02040.x</t>
  </si>
  <si>
    <t>10.1111--j.1467-9280.2008.02040.x.pdf</t>
  </si>
  <si>
    <t>system threat, benevolent sexist ideals, attraction</t>
  </si>
  <si>
    <t>effects of system threat on attraction to women who embody benevolent sexist ideals</t>
  </si>
  <si>
    <t>"A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</si>
  <si>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F(1,34)=5.89</t>
  </si>
  <si>
    <t>F(1,38)=1.51</t>
  </si>
  <si>
    <t>p for O extracted from Boyce</t>
  </si>
  <si>
    <t>Boyce, V., Mathur, M., &amp; Frank, M. C. (2023). Eleven years of student replication projects provide evidence on the correlates of replicability in psychology. Royal Society Open Science, 10(11), 231240. https://doi.org/10.1098/rsos.231141</t>
  </si>
  <si>
    <t>A 2 (system threat vs. no threat)  2 (benevolent-stereotypic vs. non-benevolent-stereotypic) analysis of variance conducted on the mean ratings of romantic interest revealed a significant two-
way interaction</t>
  </si>
  <si>
    <t>Boyce_etal202382_1</t>
  </si>
  <si>
    <t>Boyce_etal202382</t>
  </si>
  <si>
    <t>Levine, S., Kleiman-Weiner, M., Schulz, L., Tenenbaum, J., &amp; Cushman, F. (2020). The logic of universalization guides moral judgment. Proceedings of the National Academy of Sciences, 117(42), 26158-26169.</t>
  </si>
  <si>
    <t>10.1073/pnas.2014505117</t>
  </si>
  <si>
    <t>10.1073--pnas.2014505117.pdf</t>
  </si>
  <si>
    <t>moral judgment, moral development, universalization</t>
  </si>
  <si>
    <t>The logic of universalization guides moral judgment</t>
  </si>
  <si>
    <t>"subjects judged John’s action to be significantly more morally acceptable in the low-interest condition than in the high-interest condition (low interest: 76%; high interest: 44%; χ2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</si>
  <si>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https://aspredicted.org/blind.php?x=fx3kz7</t>
  </si>
  <si>
    <t>prop:19/26,14/25</t>
  </si>
  <si>
    <t>Boyce, V., Mathur, M., &amp; Frank, M. C. (2023). Eleven years of student replication projects provide evidence on the correlates of replicability in psychology. Royal Society Open Science, 10(11), 231240. https://doi.org/10.1098/rsos.231142</t>
  </si>
  <si>
    <t>Study 2a. Preregistration site is http://aspredicted.org/blind.php?x=fx3kz7.
Study 2b. Preregistration site is https://aspredicted.org/blind.php?x=hd589d.
Study 4a. Preregistration site is https://aspredicted.org/blind.php?x=c44jr2.
Study 4b. Preregistration site is http://aspredicted.org/blind.php?
x=at7cs8.</t>
  </si>
  <si>
    <t>Boyce_etal202383_1</t>
  </si>
  <si>
    <t>Boyce_etal202383</t>
  </si>
  <si>
    <t>The t-test statistics for the original study (study 4) presented in the replication table are hard to trace in the replication study to be able to come up with a claim being studied</t>
  </si>
  <si>
    <t>Claim is not clear, es_o was taken from replication report; study is possibly pregistered but links are not always included in the reports</t>
  </si>
  <si>
    <t>Lewis Jr, N. A., &amp; Oyserman, D. (2015). When does the future begin? Time metrics matter, connecting present and future selves. Psychological science, 26(6), 816-825.</t>
  </si>
  <si>
    <t>10.1177/0956797615572231</t>
  </si>
  <si>
    <t>10.1177--0956797615572231.pdf</t>
  </si>
  <si>
    <t>motivation, future, judgment, time, situated cognition, open materials</t>
  </si>
  <si>
    <t>Time metrics matter, connecting present and future selves</t>
  </si>
  <si>
    <t>F(1,115)=7.497 (https://github.com/vboyce/251-254-MA/blob/main/data/processed_data.csv)</t>
  </si>
  <si>
    <t>Matching statistics F(1,115)=7.497 not found in the original paper, values extracted from Boyce.  Report is absent</t>
  </si>
  <si>
    <t>Boyce, V., Mathur, M., &amp; Frank, M. C. (2023). Eleven years of student replication projects provide evidence on the correlates of replicability in psychology. Royal Society Open Science, 10(11), 231240. https://doi.org/10.1098/rsos.231143</t>
  </si>
  <si>
    <t>Boyce_etal202384_1</t>
  </si>
  <si>
    <t>Boyce_etal202384</t>
  </si>
  <si>
    <t>Li, Q., Joo, S. J., Yeatman, J. D., &amp; Reinecke, K. (2020). Controlling for participants’ viewing distance in large-scale, psychophysical online experiments using a virtual chinrest. Scientific reports, 10(1), 1-11.</t>
  </si>
  <si>
    <t>10.1038/s41598-019-57204-1</t>
  </si>
  <si>
    <t>viewing distance, psychophysical, online experiments, virtual chinrest</t>
  </si>
  <si>
    <t>Controlling for participants’ viewing distance in large-scale, psychophysical online experiments using a virtual chinrest</t>
  </si>
  <si>
    <t>"The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</si>
  <si>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taken from replication: https://github.com/vboyce/251-254-MA/blob/main/data/processed_data.csv</t>
  </si>
  <si>
    <t>Boyce, V., Mathur, M., &amp; Frank, M. C. (2023). Eleven years of student replication projects provide evidence on the correlates of replicability in psychology. Royal Society Open Science, 10(11), 231240. https://doi.org/10.1098/rsos.231144</t>
  </si>
  <si>
    <t>Te average visual crowding efects were signifcantly diferent between target eccentricity of 4° (mean=1.61°) and 6° (mean=2.66°), and between participants with (e=4 : 1.90°; e=6°: 3.03 )</t>
  </si>
  <si>
    <t>w</t>
  </si>
  <si>
    <t>Boyce_etal202385_1</t>
  </si>
  <si>
    <t>Boyce_etal202385</t>
  </si>
  <si>
    <t>Libby, L. K., Shaeffer, E. M., &amp; Eibach, R. P. (2009). Seeing meaning in action: a bidirectional link between visual perspective and action identification level. Journal of Experimental Psychology: General, 138(4), 503.</t>
  </si>
  <si>
    <t>10.1037/a0016795</t>
  </si>
  <si>
    <t>visual imagery, perspective-taking, action representation, social perception</t>
  </si>
  <si>
    <t>bidirectional link between visual perspective and action identification level</t>
  </si>
  <si>
    <t>"The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</si>
  <si>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Boyce, V., Mathur, M., &amp; Frank, M. C. (2023). Eleven years of student replication projects provide evidence on the correlates of replicability in psychology. Royal Society Open Science, 10(11), 231240. https://doi.org/10.1098/rsos.231145</t>
  </si>
  <si>
    <t>on average, the coefficient for action identification level was significantly different from zero in the predicted direction (M  1.00, SD  0.67), t(10)  4.95, p  .001, d  1.49.</t>
  </si>
  <si>
    <t>p. 512</t>
  </si>
  <si>
    <t>Boyce_etal202386_1</t>
  </si>
  <si>
    <t>Boyce_etal202386</t>
  </si>
  <si>
    <t>Corruptibility was coded as central result</t>
  </si>
  <si>
    <t>help needed to validate the claim; study is possibly pregistered but links are not always included in the reports -&gt; claim validated</t>
  </si>
  <si>
    <t>Lin, C., Adolphs, R., &amp; Alvarez, R. M. (2018). Inferring whether officials are corruptible from looking at their faces. Psychological science, 29(11), 1807-1823.</t>
  </si>
  <si>
    <t>10.1177/0956797618788882</t>
  </si>
  <si>
    <t>10.1177--0956797618788882.pdf</t>
  </si>
  <si>
    <t>face perception, corruption, social attribution, stereotyping, political psychology, open data, pen materials, preregistered</t>
  </si>
  <si>
    <t>Inferring whether officials are corruptible from looking at their faces</t>
  </si>
  <si>
    <t>"Our primary interest in the current study was the extent to which trait inferences from a face were associated with actual corruption records."</t>
  </si>
  <si>
    <t>t. 1</t>
  </si>
  <si>
    <t>https://osf.io/mge8r/</t>
  </si>
  <si>
    <t>Boyce, V., Mathur, M., &amp; Frank, M. C. (2023). Eleven years of student replication projects provide evidence on the correlates of replicability in psychology. Royal Society Open Science, 10(11), 231240. https://doi.org/10.1098/rsos.231146</t>
  </si>
  <si>
    <t>study 1, corruptibility</t>
  </si>
  <si>
    <t>showed that at an individual level, judgments of a face for traits with the same valence were positively correlated</t>
  </si>
  <si>
    <t>Boyce_etal202387_1</t>
  </si>
  <si>
    <t>Boyce_etal202387</t>
  </si>
  <si>
    <t>Liverence, B. M., &amp; Scholl, B. J. (2015). Object persistence enhances spatial navigation: A case study in smartphone vision science. Psychological Science, 26(7), 955-963.</t>
  </si>
  <si>
    <t>10.1177/0956797614547705</t>
  </si>
  <si>
    <t>10.1177--0956797614547705.pdf</t>
  </si>
  <si>
    <t>object persistence, spatial navigation, spatiotemporal continuity, virtual interfaces</t>
  </si>
  <si>
    <t>Object persistence enhances spatial navigation</t>
  </si>
  <si>
    <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</si>
  <si>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Boyce, V., Mathur, M., &amp; Frank, M. C. (2023). Eleven years of student replication projects provide evidence on the correlates of replicability in psychology. Royal Society Open Science, 10(11), 231240. https://doi.org/10.1098/rsos.231147</t>
  </si>
  <si>
    <t>Across all trials, participants were on average 1.41 s faster per trial on slidetransition blocks than on fade-transition blocks (9.27 s vs. 0.68 s, a difference of 15.2%), t(17) = 5.22, p &lt; .001, d = 1.23.</t>
  </si>
  <si>
    <t>p.959</t>
  </si>
  <si>
    <t>Boyce_etal202388_1</t>
  </si>
  <si>
    <t>Boyce_etal202388</t>
  </si>
  <si>
    <t>Livingston, R. W., Rosette, A. S., &amp; Washington, E. F. (2012). Can an agentic Black woman get ahead? The impact of race and interpersonal dominance on perceptions of female leaders. Psychological science, 23(4), 354-358.</t>
  </si>
  <si>
    <t>10.1177/0956797611428079</t>
  </si>
  <si>
    <t>10.1177--0956797611428079.pdf</t>
  </si>
  <si>
    <t>prejudice, racial and ethnic attitudes and relations</t>
  </si>
  <si>
    <t>impact of race and interpersonal dominance on perceptions of female leaders</t>
  </si>
  <si>
    <t>"This main effect was qualified by a significant three-way interaction, F(1, 76) = 11.53, p &lt; .001, η2 = .13 "," This study illustrates the importance of considering both race and gender when examining the impact of agency, and specifically dominance, on leaders’ outcomes."</t>
  </si>
  <si>
    <t>Boyce, V., Mathur, M., &amp; Frank, M. C. (2023). Eleven years of student replication projects provide evidence on the correlates of replicability in psychology. Royal Society Open Science, 10(11), 231240. https://doi.org/10.1098/rsos.231148</t>
  </si>
  <si>
    <t>This main effect was qualified by a significant three-way interaction, F(1, 76) = 11.53, p &lt; .001, η2 = .13.1</t>
  </si>
  <si>
    <t>p.356</t>
  </si>
  <si>
    <t>Boyce_etal202389_1</t>
  </si>
  <si>
    <t>Boyce_etal202389</t>
  </si>
  <si>
    <t>Lloyd, E. P., Hugenberg, K., McConnell, A. R., Kunstman, J. W., &amp; Deska, J. C. (2017). Black and White lies: Race-based biases in deception judgments. Psychological science, 28(8), 1125-1136.</t>
  </si>
  <si>
    <t>10.1177/0956797617705399</t>
  </si>
  <si>
    <t>10.1177--0956797617705399.pdf</t>
  </si>
  <si>
    <t>intergroup dynamics, social perception, prejudice, open data</t>
  </si>
  <si>
    <t>Race-based biases in deception judgments</t>
  </si>
  <si>
    <t>"Participants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</si>
  <si>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Boyce, V., Mathur, M., &amp; Frank, M. C. (2023). Eleven years of student replication projects provide evidence on the correlates of replicability in psychology. Royal Society Open Science, 10(11), 231240. https://doi.org/10.1098/rsos.231149</t>
  </si>
  <si>
    <t>paired samples</t>
  </si>
  <si>
    <t>Participants used the truth response more for Black targets (mean c = 0.48, SD = 0.61, 95% CI = [0.32, 0.64]) than for White targets (mean c = −0.03, SD = 0.60, 95% CI = [−0.19, 0.12]), paired-samples t(57) = 8.30, p &lt; .001, 95% CI for
the difference between means = [0.39, 0.64], d = 1.09.</t>
  </si>
  <si>
    <t>Boyce_etal20239_1</t>
  </si>
  <si>
    <t>Boyce_etal20239</t>
  </si>
  <si>
    <t>N= 225 and not 73 as was pre-coded. This task is similar to a task with a rowid Boyce_etal20238_1; hence should be discarded</t>
  </si>
  <si>
    <t>curse of knowledge</t>
  </si>
  <si>
    <t xml:space="preserve"> t(105)=-2.42</t>
  </si>
  <si>
    <t>Boyce_etal202390_1</t>
  </si>
  <si>
    <t>Boyce_etal202390</t>
  </si>
  <si>
    <t xml:space="preserve"> study is possibly pregistered but links are not always included in the reports; coded as nested due to "repeated-measures ANOVA" being used (O p. 4)</t>
  </si>
  <si>
    <t>Long, B., &amp; Konkle, T. (2017). A familiar-size Stroop effect in the absence of basic-level recognition. Cognition, 168, 234-242.</t>
  </si>
  <si>
    <t>10.1016/j.cognition.2017.06.025</t>
  </si>
  <si>
    <t>Size-Stroop effect</t>
  </si>
  <si>
    <t>object recognition, semantic access, real-world size, stroop effect</t>
  </si>
  <si>
    <t>A familiar-size Stroop effect in the absence of basic-level recognition</t>
  </si>
  <si>
    <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</si>
  <si>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Boyce, V., Mathur, M., &amp; Frank, M. C. (2023). Eleven years of student replication projects provide evidence on the correlates of replicability in psychology. Royal Society Open Science, 10(11), 231240. https://doi.org/10.1098/rsos.231150</t>
  </si>
  <si>
    <t>congruency</t>
  </si>
  <si>
    <t>Overall, we found evidence for a  ... , main effect of congruency, F(1,15) = 14.3, p = 0.002, g2 p = 0.489, Cohen’s d = 0.95,</t>
  </si>
  <si>
    <t>p.237</t>
  </si>
  <si>
    <t>Boyce_etal202391_1</t>
  </si>
  <si>
    <t>Boyce_etal202391</t>
  </si>
  <si>
    <t>- Cohens f value chosen as original ES as reported on p. 5, 
- Nestedness assumed to be not nested, mutiple regression but not explicitly hierarchical (maybe review - see prereg analysis paln here: https://aspredicted.org/yp5az.pdf and reported analysis on p. 5 of original study). 
- ES for replication - no d value reported for the replicaiton in the replication data spreadsheet. COder 1 used the raw replicaiton test stat here THIS MIGHT ACTAULLY BE A REALLY GOOD IDEA FOR OTHER SIMILAR ROWS? (Need to verify that the col U replication_raw_stat in teh replicaiton spreadsheet is in fact referring to what we think it is though!
- Nestedness for replication again assumed unnested
- Study is possibly pregistered but links are not always included in the reports</t>
  </si>
  <si>
    <t>Luttrell, A., Philipp-Muller, A., &amp; Petty, R. E. (2019). Challenging moral attitudes with moral messages. Psychological Science, 30(8), 1136-1150.</t>
  </si>
  <si>
    <t>10.1177/0956797619854706</t>
  </si>
  <si>
    <t>10.1177--0956797619854706.pdf</t>
  </si>
  <si>
    <t>persuasion, morality, attitudes, attitude strength, moral conviction, open data, open materials, preregistered</t>
  </si>
  <si>
    <t>Challenging moral attitudes with moral messages</t>
  </si>
  <si>
    <t>A significant interaction between message type and moral attitude basis, b = −0.27, 95% CI = [−0.42, −0.11], t(410) = −3.34, p &lt; .001, f2 = .03.</t>
  </si>
  <si>
    <t>cohen's f</t>
  </si>
  <si>
    <t>https://aspredicted.org/yp5az.pdf</t>
  </si>
  <si>
    <t>t(41)=-0.029</t>
  </si>
  <si>
    <t>Maureen Osano, LR, SAJ</t>
  </si>
  <si>
    <t>d for R is NA, d for O extracted from Boyce dataset, original paper used another ES - Cohen's f 2 =0.03</t>
  </si>
  <si>
    <t>Needs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</si>
  <si>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https://doi.org/10.1098/rsos.231151</t>
  </si>
  <si>
    <t>study 1</t>
  </si>
  <si>
    <t>was a significant interaction between message type and moral attitude basis, b = −0.27, 95% CI = [−0.42, −0.11], t(410) = −3.34, p &lt; .001, f2 = .03 (Fig. 1).</t>
  </si>
  <si>
    <r>
      <rPr>
        <rFont val="Calibri"/>
        <sz val="11.0"/>
      </rPr>
      <t xml:space="preserve">Study 1a: https://aspredicted.org/yp5az.pdf
</t>
    </r>
    <r>
      <rPr>
        <rFont val="Calibri"/>
        <color rgb="FFFF0000"/>
        <sz val="11.0"/>
      </rPr>
      <t xml:space="preserve">Study 1b: </t>
    </r>
    <r>
      <rPr>
        <rFont val="Calibri"/>
        <color rgb="FF1155CC"/>
        <sz val="11.0"/>
        <u/>
      </rPr>
      <t>https://aspredicted.org/n3pd9.pdf</t>
    </r>
  </si>
  <si>
    <t>Boyce_etal202392_1</t>
  </si>
  <si>
    <t>Boyce_etal202392</t>
  </si>
  <si>
    <t>- The original effect size is chosen to be the np2 value from the original manuscript. This value requires a partial eta square label (currently just etasq on this sheet) --&gt; corrected
- Study is possibly pregistered but links are not always included in the reports 
- report found here http://rpubs.com/cqing/maddux2008-replication</t>
  </si>
  <si>
    <t>Maddux, W. W., Galinsky, A. D., Cuddy, A. J., &amp; Polifroni, M. (2008). When being a model minority is good... and bad: Realistic threat explains negativity toward Asian Americans. Personality and Social Psychology Bulletin, 34(1), 74-89.</t>
  </si>
  <si>
    <t>10.1177/0146167207309195</t>
  </si>
  <si>
    <t>10.1177--0146167207309195.pdf</t>
  </si>
  <si>
    <t>Asian Americans, model minorities, prejudice, realistic threat, emotions, attitudes</t>
  </si>
  <si>
    <t>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</si>
  <si>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 </t>
  </si>
  <si>
    <t>p. 83</t>
  </si>
  <si>
    <t>Boyce, V., Mathur, M., &amp; Frank, M. C. (2023). Eleven years of student replication projects provide evidence on the correlates of replicability in psychology. Royal Society Open Science, 10(11), 231240. https://doi.org/10.1098/rsos.231152</t>
  </si>
  <si>
    <t>Global affect toward Asian Americans was significantly more negative in the realistic threat condition (partner: Jamal, M = 62.11, SD = 22.91) than in the no realistic threat
condition (partner: Yoshi, M = 78.57, SD = 17.90), F(1, 39) = 6.48, p = .015, η2p = .146 (see Figure 4).</t>
  </si>
  <si>
    <t>Boyce_etal202393_1</t>
  </si>
  <si>
    <t>Boyce_etal202393</t>
  </si>
  <si>
    <t xml:space="preserve">- Claim from coder 2 was chosen as it was specific to the test statistic expressed in the replication spreadsheet. 
- The test statistic for the original study was refined to present the effect size using the F value accurately. 
- The pvalue was reported from the original paper and replaced Coder 1s more specific value that was from the replication database. These values were not discordant but the values from the replication database were favored as per protocol.
- Nestedness was defined as unnested as the subjects were assigned to one income condition only and the results of their perfomrnace in the cog control trials were then compared.  
- Study is possibly pregistered but links are not always included in the reports </t>
  </si>
  <si>
    <t>Mani, A., Mullainathan, S., Shafir, E., &amp; Zhao, J. (2013). Poverty impedes cognitive function. science, 341(6149), 976-980.</t>
  </si>
  <si>
    <t>10.1126/science.1238041</t>
  </si>
  <si>
    <t>10.1126--science.1238041.pdf</t>
  </si>
  <si>
    <r>
      <rPr>
        <rFont val="Arial"/>
        <color theme="1"/>
      </rPr>
      <t xml:space="preserve">poor, poverty, cognitive function, </t>
    </r>
    <r>
      <rPr>
        <rFont val="Arial"/>
        <color rgb="FF00FF00"/>
      </rPr>
      <t>cognitive control</t>
    </r>
  </si>
  <si>
    <t>Poverty impedes cognitive function</t>
  </si>
  <si>
    <t>A two-way analysis of variance revealed a robust interaction between income and condition [cognitive control: F(1,97) = 7.86, P &lt; 0.01].</t>
  </si>
  <si>
    <t>p. 977</t>
  </si>
  <si>
    <t>Boyce, V., Mathur, M., &amp; Frank, M. C. (2023). Eleven years of student replication projects provide evidence on the correlates of replicability in psychology. Royal Society Open Science, 10(11), 231240. https://doi.org/10.1098/rsos.231153</t>
  </si>
  <si>
    <t>cognitive control</t>
  </si>
  <si>
    <t>A two-way analysis of variance revealed a robust interaction between income and ... cognitive control: F(1,97) = 7.86, P &lt; 0.01].</t>
  </si>
  <si>
    <t>Boyce_etal202394_1</t>
  </si>
  <si>
    <t>Boyce_etal202394</t>
  </si>
  <si>
    <t>- The discrepancy between the N of the different coders was resolved as follows. Coder one suggested n = 30, coder 2 suggested n = 240, the replication project database suggests N = 30. On p. 101 of the original study the follow is reported: "Two hundred forty undergraduates at New York University participated in the study. Each participant was assigned to either the rule-based (RB) or information-integration (II) task, and to one of four training conditions: selection (S), random reception (R), naïve yoked reception (Y1), or aware yoked reception (Y2)." Further - on p. 103 of the original manuscript we see "Three participants (one each in the RB/S, RB/Y2, and II/S conditions) were excluded from further analysis because their overall performance (averaged across blocks) was more than three standard deviations below the mean of their group." Therefore, 120 pp were in the RB task of which 30 were in the RB-S group (one of which was excluded) and 30 were in the RB-R group. This means N = 59 were in the two groups of interest, which also corresponds to the degrees of freedom of 57 in the targeted t-test.  
- Coder 2 used the replicaiton data calculated effect size for the original ES, this was discarded in favor of the test statistic that appeared in the original manuscript.
- Study is possibly pregistered but links are not always included in the reports</t>
  </si>
  <si>
    <t>Markant, D. B., &amp; Gureckis, T. M. (2014). Is it better to select or to receive? Learning via active and passive hypothesis testing. Journal of Experimental Psychology: General, 143(1), 94.</t>
  </si>
  <si>
    <t>10.1037/a003210894</t>
  </si>
  <si>
    <t xml:space="preserve">hypothesis testing, self-directed learning, category learning, Bayesian modeling, hypothesis-dependent sampling bias        </t>
  </si>
  <si>
    <t>Learning via active and passive hypothesis testing</t>
  </si>
  <si>
    <t>In the RB task, the overall accuracy was marginally higher in the S condition than in the R condition, t(57) = 1.82, p = .07.</t>
  </si>
  <si>
    <t>t(57) = 1.82</t>
  </si>
  <si>
    <t>d for O extracted from Boyce, also Boyce states that N O = 30, while the paper states 240</t>
  </si>
  <si>
    <t>Boyce, V., Mathur, M., &amp; Frank, M. C. (2023). Eleven years of student replication projects provide evidence on the correlates of replicability in psychology. Royal Society Open Science, 10(11), 231240. https://doi.org/10.1098/rsos.231154</t>
  </si>
  <si>
    <t>In the RB task, overall accuracy was marginally higher in the S condition than in the R condition, t(57)  1.82, p  .07,</t>
  </si>
  <si>
    <t>Boyce_etal202395_1</t>
  </si>
  <si>
    <t>Boyce_etal202395</t>
  </si>
  <si>
    <t>Metaxa-Kakavouli, D., Wang, K., Landay, J. A., &amp; Hancock, J. (2018, April). Gender-inclusive design: Sense of belonging and bias in web interfaces. In Proceedings of the 2018 CHI Conference on human factors in computing systems (pp. 1-6).</t>
  </si>
  <si>
    <t>10.1145/3173574.3174188</t>
  </si>
  <si>
    <t>10.1145--3173574.3174188.pdf</t>
  </si>
  <si>
    <t xml:space="preserve">gender-inclusive interfaces, web interface psychology, inclusive design, ambient belonging
</t>
  </si>
  <si>
    <t>Sense of belonging and bias in web interfaces (Enrollment Intentions)</t>
  </si>
  <si>
    <t>"In contrast with members of all other groups, women in the masculine condition were less likely to want to enroll in the course, t(108) = 3.20, p = 0.001, d = 0.62 "," Our manipulation check shows similar results to the main measures."</t>
  </si>
  <si>
    <t>Boyce_etal202395_b</t>
  </si>
  <si>
    <t>The claim needs to be validated further study is possibly pregistered but links are not always included in the reports</t>
  </si>
  <si>
    <t>Sense of belonging and bias in web interfaces (Ambient Belonging)</t>
  </si>
  <si>
    <t>"were less likely to feel they would belong in that class, t(108) = 3.47, p &lt; 0.001, d = 0.67 "," Our manipulation check shows similar results to the main measures."</t>
  </si>
  <si>
    <t>Boyce_etal202395_c</t>
  </si>
  <si>
    <t>Sense of belonging and bias in web interfaces (Anticipated Success)</t>
  </si>
  <si>
    <t>"anticipated lesser success if they were to take the course, t(108) = 2.41, p = 0.01, d = 0.47 "," Our manipulation check shows similar results to the main measures."</t>
  </si>
  <si>
    <t>Boyce_etal202395_d</t>
  </si>
  <si>
    <t>Sense of belonging and bias in web interfaces (Self Confidence)</t>
  </si>
  <si>
    <t>"reported lower levels of confidence in their technical abilities relative to others who might take the introductory course, t(108) = 3.18, p = 0.001, d = 0.61; "," Our manipulation check shows similar results to the main measures."</t>
  </si>
  <si>
    <t>Boyce_etal202395_e</t>
  </si>
  <si>
    <t>Sense of belonging and bias in web interfaces (Future CS Study Intentions)</t>
  </si>
  <si>
    <t>"expressed less interest in learning computer science or programming in the long term, t(108) = 3.33, p &lt; 0.001, d = 0.64; "," Our manipulation check shows similar results to the main measures."</t>
  </si>
  <si>
    <t>Boyce_etal202395_f</t>
  </si>
  <si>
    <t>Sense of belonging and bias in web interfaces (Gender-related Anxiety)</t>
  </si>
  <si>
    <t>"and were much more anxious about the way their gender would be perceived in the course, t(108) = −4.57, p &lt; 0.001, d = −0.88 "," Our manipulation check shows similar results to the main measures."</t>
  </si>
  <si>
    <t>Boyce, V., Mathur, M., &amp; Frank, M. C. (2023). Eleven years of student replication projects provide evidence on the correlates of replicability in psychology. Royal Society Open Science, 10(11), 231240. https://doi.org/10.1098/rsos.231155</t>
  </si>
  <si>
    <t>masculine condition</t>
  </si>
  <si>
    <t>In contrast with members of all other groups, women in the masculine condition ... were less likely to feel they would belong in that class, t(108) = 3.47, p &lt; 0.001, d = 0.67;</t>
  </si>
  <si>
    <t>p. 614</t>
  </si>
  <si>
    <t>Boyce_etal202396_1</t>
  </si>
  <si>
    <t>Boyce_etal202396</t>
  </si>
  <si>
    <t>PLEASE CHECK ME!!! 
- The replication project dataset does not contain any values for the replication in either the rep_calc_d or the rep_p_calc values (row 149 columns AM and AN), can we still include this study? 
- The apparent discrepancy between the original (N = 400) and replication table (N = 327) sample sizes was resolved as follows. Reviewing the original manuscript, the authors excluded N = 73 participants: "We had to exclude 73 participants who self-identified as "middle of the road” politically". Therefore 400-73 = 327.
- Coder 2 linked the OSF for the original study as the pre-reg - infact Study 2 was not preregistered (see here: https://osf.io/v5xg3view_only=d0fcb2bb73fb4648ad6e3da300505f65 )
- Study is possibly pregistered but links are not always included in the reports</t>
  </si>
  <si>
    <t>Minson, J. A., Chen, F. S., &amp; Tinsley, C. H. (2020). Why won’t you listen to me? Measuring receptiveness to opposing views. Management Science, 66(7), 3069-3094.</t>
  </si>
  <si>
    <t>10.1287/mnsc.2019.3362</t>
  </si>
  <si>
    <t>10.1287--mnsc.2019.3362.pdf</t>
  </si>
  <si>
    <t>negotiations, individual differences, judgment biases, conflict</t>
  </si>
  <si>
    <t>Measuring receptiveness to opposing views</t>
  </si>
  <si>
    <t>Observed a significant relationship between receptiveness and selective exposure (b = −0.27, SE = 0.08, z = −3.29, p &lt; 0.01). Thus increased receptiveness substantially decreased participants’ odds of choosing a same-party versus opposing-party senator.</t>
  </si>
  <si>
    <t>p. 10 + 11</t>
  </si>
  <si>
    <t>No d and p statistics in Boyce, report absent. raw statistics provided bseb=.06(.13). The N o is 400, whle in Boyce it is 327</t>
  </si>
  <si>
    <t>Boyce, V., Mathur, M., &amp; Frank, M. C. (2023). Eleven years of student replication projects provide evidence on the correlates of replicability in psychology. Royal Society Open Science, 10(11), 231240. https://doi.org/10.1098/rsos.231156</t>
  </si>
  <si>
    <t>study 2</t>
  </si>
  <si>
    <t>We observed a significant relationship between receptiveness and selective exposure (b = −0.27, SE = 0.08, z = −3.29, p &lt; 0.01).</t>
  </si>
  <si>
    <t>−0.27</t>
  </si>
  <si>
    <t>https://osf.io/xcg6e/?view_only=d0fcb2bb73fb4648ad6e3da300505f65</t>
  </si>
  <si>
    <t>Boyce_etal202397_1</t>
  </si>
  <si>
    <t>Boyce_etal202397</t>
  </si>
  <si>
    <t>- Replication datasheet contains no values for the replication p-value (cells all NA) and individual report does not report p-values either (https://rpubs.com/alv1nn/677256) 
- Coder 2 notes that d value for replication not found in spreadsheet - this is false, value found by coder 1 confirmed to be accurate. 
- Values tidied to be consistent (i.e. original ES was a beta value and poorly entered by coder 1)
-  Original p value inferred as p&lt;0.05 as the test is reported as "significant" without specific pvalue reporting.
- nested coded as "yes" due to teh use of linear mixed-effects model</t>
  </si>
  <si>
    <t>Mirault, J., Snell, J., &amp; Grainger, J. (2018). You that read wrong again! A transposed-word effect in grammaticality judgments. Psychological Science, 29(12), 1922-1929.</t>
  </si>
  <si>
    <t>10.1177/0956797618806296</t>
  </si>
  <si>
    <t>10.1177--0956797618806296.pdf</t>
  </si>
  <si>
    <t>transposed words, grammaticality judgments, sentence comprehension, parallel word processing, reading, open data, open materials</t>
  </si>
  <si>
    <t>transposed-word effect in grammaticality judgments</t>
  </si>
  <si>
    <t>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</si>
  <si>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p. 1927</t>
  </si>
  <si>
    <t>https://osf.io/uw36p</t>
  </si>
  <si>
    <t>No d and p statistics in Boyce, report present</t>
  </si>
  <si>
    <t>Boyce, V., Mathur, M., &amp; Frank, M. C. (2023). Eleven years of student replication projects provide evidence on the correlates of replicability in psychology. Royal Society Open Science, 10(11), 231240. https://doi.org/10.1098/rsos.231157</t>
  </si>
  <si>
    <t>Participants were significantly slower at classifying transposed-word sequences as being ungrammatical compared with the control sequences, b = 0.03, SE = 0.00, t = 8.57,</t>
  </si>
  <si>
    <t>Boyce_etal202398_1</t>
  </si>
  <si>
    <t>Boyce_etal202398</t>
  </si>
  <si>
    <t>Could not trace the overall or specific claim in the original study from the raw statistics presented in the replication table</t>
  </si>
  <si>
    <t>- Primary claim established based on the original test values being defined in the replication spreadsheet as MSD2:m1=2.54(1.95),m2=.02(2.38), this allowed a direct comparison between groups 2 and 3 to be considered the key replication effect. (see Table 1 p. 86). 
- Based on this the original claim was updated.
- The original pvalue was also drawn from the description of Table 1 as follows: "Means that do not share the same subscript differ at p &lt;.05, using t tests with 64 degrees of freedom.
- Therefore, this p value was used to replace the more detailed value that had been copied form the replication table by coder 1.  
-  Study is possibly pregistered but links are not always included in the reports</t>
  </si>
  <si>
    <t>Monin, B., Sawyer, P. J., &amp; Marquez, M. J. (2008). The rejection of moral rebels: resenting those who do the right thing. Journal of personality and social psychology, 95(1), 76.</t>
  </si>
  <si>
    <t>10.1037/0022-3514.95.1.76</t>
  </si>
  <si>
    <t>moral reproach</t>
  </si>
  <si>
    <t>moral rebels, whistleblowers, implicit moral reproach, resentment, self-affirmation</t>
  </si>
  <si>
    <t>resenting those who do the right thing</t>
  </si>
  <si>
    <t>In terms of attraction: nonaffirmed (obedient) actors liked the rebel significantly less (M  .02) than self-affirmed (self affirm rebels) participants who showed no such rejection of the rebel (M =2.54).</t>
  </si>
  <si>
    <t>p. 87</t>
  </si>
  <si>
    <t>=(0.02-2.54)/SQRT((2.38^2+1.95^2)/2)</t>
  </si>
  <si>
    <t>d and p for O extracted from Boyce, because I was unsure about the replication aim</t>
  </si>
  <si>
    <t>Boyce, V., Mathur, M., &amp; Frank, M. C. (2023). Eleven years of student replication projects provide evidence on the correlates of replicability in psychology. Royal Society Open Science, 10(11), 231240. https://doi.org/10.1098/rsos.231158</t>
  </si>
  <si>
    <t>The placement of affect mea- sures in the rebel control condition did not have a significant impact on any of the variables analyzed below.</t>
  </si>
  <si>
    <t>p.86</t>
  </si>
  <si>
    <t>Boyce_etal202399_1</t>
  </si>
  <si>
    <t>Boyce_etal202399</t>
  </si>
  <si>
    <r>
      <rPr>
        <rFont val="Arial"/>
        <color theme="1"/>
      </rPr>
      <t xml:space="preserve">- The replication ES was calculated in the OR format using values reported for reproducibility. (in favour of the F stat from the second coder). 
- Coder one had recorded the ES from the replication report which was d = 2.0036922440074605, but this was discarded as it did not appear in the original paper. 
- The nested of the replication was set to "yes" as it appears the repeated measures ANOVA was replicated form the original study. 
</t>
    </r>
    <r>
      <rPr>
        <rFont val="Arial"/>
        <strike/>
        <color theme="1"/>
      </rPr>
      <t xml:space="preserve">- The tails of the p's were set to one-tail based on the ANOVA F distribution skew. </t>
    </r>
    <r>
      <rPr>
        <rFont val="Arial"/>
        <color theme="1"/>
      </rPr>
      <t xml:space="preserve">
- REPORT FOUND HERE: https://osf.io/br7up, study is possibly pregistered but links are not always included in the reports. </t>
    </r>
  </si>
  <si>
    <t>Morris, A. L., &amp; Still, M. L. (2008). Now you see it, now you don't: repetition blindness for nonwords. Journal of Experimental Psychology: Learning, Memory, and Cognition, 34(1), 146.</t>
  </si>
  <si>
    <t>10.1037/0278-7393.34.1.146</t>
  </si>
  <si>
    <t>repetition blindness</t>
  </si>
  <si>
    <t>repetition blindness, nonwords, lexical, sublexical, word recognition</t>
  </si>
  <si>
    <t>repetition blindness for nonwords</t>
  </si>
  <si>
    <r>
      <rPr>
        <rFont val="Arial"/>
        <color rgb="FF00FF00"/>
      </rPr>
      <t>Repeated-measures ANOVAs with the factors condition, lexicality, and neighborhood size demonstrated that</t>
    </r>
    <r>
      <rPr>
        <rFont val="Arial"/>
        <color theme="1"/>
      </rPr>
      <t xml:space="preserve"> joint report of words was higher than that for nonwords (51.2% vs. 12.7%), F1(1, 23)  92.34, p &lt; .001 .</t>
    </r>
  </si>
  <si>
    <t>p. 162</t>
  </si>
  <si>
    <t>=(0.512/(1-0.512))/(0.127/(1-0.127))</t>
  </si>
  <si>
    <t>Boyce, V., Mathur, M., &amp; Frank, M. C. (2023). Eleven years of student replication projects provide evidence on the correlates of replicability in psychology. Royal Society Open Science, 10(11), 231240. https://doi.org/10.1098/rsos.231159</t>
  </si>
  <si>
    <t>experiment 6</t>
  </si>
  <si>
    <t>Repeated-measures ANOVAs with the factors condition, lexicality, and neighborhood size demonstrated that joint report of words was higher than that for nonwords (51.2% vs. 12.7%), F1(1, 23)  92.34, ... both ps  .001;</t>
  </si>
  <si>
    <t>osc2015150_1</t>
  </si>
  <si>
    <t>osc2015150</t>
  </si>
  <si>
    <t>Dorrough, Roksana</t>
  </si>
  <si>
    <t>1. In original study, no p-value is reported. However, the prep = .99</t>
  </si>
  <si>
    <t>Chosen as reported to 3.d.p</t>
  </si>
  <si>
    <t>Forti, S., &amp; Humphreys, G.W. (2008). Sensitivity to object viewpoint and action instructions during search for targets in the lower visual field. Psychological Science, 19(1), 42-48.</t>
  </si>
  <si>
    <t>10.1111/j.1467-9280.2008.02044.x</t>
  </si>
  <si>
    <t>10.1111--j.1467-9280.2008.02044.x.pdf</t>
  </si>
  <si>
    <t>Dorrough, A. R., &amp; Fiedler, S. (2023, September 28). Replication of S Forti, GW Humphreys (2008, PS 19(1)). Retrieved from osf.io/tf8ky</t>
  </si>
  <si>
    <t>10.1126/science.aac4716</t>
  </si>
  <si>
    <t>10.1126--science.aac4716.pdf</t>
  </si>
  <si>
    <t>https://osf.io/nhqgs</t>
  </si>
  <si>
    <t>Visual search</t>
  </si>
  <si>
    <t>Adolescent, Adult, Attention, Discrimination Learning, Eye Movements, Female, Fixation, Ocular, Humans, Male, Orientation, Probability, Psychomotor Performance, Reaction Time, Semantics, Visual Fields</t>
  </si>
  <si>
    <t>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</si>
  <si>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"These two factors interacted, F(1, 13) = 14.2, prep &gt; .99. The effect of visual field was enhanced for objects depicted in a prototypical orientation, though visual field was significant for both views."</t>
  </si>
  <si>
    <t>F(1, 13) = 14.2</t>
  </si>
  <si>
    <t>https://osf.io/9r7au</t>
  </si>
  <si>
    <t xml:space="preserve">1. The second OSF link: https://osf.io/u8g3x
2. Since stimulus were recreated, rather than reused, I would suggest to mark the study as conceptual replication
3. I can't understand how the effect can be significant if p &gt; 0.99. I am not sure that I understand what is meant under "p-rep". </t>
  </si>
  <si>
    <t>I would argue that this is a close replication rather than conceptual as all central features are highly similar, the original materials had to be recreated but this was done in line with screenshots and description so doubt it differed that much</t>
  </si>
  <si>
    <t>Attention, discrimination learning, eye movements, ocular, orientation, probability, semantics, visual search, dorsal stream, ventral stream</t>
  </si>
  <si>
    <t>These two factors interacted, F(1,13) = 14.2, p-rep &gt; .99: The effect of visual field was enhanced for objects depicted in a prototypical orientation, though visual field was significant for both views</t>
  </si>
  <si>
    <t>https://osf.io/fj6e8</t>
  </si>
  <si>
    <t>osc2015151_1</t>
  </si>
  <si>
    <t>osc2015151</t>
  </si>
  <si>
    <t>Cheung, Roksana</t>
  </si>
  <si>
    <t>1) 'doi_r' differs from the link provided on page 35 table from OSC 2015 PDF and their effect sizes differ, I coded the one from the link provided in PDF. 2) I coded d= 005 as in the link found in OSC 2015 PDF but the RPPdataConverted.xlsx table contained d= .006, meaning there is inconsistency between the value reported in table and the value reported in replication paper 3)1. In original study, no p-value is reported. However, the prep = .97</t>
  </si>
  <si>
    <t>Chosen as correct link for prereg used, otherwise all the same, I updated the description here from the other coder as mine were done already but updated one is more suitable</t>
  </si>
  <si>
    <t>Schnall S., Benton J., &amp; Harvey S. (2008). With a clean conscience: Cleanliness reduces the severity of moral judgments. &lt;i&gt;Psychological Science&lt;/i&gt;, 19, 1219-1222.</t>
  </si>
  <si>
    <t>10.1111/j.1467-9280.2008.02227.x</t>
  </si>
  <si>
    <t>10.1111--j.1467-9280.2008.02227.x.pdf</t>
  </si>
  <si>
    <t>Cheung, F., Donnellan, B., &amp; Johnson, D. J. (2023, September 28). Replication of Schnall, Benton, &amp; Harvey (2008, PS). Retrieved from osf.io/apidb</t>
  </si>
  <si>
    <t>10.1027/1864-9335/a000186</t>
  </si>
  <si>
    <t>http://dx.doi.org/10.1027/1864-9335/a000186</t>
  </si>
  <si>
    <t>https://osf.io/2dem3</t>
  </si>
  <si>
    <t>Moral judgement</t>
  </si>
  <si>
    <t>Adult, Analysis of Variance, Communication, Conscience, Cues, Emotions [physiology], Female, Great Britain, Humans, Intuition [physiology], Judgment [physiology], Male, Morals, Social Behavior, Social Perception, Students [psychology], Young Adult</t>
  </si>
  <si>
    <t>Hand-washing after experiencing disgust led participants to judge moral vignettes with less severity than participants who did not wash their hands</t>
  </si>
  <si>
    <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</si>
  <si>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https://osf.io/a8zvk</t>
  </si>
  <si>
    <t>1. Minor changes were made for the replication
2. Authors reported p-replication (probability of replication) instead of p-value</t>
  </si>
  <si>
    <t>Moral judgment</t>
  </si>
  <si>
    <t>Adult, Analysis of Variance, Communication, Conscience, Cues, Emotions, Female, Great Britain, Humans, Intuition, Judgment, Male, Morals, Social Behavior, Social Perception, Students, Young Adult, Replication, Embodiment, Cleanliness, Morality, Effect Size</t>
  </si>
  <si>
    <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F(1,41) = 7.81, p-rep = .97, partial η2 ​= .16</t>
  </si>
  <si>
    <t>https://osf.io/7xupr</t>
  </si>
  <si>
    <t>osc2015153_1</t>
  </si>
  <si>
    <t>osc2015153</t>
  </si>
  <si>
    <t>Saxe, Roksana</t>
  </si>
  <si>
    <r>
      <rPr>
        <rFont val="Arial"/>
      </rPr>
      <t xml:space="preserve">Link provided in OSC 2015 PDF not valid, so I had to find information on this link: </t>
    </r>
    <r>
      <rPr>
        <rFont val="Arial"/>
        <color rgb="FF1155CC"/>
        <u/>
      </rPr>
      <t>https://osf.io/27cmh</t>
    </r>
  </si>
  <si>
    <t>SE Palmer, T Ghose (2008). Extremal edges: a powerful cue to depth perception and figure-ground organization. Psychological Science, 19.1: 77-84.</t>
  </si>
  <si>
    <t>10.1111/j.1467-9280.2008.02049.x</t>
  </si>
  <si>
    <t>10.1111--j.1467-9280.2008.02049.x.pdf</t>
  </si>
  <si>
    <r>
      <rPr>
        <rFont val="Calibri"/>
        <sz val="11.0"/>
      </rPr>
      <t xml:space="preserve">Saxe, R., Vélez, N., &amp; Johnston, W. (2023, September 28). Replication of Palmer &amp; Ghose (2008, PS). Retrieved from </t>
    </r>
    <r>
      <rPr>
        <rFont val="Calibri"/>
        <color rgb="FF1155CC"/>
        <sz val="11.0"/>
        <u/>
      </rPr>
      <t>osf.io/0aifq</t>
    </r>
  </si>
  <si>
    <t>https://osf.io/27cmh</t>
  </si>
  <si>
    <t>External edges</t>
  </si>
  <si>
    <t>Attention, Contrast Sensitivity, Depth Perception, Discrimination Learning, Field Dependence-Independence, Humans, Optical Illusions, Orientation, Pattern Recognition, Visual</t>
  </si>
  <si>
    <t>Surfaces with a single EE along the shared contour were perceived as closer than surfaces with two EE's orthogonal to the shared contour</t>
  </si>
  <si>
    <t>"The quarter-cylinder EE regions (EE1) were also seen as closer than the rotated convex versions on 85% of the trials with half-cylinder non-EE regions (Convex2) and 90% of the trials with quarter-cylinder non-EE regions (Convex1), ts(7) = 4.45 and 6.13, ps &lt; .001, respectively."</t>
  </si>
  <si>
    <t>t(7) = 4.45</t>
  </si>
  <si>
    <t>t (7) = 0.32</t>
  </si>
  <si>
    <t>https://osf.io/jb2pw/</t>
  </si>
  <si>
    <t>Saxe</t>
  </si>
  <si>
    <t>1, The data for replication was taken from this link: https://osf.io/27cmh</t>
  </si>
  <si>
    <t>Saxe, R., Vélez, N., &amp; Johnston, W. (2023, September 28). Replication of Palmer &amp; Ghose (2008, PS). Retrieved from osf.io/0aifq</t>
  </si>
  <si>
    <t>Extremal edges</t>
  </si>
  <si>
    <t>Attention, Contrast Sensitivity, Depth Perception, Discrimination Learning, Field Dependence-Independence,  Optical Illusions, Orientation, Pattern Recognition, Visual, Extremal edges</t>
  </si>
  <si>
    <t>The quarter-cylinder EE regions (EE1) were also seen as closer than the rotated convex versions on 85% of the trials with half-cylinder non-EE regions (Convex2) and 90% of the trials with quarter-cylinder non-EE regions (Convex1), ts(7) = 4.45 and 6.13, ps ​ &lt;.001, respectively</t>
  </si>
  <si>
    <t>ts(7) = 4.45</t>
  </si>
  <si>
    <t>t(7) = 0.32</t>
  </si>
  <si>
    <t>https://osf.io/gknau</t>
  </si>
  <si>
    <t>osc2015154_1</t>
  </si>
  <si>
    <t>osc2015154</t>
  </si>
  <si>
    <t>Lazarevic, Roksana</t>
  </si>
  <si>
    <t>Heine, S.J., Buchtel, E.E., &amp; Norenzayan, A. (2008). What do cross‐national comparisons of personality traits tell us? The case of conscientiousness. Psychological Science, 19(4), 309-313.</t>
  </si>
  <si>
    <t>10.1111/j.1467-9280.2008.02085.x</t>
  </si>
  <si>
    <t>10.1111--j.1467-9280.2008.02085.x.pdf</t>
  </si>
  <si>
    <t>Lazarevic, L. B., &amp; Knezevic, G. (2023, September 28). Replication of SJ Heine, EE Buchtel, A Norenzayan (2008, PS 19(4), exp 1). Retrieved from osf.io/siaqe</t>
  </si>
  <si>
    <t>https://osf.io/g4hn3</t>
  </si>
  <si>
    <t>Reference group effects</t>
  </si>
  <si>
    <t>Attitude, Cross-Cultural Comparison, Culture, Humans, Morals, Personality, Personality Inventory</t>
  </si>
  <si>
    <t>What Do Cross_National Comparisons of Personality Traits Tell Us? The Case of Conscientiousness</t>
  </si>
  <si>
    <t>"The analyses revealed that the aggregate self-report data from the NEO-PI-R correlated negatively with all the validity criteria for both sets of countries (average r = .43)."</t>
  </si>
  <si>
    <t>https://osf.io/knc2b</t>
  </si>
  <si>
    <t>1. There were slight difference in methodology and quite important age difference in sample -&gt; conceptual
2. P values were not provided in both original and replication studies</t>
  </si>
  <si>
    <t>Chosen due to more detailed notes explaining choice for conceptual</t>
  </si>
  <si>
    <t>Reference group effect</t>
  </si>
  <si>
    <t>Attitude, Cross-Cultural Comparison, Culture, Morals, Personality, Personality Inventory, Reference group effect, perceptions of national character, Fragile State Index</t>
  </si>
  <si>
    <t>Conscientiousness measured by aggregated self-reports on the NEO-PI-R correlated with Postal workers’ speed, Clock accuracy, Walking speed, GDP, Longevity</t>
  </si>
  <si>
    <t>https://osf.io/pua6s</t>
  </si>
  <si>
    <t>osc2015155_1</t>
  </si>
  <si>
    <t>osc2015155</t>
  </si>
  <si>
    <t>Levitan, Roksana</t>
  </si>
  <si>
    <t xml:space="preserve">Chosen due to more inclusion of links </t>
  </si>
  <si>
    <t>Moeller, S.K., Robinson, M.D., Zabelina, D.L. (2008). Personality dominance and preferential use of the vertical dimension of space. Psychological Science, 19, 355-361.</t>
  </si>
  <si>
    <t>10.1111/j.1467-9280.2008.02093.x</t>
  </si>
  <si>
    <t>10.1111--j.1467-9280.2008.02093.x.pdf</t>
  </si>
  <si>
    <t>Levitan, C., &amp; Fernández, B. (2023, September 28). Replication of SK Moeller, MD Robinson, DL Zabelina (2008, Psychological Science, Experiment 2). Retrieved from osf.io/tg2wd</t>
  </si>
  <si>
    <t>https://osf.io/7dybc</t>
  </si>
  <si>
    <t>Personality dominance</t>
  </si>
  <si>
    <t>Adult, Attention, Choice Behavior, Female, Humans, Male, Metaphor, Personality, Social Dominance, Space Perception, Spatial Behavior</t>
  </si>
  <si>
    <t>Participants who scored as more dominant in personality were more likely to have relatively faster response times to vertical stimuli than horizontal stimuli in predictable-location task</t>
  </si>
  <si>
    <t>"Both correlations were significant, r = .28, p &lt; .05, for the random-location task and r = .31, p &lt; .05, for the predictable-location task."</t>
  </si>
  <si>
    <t>https://osf.io/ywk2q</t>
  </si>
  <si>
    <t>Attention, Choice Behavior, Metaphor, Personality, Social Dominance, Space Perception, Spatial Behavior, verticality/power relationship,  spatial attention task</t>
  </si>
  <si>
    <t>Both correlations were significant, r = -.28, p &lt; .05, for the random-location task and r = -.31, p &lt; .05, for the predictable-location task.</t>
  </si>
  <si>
    <t>https://osf.io/76j48</t>
  </si>
  <si>
    <t>osc2015158_1</t>
  </si>
  <si>
    <t>osc2015158</t>
  </si>
  <si>
    <t>Perugini, Roksana</t>
  </si>
  <si>
    <t>1. In original study, no p-value is reported. However, the prep = .927 2) Block design was different hence conceptual</t>
  </si>
  <si>
    <t>Goschke, T., &amp; Dreisbach, G. (2008). Conflict-triggered goal shielding: response conflicts attenuate background monitoring for prospective memory cues. Psychological science, 19(1), 25–32.</t>
  </si>
  <si>
    <t>10.1111/j.1467-9280.2008.02042.x</t>
  </si>
  <si>
    <t>10.1111--j.1467-9280.2008.02042.x.pdf</t>
  </si>
  <si>
    <t>Costantini, G., &amp; Perugini, M. (2023, September 28). Replication of Goschke &amp; Dreisbach (2008, PS). Retrieved from osf.io/bk53t</t>
  </si>
  <si>
    <t>https://osf.io/pnius</t>
  </si>
  <si>
    <t>Goal shielding</t>
  </si>
  <si>
    <t>Attention, Conflict (Psychology), Cues, Goals, Humans, Inhibition (Psychology), Intention, Memory, Short-Term, Orientation, Pattern Recognition, Visual, Psychomotor Performance, Reaction Time</t>
  </si>
  <si>
    <t>Conflict-triggered goal shielding: Response conflicts attenuate background monitoring for prospective memory cues.</t>
  </si>
  <si>
    <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</si>
  <si>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https://osf.io/zjmkg/</t>
  </si>
  <si>
    <t>1. There were differences in the block design -&gt; conceptual replication</t>
  </si>
  <si>
    <t>Goal shielding, attention, conflict, cues, inhibition, prespectice memory, pattern recognition</t>
  </si>
  <si>
    <t>An interaction between Perspective Memory (PM) cue dimension and compatibility predicted the mean proportion of missed PM cues</t>
  </si>
  <si>
    <t>https://osf.io/rkqw2</t>
  </si>
  <si>
    <t>osc2015161_1</t>
  </si>
  <si>
    <t>osc2015161</t>
  </si>
  <si>
    <t>Cramblet Alvarez, Roksana</t>
  </si>
  <si>
    <t>I would argue this is a close rather than conceptual replication</t>
  </si>
  <si>
    <t>LoBue,V., &amp; DeLoache, J.S. (2008). Detecting the snake in the grass: Attention to fear-relevant stimuli by adults and children. Psychological Science, 19, 284-289.</t>
  </si>
  <si>
    <t>10.1111/j.1467-9280.2008.02081.x</t>
  </si>
  <si>
    <t>10.1111--j.1467-9280.2008.02081.x.pdf</t>
  </si>
  <si>
    <t>Cramblet Alvarez, L. D., Martinez, T., Zuni, K., Tapia, M., &amp; Pipitone, R. N. (2023, September 28). Replication of LoBue &amp; DeLoache (2008, PS, Study 3). Retrieved from osf.io/sd7kg</t>
  </si>
  <si>
    <t>https://osf.io/5ygej</t>
  </si>
  <si>
    <t>Visual detection</t>
  </si>
  <si>
    <t>Adult, Age Factors, Animals, Attention, Child, Preschool, Fear, Field Dependence-Independence, Humans, Pattern Recognition, Visual, Reaction Time, Snakes</t>
  </si>
  <si>
    <t>Detecting the snake in the grass: attention to fear-relevant stimuli by adults and young children.</t>
  </si>
  <si>
    <t>"The ANOVA revealed significant main effects of target stimulus, F(1, 44) = 13.42, p &lt; .01, prep = .96, and age, F(1, 44) = 29.05, p &lt; .01, prep = 1.0, as well as an age-by-target interaction, F(1, 44) = 5.12, p &lt; .05, prep = .91."</t>
  </si>
  <si>
    <t>F(1, 44) = 13.42</t>
  </si>
  <si>
    <t xml:space="preserve">p. 5 </t>
  </si>
  <si>
    <t>https://osf.io/csm3d</t>
  </si>
  <si>
    <t xml:space="preserve">1. The replication was conducted not in the lab
2. The Effect is either "Visual detection" or "Fear-irrelevance". The effect/object is the second, the effect is the second. I chose Visual detection as it is broader. </t>
  </si>
  <si>
    <t>Age Factors, Animals, Attention, Preschool, Fear, Field Dependence-Independence, Pattern Recognition, Visual, Reaction Time, Snakes</t>
  </si>
  <si>
    <t>Young children detect threat-relevant targets more quickly than threat-irrelevant ones</t>
  </si>
  <si>
    <t>The ANOVA revealed significant main effects of target stimulus, F(1,44) = 13.42, p &lt; .01, p-rep = .96, and age, [...] as well as an age-by-target interaction</t>
  </si>
  <si>
    <t>osc2015165_1</t>
  </si>
  <si>
    <t>osc2015165</t>
  </si>
  <si>
    <t>Fuchs, Roksana</t>
  </si>
  <si>
    <t>I would argue chi-squared is better to report than those reported by coder 1</t>
  </si>
  <si>
    <t>Dai, X., Wertenbroch, K., &amp; Brendl, C. M. (2008). The value heuristic in judgments of relative frequency. Psychological Science, 19, 18–19.</t>
  </si>
  <si>
    <t>Fuchs, H., Estel, V., &amp; Goellner, L. (2016, August 19). Replication of Dai, Wertenbroch, &amp; Brendl (2008, PS, Study 1). Retrieved from osf.io/q7f6w</t>
  </si>
  <si>
    <t>https://osf.io/js7gd</t>
  </si>
  <si>
    <t>Value heuristics</t>
  </si>
  <si>
    <t>Adult, Attention, Concept Formation, Discrimination Learning, Female, Humans, Judgment, Male, Memory, Short-Term, Motivation, Pattern Recognition, Visual, Problem Solving</t>
  </si>
  <si>
    <t>Participants were more likely to underestimate the number of pictures in their value category than in the 'other' category.</t>
  </si>
  <si>
    <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</si>
  <si>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X^2(1, N=56) = 4.51</t>
  </si>
  <si>
    <t>X^2(1, N = 51) = 1.57</t>
  </si>
  <si>
    <t>https://osf.io/b2agf</t>
  </si>
  <si>
    <t>Value heuristic</t>
  </si>
  <si>
    <t>Value heuristic, judgement, frequency, attention, concept formation, discrimination learning, short-term memory, pattern recognition, problem solving</t>
  </si>
  <si>
    <t>They were more likely to underestimate the number of bird pictures relative to flower pictures when they expected payment for bird pictures (21 of 32 participants, 66%) than when they expected payment for flower pictures (12 of 31 participants, 39%), χ²(1, N = 556) = 4.51, p = .037, p-rep = .93, odds ratio = 3.28</t>
  </si>
  <si>
    <t>omega</t>
  </si>
  <si>
    <t>https://osf.io/p6jxm</t>
  </si>
  <si>
    <t>osc2015167_1</t>
  </si>
  <si>
    <t>osc2015167</t>
  </si>
  <si>
    <t>Renkewitz, Roksana</t>
  </si>
  <si>
    <t>1. In original study, no p-value is reported. However, the prep = .97</t>
  </si>
  <si>
    <t>Estes, Z., Verges, M., &amp; Barsalou, L.W. (2008). Head up, foot down. Object words orient attention to the objects’ typical location. Psychological Science, 19(2), 93–97.</t>
  </si>
  <si>
    <t>10.1111/j.1467-9280.2008.02051.x</t>
  </si>
  <si>
    <t>10.1111--j.1467-9280.2008.02051.x.pdf</t>
  </si>
  <si>
    <t>Renkewitz, F., &amp; Müller, S. M. (2023, September 28). Replication of Estes, Verges, &amp; Barsalou (2008, PS, Study 1). Retrieved from osf.io/vwnit</t>
  </si>
  <si>
    <t>https://osf.io/b7zek</t>
  </si>
  <si>
    <t>Object words orient attention</t>
  </si>
  <si>
    <t>Attention, Cues, Head, Humans, Space Perception, Vocabulary</t>
  </si>
  <si>
    <t>Attentional effect of object words interfered with the visual perception of a target in the typical location of the object</t>
  </si>
  <si>
    <t>"In the error-rate data, this effect was also significant, F1(1, 17) = 9.33, prep = .97, and F2(1, 58) = 18.96, prep = 1.00, and robust (4.83%, η² = .35)."</t>
  </si>
  <si>
    <t>F(1, 17) = 9.33</t>
  </si>
  <si>
    <t>https://osf.io/2rnj5</t>
  </si>
  <si>
    <t>Inhibition of return</t>
  </si>
  <si>
    <t>Language and perception, mental imagery, perceptual simulation, reflexive orienting, spatial attention</t>
  </si>
  <si>
    <t>In the error-rate data, this effect was also significant, F1​(1,17) = 9.33, p-rep= .97 [...]</t>
  </si>
  <si>
    <t>https://osf.io/z6qw2</t>
  </si>
  <si>
    <t>osc201517_1</t>
  </si>
  <si>
    <t>osc201517</t>
  </si>
  <si>
    <t>Gloeckner, Roksana</t>
  </si>
  <si>
    <t>Chosen as reported partial etasq for rep</t>
  </si>
  <si>
    <t>Fiedler, K. (2008). The ultimate sampling dilemma in experience-based decision making. Journal of Experimental Psychology: Learning, Memory, and Cognition, 34(1), 186.</t>
  </si>
  <si>
    <t>10.1037/0278-7393.34.1.186</t>
  </si>
  <si>
    <t>10.1037--0278-7393.34.1.186.pdf</t>
  </si>
  <si>
    <t>Glöckner, A., &amp; Jekel, M. (2023, September 28). Replication of K Fiedler (2008, JEPLMC, Exp 2). Retrieved from osf.io/hp27x</t>
  </si>
  <si>
    <t>https://osf.io/vtz2i</t>
  </si>
  <si>
    <t>Inferences in probalistic world</t>
  </si>
  <si>
    <t>Adult, Bias (Epidemiology), Choice Behavior, Cognition, Computer Simulation, Decision Making, Decision Theory, Feedback, Psychological, Female, Humans, Judgment, Male</t>
  </si>
  <si>
    <t>The tendency to underestimate the frequency of positive and to overestimate the frequency of negative observations increased from the provider with the smallest to the provider with the highest overall frequency due to differential regression effects</t>
  </si>
  <si>
    <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</si>
  <si>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F(2, 76) = 8.67</t>
  </si>
  <si>
    <t xml:space="preserve">p.4 </t>
  </si>
  <si>
    <t>https://osf.io/ny7t5</t>
  </si>
  <si>
    <t>Inferences</t>
  </si>
  <si>
    <t>Sampling, decision making, sampling bias, natural sampling, information search</t>
  </si>
  <si>
    <t>The tendency to underestimate positive and to overestimate negative observations increased from domain T to C, F(1,38) = 9.73, p &lt; .01, and from P3 to P2 to P1, F(2,76) = 8.67, p &lt; .001</t>
  </si>
  <si>
    <t>https://osf.io/3fjvt</t>
  </si>
  <si>
    <t>osc201519_1</t>
  </si>
  <si>
    <t>osc201519</t>
  </si>
  <si>
    <t>Neijenhuijs, Roksana</t>
  </si>
  <si>
    <t>Oberauer, Klaus. "How to say no: Single-and dual-process theories of short-term recognition tested on negative probes." Journal of Experimental Psychology: Learning, Memory, and Cognition 34.3 (2008): 439</t>
  </si>
  <si>
    <t>10.1037/0278-7393.34.3.439</t>
  </si>
  <si>
    <t>10.1037--0278-7393.34.3.439.pdf</t>
  </si>
  <si>
    <t>Neijenhuijs, K. I., Luteijn, I., Bosch, A., van der Hulst, M., Dorsthorst, A. t, van de Ven, M., &amp; Weerdmeester, J. W. (2023, September 28). Replication of K Oberauer (2008, JEPLMC 34(3), Exp 3). Retrieved from osf.io/gcj7x</t>
  </si>
  <si>
    <t>https://osf.io/n32zj</t>
  </si>
  <si>
    <t>Short term recognition</t>
  </si>
  <si>
    <t>Adolescent, Adult, Association Learning, Attention, Color Perception, Cues, Discrimination Learning, Female, Humans, Male, Memory, Short-Term, Orientation, Reaction Time, Serial Learning</t>
  </si>
  <si>
    <t>Accuracy was significantly lower in long list as it is harder to reject such probes due to more memory matching episodes on the context dimension</t>
  </si>
  <si>
    <t>"Accuracies on new probes were significantly lower for long lists, F(1, 31) = 14.2, p &lt; .001, η²p = .31."</t>
  </si>
  <si>
    <t>https://osf.io/9p2qr</t>
  </si>
  <si>
    <t>1. There is a difference in the sample - high-school students (" in the last 2 years of high school") or 1st year university students. I assume this groups to be quite equal in WM abilities (https://doi.org/10.1038/s41598-020-80866-1), thus the replication is close, rather than conceptual</t>
  </si>
  <si>
    <t>Recognition</t>
  </si>
  <si>
    <t>Recognition, working memory, serial position curves, recollection, familiarity</t>
  </si>
  <si>
    <t>Accuracies on new probes were significantly lower for long lists, F(1, 31) = 14.2, p &lt; .001, partial eta-square = 0.31</t>
  </si>
  <si>
    <t>osc20152_1</t>
  </si>
  <si>
    <t>osc20152</t>
  </si>
  <si>
    <t>Goodbourn, Roksana</t>
  </si>
  <si>
    <t>Morris, A.L., Still, M.L. (2008). Now you see it, now you don't: Repetition blindness for nonwords. Journal of Experimental Psychology: Learning Memory and Cognition, 34(1), 146–166.</t>
  </si>
  <si>
    <t>10.1037--0278-7393.34.1.146.pdf</t>
  </si>
  <si>
    <t>Goodbourn, P. T. (2023, September 28). Replication of Morris and Still (2008). Retrieved from osf.io/rmvk5</t>
  </si>
  <si>
    <t>https://osf.io/5f42t</t>
  </si>
  <si>
    <t>Repetition Blindness</t>
  </si>
  <si>
    <t>Attentional Blink, Humans, Judgment, Memory, Short-Term, Pattern Recognition, Visual, Reading, Semantics, Serial Learning, Verbal Learning</t>
  </si>
  <si>
    <t>Significant repetition blindness (RB) effect was inducted in nonword condition</t>
  </si>
  <si>
    <t>"Further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</si>
  <si>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F(1, 23) = 13.71</t>
  </si>
  <si>
    <t>https://osf.io/s9m2k</t>
  </si>
  <si>
    <t>1. The differences with original study are mostly technical, thus - close replication</t>
  </si>
  <si>
    <t>Repetition blindness</t>
  </si>
  <si>
    <t>Repetition blindness, nonwords, lexical, sublexical, word recognition</t>
  </si>
  <si>
    <t>Further analysis of the Condition X Lexicality interaction revealed that the RB effect was significant for words, F1(1,23) = 40.54, F2(1, 46) = 33.41, both ps &lt; .001; and nonwords [...]</t>
  </si>
  <si>
    <t>https://osf.io/6xjqm</t>
  </si>
  <si>
    <t>osc201520_1</t>
  </si>
  <si>
    <t>osc201520</t>
  </si>
  <si>
    <t>Fiedler, Roksana</t>
  </si>
  <si>
    <t>Conceptual as experimental design was different</t>
  </si>
  <si>
    <t>Sahakyan, L., Delaney, P. F., &amp; Waldum, E. R. (2008). Intentional forgetting is easier after two" shots" than one. Journal of Experimental Psychology: Learning, Memory, and Cognition, 34(2), 408.</t>
  </si>
  <si>
    <t>10.1037/0278-7393.34.2.408</t>
  </si>
  <si>
    <t>10.1037--0278-7393.34.2.408.pdf</t>
  </si>
  <si>
    <t>Fiedler, S., &amp; May, M. (2023, September 28). Replication of Sahakyan et al. (2008, JEP:LMC, Study 3). Retrieved from osf.io/bzdr2</t>
  </si>
  <si>
    <t>https://osf.io/kcwfa</t>
  </si>
  <si>
    <t xml:space="preserve">Directed forgetting </t>
  </si>
  <si>
    <t>Attention, Humans, Inhibition (Psychology), Intention, Mental Recall, Paired-Associate Learning, Psycholinguistics, Semantics, Verbal Learning</t>
  </si>
  <si>
    <t>Direct forgetting had bigger effect on spaced items, rather than on mass items</t>
  </si>
  <si>
    <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</si>
  <si>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https://osf.io/bk79y</t>
  </si>
  <si>
    <t>1. In my opinion, quite big valuable changes were made in the replication for the experimental design</t>
  </si>
  <si>
    <t>Directed forgetting effect</t>
  </si>
  <si>
    <t>Directed forgetting, context change, list-strength effect, spacing effect</t>
  </si>
  <si>
    <t>In addition, the interaction was significant, F(1, 94) = 4.97, p &lt; .05, MSE = .029, eta-square = .05, showing that there was significant directed forgetting of spaced items, t(94) = 3.95, p &lt; .001, but not of massed items (t = 1; see Figure 3)</t>
  </si>
  <si>
    <t>osc201522_1</t>
  </si>
  <si>
    <t>osc201522</t>
  </si>
  <si>
    <t>Kappes, Roksana</t>
  </si>
  <si>
    <t>Colzato, L.S., Bajo, M.T., van den Wildenberg, W., Paolieri, D., Nieuwenhuis, S., La Heij, W., &amp; Hommel, B. (2008). Journal of Experimental Psychology: Learning, Memory, and Cognition, 34(2), 302-312.</t>
  </si>
  <si>
    <t>10.1037/0278-7393.34.2.302</t>
  </si>
  <si>
    <t>10.1037--0278-7393.34.2.302.pdf</t>
  </si>
  <si>
    <t>Kappes, H. B. (2023, September 28). Replication of LS Colzato, MT Bajo, W van den Wildenberg, D Paolieri, S Nieuwenhuis, W La Heij, B Hommel (2008, JEPLMC 34(2), Exp. 3). Retrieved from osf.io/p9thw</t>
  </si>
  <si>
    <t>https://osf.io/a5ukz</t>
  </si>
  <si>
    <t>Inhibitory control</t>
  </si>
  <si>
    <t>Adult, Attention, Color Perception, Cues, Female, Functional Laterality, Humans, Inhibition (Psychology), Male, Multilingualism, Orientation, Pattern Recognition, Visual, Psychomotor Performance, Reaction Time</t>
  </si>
  <si>
    <t>The two language groups were comparable in most measures, but bilinguals showed a larger dip of T2 report — a bigger blink, that  is — at Lag 3, which can be attributed to more reactive inhibition in bilinguals</t>
  </si>
  <si>
    <t>"An ANOVA of conditional T2 report revealed a significant effect of lag, F(3, 93) = 38.76, p &lt; .001, MSE = 0.009, that was involved in a two-way interaction with group, F(3, 93) = 5.23, p = .002, MSE = 0.009."</t>
  </si>
  <si>
    <t>F(3, 93) = 5.23</t>
  </si>
  <si>
    <t>https://osf.io/bxumv</t>
  </si>
  <si>
    <t>1. Also there is a second OSF link: https://osf.io/nra37</t>
  </si>
  <si>
    <t>Bilingualism, inhibition, executive functions</t>
  </si>
  <si>
    <t>An ANOVA of conditional T2 report revealed a significant effect of lag, F(3, 93) = 38.76, p = .001, MSE = 0.009, that was involved in a two-way interaction with group, F(3, 93) = 5.23, p = .002, MSE = 0.009.</t>
  </si>
  <si>
    <t>https://osf.io/x2gmb</t>
  </si>
  <si>
    <t>osc201524_1</t>
  </si>
  <si>
    <t>osc201524</t>
  </si>
  <si>
    <t>Hung, Roksana</t>
  </si>
  <si>
    <t>Bassok, M., Pedigo, S.F., &amp; Oskarsson, A.T (2008). Priming Addition Facts with Semantic Relations. Journal of Experimental Psychology: Learning, Memory, and Cognition, 34, 343-352.</t>
  </si>
  <si>
    <t>10.1037/0278-7393.34.2.343</t>
  </si>
  <si>
    <t>10.1037--0278-7393.34.2.343.pdf</t>
  </si>
  <si>
    <t>Hung, C. O., Lin, L., &amp; Tsang, S. (2023, September 28). Replication of M Bassok, SF Pedigo, AT Oskarsson (2008, JEPLMC, Study 1). Retrieved from osf.io/sqim7</t>
  </si>
  <si>
    <t>https://osf.io/irgbs</t>
  </si>
  <si>
    <t>Semantic relations</t>
  </si>
  <si>
    <t>Adult, Attention, Female, Humans, Male, Mathematics, Mental Recall, Paired-Associate Learning, Problem Solving, Reaction Time, Semantics</t>
  </si>
  <si>
    <t>Priming addition facts with semantic relations.</t>
  </si>
  <si>
    <t>"More important, there was a highly significant Priming Words × Digit Target interaction that was consistent with our semantic alignment hypothesis, F(1, 152) = 23.176, MSE = 6,101, p &lt; .001."</t>
  </si>
  <si>
    <t>F(1, 152) = 23.176</t>
  </si>
  <si>
    <t>F(1, 48) = 4.22</t>
  </si>
  <si>
    <t>https://osf.io/g754e</t>
  </si>
  <si>
    <t>Semantic alignment</t>
  </si>
  <si>
    <t>Analogy, relational priming, cognitive arithmetic, mathematical reasoning, conceptual integration</t>
  </si>
  <si>
    <t>As predicted by the semantic alignment hypothesis, the sum effect occurred in the aligned-categorical but did not occur in the misaligned-unrelated condition</t>
  </si>
  <si>
    <t>More important, there was a highly significant Priming Words × Digit Target interaction that was consistent with our semantic alignment hypothesis, F(1, 152) = 23.176, MSE = 6.101, p &lt; .001</t>
  </si>
  <si>
    <t>https://osf.io/3va2j</t>
  </si>
  <si>
    <t>osc201525_1</t>
  </si>
  <si>
    <t>osc201525</t>
  </si>
  <si>
    <t>Roebke, Roksana</t>
  </si>
  <si>
    <t>Couture, M., Lafond, D., &amp; Tremblay, S. (2008). Learning correct responses and errors in the hebb repetition effect: Two faces of the same coin. Journal of Experimental Psychology: Learning, Memory, and Cognition, 34(3), 524-532.</t>
  </si>
  <si>
    <t>10.1037/0278-7393.34.3.524</t>
  </si>
  <si>
    <t>10.1037--0278-7393.34.3.524.pdf</t>
  </si>
  <si>
    <t>Roebke, M. A., &amp; Della Penna, N. (2023, September 28). Replication of Couture, Lafond, and Tremblay (2008, JEPLMC 34(3)). Retrieved from osf.io/k9gp6</t>
  </si>
  <si>
    <t>https://osf.io/qm5n6</t>
  </si>
  <si>
    <t>Hebb repetition effect</t>
  </si>
  <si>
    <t>Adult, Attention, Discrimination Learning, Humans, Memory, Short-Term, Pattern Recognition, Visual, Practice (Psychology), Probability Learning, Retention (Psychology), Serial Learning</t>
  </si>
  <si>
    <t>Prior occurances of the erroneous remembered item lead to increase in error rates (error are more probable as they occured previously)</t>
  </si>
  <si>
    <t>"For the experimental data, a significant effect of prior occurrences was observed for both correct responses, F(3, 32) = 5.47, p &lt; .01, d = 1.43 (mean slope = 0.09), and errors, F(3, 48) = 9.14, p &lt; .001, d = 1.51 (mean slope = 0.08)."</t>
  </si>
  <si>
    <t>https://osf.io/ca8t2</t>
  </si>
  <si>
    <t>1. The second OSF link: https://osf.io/mghvs</t>
  </si>
  <si>
    <t>Hebb repetition effect, implicit memory, sequence learning, serial recall, error analysis</t>
  </si>
  <si>
    <t>A significant effect of prior occurrences was observed for both correct responses, [...] and errors, F(3, 48) = 9.14, p &lt; .001, d = 1.51 (mean slope = 0.08)</t>
  </si>
  <si>
    <t>https://osf.io/ca8t3</t>
  </si>
  <si>
    <t>osc201526_1</t>
  </si>
  <si>
    <t>osc201526</t>
  </si>
  <si>
    <t>Lai, Reynolds, Roksana</t>
  </si>
  <si>
    <t>Reynolds, M., &amp; Besner, D. (2008). Contextual effects on reading aloud: Evidence for pathway control. Journal of Experimental Psychology: Learning, Memory, and Cognition, 34(1), 50.</t>
  </si>
  <si>
    <t>10.1037/0278-7393.34.1.50</t>
  </si>
  <si>
    <t>10.1037--0278-7393.34.1.50.pdf</t>
  </si>
  <si>
    <t>Lai, C. K., &amp; Simpson, W. B. (2023, September 28). Replication of Reynolds &amp; Besner (2008, JEP:LMC, Study 5). Retrieved from osf.io/hasfu</t>
  </si>
  <si>
    <t>https://osf.io/fkcn5</t>
  </si>
  <si>
    <t>Pathway control</t>
  </si>
  <si>
    <t>Attention, Humans, Phonetics, Reaction Time, Reading, Semantics, Speech, Writing</t>
  </si>
  <si>
    <t>There was no delay in response when switching between pronouncing regular words and nonwords</t>
  </si>
  <si>
    <t>"There was no switch cost (F1 = 1, 2 = .001; F2 = 1, 2 = .001), nor was there an interaction between stimulus type and switch condition, F1(1, 15) = 1.2, p = .15, MSE = 23.7, η² = .077; F2(1, 94) = 2.5, p = .10, MSE = 45.9, η² = .026."</t>
  </si>
  <si>
    <t>https://osf.io/rc2kz</t>
  </si>
  <si>
    <t>Phonological coding</t>
  </si>
  <si>
    <t>Pathway control hypothesis, reading aloud, exogenous control, executive control, phonology</t>
  </si>
  <si>
    <t>More errors were made to nonwords than to words, F1(1, 15) = 16.9, p &lt; .001, MSE = 49.1, eta-square = .529; F2(1, 94) = 11.5, p &lt; .001, MSE = 200, eta-square = .111. There was no switch cost (F1 &lt; 1, eta-square &lt; .001; F2 &lt; 1, eta-square &lt; .001), nor was there an interaction between stimulus type and switch condition, F1(1, 15) = 1.2, p &gt; .15, MSE = 23.7, eta-square  = .077; F2(1, 94) = 2.5, p &gt; .10, MSE = 45.9, eta-square = .026</t>
  </si>
  <si>
    <t>osc201527_1</t>
  </si>
  <si>
    <t>osc201527</t>
  </si>
  <si>
    <t>Chartier, Roksana</t>
  </si>
  <si>
    <t>Coded the wrong effect</t>
  </si>
  <si>
    <t>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</si>
  <si>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10.1037/0278-7393.34.3.495</t>
  </si>
  <si>
    <t>10.1037--0278-7393.34.3.495.pdf</t>
  </si>
  <si>
    <t>Chartier, C. R., &amp; Nervi, T. (2023, September 28). Replication of MJ Yap, DA Balota, CS Tse, D Besner (2008, JEPLMC 34(3), Exp 4). Retrieved from osf.io/ahpik</t>
  </si>
  <si>
    <t>https://osf.io/dh4jx</t>
  </si>
  <si>
    <t>Additive effects</t>
  </si>
  <si>
    <t>Adolescent, Adult, Attention, Decision Making, Discrimination Learning, Female, Humans, Male, Mental Recall, Phonetics, Reaction Time, Reading, Semantics</t>
  </si>
  <si>
    <t>On the additive effects of stimulus quality and word frequency in lexical decision: Evidence for opposing interactive influences revealed by RT distributional analyses.</t>
  </si>
  <si>
    <t>"The stimulus quality × word frequency interaction was again significant, F(1, 31) = 5.17, p = .030, MSE = 2,641.78, η² = .14, with larger frequency effects for the degraded words."</t>
  </si>
  <si>
    <t>F(1, 31) = 5.17</t>
  </si>
  <si>
    <t>1. The second OSF link: https://osf.io/397fh
2. The effect can be either "Additive effect" (stated in the paper) or "Familiarity" (object / phenomenon). I chose the 1st as it is stated explicitly in the paper</t>
  </si>
  <si>
    <t>Additive effect</t>
  </si>
  <si>
    <t>Additive effects, distributional analysis, stimulus quality, word frequency, lexical decision</t>
  </si>
  <si>
    <t>Significant stimulus quality and word frequency interaction with larger frequency effects for the degraded words</t>
  </si>
  <si>
    <t>F(1, 70) = 11.78</t>
  </si>
  <si>
    <t>https://osf.io/3ubv9</t>
  </si>
  <si>
    <t>osc201528_1</t>
  </si>
  <si>
    <t>osc201528</t>
  </si>
  <si>
    <t>Galak, Roksana</t>
  </si>
  <si>
    <t>I couldn't find the effect size in the replication paper, so coded from the OSC dataset table</t>
  </si>
  <si>
    <t>N Janssen, W Schirm, BZ Mahon, A Caramazza (2008).“Semantic Interference in a Delayed Naming Task: Evidence for the Response Exclusion Hypothesis.” Journal of Experimental Psychology: Learning Memory and Cognition, 34(1), 249-256.</t>
  </si>
  <si>
    <t>10.1037/0278-7393.34.1.249</t>
  </si>
  <si>
    <t>10.1037--0278-7393.34.1.249.pdf</t>
  </si>
  <si>
    <t>Galak, J. (2023, September 28). Replication of Janssen and colleagues (2008, JEP:LMC, Study 1). Retrieved from osf.io/uhpyr</t>
  </si>
  <si>
    <t>https://osf.io/e3ry5</t>
  </si>
  <si>
    <t>Semantic interference</t>
  </si>
  <si>
    <t>Attention, Conflict (Psychology), Field Dependence-Independence, Humans, Inhibition (Psychology), Pattern Recognition, Visual, Reaction Time, Reading, Semantics</t>
  </si>
  <si>
    <t>Semantically unrelated word-picture pairs significantly slower average reaction time</t>
  </si>
  <si>
    <t>"In the delayed naming condition, the RT analysis revealed a main effect of semantic relatedness, F1(1, 31) = 4.1, MSE = 1,504.6, p = .06; F2(1, 38) = 4.4, MSE = 1,137.2, p = .05, indicating slower RTs in the semantically related than the unrelated condition."</t>
  </si>
  <si>
    <t>F(1,31) = 4.1</t>
  </si>
  <si>
    <t>https://osf.io/f59hn</t>
  </si>
  <si>
    <t>1. The second OSF link: https://osf.io/8qrtd</t>
  </si>
  <si>
    <t>Semantic interference effect, lexical selection by competition, picture–word interference, delayed naming, response exclusion hypothesis</t>
  </si>
  <si>
    <t>The RT analysis revealed a main effect of semantic relatedness, F1(1, 31) = 4.1, MSE = 1,504.6, p = .06; F2 (1, 38) = 4.4, MSE = 1,137.2, p = .05, indicating slower RTs in the semantically related than the unrelated condition</t>
  </si>
  <si>
    <t>F(1, 31) = 4.1</t>
  </si>
  <si>
    <t>osc201529_1</t>
  </si>
  <si>
    <t>osc201529</t>
  </si>
  <si>
    <t>Ostkamp, Roksana</t>
  </si>
  <si>
    <t>I would argue that this is a close instead of conceptual replication</t>
  </si>
  <si>
    <t>Turk-Browne, N. B., Isola, P. J., Scholl, B. J., &amp; Treat, T. A. (2008). Multidimensional Visual Statistical Learning. Journal of Experimental Psychology: Learning, Memory, and Cognition, 34(2), 399–407. doi:10.1037/0278-7393.34.2.399</t>
  </si>
  <si>
    <t>10.1037/0278-7393.34.2.399</t>
  </si>
  <si>
    <t>10.1037--0278-7393.34.2.399.pdf</t>
  </si>
  <si>
    <t>Ostkamp, L., &amp; Jäkel, F. (2023, September 28). Replication of Turk-Browne, Isola, Scholl, Treat (2008, JEP:LMC, Study 4b). Retrieved from osf.io/ujhlw</t>
  </si>
  <si>
    <t>https://osf.io/ktnmc</t>
  </si>
  <si>
    <t>Multidimensional Visual Statistical Learning</t>
  </si>
  <si>
    <t>Association Learning, Color Perception, Discrimination Learning, Humans, Motion Perception, Orientation, Pattern Recognition, Visual, Perceptual Masking, Probability Learning, Problem Solving, Psychophysics</t>
  </si>
  <si>
    <t>Low covariance between feature dimensions allowed VSL to operate in parallel in each of these dimensions</t>
  </si>
  <si>
    <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</si>
  <si>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https://osf.io/chf7m</t>
  </si>
  <si>
    <t>1. Stimuli size was slightly larger, thus I would treat it as the conceptual replication, rather than a close, since the experimental stimulus were manipulated.</t>
  </si>
  <si>
    <t>Visual statistical learning</t>
  </si>
  <si>
    <t>Statistical learning, feature binding, objects, feature dimensions</t>
  </si>
  <si>
    <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</si>
  <si>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osc20153_1</t>
  </si>
  <si>
    <t>osc20153</t>
  </si>
  <si>
    <t>Plessow, Roksana</t>
  </si>
  <si>
    <t>Liefooghe, B., Barrouillet, P., Vandierendonck, A., &amp; Camos, V. (2008). Working memory costs of task switching. Journal of Experimental Psychology: Learning, Memory, and Cognition, 34(3), 478-494. doi: 10.1037/0278-7393.34.3.478</t>
  </si>
  <si>
    <t>10.1037/0278-7393.34.3.478</t>
  </si>
  <si>
    <t>10.1037--0278-7393.34.3.478.pdf</t>
  </si>
  <si>
    <t>Plessow, F., Möschl, M., &amp; Pavel, M. (2023, September 28). Replication of Liefooghe, Barrouillet, Vandierendonck, &amp; Camos (2008, JEPLMC, Experiment 4). Retrieved from osf.io/4dvzb</t>
  </si>
  <si>
    <t>https://osf.io/2h4vx</t>
  </si>
  <si>
    <t>Memory in Task Switching</t>
  </si>
  <si>
    <t>Attention, Color Perception, Decision Making, Discrimination Learning, Functional Laterality, Humans, Memory, Short-Term, Pattern Recognition, Visual, Perceptual Masking, Psychomotor Performance, Psychophysics, Reaction Time, Size Perception</t>
  </si>
  <si>
    <t>The average recall score was larger in low switch lists with normal digits than in low-switch lists with degraded digits</t>
  </si>
  <si>
    <t>"As we expected, the average recall score was larger in low-switch lists with normal digits (53.84 out of 72) than in high-switch lists with normal digits (49.24), F(1, 24) = 5.77, p = .05, and than in low-switch lists with degraded digits (49.22), F(1, 24) = 5.29, p = .05."</t>
  </si>
  <si>
    <t>F(1, 24) = 5.29</t>
  </si>
  <si>
    <t>https://osf.io/ep2an</t>
  </si>
  <si>
    <t>1. The second OSF link: https://osf.io/avy86</t>
  </si>
  <si>
    <t>Task switching</t>
  </si>
  <si>
    <t>Task switching, working memory, resource sharing, complex span tasks</t>
  </si>
  <si>
    <t>As we expected, the average recall score was larger in low-switch lists with normal digits (53.84 out of 72) than in high-switch lists with normal digits (49.24), F(1, 24) = 5.77, p &lt; .05, and than in low-switch lists with degraded digits (49.22), F(1, 24) = 5.29, p &lt; .05</t>
  </si>
  <si>
    <t>osc201532_1</t>
  </si>
  <si>
    <t>osc201532</t>
  </si>
  <si>
    <t>White, P.A. (2008). Accounting for Occurrences: A New View of the Use of Contingency Information in Causal Judgment. Journal of Experimental Psychology: Learning, Memory, and Cognition, 34(1), 204–218.</t>
  </si>
  <si>
    <t>10.1037/0278-7393.34.1.204</t>
  </si>
  <si>
    <t>10.1037--0278-7393.34.1.204.pdf</t>
  </si>
  <si>
    <t>Müller, S. M., &amp; Renkewitz, F. (2023, September 28). Replication of White (2008, JEP:LMC, Study 3). Retrieved from osf.io/rhbqj</t>
  </si>
  <si>
    <t>https://osf.io/x7c9i</t>
  </si>
  <si>
    <t>Contingency information.</t>
  </si>
  <si>
    <t>Association Learning, Causality, Humans, Judgment, Likelihood Functions, Probability Learning, Problem Solving</t>
  </si>
  <si>
    <t>The predicted values are higher for B and lower for A when the prevalence of B is high than when it is low</t>
  </si>
  <si>
    <t>"Judgments of B were analyzed in the same way. There was a significant effect of A, F(1, 36) = 22.88, MSE = 439.82, p &lt; .001, with a higher mean at A = 2 (54.12) than at A = 6 (40.66). This is a cause prevalence effect, supporting Prediction 1."</t>
  </si>
  <si>
    <t>F(1, 36) = 22.88</t>
  </si>
  <si>
    <t>https://osf.io/psab8</t>
  </si>
  <si>
    <t>Renkewitz</t>
  </si>
  <si>
    <t>1. I am not sure in the Description. Authors of the original paper says the statistical inferences of Experiment 3 supported Prediction 1, but it seems that it was more about Prediction 3:
"higher judgments of Cause A when there are 12 A instances than when there are 2, despite the fact that the conditional contingency for A does not change under this manipulation"</t>
  </si>
  <si>
    <t>Cause prevalence effect</t>
  </si>
  <si>
    <t>Judgments of B were analyzed in the same way. There was a significant effect of A+, F(1,36) = 22.88, MSE = 439.82, p &lt; .001, with a higher mean at A+ = 2 (54.12) than at A+ = 6 (40.66)</t>
  </si>
  <si>
    <t>https://osf.io/y8njt</t>
  </si>
  <si>
    <t>osc201533_1</t>
  </si>
  <si>
    <t>osc201533</t>
  </si>
  <si>
    <t>Farrell, S. (2008). Multiple roles for time in short-term memory: Evidence from serial recall of order and timing. Journal of Experimental Psychology: Learning, Memory, and Cognition, 34(1), 128.</t>
  </si>
  <si>
    <t>10.1037/0278-7393.34.1.128</t>
  </si>
  <si>
    <t>10.1037--0278-7393.34.1.128.pdf</t>
  </si>
  <si>
    <t>Olsson, C., &amp; Saxe, R. (2023, September 28). Replication of Farrell (2008, JEP:LMC, Study 2). Retrieved from osf.io/swrhy</t>
  </si>
  <si>
    <t>https://osf.io/tqf2u</t>
  </si>
  <si>
    <t>Short-term memory for time and</t>
  </si>
  <si>
    <t>Association Learning, Attention, Discrimination Learning, Humans, Memory, Short-Term, Pattern Recognition, Visual, Reading, Serial Learning, Speech Perception, Time Perception</t>
  </si>
  <si>
    <t>Instructing participants to group items induces a temporal gap between the groups both  when trying to recall the timing of the items</t>
  </si>
  <si>
    <t>"Paired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</si>
  <si>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https://osf.io/bvu63</t>
  </si>
  <si>
    <t>order information,</t>
  </si>
  <si>
    <t>Serial recall, timing, short-term memory, recall latencies, grouping</t>
  </si>
  <si>
    <t>Paired samples t tests comparing grouping deviations in the ungrouped and grouped conditions revealed larger (more positive) differences under grouping conditions for both the order task, t(39) = 5.52, p &lt; .001, d = 0.87, and the timing task, t(39) = 2.82, p &lt; .008, d = 0.44</t>
  </si>
  <si>
    <t>https://osf.io/bvu64</t>
  </si>
  <si>
    <t>osc201536_1</t>
  </si>
  <si>
    <t>osc201536</t>
  </si>
  <si>
    <t>Jahn, Roksana</t>
  </si>
  <si>
    <t>Pacton, S., &amp; Perruchet, P. (2008). An attention-based associative account of adjacent and nonadjacent dependency learning. Journal of Experimental Psychology: Learning, Memory, and Cognition, 34, 80-96.</t>
  </si>
  <si>
    <t>10.1037/0278-7393.34.1.80</t>
  </si>
  <si>
    <t>10.1037--0278-7393.34.1.80.pdf</t>
  </si>
  <si>
    <t>Jahn, G. (2023, September 28). Replication of Pacton &amp; Perruchet (2008, JEP:LMC, Study 4b). Retrieved from osf.io/vmz2e</t>
  </si>
  <si>
    <t>https://osf.io/asn7w</t>
  </si>
  <si>
    <t>Attention in Adjacent and Nonadjacent Dependency Learning</t>
  </si>
  <si>
    <t>Association Learning, Attention, Field Dependence-Independence, Humans, Orientation, Pattern Recognition, Visual, Problem Solving, Reproducibility of Results</t>
  </si>
  <si>
    <t>The type of dependency influence the  number of correct respones</t>
  </si>
  <si>
    <t>"The number of correct responses differed only as a function of the type of dependency, F(1, 20) = 20.79, p &lt; .01, MSE = 2.31, η² = .51, with better performance on items with nonadjacent dependencies (M = 74.48, SE = 2.86) than on items with adjacent dependencies (M = 49.48, SE = 4.02)."</t>
  </si>
  <si>
    <t>https://osf.io/fsut3</t>
  </si>
  <si>
    <t>1. The second OSF link: https://osf.io/pxr93
2. Minor technical differences</t>
  </si>
  <si>
    <t>Attention</t>
  </si>
  <si>
    <t>Attention, statistical computation, sssociative learning, language</t>
  </si>
  <si>
    <t>"The number of correct responses differed only as a function of the type of dependency, F(1, 20) = 20.79, p &lt; .01, MSE = 2.31, partial eta-square = .51, with better performance on items with nonadjacent
dependencies (M = 74.48, SE = 2.86) than on items with adjacent dependencies (M = 49.48, SE = 4.02)"</t>
  </si>
  <si>
    <t>https://osf.io/fsut4</t>
  </si>
  <si>
    <t>osc201537_1</t>
  </si>
  <si>
    <t>osc201537</t>
  </si>
  <si>
    <t>Moore, Roksana</t>
  </si>
  <si>
    <t>I reported the effect size found in the original replication paper d=.142 instead of the etasq of .122 reported in OSC 2015 PDF table as cannot find that in replication paper</t>
  </si>
  <si>
    <t>Makovski, Tal; Sussman, Rachel; Jiang, Yuhong V. (2008). Orienting attention in visual working memory reduces interference from memory probes. Journal of Experimental Psychology: Learning, Memory, and Cognition, 34.2: 369-380.</t>
  </si>
  <si>
    <t>10.1037/0278-7393.34.2.369</t>
  </si>
  <si>
    <t>10.1037--0278-7393.34.2.369.pdf</t>
  </si>
  <si>
    <t>Moore, K. (2023, September 28). Replication of Makovski, Sussman, &amp; Jiang (2008, JEP:LMC). Retrieved from osf.io/0pxro</t>
  </si>
  <si>
    <t>https://osf.io/xtcuv</t>
  </si>
  <si>
    <t>VWM updating and attention</t>
  </si>
  <si>
    <t>Adolescent, Adult, Attention, Color Perception, Cues, Discrimination Learning, Female, Humans, Inhibition (Psychology), Male, Memory, Short-Term, Orientation, Pattern Recognition, Visual, Psychophysics, Reaction Time, Retention (Psychology)</t>
  </si>
  <si>
    <t>Orienting attention in visual working memory reduces interference from memory probes.</t>
  </si>
  <si>
    <t>"When comparing the cue effect between Set Size 1 and Set Size 2, a significant interaction was found, F(1, 11) = 4.80, p &lt; .05, with an observed power of 0.61."</t>
  </si>
  <si>
    <t>F(1,11) = 4.8</t>
  </si>
  <si>
    <t>https://osf.io/bhnkq</t>
  </si>
  <si>
    <t>Moore</t>
  </si>
  <si>
    <t>Retro-cue</t>
  </si>
  <si>
    <t>Visual working memory, visual attention, memory decay, memory interference, change detection, Simplified Comparison Hypothesis, Interim Interference, Probe Interference Hypothesis</t>
  </si>
  <si>
    <t>For both the shape and color conditions, there will be an effect of cue type (retro cue better than simultaneous cue) on recall at all set sizes except for set size 1</t>
  </si>
  <si>
    <t>When comparing the cue effect between Set Size 1 and Set Size 2, a significant interaction was found, F(1,11) = 4.80, p = .05, with an observed power of 0.61.</t>
  </si>
  <si>
    <t>F(1, 11) = 4.80</t>
  </si>
  <si>
    <t>osc201539_1</t>
  </si>
  <si>
    <t>osc201539</t>
  </si>
  <si>
    <t>Forsell, Roksana</t>
  </si>
  <si>
    <t>Decision making and learning while taking sequential risks. Journal of Experimental Psychology: Learning, Memory, and Cognition, 34(1), 167-185.</t>
  </si>
  <si>
    <t>10.1037/0278-7393.34.1.167</t>
  </si>
  <si>
    <t>10.1037--0278-7393.34.1.167.pdf</t>
  </si>
  <si>
    <t>Forsell, E., Heikensten, E. K., Dreber, A., &amp; Johannesson, M. (2023, September 28). Replication of TJ Pleskac (2008, JEPLMC 34(1)). Retrieved from osf.io/38ges</t>
  </si>
  <si>
    <t>https://osf.io/gyn9e</t>
  </si>
  <si>
    <t>Risk-taking paradigm in decision making</t>
  </si>
  <si>
    <t>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</si>
  <si>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Decision making and learning while taking sequential risks.</t>
  </si>
  <si>
    <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</si>
  <si>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z = 3.1, N = 68</t>
  </si>
  <si>
    <t>z = 1.25</t>
  </si>
  <si>
    <t>https://osf.io/3amj3</t>
  </si>
  <si>
    <t>1. The sacond OSF link: https://osf.io/9x765</t>
  </si>
  <si>
    <t>Decision making</t>
  </si>
  <si>
    <t>Risk taking, learning, Bayesian, individual differences, cognitive psychometrics</t>
  </si>
  <si>
    <t>Only in well-defined versions of the ART that do not require a learning process do the adjusted ART scores identify the risky use of drugs</t>
  </si>
  <si>
    <t>An a priori planned comparison showed that the correlations in the sunny conditions were significantly greater than in the cloudy, z = 3.10, p &lt; .05 (see Meng, Rosenthal, &amp; Rubin, 1992)</t>
  </si>
  <si>
    <t>z = 3.1</t>
  </si>
  <si>
    <t>https://osf.io/3amj4</t>
  </si>
  <si>
    <t>osc20154_1</t>
  </si>
  <si>
    <t>osc20154</t>
  </si>
  <si>
    <t>Callahan, Roksana</t>
  </si>
  <si>
    <t>1) The link to the replication paper does not work, I found report through this link: https://osf.io/k7chx 2) The partial etasq reported in OSC 2015 table for the replication efefct size is 0.00003 but in the original paper it is .0. Coded from original replication paper</t>
  </si>
  <si>
    <t>I would argue that this is a close replication</t>
  </si>
  <si>
    <t>Storm, B.C., Bjork, E.L., &amp; Bjork, R.A. 2008. Accelerated relearning after retrieval-induced forgetting: The benefit of being forgotten. Journal of Experimental Psychology: Learning, Memory, and Cognition, 34, 230-236.</t>
  </si>
  <si>
    <t>10.1037/0278-7393.34.1.230</t>
  </si>
  <si>
    <t>10.1037--0278-7393.34.1.230.pdf</t>
  </si>
  <si>
    <t>Callahan, S. P. (2023, September 28). Replication of BC Storm, EL Bjork, RA Bjork (2008, JEPLMC 34(1), Exp 1). Retrieved from osf.io/8j9cg</t>
  </si>
  <si>
    <t>https://osf.io/k7chx</t>
  </si>
  <si>
    <t>Retrieval-induced forgetting</t>
  </si>
  <si>
    <t>Attention, Cues, Humans, Memory, Short-Term, Mental Recall, Paired-Associate Learning, Practice (Psychology)</t>
  </si>
  <si>
    <t>Accelerated relearning after retrieval-induced forgetting: The benefit of being forgotten.</t>
  </si>
  <si>
    <t>"More important, however, the effect of relearning was significantly larger for Rp– items than it was for Nrp items, F(1, 190) = 10.49, p &lt; .001, MSE = 0.15."</t>
  </si>
  <si>
    <t>F(1, 190) = 10.49</t>
  </si>
  <si>
    <t>https://osf.io/9mkae</t>
  </si>
  <si>
    <t xml:space="preserve">1. There is also a second OSF link: https://osf.io/7ufyv
2. Conceptual replication because minor changes were made for the analysis (exception of 1 condition) and sample filtering process (based on Eng fluency)
3. In the replication, the Interaction results are a bit different than from the RPP table. </t>
  </si>
  <si>
    <t>Retrieval-induced forgetting, inhibition, learning, memory, forgetting</t>
  </si>
  <si>
    <t>Effect of relearning was significantly larger for non-practiced items from practiced categories than non-practiced items from non-practiced categories</t>
  </si>
  <si>
    <t>More important, however, the effect of relearning was significantly larger for Rp– items than it was for Nrp– items, F(1, 190) = 10.49, p &lt; .001, MSE = 0.15. Whereas Nrp items were recalled at a rate of 0.36 (SE = 0.02) and 0.42 (SE = 0.02) before and after relearning, respectively, Rp– items were recalled at a rate of 0.31 (SE = 0.02) and 0.45 (SE = 0.02) before and after relearning, respectively</t>
  </si>
  <si>
    <t>F(1, 190) = 10.49,</t>
  </si>
  <si>
    <t>osc201543_1</t>
  </si>
  <si>
    <t>osc201543</t>
  </si>
  <si>
    <t>Holubar, Roksana</t>
  </si>
  <si>
    <t>The replication paper didn't report p-value so I coded it from the OSC 2015 table</t>
  </si>
  <si>
    <t>B Monin, PJ Sawyer, MJ Marquez (2008). The rejection of moral rebels: resenting those who do the right thing. Journal of Personality and Social Psychology, 95.1: 76-93.</t>
  </si>
  <si>
    <t>10.1037--0022-3514.95.1.76.pdf</t>
  </si>
  <si>
    <t>Frank, M. C., &amp; Holubar, T. (2023, September 28). Replication of Monin, Sawyer, &amp; Marquez (2008, JPSP 95(1), Exp. 4). Retrieved from osf.io/pz0my</t>
  </si>
  <si>
    <t>https://osf.io/a4fmg</t>
  </si>
  <si>
    <t>Rejection of moral rebels</t>
  </si>
  <si>
    <t>Adult, Character, Culture, Defense Mechanisms, Female, Humans, Imagination, Judgment, Male, Morals, Prejudice, Rejection (Psychology), Self Concept, Social Conformity, Social Desirability, Social Perception, Social Responsibility</t>
  </si>
  <si>
    <t>Nonaffirmed actors liked the rebel significantly less than the obedient, self-affirmed participants showed no such rejection of the rebel</t>
  </si>
  <si>
    <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</si>
  <si>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F(2, 64) = 10.17</t>
  </si>
  <si>
    <t>F(2, 72) = 1.97</t>
  </si>
  <si>
    <t>https://osf.io/9apd7</t>
  </si>
  <si>
    <t>osc201543_m</t>
  </si>
  <si>
    <t>1. Authors of replication noted "ns" for significance level, which I consider as more than the threshold = 0.05 (they wrote this when they described G*Power calculations)</t>
  </si>
  <si>
    <t>Rebel</t>
  </si>
  <si>
    <t>Moral rebels, whistleblowers, implicit moral reproach, resentment, self-affirmation</t>
  </si>
  <si>
    <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</si>
  <si>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https://osf.io/suyfc</t>
  </si>
  <si>
    <t>osc201544_1</t>
  </si>
  <si>
    <t>osc201544</t>
  </si>
  <si>
    <t>Vianello, Roksana</t>
  </si>
  <si>
    <t>Payne, B. K. Burkley, M. A. Stokes, M. B. (2008). Why Do Implicit and Explicit Attitude Tests Diverge? The Role of Structural Fit. Journal of Personality and Social Psychology, 94, 16–31.</t>
  </si>
  <si>
    <t>10.1037/0022-3514.94.1.16</t>
  </si>
  <si>
    <t>10.1037--0022-3514.94.1.16.pdf</t>
  </si>
  <si>
    <t>Vianello, M. (2023, September 28). Replication of Payne, Burkley &amp; Stokes (2008, JPSP, Study 4). Retrieved from osf.io/rc6mv</t>
  </si>
  <si>
    <t>https://osf.io/79y8g</t>
  </si>
  <si>
    <t>Implicit and explicit attitude</t>
  </si>
  <si>
    <t>Adolescent, Adult, Alcohol Drinking, Analysis of Variance, Attitude, Behavioral Research [methods], Cognition, Emotions, Factor Analysis, Statistical, Female, Humans, Male, Prejudice, Psychological Tests, Reproducibility of Results, Social Conformity, Social Perception, Truth Disclosure</t>
  </si>
  <si>
    <t>Why do implicit and explicit attitude tests diverge? The role of structural fit.</t>
  </si>
  <si>
    <t>"Instead, the effect of social pressure to avoid prejudice depended on participants’ automatic biases, as shown by a significant Indirect Social Pressure interaction, β = .31, t(67) = 3.08, p &lt; .01."</t>
  </si>
  <si>
    <t>t(67) = 3.08</t>
  </si>
  <si>
    <t>r-sq</t>
  </si>
  <si>
    <t>osc201544_a</t>
  </si>
  <si>
    <t xml:space="preserve">1. The main difference was in population - they were Italians, which can affect the attitude
2. I am not sure in the nested / non nested version for regression analysis. </t>
  </si>
  <si>
    <t>Implicit attitude</t>
  </si>
  <si>
    <t>Implicit, explicit, attitude, automatic, measurement, prejudice, social conformity, social perception, truth disclosure</t>
  </si>
  <si>
    <t>Relationship between authors' direct and indirect procedures is moderated by percieved pressure to respond in a socially desirable manner</t>
  </si>
  <si>
    <t>r-square</t>
  </si>
  <si>
    <t>https://osf.io/tys7b</t>
  </si>
  <si>
    <t>osc201546_1</t>
  </si>
  <si>
    <t>osc201546</t>
  </si>
  <si>
    <t>Soderberg, Roksans</t>
  </si>
  <si>
    <t xml:space="preserve">Please note exact p-value of replication finding is p=2.2 × 10⁻¹⁶ </t>
  </si>
  <si>
    <t>Soto, C.J., John, O.P., Gosling, S.D., &amp; Potter, J. (2008). The developmental psychometrics of big five self-reports: Acquiescence, factor structure, coherence, and differentiation from ages 10 to 20. Journal of Personality and Social Psychology, 94(4), 718-737.</t>
  </si>
  <si>
    <t>10.1037/0022-3514.94.4.718</t>
  </si>
  <si>
    <t>10.1037--0022-3514.94.4.718.pdf</t>
  </si>
  <si>
    <t>Soderberg, C. K. (2023, September 28). Replication of CJ Soto, OP John, SD Gosling, J Potter (2008, JPSP 94(4)). Retrieved from osf.io/kez47</t>
  </si>
  <si>
    <t>Replication, 'exactly reproduced methodology'</t>
  </si>
  <si>
    <t>https://osf.io/6zdct</t>
  </si>
  <si>
    <t>Personality self-reports and age</t>
  </si>
  <si>
    <t>Adolescent, Adult, Child, Comprehension, Data Collection, Extraversion (Psychology), Female, Humans, Informed Consent, Internet, Language Development, Male, Patient Selection, Personality Development, Personality Inventory [statistics &amp; numerical data], Psychometrics [statistics &amp; numerical data], Reproducibility of Results, Self Concept, Vocabulary</t>
  </si>
  <si>
    <t>The developmental psychometrics of big five self-reports: Acquiescence, factor structure, coherence, and differentiation from ages 10 to 20.</t>
  </si>
  <si>
    <t>"As expected, variance in acquiescence scores was substantially larger in younger age groups; for Levene’s test for equality of variance, F(21, 230025) = 118.15, p &lt; .001."</t>
  </si>
  <si>
    <t>F(21, 230025) = 118.15</t>
  </si>
  <si>
    <t>F(21, 455304) = 261.93</t>
  </si>
  <si>
    <t>Soderberg</t>
  </si>
  <si>
    <r>
      <rPr>
        <rFont val="Calibri"/>
        <color theme="1"/>
        <sz val="11.0"/>
      </rPr>
      <t>1. Authors of replication used different cut-off intervals, which could affect the result (aka filteting)
2. Leven's test is not nested</t>
    </r>
    <r>
      <rPr>
        <rFont val="Calibri"/>
        <color theme="7"/>
        <sz val="11.0"/>
      </rPr>
      <t xml:space="preserve"> 3) Please note exact p-value of replication finding is p=2.2 × 10⁻¹⁶ </t>
    </r>
  </si>
  <si>
    <t>Exact replication</t>
  </si>
  <si>
    <t>Personality traits</t>
  </si>
  <si>
    <t>Five-factor model, personality structure, reliability, validity</t>
  </si>
  <si>
    <t>Younger respondents show greater individual differences (variance) in their acquiescent response tendencies than older respondents</t>
  </si>
  <si>
    <t>As expected, variance in acquiescence scores was substantially larger in younger age groups; for Levene’s test for equality of variance, F(21,230025) = 118.15, p &lt; .001</t>
  </si>
  <si>
    <t>https://osf.io/u3x7s</t>
  </si>
  <si>
    <t>osc201548_1</t>
  </si>
  <si>
    <t>osc201548</t>
  </si>
  <si>
    <t>Wissink, Roksana</t>
  </si>
  <si>
    <t>Cox, C.R., Arndt, J., Pyszczynski, T., Greenberg, J., Abdollahi, A., &amp; Solomon, S. (2008). Terror management and adults' attachment to their parents: The safe haven remains. Journal of Personality and Social Psychology, 94(4), 696-717.</t>
  </si>
  <si>
    <t>10.1037/0022-3514.94.4.696</t>
  </si>
  <si>
    <t>10.1037--0022-3514.94.4.696.pdf</t>
  </si>
  <si>
    <t>Wissink, J., Hoogendoorn, G. E. A. M., Brohmer, H., Verschoor, M., Zeelenberg, M., &amp; Krijnen, J. M. T. (2016, August 19). Replication of CR Cox, J Arndt, T Pyszczynski, J Greenberg, A Abdollahi, S Solomon (2008, JPSP 94(4), Exp. 6). Retrieved from osf.io/5tbxf</t>
  </si>
  <si>
    <t>https://osf.io/uhnd2</t>
  </si>
  <si>
    <t>Mortality salience</t>
  </si>
  <si>
    <t>Adaptation, Psychological, Adolescent, Adult, Adult Children [psychology], Attitude to Death, Defense Mechanisms, Fear, Female, Humans, Male, Mental Recall, Middle Aged, Object Attachment, Parent-Child Relations, Self Efficacy, Social Support</t>
  </si>
  <si>
    <t>Participants who scored low on avoidance but high on anxiety demonstrated an increased relative preference for a parent after mortality salience as opposed to dental pain</t>
  </si>
  <si>
    <t>"At high levels of attachment anxiety and low levels of attachment avoidance, MS participants allocated significantly more time to a parent than did their dental pain condition counterparts (b = –32.04, SE = 14.47, t = –2.22, p = .03)."</t>
  </si>
  <si>
    <t xml:space="preserve">p.16 </t>
  </si>
  <si>
    <t>f- sq</t>
  </si>
  <si>
    <t>https://osf.io/853ue</t>
  </si>
  <si>
    <t>osc201548_f</t>
  </si>
  <si>
    <t>1. F-square is used to report ES of replication
2. I am not sure whether the analsis was nested or not.</t>
  </si>
  <si>
    <t>Terror management, mortality salience, adult attachment, close relationships, parents</t>
  </si>
  <si>
    <t>At high levels of attachment anxiety and low levels of attachment avoidance, MS participants allocated significantly more time to a parent than did their dental pain condition counterparts (β = −32.04, SE = 14.47, t = −2.22, p = .03)</t>
  </si>
  <si>
    <t>f-square</t>
  </si>
  <si>
    <t>osc201549_1</t>
  </si>
  <si>
    <t>osc201549</t>
  </si>
  <si>
    <t>Kim, Roksana</t>
  </si>
  <si>
    <t>I would argue that this is close replication</t>
  </si>
  <si>
    <t>D Albarracín, IM Handley, K Noguchi, KC McCulloch, H Li, J Leeper, RD Brown, A Earl, WP Hart (2008). Increasing and decreasing motor and cognitive output: a model of general action and inaction goals. Journal of Personality and Social Psychology, 95.3: 510-523.</t>
  </si>
  <si>
    <t>10.1037/a0012833</t>
  </si>
  <si>
    <t>10.1037--a0012833.pdf</t>
  </si>
  <si>
    <t>Frank, M. C., Kim, S. K., &amp; Lee, K. J. (2023, September 28). Replication of Albarracín et al. (2008, JPSP). Retrieved from osf.io/vy1bc</t>
  </si>
  <si>
    <r>
      <rPr>
        <rFont val="Arial"/>
      </rPr>
      <t xml:space="preserve">Frank, M. C., Kim, S. K., &amp; Lee, K. J. (2023, September 28). Replication of Albarracín et al. (2008, JPSP). Retrieved from </t>
    </r>
    <r>
      <rPr>
        <rFont val="Arial"/>
        <color rgb="FF1155CC"/>
        <u/>
      </rPr>
      <t>osf.io/vy1bc</t>
    </r>
  </si>
  <si>
    <t>https://osf.io/2pbaf</t>
  </si>
  <si>
    <t>Increasing and Decreasing Motor and Cognitive Output</t>
  </si>
  <si>
    <t>Attention, Awareness, Cues, Culture, Decision Making, Feeding Behavior, Female, Goals, Humans, Internal-External Control, Judgment, Male, Mental Recall, Persuasive Communication, Problem Solving, Psychomotor Performance, Semantics, Set (Psychology)</t>
  </si>
  <si>
    <t>The action and inaction primes produced, respectively, higher and lower levels of cognitive output (higher or lower performance measured by number of solved problems</t>
  </si>
  <si>
    <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</si>
  <si>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F(1, 34) = 5.68</t>
  </si>
  <si>
    <t>F(1, 86) = .08</t>
  </si>
  <si>
    <t>https://osf.io/36dr4</t>
  </si>
  <si>
    <t>Kim</t>
  </si>
  <si>
    <t xml:space="preserve">1, The data from replication is taken from: https://osf.io/2pbaf
2. The study sample age was changed as well as online experimental design was used
3. In the original study the division on groups is not specified: was it equal or not. The design is between-group, that's why we can't simply calculate Cohen's d using M and SD. </t>
  </si>
  <si>
    <t>Word priming</t>
  </si>
  <si>
    <t>Action goals, self-regulation, behavior</t>
  </si>
  <si>
    <t>The number of correctly solved problems was submitted to an ANOVA with prime as the independent variable. The analysis revealed a main effect of prime on number of solved problems, F(1,34) = 5.68, p = .02, demonstrating that participants primed with action performed better than participants primed with inaction did (M = 12.83, SD = 1.86 vs. M = 10.78, SD = 3.15, respectively)</t>
  </si>
  <si>
    <t>F(1, 86) = 0.08</t>
  </si>
  <si>
    <t>https://osf.io/36dr5</t>
  </si>
  <si>
    <t>osc20155_1</t>
  </si>
  <si>
    <t>osc20155</t>
  </si>
  <si>
    <t>Lakens, Roksana</t>
  </si>
  <si>
    <r>
      <rPr>
        <rFont val="Arial"/>
      </rPr>
      <t xml:space="preserve">The replication report found </t>
    </r>
    <r>
      <rPr>
        <rFont val="Arial"/>
        <color rgb="FF1155CC"/>
        <u/>
      </rPr>
      <t>https://osf.io/v7bjc</t>
    </r>
    <r>
      <rPr>
        <rFont val="Arial"/>
      </rPr>
      <t xml:space="preserve"> 2) no p-value reported in original study</t>
    </r>
  </si>
  <si>
    <t>C Mitchell, S Nash, G Hall (2008). The intermixed-blocked effect in human perceptual learning is not the consequence of trial spacing. Journal of Experimental Psychology: Learning, Memory, and Cognition, 34.1 (2008): 237-242.</t>
  </si>
  <si>
    <t>10.1037/0278-7393.34.1.237</t>
  </si>
  <si>
    <t>10.1037--0278-7393.34.1.237.pdf</t>
  </si>
  <si>
    <t>Lakens, D. (2023, September 28). Replication of Mitchell, Nash, &amp; Hall (2008, JEP:LMC). Retrieved from osf.io/4xdkk</t>
  </si>
  <si>
    <t>https://osf.io/v7bjc</t>
  </si>
  <si>
    <t>The Intermixed- Block Effect</t>
  </si>
  <si>
    <t>Attention, Color Perception, Discrimination Learning, Field Dependence-Independence, Humans, Memory, Short-Term, Mental Recall, Pattern Recognition, Visual, Practice (Psychology), Psychophysics</t>
  </si>
  <si>
    <t>Perceptual learning (better discrimination of AX and BX on test) was observed when AX and BX were intermixed in preexposure but not when AX was intermixed with BY.</t>
  </si>
  <si>
    <t>"A contrast comparing overall performance across the two types of test confirmed this observation, F(1, 31) = 8.38, MSE = 0.106."</t>
  </si>
  <si>
    <t>F(1,31) = 8.38</t>
  </si>
  <si>
    <t>https://osf.io/c8qhv</t>
  </si>
  <si>
    <t>1. The second OSF link: https://osf.io/a9vrq
2. Authors did modification in replication (counterbalancing in a Latin square fasion)
3. No p-value was reported in the original study</t>
  </si>
  <si>
    <t>Intermixed– blocked effect</t>
  </si>
  <si>
    <t>Perceptual learning, spaced practice, memory, discrimination</t>
  </si>
  <si>
    <t>A contrast comparing overall performance across the two types of test confirmed this observation, F(1, 31) = 8.38, MSE = 0.106. There was no interaction between the training conditions (AX/BX and CX/DY) and the test trial type (same and different; F &lt; 1)</t>
  </si>
  <si>
    <t>F(1, 31) = 8.38</t>
  </si>
  <si>
    <t>osc201550_1</t>
  </si>
  <si>
    <t>osc201550</t>
  </si>
  <si>
    <t>Sonnleitner, Roksna</t>
  </si>
  <si>
    <t>Albarracín, D., Handley, I.M., Noguchi, K., McCulloch, K.C., Li, H., Leeper, J., Brown, R.D., Earl, A., &amp; Hart, W.P. (2008). Increasing and decreasing motor and cognitive output: A model of general action and inaction goals. Journal of Personality and Social Psychology, 95(3), 510-523.</t>
  </si>
  <si>
    <t>Voracek, M., &amp; Sonnleitner, C. (2016, August 19). Replication of D Albarracín, IM Handley, K Noguchi, KC McCulloch, H Li, J Leeper, RD Brown, A Earl, WP Hart (2008, JPSP 95(3), Exp. 7). Retrieved from osf.io/rgm6p</t>
  </si>
  <si>
    <t>https://osf.io/tarp4</t>
  </si>
  <si>
    <t>Action goal led to a greated number of thoughts supporting goal-mediation interpretation</t>
  </si>
  <si>
    <t>"This analysis revealed a significant two-way interaction between prime and task, F(2, 92) = 4.36, p = .02."</t>
  </si>
  <si>
    <t>F(2, 92) = 4.36</t>
  </si>
  <si>
    <t>https://osf.io/ctvej</t>
  </si>
  <si>
    <t>This analysis revealed a significant two-way interaction between prime and task, F(2, 92) = 4.36, p = .02, and a significant effect of task</t>
  </si>
  <si>
    <t>osc201552_1</t>
  </si>
  <si>
    <t>osc201552</t>
  </si>
  <si>
    <t>Brown, Roksana</t>
  </si>
  <si>
    <t>Couldn't find the effect size in original replication paper that was reported in the OSC 2015 table, I coded from the replication paper directly</t>
  </si>
  <si>
    <t>Centerbar, D.B., Schnall, S., Clore, G.L., &amp; Garvin, E.D. (2008). Affective incoherence: When affective concepts and embodied reactions clash. Journal of Personality and Social Psychology, 94(4), 560-578. doi: 10.1037/0022-3514.94.4.560</t>
  </si>
  <si>
    <t>10.1037/0022-3514.94.4.560</t>
  </si>
  <si>
    <t>10.1037--0022-3514.94.4.560.pdf</t>
  </si>
  <si>
    <t>Humphries, D., Brown, K., DeGaetano, M., Mainard, H., Attridge, P. R., Brown, B. T., &amp; Hicks, G. (2023, September 28). Replication of Centerbar, Schnall, Clore, &amp; Garvin (2008, JPSP, Study 5). Retrieved from osf.io/l8srm</t>
  </si>
  <si>
    <t>https://osf.io/wcgx5</t>
  </si>
  <si>
    <t>Affective coherence</t>
  </si>
  <si>
    <t>Affect, Attention, Comprehension, Concept Formation, Conflict (Psychology), Cues, Culture, Female, Humans, Male, Memory, Short-Term, Mental Recall, Motivation, Reading, Retention (Psychology)</t>
  </si>
  <si>
    <t>Affective incoherence: When affective concepts and embodied reactions clash.</t>
  </si>
  <si>
    <t>"Indeed, a repeated measures ANOVA with condition (coherent vs. incoherent) and story (1 vs. 2 vs. 3) produced a significant linear trend for the interaction of Condition × Story, F(1, 131) = 5.79, p = .02, η² = .04."</t>
  </si>
  <si>
    <t>F (2, 110) = .759</t>
  </si>
  <si>
    <t>https://osf.io/ngxye</t>
  </si>
  <si>
    <t>1. There was no indication of interaction in the original study (since it was not significant), thus I am not sure whether exactly this values should be reported. Moreover, they are different from RPP table.</t>
  </si>
  <si>
    <t>Affective coherence, embodiment, affect, motor behavior, facial expression</t>
  </si>
  <si>
    <t>Affective coherence (as opposed to affective incoherence) produced a linear increase in cognitive complexity across three participant-generated narratives</t>
  </si>
  <si>
    <t>F(2, 110) = 0.759</t>
  </si>
  <si>
    <t>osc201553_1</t>
  </si>
  <si>
    <t>osc201553</t>
  </si>
  <si>
    <t>Graham, Roksana</t>
  </si>
  <si>
    <r>
      <rPr>
        <rFont val="Arial"/>
      </rPr>
      <t xml:space="preserve">The link here to the original paper is wrong, I coded from </t>
    </r>
    <r>
      <rPr>
        <rFont val="Arial"/>
        <color rgb="FF1155CC"/>
        <u/>
      </rPr>
      <t>https://www.uky.edu/AS/PoliSci/Peffley/pdf/Sniderman/Amodio_et_al_2008_JPSP_Individual%20Differences%20in%20the%20Regulation%20of%20Intergroup%20Bias.pdf</t>
    </r>
  </si>
  <si>
    <t>Amodio, D. M., Devine, P. G., &amp; Harmon-Jones, E. (2008). Individual differences in the regulation of intergroup bias: The role of conflict monitoring and neural signals for control. Journal of Personality and Social Psychology, 94(1), 60-74.</t>
  </si>
  <si>
    <t>10.1037/0022-3514.94.3.545</t>
  </si>
  <si>
    <t>10.1037--0022-3514.94.3.545.pdf</t>
  </si>
  <si>
    <t>Johnson-Grey, K. M., Hayes, T. B., &amp; Graham, J. (2023, September 28). Replication of Amodio, Devine, &amp; Harmon-Jones (2008, JPSP, Study 2). Retrieved from osf.io/wkgpq</t>
  </si>
  <si>
    <t>https://osf.io/ysxmf</t>
  </si>
  <si>
    <t>Regulation of Intergroup Bias</t>
  </si>
  <si>
    <t>African Americans, Analysis of Variance, Cognition, Conflict (Psychology), European Continental Ancestry Group, Evoked Potentials, Female, Group Processes, Humans, Inhibition (Psychology), Models, Psychological, Motivation, Neuropsychology, Prejudice, United States</t>
  </si>
  <si>
    <t>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</si>
  <si>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"The critical interaction was significant, F(1, 31) = 5.14, p = .03, providing more direct support for the hypothesis that these two groups of low-prejudice participants would differ in PD control on the weapons identification task but not on the flankers task."</t>
  </si>
  <si>
    <t>F(1, 31) = 5.14</t>
  </si>
  <si>
    <t>https://osf.io/dqybc</t>
  </si>
  <si>
    <t>osc201553_a</t>
  </si>
  <si>
    <t>1. Also for OSF there is a second link: https://osf.io/dqybc
2. In the original paper there is a misinformation, as authors firtly wrote about 59 participants, from which 1 was excluded, somehow resulted in 48. 
3. An updated file was uploaded for original study (in the e-mail there is  a link to the corresponding folder)
4. I consider the Discipline to be "Developmental psychology", but put the data along with RPP table</t>
  </si>
  <si>
    <t>Prejudice</t>
  </si>
  <si>
    <t>Prejudice, control, ERP, ERN, conflict monitoring</t>
  </si>
  <si>
    <t>We conducted a more focused 2 (Group: high IMS/low EMS vs. high IMS/high EMS) X 2 (Task: weapons vs. flankers) ANOVA on PD-control estimates. The critical interaction was significant, F(1, 31) = 5.14, p = .03,</t>
  </si>
  <si>
    <t>osc201555_1</t>
  </si>
  <si>
    <t>osc201555</t>
  </si>
  <si>
    <t>Gable, Roksana</t>
  </si>
  <si>
    <t>Harmon-Jones, E., Harmon-Jones, C., Fearn, M., Sigelman, J.D., &amp; Johnson, P. (2008). Left frontal cortical activation and spreading of alternatives: Test of the action-based model of dissonance. Journal of Personality and Social Psychology, 94(1), 1-15.</t>
  </si>
  <si>
    <t>10.1037/0022-3514.94.1.1</t>
  </si>
  <si>
    <t>10.1037--0022-3514.94.1.1.pdf</t>
  </si>
  <si>
    <t>Gable, P. A., &amp; Mechin, N. (2023, September 28). Replication of E Harmon-Jones, C Harmon-Jones, M Fearn, JD Sigelman, P Johnson (2008, JPSP 94(1), Exp. 2). Retrieved from osf.io/su6bm</t>
  </si>
  <si>
    <t>https://osf.io/zpwne</t>
  </si>
  <si>
    <t>Action-Based Model of Dissonance</t>
  </si>
  <si>
    <t>Analysis of Variance, Attitude, Biofeedback, Psychology, Brain Mapping, Cognitive Dissonance, Decision Making, Female, Humans, Male, Models, Psychological, Prefrontal Cortex [physiology]</t>
  </si>
  <si>
    <t>Action-oriented mindset resulted in attitude changes from pre- to post-decision to both chosen and rejected alternatives</t>
  </si>
  <si>
    <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</si>
  <si>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https://osf.io/rqtgz</t>
  </si>
  <si>
    <t>osc201555_a</t>
  </si>
  <si>
    <t xml:space="preserve">1. "The experiment materials provided by the original authors included only 7 experimental descriptions for participants to rate. " - thus it can't be assessed as close replication, even considering such an opinion of the authors
2. The study is about neuroscience, but the journal title is about Social Cognition. I put the discipline from the spreadsheet of RPP project, but perhaps it should be neuroscience (as the neutotechnology is applied) </t>
  </si>
  <si>
    <t>Cognitive dissonance</t>
  </si>
  <si>
    <t>Cognitive dissonance, action-based model, approach motivation, asymmetrical frontal cortical activity, neurofeedback</t>
  </si>
  <si>
    <t>To test the effects of mindset manipulation on attitudes, a 3 (mindset) between-participants x 2 (predecision vs. postdecision)  x 2 (chosen vs. rejected alternative) within-participants ANOVA was performed. It produced the critical three-way interaction, F(2, 54) =  3.19, p  &lt; .05, partial eta-square =  .11; see Figure 2.</t>
  </si>
  <si>
    <t>osc201556_1</t>
  </si>
  <si>
    <t>osc201556</t>
  </si>
  <si>
    <t>Slowik, Roksana</t>
  </si>
  <si>
    <t xml:space="preserve">I coded directly from the replication paper, there is some inconsistency as the OSC 2015 table states that the d=.082 and p-value of .796 </t>
  </si>
  <si>
    <t>I think this is a close instead of conceptual</t>
  </si>
  <si>
    <t>van Dijk, E., van Kleef, G.A., Steinel, W., &amp; van Beest, I. (2008). A social functional approach to emotions in bargaining: When communicating anger pays and when it backfires. Journal of Personality and Social Psychology, 94(4), 600-614.</t>
  </si>
  <si>
    <t>10.1037/0022-3514.94.4.600</t>
  </si>
  <si>
    <t>10.1037--0022-3514.94.4.600.pdf</t>
  </si>
  <si>
    <t>Voracek, M., &amp; Slowik, A. (2023, September 28). Replication of E van Dijk, GA van Kleef, W Steinel, I van Beest (2008, JPSP 94(4), Exp. 3). Retrieved from osf.io/xtsq6</t>
  </si>
  <si>
    <t>https://osf.io/2idfu</t>
  </si>
  <si>
    <t>Bargaining in Emotional Regulation</t>
  </si>
  <si>
    <t>Adult, Anger, Communication, Deception, Dominance-Subordination, Emotions, Fear, Female, Goals, Humans, Interpersonal Relations, Male, Motivation, Negotiating, Power (Psychology), Rejection (Psychology)</t>
  </si>
  <si>
    <t>Participants offered significantly fewer chips to angry recipients than to happy recipients in low consequence situations</t>
  </si>
  <si>
    <t>"Moreover, in the low-consequences conditions, participants offered fewer chips to an angry recipient than to a happy recipient, F(1, 99) = 16.62, p &lt; .0001."</t>
  </si>
  <si>
    <t>F(1, 99) = 16.62</t>
  </si>
  <si>
    <t>https://osf.io/4hqd5</t>
  </si>
  <si>
    <t>Slowik</t>
  </si>
  <si>
    <t>1. There minor changes, but there were a lot of them as well as the argue about the sample -&gt; conceptual replication</t>
  </si>
  <si>
    <t>Emotion regulation</t>
  </si>
  <si>
    <t>Emotions, bargaining, deception, fairness, self-interest</t>
  </si>
  <si>
    <t>Moreover, in the low-consequences conditions, participants offered fewer chips to an angry recipient than to a happy recipient, F(1,99) = 16.62, p &lt; .0001</t>
  </si>
  <si>
    <t>https://osf.io/4hqd6</t>
  </si>
  <si>
    <t>osc201558_1</t>
  </si>
  <si>
    <t>osc201558</t>
  </si>
  <si>
    <t>Baranski, Roksana</t>
  </si>
  <si>
    <t>Lemay, E.P., &amp; Clark, M.S. Walking on eggshells: How expressing relationship insecurities perpetuates them. Journal of Personality and Social Psychology, 95(2), 420-441.</t>
  </si>
  <si>
    <t>10.1037/0022-3514.95.2.420</t>
  </si>
  <si>
    <t>10.1037--0022-3514.95.2.420.pdf</t>
  </si>
  <si>
    <t>Baranski, E. (2023, September 28). Replication of Lemay and Clark (2008, JPSP 95(2), Exp 5). Retrieved from osf.io/ke43j</t>
  </si>
  <si>
    <t>https://osf.io/efjn3</t>
  </si>
  <si>
    <t>Relationship vulnerabilities</t>
  </si>
  <si>
    <t>Adult, Affect, Analysis of Variance, Female, Humans, Interpersonal Relations, Male, Models, Psychological, Object Attachment, Questionnaires, Rejection (Psychology), Self Concept, Sexual Partners [psychology], Social Desirability, Social Perception, Spouses [psychology]</t>
  </si>
  <si>
    <t>Walking on eggshells: How expressing relationship insecurities perpetuates them.</t>
  </si>
  <si>
    <t>"A significant main effect for type of rating, F(1, 182) = 47.65, p &lt; .001, suggesting that, on average, participants viewed the confederate as expressing more happiness than was truly felt, was qualified by the Type of Rating × Condition interaction, F(1, 182) = 5.24, p &lt; .05, η² = .03."</t>
  </si>
  <si>
    <t>Baranski</t>
  </si>
  <si>
    <t>1. The mateirial to replication study was taken from the link: https://osf.io/efjn3
2. The second OSF link is available: https://osf.io/xy9mv/</t>
  </si>
  <si>
    <t>Vulnerability</t>
  </si>
  <si>
    <t>Close relationships, egocentrism, relationship security, acceptance, emotion expression, expression-based authenticity doubts, vulnerability</t>
  </si>
  <si>
    <t>Participants perceived the confederate’s expressions of happiness as less authentic when they were told, after the interaction, that the confederate had been informed beforehand that participants were especially vulnerable to rejection</t>
  </si>
  <si>
    <t>https://osf.io/cehgp</t>
  </si>
  <si>
    <t>osc201559_1</t>
  </si>
  <si>
    <t>osc201559</t>
  </si>
  <si>
    <t>Marigold, Roksana</t>
  </si>
  <si>
    <t>How the head liberates the heart: projection of communal responsiveness guides relationship promotion. Journal of Personality and Social Psychology, 95(4), 647-671.</t>
  </si>
  <si>
    <t>10.1037/0022-3514.94.4.647</t>
  </si>
  <si>
    <t>10.1037--0022-3514.94.4.647.pdf</t>
  </si>
  <si>
    <t>Marigold, D. C., Forest, A. L., &amp; Anderson, J. (2023, September 28). Replication of Lemay and Clark (2008, JPSP 95(4), Exp 5). Retrieved from osf.io/h84qd</t>
  </si>
  <si>
    <t>https://osf.io/mv3i7</t>
  </si>
  <si>
    <t>Projected responsiveness bias</t>
  </si>
  <si>
    <t>Adolescent, Adult, Communication, Data Collection, Female, Friends [psychology], Humans, Internet, Interpersonal Relations, Longitudinal Studies, Male, Marriage, Middle Aged, Projection, Questionnaires, Self Concept, Social Support, Spouses [psychology]</t>
  </si>
  <si>
    <t>Participants own responsiveness was a significant predictor of their perception of their partners' responsiveness</t>
  </si>
  <si>
    <t>"Suggesting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</si>
  <si>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https://osf.io/3rtvz</t>
  </si>
  <si>
    <t xml:space="preserve">2. The Effect is about either "Social perception" or "Communal responsiveness" I used the second as it is stated in the paper
3. Authors stated the modification of the procedure, which they believe have small influence on the replication. However, from my point of view, it was modification and thus - it is not a close replication, but rather - conceptual </t>
  </si>
  <si>
    <t>Lemay, E.P., &amp; Clark, M.S. How the head liberates the heart: projection of communal responsiveness guides relationship promotion. Journal of Personality and Social Psychology, 95(4), 647-671.</t>
  </si>
  <si>
    <t>Communal responsiveness</t>
  </si>
  <si>
    <t>Projection of responsiveness, assumed similarity, social support, communal relationships, self-disclosure</t>
  </si>
  <si>
    <t>Suggesting projection of responsiveness, perceivers’ own responsiveness to targets was a significant predictor of perceived partner responsiveness while controlling for these accuracy effects (b = .68, p &lt; .001)</t>
  </si>
  <si>
    <t>osc20156_1</t>
  </si>
  <si>
    <t>osc20156</t>
  </si>
  <si>
    <t>Meixner, Roksana</t>
  </si>
  <si>
    <t>I would say this is a close replication</t>
  </si>
  <si>
    <t>Berry, C.J., Shanks, D.R., &amp; Henson, R.N. A single-system account of the relationship between priming, recognition, and fluency. Journal of Experimental Psychology: Learning, Memory, and Cognition, 34(1), 97-111.</t>
  </si>
  <si>
    <t>10.1037/0278-7393.34.1.97</t>
  </si>
  <si>
    <t>10.1037--0278-7393.34.1.97.pdf</t>
  </si>
  <si>
    <t>Meixner, J. M., &amp; Brüning, J. (2023, September 28). Replication of CJ Berry, DR Shanks, RN Henson (2008, JEPLMC 34(1), Exp 1). Retrieved from osf.io/atgp5</t>
  </si>
  <si>
    <t>https://osf.io/yc2fe</t>
  </si>
  <si>
    <t>Repetition priming</t>
  </si>
  <si>
    <t>Adult, Attention, Cues, Decision Making, Female, Humans, Judgment, Male, Memory, Short-Term, Models, Statistical, Psychomotor Performance, Reaction Time, Reading, Retention (Psychology), Serial Learning, Signal Detection, Psychological, Speech, Verbal Learning</t>
  </si>
  <si>
    <t>A single-system account of the relationship between priming, recognition, and fluency.</t>
  </si>
  <si>
    <t>"Of primary interest for this experiment, RTs to misses were significantly faster than RTs to correct rejections, t(23) 3.55, p .002 (mean priming for items judged new 63 ms, SEM 18), replicating Stark and McClelland (2000)."</t>
  </si>
  <si>
    <t>t(23) = 3.55</t>
  </si>
  <si>
    <t>t(31) = 2.40</t>
  </si>
  <si>
    <t>https://osf.io/vdc5m</t>
  </si>
  <si>
    <t>1. There are also 2 additional OSF links: https://osf.io/cbwgj, https://osf.io/zhxuy</t>
  </si>
  <si>
    <t>Priming</t>
  </si>
  <si>
    <t>Fluency, repetition priming, recognition, computational model</t>
  </si>
  <si>
    <t>Response times to misses were significantly faster than those to correct rejections, indicating that memory sources for priming and recognition are independent.</t>
  </si>
  <si>
    <t>Of primary interest for this experiment, RTs to misses were significantly faster than RTs to correct rejections, t(23) = 3.55, p = .002 (mean priming for items judged new 63 ms, SEM = 18), replicating Stark and McClelland (2000)</t>
  </si>
  <si>
    <t>osc201561_1</t>
  </si>
  <si>
    <t>osc201561</t>
  </si>
  <si>
    <t>Talhelm, Roksana</t>
  </si>
  <si>
    <t>I coded directly from the replication paper, there is some inconsistency as the OSC 2015 table states that the d=-.01</t>
  </si>
  <si>
    <t>Ersner-Hershfield, H. H., Mikels, J. A., Sullivan, S. J., &amp; Carstensen, L. L. (2008). Poignancy: mixed emotional experience in the face of meaningful endings. Journal of Personality and Social Psychology, 94(1), 158-167.</t>
  </si>
  <si>
    <t>10.1037/0022-3514.94.1.158</t>
  </si>
  <si>
    <t>10.1037--0022-3514.94.1.158.pdf</t>
  </si>
  <si>
    <t>Talhelm, T., Eggleston, C., &amp; Lee, M. (2023, September 28). Replication of Ersner-Hershfield et al. (2008, JPSP, Study 2). Retrieved from osf.io/sq8k9</t>
  </si>
  <si>
    <t>https://osf.io/fw6hv</t>
  </si>
  <si>
    <t>Poignancy in mixed emotions</t>
  </si>
  <si>
    <t>Adult, Age Factors, Aged, Aging [psychology], Analysis of Variance, Emotions, Female, Human Development, Humans, Imagination, Male, United States</t>
  </si>
  <si>
    <t>Poignancy: Mixed emotional experience in the face of meaningful endings.</t>
  </si>
  <si>
    <t>"As hypothesized, making the ending of graduation day more salient caused participants in the limited-time condition to show higher mixed emotion scores than participants in the control condition, t(108) 2.34, p .05."</t>
  </si>
  <si>
    <t>t(108) = -2.34</t>
  </si>
  <si>
    <t>osc201561_a</t>
  </si>
  <si>
    <t>1. Authors added appreciation to the list of emotions</t>
  </si>
  <si>
    <t>Coder 2 noted I coded directly from the replication paper, there is some inconsistency as the OSC 2015 table states that the d=-.01</t>
  </si>
  <si>
    <t>Aging, emotions, mixed emotions, human development, poignancy, endings, socioemotional selectivity theory, experience of ending</t>
  </si>
  <si>
    <t>Participants in the limited-time condition (poignancy) experienced more sadness than participants in the control condition</t>
  </si>
  <si>
    <t>https://osf.io/x5szy</t>
  </si>
  <si>
    <t>osc201563_1</t>
  </si>
  <si>
    <t>osc201563</t>
  </si>
  <si>
    <t>LeBel, Roksana</t>
  </si>
  <si>
    <t>Conceptual as study to design from being measured individual to groups</t>
  </si>
  <si>
    <t>Correll, J. (2008). 1/f noise and effort on implicit measures of bias. Journal of Personality and Social Psychology, 94, 48-59.</t>
  </si>
  <si>
    <t>LeBel, E. P. (2023, September 28). Replication of Correll (2008, JPSP, Study 2). Retrieved from osf.io/fejxb</t>
  </si>
  <si>
    <t>https://osf.io/hzka3</t>
  </si>
  <si>
    <t>1/f Noise</t>
  </si>
  <si>
    <t>African Americans, Behavioral Research [statistics &amp; numerical data], Bias (Epidemiology), European Continental Ancestry Group [psychology], Fourier Analysis, Humans, Prejudice, Reaction Time, Regression Analysis, Stereotyping</t>
  </si>
  <si>
    <t>1/f noise and effort on implicit measures of bias.</t>
  </si>
  <si>
    <t>"As predicted, analysis revealed a significant difference between the control condition and the average of the two experimental conditions in terms of the magnitude of the PSD slopes, F(1, 68) 5.52, p .02 (see Table 2 and Figure 4)."</t>
  </si>
  <si>
    <t>osc201563_a</t>
  </si>
  <si>
    <t>1. Tags were combined from RPP table and the paper 
2. There is also the second OSF link: https://osf.io/v3hfb
3. The study was conducted in groups instead of individually
4. Exploratory analyses was conducted with the usage of original sample, thus it is not included here
5. I am not sure whether the analsis was nested or not.</t>
  </si>
  <si>
    <t>1/f noise, effort, stereotyping, prejudice, bias, fourier analysis</t>
  </si>
  <si>
    <t>Participants instructed to use race and avoid race exhibited less 1/f noise (as reflected in PSD slopes) than participants in the control condition</t>
  </si>
  <si>
    <t>Analysis revealed a significant difference between the control condition and the average of the two experimental conditions in terms of the magnitude of the PSD slopes, F(1, 68) = 5.52, p &lt; .02</t>
  </si>
  <si>
    <t>https://osf.io/8dzpj</t>
  </si>
  <si>
    <t>osc201564_1</t>
  </si>
  <si>
    <t>osc201564</t>
  </si>
  <si>
    <t>Reinhard, Roksana</t>
  </si>
  <si>
    <t>Förster, J., Liberman, N., &amp; Kuschel, S. (2008). The effect of global versus local processing styles on assimilation versus contrast in social judgment. Journal of Personality and Social Psychology, 94, 579-599.</t>
  </si>
  <si>
    <t>10.1037/0022-3514.94.4.579</t>
  </si>
  <si>
    <t>10.1037--0022-3514.94.4.579.pdf</t>
  </si>
  <si>
    <t>Reinhard, D. A. (2023, September 28). Replication of J Förster, N Liberman, &amp; S Kuschel (2008, JPSP, Study 1). Retrieved from osf.io/mxryb</t>
  </si>
  <si>
    <t>https://osf.io/sxnu6</t>
  </si>
  <si>
    <t>Social Judgement Processing</t>
  </si>
  <si>
    <t>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</si>
  <si>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Processing style (global and local) affected the impact of the prime: participants judged the target person to be more aggressive after aggression priming in global style compared to local style</t>
  </si>
  <si>
    <t>"Most important, these two main effects were qualified by the predicted interaction, F(2, 76) 21.57, p .0001, showing that processing style affected the impact of the prime."</t>
  </si>
  <si>
    <t>F(2, 76) = 21.57</t>
  </si>
  <si>
    <t>https://osf.io/ak3rj</t>
  </si>
  <si>
    <t>osc201564_c</t>
  </si>
  <si>
    <t>1. The second link for OSF is: https://osf.io/e4vqu</t>
  </si>
  <si>
    <t>Categorization</t>
  </si>
  <si>
    <t>Assimilation and contrast; exclusion versus inclusion; processing styles</t>
  </si>
  <si>
    <t>Most important, these two main effects were qualified by the predicted interaction, F(2, 76) = 21.57, p  &lt; .0001, showing that processing style affected the impact of the prime.</t>
  </si>
  <si>
    <t>osc201565_1</t>
  </si>
  <si>
    <t>osc201565</t>
  </si>
  <si>
    <t>Lin, Roksana</t>
  </si>
  <si>
    <t>JJ Exline, RF Baumeister, AL Zell, AJ Kraft, CV Witvliet (2008). Not so innocent: does seeing one's own capacity for wrongdoing predict forgiveness? Journal of Personality and Social Psychology: 94.3: 495-515.</t>
  </si>
  <si>
    <t>10.1037--0022-3514.94.3.495.pdf</t>
  </si>
  <si>
    <t>Lin, S. C., &amp; Frank, M. C. (2023, September 28). Replication of Exline et al. (2008, JPSP, Study 7). Retrieved from osf.io/imrx2</t>
  </si>
  <si>
    <t>https://osf.io/es7ub</t>
  </si>
  <si>
    <t>Self-perceived forgiveness</t>
  </si>
  <si>
    <t>Adolescent, Adult, Anger [physiology], Attitude, Empathy, Female, Group Processes, Guilt, Humans, Individuality, Interpersonal Relations, Male, Mental Recall [physiology], Motivation, Sex Factors, Social Behavior, Social Perception, Students [psychology]</t>
  </si>
  <si>
    <t>Not so innocent: Does seeing one's own capacity for wrongdoing predict forgiveness?</t>
  </si>
  <si>
    <t>Table 3</t>
  </si>
  <si>
    <t>osc201565_a</t>
  </si>
  <si>
    <t xml:space="preserve">1. There was a second OSF link: https://osf.io/p5en6
2. In my opinion the Discipline is more about "Differential Psychology", however, in RPP table it is "Social", thus I leave it to be along with the RPP table. </t>
  </si>
  <si>
    <t>Forgiveness</t>
  </si>
  <si>
    <t>Forgiveness, vengefulness, humility, empathy, gender</t>
  </si>
  <si>
    <t>When not primed with capability– empathy items, men reported more vengefulness than women, but when capability– empathy items preceded the TRIM, men’s vengefulness scores were significantly reduced</t>
  </si>
  <si>
    <t>As Table 3 shows, results revealed a marginally significant interaction predicting TRIMs</t>
  </si>
  <si>
    <t>https://osf.io/nrjs5</t>
  </si>
  <si>
    <t>osc201568_1</t>
  </si>
  <si>
    <t>osc201568</t>
  </si>
  <si>
    <t>Mathur, Roksana</t>
  </si>
  <si>
    <r>
      <rPr>
        <rFont val="Arial"/>
      </rPr>
      <t xml:space="preserve">Link from OSC 2015 table to replication paper didn't work but I found it here: </t>
    </r>
    <r>
      <rPr>
        <rFont val="Arial"/>
        <color rgb="FF1155CC"/>
        <u/>
      </rPr>
      <t>https://osf.io/b9jtc</t>
    </r>
  </si>
  <si>
    <t xml:space="preserve">I would argue this is a close replication </t>
  </si>
  <si>
    <t>JL Risen, T Gilovich (2008). Why people are reluctant to tempt fate. Journal of Personality and Social Psychology, 95.2: 293-307.</t>
  </si>
  <si>
    <t>10.1037/0022-3514.95.2.293</t>
  </si>
  <si>
    <t>10.1037--0022-3514.95.2.293.pdf</t>
  </si>
  <si>
    <t>Frank, M. C., &amp; Mathur, M. B. (2023, September 28). Replication of Risen &amp; Gilovich (2008, JPSP). Retrieved from osf.io/sg3su</t>
  </si>
  <si>
    <t>https://osf.io/b9jtc</t>
  </si>
  <si>
    <t>Fate temptation</t>
  </si>
  <si>
    <t>Culture, Female, Humans, Intuition, Judgment, Male, Motivation, Negativism, Probability, Social Environment</t>
  </si>
  <si>
    <t>When participants were not under load, those who imagined that they had not done the reading believed that it was more likely that they would be called on</t>
  </si>
  <si>
    <t>"The main effects were qualified by the predicted interaction, however, F(1,116) 4.15, p &lt;.05."</t>
  </si>
  <si>
    <t>F(1, 116) = 4.15</t>
  </si>
  <si>
    <t>F(1, 222) = 0.002</t>
  </si>
  <si>
    <t>https://osf.io/6vsc3</t>
  </si>
  <si>
    <t>1. Also, there is a second link for OSF: https://osf.io/bfzn9
2. There were differences with original study in the survey administration and sampling frame</t>
  </si>
  <si>
    <t>Tempting fate</t>
  </si>
  <si>
    <t>Tempt fate, magical thinking, accessibility, negativity</t>
  </si>
  <si>
    <t>A 2 (behavior: had read vs. had not read) X 2 (load: yes vs. no) X ANOVA revealed main effects for reading, F(1, 116) = 22.88, p &lt; .001, and for load, F(1, 116) = 17.34, p &lt; .001</t>
  </si>
  <si>
    <t>https://osf.io/6vsc4</t>
  </si>
  <si>
    <t>osc201569_1</t>
  </si>
  <si>
    <t>osc201569</t>
  </si>
  <si>
    <t>Sullivan, Roksana</t>
  </si>
  <si>
    <t>I'm not sure which way is better to report the effects in this row [Luke: chose this row due to proportions reported as "NA" instead of test statistics]</t>
  </si>
  <si>
    <t>Tracy, J.L., &amp; Robins, R.W. (2008). The nonverbal expression of pride: Evidence for cross-cultural recognition. Journal of Personality and Social Psychology, 94(3), 516-530.</t>
  </si>
  <si>
    <t>10.1037/0022-3514.94.3.516</t>
  </si>
  <si>
    <t>10.1037--0022-3514.94.3.516.pdf</t>
  </si>
  <si>
    <t>Sullivan, G. B. (2023, September 28). Replication of Tracy and Robins (2008, JPSP, Exp 4). Retrieved from osf.io/qthf2</t>
  </si>
  <si>
    <t>https://osf.io/9uqxr</t>
  </si>
  <si>
    <t>The Nonverbal Expression of Pride:</t>
  </si>
  <si>
    <t>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</si>
  <si>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The nonverbal expression of pride: Evidence for cross-cultural recognition.</t>
  </si>
  <si>
    <t>"On the basis of binomial tests, recognition rates for all six pride expressions (M 78%, range 70%–87%) were significantly greater than chance (p .05), with chance set at 33% (see Figure 6 for recognition rates by target)."</t>
  </si>
  <si>
    <t>Av. Proportion = 0.78</t>
  </si>
  <si>
    <t>Av. Proportion = 0.77</t>
  </si>
  <si>
    <t>https://osf.io/ty9xh</t>
  </si>
  <si>
    <t>osc201569_a</t>
  </si>
  <si>
    <t>1. There were 2 additional links to OSF: https://osf.io/6c5kp, https://osf.io/f2gru
2. The values for effect size are given in order to calculate Cohen's h for binomial test: observed and hypothesized proportion (h = 0.944 and 0.914)</t>
  </si>
  <si>
    <t>Emotions</t>
  </si>
  <si>
    <t>Pride, self-conscious emotion, cross-cultural, universal, emotion recognition</t>
  </si>
  <si>
    <t>Participants recognized conveyed emotions as pride at an above chance level, no matter what culture the target represented</t>
  </si>
  <si>
    <t>On the basis of binomial tests, recognition rates for all six pride expressions (M = 78%, range = 70%–87%) were significantly greater than chance (p &lt; .05), with chance set at 33% (see Figure 6 for recognition rates by target)</t>
  </si>
  <si>
    <t>Observed proportion = 78%, hypothesized proportion = 33%</t>
  </si>
  <si>
    <t>Observed proportion = 77%, hypothesized proportion = 33%</t>
  </si>
  <si>
    <t>osc20157_1</t>
  </si>
  <si>
    <t>osc20157</t>
  </si>
  <si>
    <t>Kleinberg, Roksana</t>
  </si>
  <si>
    <t>For original study, I coded directly from original study as could not find values reported in OSC 2015 table</t>
  </si>
  <si>
    <t>Beaman, C.P., Neath, I., &amp; Suprenant, A.M. (2008). Modeling Distributions of Immediate Memory Effects: No Strategies Needed? Journal of Experimental Psychology: LMC, 34 (1), 219 - 239.</t>
  </si>
  <si>
    <t>10.1037/0278-7393.34.1.219</t>
  </si>
  <si>
    <t>10.1037--0278-7393.34.1.219.pdf</t>
  </si>
  <si>
    <t>Kleinberg, B., &amp; Kunkels, Y. K. (2023, September 28). Replication of Beaman, Neath, &amp; Suprenant (2008, JEP:LMC, Experiment 2). Retrieved from osf.io/6n3bm</t>
  </si>
  <si>
    <t>https://osf.io/a6mje</t>
  </si>
  <si>
    <t>Modeling Distributions of Immediate Memory Effects</t>
  </si>
  <si>
    <t>Attention, Humans, Individuality, Memory, Short-Term, Models, Statistical, Phonetics, Psychomotor Performance, Semantics, Serial Learning, Verbal Learning</t>
  </si>
  <si>
    <t>Participants remembered the order of words better when the presented word lists contained only short words compared to lists that only contained long words.</t>
  </si>
  <si>
    <t>"Participants correctly recalled in order more short words (.48) than long words (.40), indicating that the word-length manipulation was successful, as confirmed by ANOVA, F(1, 99) 103.7, MSE 9.30, p .05."</t>
  </si>
  <si>
    <t>F(1,99) = 103.7</t>
  </si>
  <si>
    <t>t(14) = 0.496</t>
  </si>
  <si>
    <t>https://osf.io/q7hm3</t>
  </si>
  <si>
    <t xml:space="preserve">1. In the RPP table there is a statement about t-test, however, in the original paper authors report ANOVA. I put the value like in the original study. 
2. In the RPP table the Cohen's d is reported. However, it is not stated in the replication report and calculation of the ES in "ES calculations" page provides different result. I reported the calculated values. </t>
  </si>
  <si>
    <t>This effect size was not found directly in the replication paper</t>
  </si>
  <si>
    <t>Memory</t>
  </si>
  <si>
    <t>Word Length Effect</t>
  </si>
  <si>
    <t>Participants correctly recalled in order more short words (.48) than long words (.40), indicating that the word-length manipulation was successful, as confirmed by ANOVA, F(1, 99) = 103.7, MSE = 9.30, p &lt; .05. The mean WLE was .16 (lower quartile = .060; median = .158; upper quartile = .284; SD = .162; range = -.30 to .55), and the distribution did not differ from normal (Kolmogorov–Smirnov Z = 0.428, ns)</t>
  </si>
  <si>
    <t>F(1, 99) = 103.7</t>
  </si>
  <si>
    <t>https://osf.io/q7hm4</t>
  </si>
  <si>
    <t>osc201571_1</t>
  </si>
  <si>
    <t>osc201571</t>
  </si>
  <si>
    <t>KE Stanovich, RF West (2008). On the relative independence of thinking biases and cognitive ability. Journal of Personality and Social Psychology, 94(4):672-95. doi: 10.1037/0022-3514.94.4.672.</t>
  </si>
  <si>
    <t>10.1037/0022-3514.94.4.672</t>
  </si>
  <si>
    <t>10.1037--0022-3514.94.4.672.pdf</t>
  </si>
  <si>
    <t>Baranski, E. (2023, September 28). Replication of Stanovich and West (2008, JPSP 94(4), Exp. 8). Retrieved from osf.io/7ux8p</t>
  </si>
  <si>
    <t>https://osf.io/p3gz2</t>
  </si>
  <si>
    <t>Thinking bias</t>
  </si>
  <si>
    <t>Adolescent, Adult, Aptitude, Cognition, Culture, Decision Making, Female, Humans, Judgment, Male, Probability Learning, Problem Solving, Thinking</t>
  </si>
  <si>
    <t>Participants who answered correctly were more often of higher cognitive ability (measured via SAT scores)</t>
  </si>
  <si>
    <t>"Partitioning the sample somewhat differently, we found that the mean SAT score (1214, SD 96) of the group answering correctly was significantly higher than the mean SAT score (1163, SD 106) of those giving an incorrect answer, t(373) 4.40, p .001, Cohen’s d 0.493."</t>
  </si>
  <si>
    <t>https://osf.io/7bnfp</t>
  </si>
  <si>
    <t>osc201571_b</t>
  </si>
  <si>
    <t xml:space="preserve">1. The second OSF link: https://osf.io/dwr2m
2. In my opinion the Discipline is more about "Differential Psychology", however, in RPP table it is "Social", thus I leave it to be along with the RPP table. </t>
  </si>
  <si>
    <t>Thinking biases, heuristics and biases, intelligence, cognitive ability</t>
  </si>
  <si>
    <t>osc201572_1</t>
  </si>
  <si>
    <t>osc201572</t>
  </si>
  <si>
    <t>Lemm, Roksana</t>
  </si>
  <si>
    <t>1. There is also the second OSF link: https://osf.io/2kryw</t>
  </si>
  <si>
    <t>Blankenship, K. L., &amp; Wegener, D. T. (2008). Opening the mind to close it: Considering a message in light of important values increases message processing and later resistance to change. Journal of Personality and Social Psychology, 94, 196-213.</t>
  </si>
  <si>
    <t>10.1037/0022-3514.94.2.94.2.196</t>
  </si>
  <si>
    <t>5a</t>
  </si>
  <si>
    <t>10.1037--0022-3514.94.2.94.2.196.pdf</t>
  </si>
  <si>
    <t>Lemm, K. M. (2023, September 28). Replication of Blankenship &amp; Wegener (2008, JPSP, Study 5A). Retrieved from osf.io/2gx4k</t>
  </si>
  <si>
    <t>https://osf.io/v3e2z</t>
  </si>
  <si>
    <t>Value- driven message processing</t>
  </si>
  <si>
    <t>Attitude, Cognition, Humans, Mental Processes, Persuasive Communication, Thinking</t>
  </si>
  <si>
    <t>People who focus on important values in persuasive messages are more sensitive to argument quality compared to people who focus on unimportant values</t>
  </si>
  <si>
    <t>"For both studies, the attitude measure was submitted to a 2 (value: important vs. unimportant) 2 (argument quality: strong vs. weak) ANOVA. The predicted Value Argument Quality interaction was significant for Study 5A, F(1, 257) 11.58, p .002, and Study 5B, F(1, 120) 6.01, p .017 (see Table 3)."</t>
  </si>
  <si>
    <t>F(1, 257) = 11.58</t>
  </si>
  <si>
    <t>https://osf.io/kg2x4</t>
  </si>
  <si>
    <t>osc201572_a</t>
  </si>
  <si>
    <t>Persuasion</t>
  </si>
  <si>
    <t>Values, information processing, resistance to persuasion, message, communication, attitude</t>
  </si>
  <si>
    <t>The predicted Value X Argument Quality interaction was significant for Study 5A, F(1, 257) = 11.58, p = .002</t>
  </si>
  <si>
    <t>https://osf.io/kg2x5</t>
  </si>
  <si>
    <t>osc201573_1</t>
  </si>
  <si>
    <t>osc201573</t>
  </si>
  <si>
    <t>Motyl, Roksana</t>
  </si>
  <si>
    <t>In replication paper, X^2(1, N=120) = 4.80 was reported too but I coded phi as it is more suitable for effect size. However, not sure if I coded the type correctly.</t>
  </si>
  <si>
    <t>Morrison, Kimberly Rios, and Dale T. Miller. "Distinguishing between silent and vocal minorities: Not all deviants feel marginal." Journal of Personality and Social Psychology 94.5 (2008): 871</t>
  </si>
  <si>
    <t>10.1037/0022-3514.94.5.871</t>
  </si>
  <si>
    <t>10.1037--0022-3514.94.5.871.pdf</t>
  </si>
  <si>
    <t>Motyl, M., &amp; Nosek, B. A. (2023, September 28). Replication of Morrison &amp; Miller (2008, JPSP, Study 3). Retrieved from osf.io/nhwv5</t>
  </si>
  <si>
    <t>https://osf.io/2jwi6</t>
  </si>
  <si>
    <t>Minority Deviance</t>
  </si>
  <si>
    <t>Conflict (Psychology), Culture, Female, Group Processes, Humans, Individuality, Male, Motivation, Personal Satisfaction, Social Conformity, Social Dominance, Social Identification</t>
  </si>
  <si>
    <t>Distinguishing between silent and vocal minorities: Not all deviants feel marginal.</t>
  </si>
  <si>
    <t>"However, the Democratic-to-Republican sticker ratio was significantly lower than the Democratic-to-Republican registered voter ratio in San Diego County, χ²(1, N = 37) = 3.85, p = .05 (see Table 4). That is, there were disproportionately more descriptive deviant (Republican) stickers than prescriptive deviant (Democratic) stickers."</t>
  </si>
  <si>
    <t>X^2(1, N=37) = 3.85</t>
  </si>
  <si>
    <t>phi</t>
  </si>
  <si>
    <t>1. The second OSF link: https://osf.io/hctz9
2. The Effect is also "Social deviance"
3. The effect size of replication is Phi
4. There are four different districts in the replication. Each of them can be considered as separete replication</t>
  </si>
  <si>
    <t>Social influence</t>
  </si>
  <si>
    <t>Minorities, deviance, social norms</t>
  </si>
  <si>
    <t>There were disproportionately more descriptive deviant (Republican) stickers than prescriptive deviant (Democratic) stickers in more Republician location (second attempt)</t>
  </si>
  <si>
    <t>However, the Democratic-to-Republican sticker ratio was significantly lower than the Democratic-to-Republican registered voter ratio in San Diego County, chi-squared(1, N = 37) = 3.85, p &lt; .05 (see Table 4)</t>
  </si>
  <si>
    <t>χ2(1, N = 37) = 3.85</t>
  </si>
  <si>
    <t>https://osf.io/jhn4g</t>
  </si>
  <si>
    <t>osc201577_1</t>
  </si>
  <si>
    <t>osc201577</t>
  </si>
  <si>
    <t>Kidwell, Roksana</t>
  </si>
  <si>
    <t>In the replication paper,  β hat  = 0.4695</t>
  </si>
  <si>
    <t>Koo, M., &amp; Fishbach, A. (2008). Dynamics of self-regulation: How (un)accomplished goal actions affect motivation. Journal of Personality and Social Psychology, 94(2), 183-195.</t>
  </si>
  <si>
    <t>10.1037/0022-3514.94.2.183</t>
  </si>
  <si>
    <t>10.1037--0022-3514.94.2.183.pdf</t>
  </si>
  <si>
    <t>Kidwell, M., &amp; Dodson, G. T. (2016, August 19). Replication of M Koo, A Fishbach (2008, JPSP 94(2), Exp. 4). Retrieved from osf.io/nr7d9</t>
  </si>
  <si>
    <t>https://osf.io/68m2c</t>
  </si>
  <si>
    <t>The replication paper state "Given the low number of observations, the results of this replication are likely unreliable. "</t>
  </si>
  <si>
    <t>(Un)accomplished Goal Action Effects on Motivation</t>
  </si>
  <si>
    <t>Adolescent, Adult, Aged, Attitude, Charities [economics], Female, Fund Raising [ethics], Goals, Humans, Male, Middle Aged, Motivation, Social Control, Informal</t>
  </si>
  <si>
    <t>Participants from the hot list (certain commitment) donated more money in the to-go condition than did participants in the to-date condition</t>
  </si>
  <si>
    <t>"In support of the hypothesis, this ANOVA yielded the predicted Commitment Focus interaction, F(1, 242) =10.47, p &lt;.01"</t>
  </si>
  <si>
    <t>F(1, 242) = 10.47</t>
  </si>
  <si>
    <t>https://osf.io/7czwd</t>
  </si>
  <si>
    <t>osc201577_a</t>
  </si>
  <si>
    <t>1. Authors stated that the response rate was very low (approximetly 0%), which means that these results are effectively un-interpretable. The replication fialed.</t>
  </si>
  <si>
    <t>Very small response rate (~0%)</t>
  </si>
  <si>
    <t>Goals, self-regulation, motivation, commitment, progress, charities, fund raising, social control</t>
  </si>
  <si>
    <t>In support of the hypothesis, this ANOVA yielded the predicted Commitment × Focus interaction, F(1,242) = 10.47, p &lt; .01</t>
  </si>
  <si>
    <t>osc20158_1</t>
  </si>
  <si>
    <t>osc20158</t>
  </si>
  <si>
    <t>Calhoun Sauls, Roksana</t>
  </si>
  <si>
    <t>Dodson, C.S., Darragh, J., &amp; Williams, A. (2008). Stereotypes and retrieval-provoked illusory source recollections. Journal of Experimental Psychology: Learning, Memory, and Cognition, 34(3), 460-477.</t>
  </si>
  <si>
    <t>10.1037/0278-7393.34.3.460</t>
  </si>
  <si>
    <t>10.1037--0278-7393.34.3.460.pdf</t>
  </si>
  <si>
    <t>Calhoun-Sauls, A. (2023, September 28). Replication of CS Dodson, J Darragh, A Williams (2008, JEPLMC 34(3), Exp. 3). Retrieved from osf.io/c5pbg</t>
  </si>
  <si>
    <t>https://osf.io/b9dpu</t>
  </si>
  <si>
    <t>Illusory Source Recollections</t>
  </si>
  <si>
    <t>Association Learning, Attention, Awareness, Humans, Illusions [psychology], Lawyers [psychology], Mental Recall, Physicians [psychology], Reading, Set (Psychology), Social Perception, Stereotyping</t>
  </si>
  <si>
    <t>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</si>
  <si>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"There was also a three-way interaction, F(1, 37) = 17.03, MSE = .033, p &lt; .001, η² = .32, but no other significant effects (all Fs &lt; 1.13)."</t>
  </si>
  <si>
    <t>F(1, 31) = .384</t>
  </si>
  <si>
    <t>https://osf.io/nx6dr</t>
  </si>
  <si>
    <t>1. Two more OSF links: https://osf.io/49xea, https://osf.io/24d7b</t>
  </si>
  <si>
    <t>Illusory recollections</t>
  </si>
  <si>
    <t>Source memory, stereotypes, remember, recollection, false memory</t>
  </si>
  <si>
    <t>There was also a three-way interaction, F(1, 37) = 17.03, MSE = .033, p &lt; .001, η² = .32, but no other significant effects (all Fs &lt; 1.13)</t>
  </si>
  <si>
    <t>F(1, 31) = 0.384</t>
  </si>
  <si>
    <t>osc201580_1</t>
  </si>
  <si>
    <t>osc201580</t>
  </si>
  <si>
    <t>Lane, Roksana</t>
  </si>
  <si>
    <r>
      <rPr>
        <rFont val="Arial"/>
      </rPr>
      <t xml:space="preserve">Link to original paper is wrong, I used : </t>
    </r>
    <r>
      <rPr>
        <rFont val="Arial"/>
        <color rgb="FF1155CC"/>
        <u/>
      </rPr>
      <t>https://kops.uni-konstanz.de/server/api/core/bitstreams/f8cf3efc-7de6-49c4-8ff8-ce1e1a9b6892/content</t>
    </r>
  </si>
  <si>
    <t>MD Henderson, Y de Liver, PM Gollwitzer (2008). The effects of an implemental mind-set on attitude strength. Journal of Personality and Social Psychology, 94.3: 396-411.</t>
  </si>
  <si>
    <t>10.1037--0022-3514.94.3.396.pdf</t>
  </si>
  <si>
    <t>Lane, K. A., &amp; Gazarian, D. (2016, August 19). Replication of Henderson, de Liver, &amp; Gollwitzer (2008, JPSP, Expt. 5). Retrieved from osf.io/79dey</t>
  </si>
  <si>
    <t>https://osf.io/cjr7d</t>
  </si>
  <si>
    <t>The Effects of an Implemental Mind-Set on Attitude Strengt</t>
  </si>
  <si>
    <t>Adult, Attitude, Behavior [physiology], Decision Making [physiology], Female, Goals, Humans, Self Concept, Set (Psychology), Students [psychology], Task Performance and Analysis</t>
  </si>
  <si>
    <t>Participants in the one-sided focus condition had less ambivalence than participants in the two-sided focus condition.</t>
  </si>
  <si>
    <t>"As expected, the condition effect was significant, F(2, 43) = 3.36, p &lt; .05."</t>
  </si>
  <si>
    <t>F(2, 43) = 3.36</t>
  </si>
  <si>
    <t>F (2, 67) = 1.70</t>
  </si>
  <si>
    <t>https://osf.io/45vwm</t>
  </si>
  <si>
    <t>osc201580_a</t>
  </si>
  <si>
    <t>1. An updated file was uploaded for original study (in the e-mail there is  a link to the corresponding folder)</t>
  </si>
  <si>
    <t>Implemental Mind-Set</t>
  </si>
  <si>
    <t>Extremity, ambivalence, accessibility, mind-set, attitude strength</t>
  </si>
  <si>
    <t>Participants’ ambivalence score was entered into an ANOVA, with mind-set condition (implemental one-sided, implemental two-sided, and neutral) as a between-participant variable. As expected, the condition effect was significant, F(2, 43) = 3.36, p &lt; .05</t>
  </si>
  <si>
    <t>osc201581_1</t>
  </si>
  <si>
    <t>osc201581</t>
  </si>
  <si>
    <t>Gilbert, Roksana</t>
  </si>
  <si>
    <t>1) I coded p-value from original paper, the OSC 2015 table says p&lt;.05 2) Conceptual as story line changed</t>
  </si>
  <si>
    <t>Shnabel, Nurit, and Arie Nadler. "A needs-based model of reconciliation: satisfying the differential emotional needs of victim and perpetrator as a key to promoting reconciliation." Journal of personality and social psychology 94.1 (2008): 116.</t>
  </si>
  <si>
    <t>10.1037/0022-3514.94.1.116</t>
  </si>
  <si>
    <t>10.1037--0022-3514.94.1.116.pdf</t>
  </si>
  <si>
    <t>Gilbert, E. A. (2023, September 28). Replication of Shnabel &amp; Nadler (2008, JPSP, Study 4). Retrieved from osf.io/xse7q</t>
  </si>
  <si>
    <t>https://osf.io/fuj2c</t>
  </si>
  <si>
    <t>A Needs-Based Model of Reconciliation</t>
  </si>
  <si>
    <t>Adaptation, Psychological, Adult, Analysis of Variance, Conflict (Psychology), Cooperative Behavior, Emotions, Female, Humans, Israel, Male, Models, Psychological, Negotiating, Power (Psychology), Role, Social Perception</t>
  </si>
  <si>
    <t>After condition a message of acceptance was more effective in promoting reconciliation among perpetrators, whereas a message of empowerment was more effective in promoting reconciliation among victims</t>
  </si>
  <si>
    <t>"In line with our predictions, although the Message × Role interaction was nonsignificant in the before condition, F(1, 90) = .00, ns, η² = .00, it was significant in the after condition, F(1, 90) = 6.98, p &lt; .01, η² = .07."</t>
  </si>
  <si>
    <t>F(1, 137) = 1.43</t>
  </si>
  <si>
    <t>https://osf.io/3m7qw</t>
  </si>
  <si>
    <t>osc201581_a</t>
  </si>
  <si>
    <t>1. There is another OSF link with the same files in it: https://osf.io/tue9g, https://osf.io/9bsqn</t>
  </si>
  <si>
    <t>The other coder correlates with RPP table too</t>
  </si>
  <si>
    <t>Conflict resolution</t>
  </si>
  <si>
    <t>reconciliation, conflict resolution, emotional needs, victims, perpetrators, adaptation, conflict, cooperative behavior, emotions, negotiating, social acceptance</t>
  </si>
  <si>
    <t>In line with our predictions, although the Message × Role interaction was nonsignificant in the before condition, F(1,90) = .00, ns, η2 = .00, it was significant in the after condition, F(1,90) = 6.98, p &lt; .01, η2 = .07</t>
  </si>
  <si>
    <t>F (1, 139) = 5.28</t>
  </si>
  <si>
    <t>osc201582_1</t>
  </si>
  <si>
    <t>osc201582</t>
  </si>
  <si>
    <t>Eggleston, Roksana</t>
  </si>
  <si>
    <t>This one aligns more with RPP table</t>
  </si>
  <si>
    <t>Rule, N., &amp; Ambady, N. (2008). The face of success: Inferences from chief executive officers' appearance predict company profits. Psychological Science 19(2), 109-111.</t>
  </si>
  <si>
    <t>10.1111/j.1467-9280.2008.02054.x</t>
  </si>
  <si>
    <t>10.1111--j.1467-9280.2008.02054.x.pdf</t>
  </si>
  <si>
    <t>Talhelm, T., Eggleston, C., &amp; Lee, M. (2023, September 28). Replication of Rule &amp; Ambady (2008, PS, Study 1). Retrieved from osf.io/r5gpv</t>
  </si>
  <si>
    <t>https://osf.io/4peq6</t>
  </si>
  <si>
    <t>Appearance inferences</t>
  </si>
  <si>
    <t>Adolescent, Adult, Awareness, Cues, Face, Female, Hair, Heterosexuality [psychology], Homosexuality, Male [psychology], Humans, Judgment, Male, Nonverbal Communication, Sexual Behavior, Social Perception, Stereotyping, Young Adult</t>
  </si>
  <si>
    <t>Composite ratings of both power and leadership correlated with company profits, even after controlling for CEO age, CEO attractiveness, and the affect CEOs were displaying in the pictures</t>
  </si>
  <si>
    <t>"Further, ratings of CEO leadership were also strongly related to company profits, r(41) = .30, p &lt; .05."</t>
  </si>
  <si>
    <t>https://osf.io/3uw95</t>
  </si>
  <si>
    <t>Heuristic, inference, subjective predictor, objective performance, personality traits</t>
  </si>
  <si>
    <t>Ratings of power-related traits from CEOs’ faces, after controlling for age, affect, and attractiveness, were significantly related to company profits, r(41) = .36, p &lt; .025.</t>
  </si>
  <si>
    <t>r = 0.30</t>
  </si>
  <si>
    <t>r = 0.27</t>
  </si>
  <si>
    <t>https://osf.io/3uw96</t>
  </si>
  <si>
    <t>osc201584_1</t>
  </si>
  <si>
    <t>osc201584</t>
  </si>
  <si>
    <t>Ratliff, Roksana</t>
  </si>
  <si>
    <t>I agree this is more close than conceptual</t>
  </si>
  <si>
    <t>P Fischer, S Schulz-Hardt, D Frey (2008). Selective exposure and information quantity: how different information quantities moderate decision makers' preference for consistent and inconsistent information. Journal of Personality and Social Psychology, 94.2: 231-244.</t>
  </si>
  <si>
    <t>10.1037--0022-3514.94.2.94.2.231.pdf</t>
  </si>
  <si>
    <t>Ratliff, K. A. (2023, September 28). Replication of Fischer et al. (2008, JPSP, Study 4). Retrieved from osf.io/v8vft</t>
  </si>
  <si>
    <t>https://osf.io/5afur</t>
  </si>
  <si>
    <t>Selective Exposure to Information</t>
  </si>
  <si>
    <t>Adolescent, Adult, Choice Behavior, Decision Making, Female, Humans, Male, Mental Processes, Middle Aged</t>
  </si>
  <si>
    <t>The amount of information influence the decision among consistent and inconsistent conditions</t>
  </si>
  <si>
    <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</si>
  <si>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X^2(1, N=52) = 13.18</t>
  </si>
  <si>
    <t>X^2(1, N=150) = 7.10</t>
  </si>
  <si>
    <t>https://osf.io/cy9v3</t>
  </si>
  <si>
    <t>Ratliff</t>
  </si>
  <si>
    <t>1. The replication was conducted online</t>
  </si>
  <si>
    <t>Selective information exposure</t>
  </si>
  <si>
    <t>Information seeking, selective exposure, information quantity, selection criterion, information direction</t>
  </si>
  <si>
    <t>Given no induction, the analysis revealed a significant interaction between the factors Information Quantity and Information Selection, χ2(1,N=52) = 13.18, p &lt; .001, indicating that participants in the 2-information condition selected more inconsistent (69%) than consistent pieces of information (31%), χ2(1,N=26) = 3.85, p &lt; .05, whereas participants in the 10-information condition selected significantly more consistent (81%) than inconsistent pieces of information (19%), χ2(1,N=26) = 9.85, p &lt; .003</t>
  </si>
  <si>
    <t>χ2(1, N=52) = 13.18</t>
  </si>
  <si>
    <t>X2(1, N = 150) = 7.10</t>
  </si>
  <si>
    <t>https://osf.io/cy9v4</t>
  </si>
  <si>
    <t>osc201586_1</t>
  </si>
  <si>
    <t>osc201586</t>
  </si>
  <si>
    <t>Galliani, Roksana</t>
  </si>
  <si>
    <r>
      <rPr>
        <rFont val="Arial"/>
      </rPr>
      <t xml:space="preserve">1) The link to original paper is wrong, I coded from </t>
    </r>
    <r>
      <rPr>
        <rFont val="Arial"/>
        <color rgb="FF1155CC"/>
        <u/>
      </rPr>
      <t>http://www.communicationcache.com/uploads/1/0/8/8/10887248/self-regulation_and_selective_exposure-_the_impact_of_depleted_self-regulation_resources_on_confirmatory_information_processing.pdf</t>
    </r>
    <r>
      <rPr>
        <rFont val="Arial"/>
      </rPr>
      <t xml:space="preserve"> 2) I coded directly from paper as there was discrepancy in OSC 2015 table- "The  overall  effect  was not significant, F(2,  136)  = .36, p=  .70, η2=.01."</t>
    </r>
  </si>
  <si>
    <t>Fischer, P., Greitemeyer, T., &amp; Frey, D. (2008). Self-regulation and selective exposure: The impact of depleted self-regulation resources on confirmatory information processing. Journal of Personality and Social Psychology, 94(3), 382-395.</t>
  </si>
  <si>
    <t>10.1037/0022-3514.94.3.382</t>
  </si>
  <si>
    <t>10.1037--0022-3514.94.3.382.pdf</t>
  </si>
  <si>
    <t>Galliani, E. M. (2023, September 28). Replication of Fischer, Greitemeyer, &amp; Frey (2008, JPSP, Study 2). Retrieved from osf.io/j8bpa</t>
  </si>
  <si>
    <t>https://osf.io/9pnct</t>
  </si>
  <si>
    <t>Self-Regulation and Selective Exposure</t>
  </si>
  <si>
    <t>Adolescent, Adult, Cognition [physiology], Decision Making [physiology], Ego, Female, Humans, Internal-External Control, Male, Middle Aged, Motivation, Self Concept, Students [psychology]</t>
  </si>
  <si>
    <t>Self-regulation and selective exposure: The impact of depleted self-regulation resources on confirmatory information processing.</t>
  </si>
  <si>
    <t>"A one-way ANOVA with the experimental condition (low depletion vs. high depletion vs. ego threat) as the independent variable and confirmatory information processing as the dependent variable revealed a significant overall effect, F(2, 82) = 4.05, p = .02, η² = .09."</t>
  </si>
  <si>
    <t>osc201586_a</t>
  </si>
  <si>
    <t>1. There are differences in the values from the RPP table and from the replication report. I marched the results from original study and replication
2. An updated file was uploaded for original study (in the e-mail there is  a link to the corresponding folder)</t>
  </si>
  <si>
    <t>Self-Regulation</t>
  </si>
  <si>
    <t>Self-regulation, depletion of self-regulation resources, confirmatory information processing, selective exposure, decision making, ego, internal-external control, , motivation, self concept</t>
  </si>
  <si>
    <t>Reduced self regulation resources are associated with increased biases in confirmatory information processing</t>
  </si>
  <si>
    <t>https://osf.io/e35y2</t>
  </si>
  <si>
    <t>osc201587_1</t>
  </si>
  <si>
    <t>osc201587</t>
  </si>
  <si>
    <t xml:space="preserve">Kelso, Roksana </t>
  </si>
  <si>
    <t>Coneptual as mutliple experimental materials were changed</t>
  </si>
  <si>
    <t>P.A. Goff, C.M. Steele, &amp; P.G. Davies, 2008. The space between us: Stereotype threat and distance in interracial contexts. Journal of Personality and Social Psychology, 94, 91-107.</t>
  </si>
  <si>
    <t>10.1037/0022-3514.94.1.91</t>
  </si>
  <si>
    <t>10.1037--0022-3514.94.1.91.pdf</t>
  </si>
  <si>
    <t>Kelso, K., Gampa, A., Wright, E. C., Spencer, N. B., &amp; Welsh, A. (2023, September 28). Replication of Goff, Steele, and Davies (JPSP, 2008, Study 4). Retrieved from osf.io/abxcj</t>
  </si>
  <si>
    <t>https://osf.io/7q5us</t>
  </si>
  <si>
    <t>Stereotype threat in racial distancing</t>
  </si>
  <si>
    <t>African Americans, Analysis of Variance, European Continental Ancestry Group [psychology], Humans, Male, Prejudice, Social Distance, Stereotyping, United States</t>
  </si>
  <si>
    <t>When learning goals were absent, participants sat closer to one another when they discussed love and relationships than when they discussed racial profiling</t>
  </si>
  <si>
    <t>"However, as shown in Figure 4, this main effect was qualified by the predicted interaction, F(1, 51) = 9.46, p = .01, η² = .16."</t>
  </si>
  <si>
    <t>F(1, 47)= .008</t>
  </si>
  <si>
    <t>https://osf.io/pktma</t>
  </si>
  <si>
    <t>osc201587_a</t>
  </si>
  <si>
    <t>1. in Effect it can be either Racial Distancing (the phenomenon of interest) or the stepeotype threat theory (a framework)
2, The experimental procedure was slightly changed (more distracting topics, the time of the manipulation instruction)</t>
  </si>
  <si>
    <t>Racial Distancing</t>
  </si>
  <si>
    <t>Stereotype threat, racial bias, racial discrimination, social distance, prejudice</t>
  </si>
  <si>
    <t>However, [...] this main effect was qualified by the predicted interaction, F(1, 51) = 9.46, p &lt; .01, eta-squared = .16</t>
  </si>
  <si>
    <t>F(1, 47) = 0.008</t>
  </si>
  <si>
    <t>osc201589_1</t>
  </si>
  <si>
    <t>osc201589</t>
  </si>
  <si>
    <t xml:space="preserve">Selterman, Roksana </t>
  </si>
  <si>
    <t>For original, I coded directly from paper but OSC 2015 table states r = .04. For replication paper, I coded directly from OSC 2015 table as couldn't find values directly from paper</t>
  </si>
  <si>
    <t>Coded the overall sig. of interaction in Table 2</t>
  </si>
  <si>
    <t>Eastwick, P. W., &amp; Finkel, E. J. (2008). Sex differences in mate preferences revisited: Do people know what they initially desire in a romantic partner?. Journal Of Personality And Social Psychology, 94(2), 245-264. doi:10.1037/0022-3514.94.2.245</t>
  </si>
  <si>
    <t>10.1037/0022-3514.94.2.245</t>
  </si>
  <si>
    <t>10.1037--0022-3514.94.2.245.pdf</t>
  </si>
  <si>
    <t>Selterman, D. F., Chagnon, E., &amp; Mackinnon, S. P. (2023, September 28). Replication of Eastwick &amp; Finkel (2008, JPSP). Retrieved from osf.io/ng6cc</t>
  </si>
  <si>
    <t>https://osf.io/5pjsn</t>
  </si>
  <si>
    <t>Sex Differences in Mate Preferences</t>
  </si>
  <si>
    <t>Adult, Choice Behavior, Empathy, Female, Humans, Love, Male, Marriage [psychology], Questionnaires, Sexual Behavior [psychology], Sex differences, mate preferences, speed dating, empathy gap, a priori theories, love, partner, sexual behavior, physical attractiveness</t>
  </si>
  <si>
    <t>Sex differences in mate preferences revisited: Do people know what they initially desire in a romantic partner?</t>
  </si>
  <si>
    <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</si>
  <si>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X2(1) = 0.66</t>
  </si>
  <si>
    <t>https://osf.io/zdw87</t>
  </si>
  <si>
    <t>Roksana, LR</t>
  </si>
  <si>
    <t>osc201589_a</t>
  </si>
  <si>
    <t>1. Several minor changes were made to the procedure (analyzing warmth, Y/N answers to several questions and so on)
2. It seems that values in RPP table are not exactly the values reported in the perlication report. I would suggest checking one more time, especially p value. I consider we need an overall r between male and female 
3. I am not sure in the results of this study. Moreover, the results seems to be not-significant, but the alpha level is not provided. Thus I put NA to p-value Column</t>
  </si>
  <si>
    <t>Please see coder notes for reasons of help needed status</t>
  </si>
  <si>
    <t>Sex Differences</t>
  </si>
  <si>
    <t>Sex differences, mate preferences, speed dating, empathy gap, a priori theories, love, partner, sexual behavior, physical attractiveness</t>
  </si>
  <si>
    <t>There are no significant sex differences correllation for relationship initiation variables with ratings of earning prospects</t>
  </si>
  <si>
    <t>Again, there were no significant sex differences in these overall associations; the difference between the male and female rs were again descriptively very small (r= -.04, p = .480, and r = .02, p = .825, for speed-dating partners/matches and write-ins, respectively), with one trending in the male direction and one trending in the female direction.</t>
  </si>
  <si>
    <t>osc20159_1</t>
  </si>
  <si>
    <t>osc20159</t>
  </si>
  <si>
    <t>Miller, Roksana</t>
  </si>
  <si>
    <t>Daten nachtragen aus https://docs.google.com/document/d/1zSjSPR1akPN8Hr4mWJ2fjx1UxbIINGzkeArliyzpTY4/edit</t>
  </si>
  <si>
    <t>Weidemann, C.T., Huber, D.E., &amp; Shiffrin, R.M. (2008). Prime diagnosticity in short-term repetition priming: Is primed evidence discounted, even when it reliably indicates the correct answer? Journal of Experimental Psychology: Learning, Memory, and Cognition, 34(2), 257-281.</t>
  </si>
  <si>
    <t>10.1037/0278-7393.34.2.257</t>
  </si>
  <si>
    <t>10.1037--0278-7393.34.2.257.pdf</t>
  </si>
  <si>
    <t>Miller, J. K., PhD. (2023, September 28). Replication of Weidemann, Huber, and Shiffrin (2008, JEPLMC, Exp 4). Retrieved from osf.io/ne9dy</t>
  </si>
  <si>
    <t>There is no replication for this row neither on the OSC 2015 table or p35 replication links</t>
  </si>
  <si>
    <t>Attention, Choice Behavior, Color Perception, Data Interpretation, Statistical, Humans, Memory, Short-Term, Paired-Associate Learning, Reaction Time, Semantics</t>
  </si>
  <si>
    <t>Prime diagnosticity in short-term repetition priming: Is primed evidence discounted, even when it reliably indicates the correct answer?</t>
  </si>
  <si>
    <t>1. https://osf.io/ne9dy/registrations - there is no completed registrations of the project
2. No data of replication is provided both in RPP table and https://osf.io/ne9dy/
3. No data about science area is in RPP table. I consider "Cognitive psychology" to leave the cell empty as there is nothing</t>
  </si>
  <si>
    <t>There is no replication for this entry</t>
  </si>
  <si>
    <t>osc201593_1</t>
  </si>
  <si>
    <t>osc201593</t>
  </si>
  <si>
    <t>Sinclair, Roksana</t>
  </si>
  <si>
    <t>1)  For replication paper, I coded directly from OSC 2015 table as couldn't find values directly from paper 2) The link did not work to the original link so I coded from here: https://d1wqtxts1xzle7.cloudfront.net/39910353/Balancing_Connectedness_and_Self-Protect20151111-18769-1d4zy7l-libre.pdf?1447275943=&amp;response-content-disposition=inline%3B+filename%3DBalancing_connectedness_and_self_protect.pdf&amp;Expires=1738439435&amp;Signature=bGx-76VOMHegaIbkmV9BCGcYq59hXWTmeqi~6oowbYFoR1YA6mPF0PZoJJ7Xco9oC~90bMOGNSUbWgGtDteEiW4EzP0L3VyW53eWmdRGv0t1T9gXqSHLc9w9yV5rviHSQ1xkppz~V~BPBtpu4wCh62KuOoJjF64tiHmnrKAWNj9EjnaEf2VijqEyQm7qzkK20ERlnwC7jXWDyI-EMCg~J5SkBZhL2VoMKuKkNycB~ZwWH9SpTrsYUtneo6nlpSM1gLAbWqQmgrBrH-Et5Q2UB2RmXoY7eQLTcOghgXhI-ol16aj~b4DcMlODGa-3EF0iSxIBo5RZ~Tn2gVBUeu0SVg__&amp;Key-Pair-Id=APKAJLOHF5GGSLRBV4ZA</t>
  </si>
  <si>
    <t>Coded t = 1.51 from Table 1 in p.10 of the report because it corresponds most closely to the coded claim (DV = disregard, self-esteem * approach group)</t>
  </si>
  <si>
    <t>Murray, S.L., Derrick, J.L., Leder, S., &amp; Holmes, J.G. (2008). Balancing connectedness and self-protection goals in close relationships: A levels-of-processing perspective on risk regulation. Journal of Personality and Social Psychology, 94(3), 429-459.</t>
  </si>
  <si>
    <t>10.1037/0022-3514.94.3.429</t>
  </si>
  <si>
    <t>10.1037--0022-3514.94.3.429.pdf</t>
  </si>
  <si>
    <t>Sinclair, H. C., Goldberg, R. M., Wu, S., &amp; Smith, M. M. (2016, August 19). Replication of SL Murray, JL Derrick, S Leder, JG Holmes (2008, JPSP 94(3), Exp. 8). Retrieved from osf.io/cxmf6</t>
  </si>
  <si>
    <t>https://osf.io/3hndq</t>
  </si>
  <si>
    <t>Self-protection in romantic relationships</t>
  </si>
  <si>
    <t>Adolescent, Adult, Conflict (Psychology), Courtship [psychology], Female, Goals, Humans, Intention, Interpersonal Relations, Male, Models, Psychological, Questionnaires, Rejection (Psychology), Risk Reduction Behavior, Self Concept, Students [psychology], Trust [psychology]</t>
  </si>
  <si>
    <t>Priming approach intensified the hurt and pain of partner rejection for low self-esteem people</t>
  </si>
  <si>
    <t>"When primed with approach goals, lows in the partner criticism condition believed their partner regarded them significantly more negatively than did controls, B = .59, sr2 = .07, t(83) = 3.05, p &lt; .01.)"</t>
  </si>
  <si>
    <t>t(68) = 1.51</t>
  </si>
  <si>
    <t>https://osf.io/t75e3</t>
  </si>
  <si>
    <t>osc201593_a</t>
  </si>
  <si>
    <t>1. There is a second link for OSF, but it is taged with "withdraw": https://osf.io/wys6d
2. I am not sure in the reported results of replication study. There is a mismatch with RPP table. 
3. The effect is either "relationship connectedness" or "self-esteem", I mostly think about the second  to be more descriptive
4. An updated file was uploaded for original study (in the e-mail there is  a link to the corresponding folder)</t>
  </si>
  <si>
    <t>Self-esteem</t>
  </si>
  <si>
    <t>Relationships, risk, connectedness, self-protection, interpersonal Relations, Rejection, Risk Reduction Behavior, Self Concept</t>
  </si>
  <si>
    <t>When primed with approach goals, lows in the partner criticism condition believed their partner regarded them significantly more negatively than did controls, β = .59, sr-square =.07, t(83) = 3.05, p &lt; .01</t>
  </si>
  <si>
    <t>osc201594_1</t>
  </si>
  <si>
    <t>osc201594</t>
  </si>
  <si>
    <t>Had to code from OSC 2015 table for the replication paper as unexpected server response message kept coming up for replication paper https://osf.io/mptb2</t>
  </si>
  <si>
    <t>Replication report was accessible and reported results match what has been entered in both cases</t>
  </si>
  <si>
    <t>McCrea, SM. (2008). Self-handicapping, excuse making, and counterfactual thinking: Consequences for self-esteem and future motivation. Journal of Personality and Social Psychology, 95(2), 274-292</t>
  </si>
  <si>
    <t>10.1037/0022-3514.95.2.274</t>
  </si>
  <si>
    <t>10.1037--0022-3514.95.2.274.pdf</t>
  </si>
  <si>
    <t>Chartier, C. R., &amp; Perna, O. K. (2023, September 28). Replication of SM McCrea (2008, JPSP 95(2), Exp. 5). Retrieved from osf.io/mua6d</t>
  </si>
  <si>
    <t>https://osf.io/mptb2</t>
  </si>
  <si>
    <t>Counterfactual Thinking:</t>
  </si>
  <si>
    <t>Affect, Decision Making, Defense Mechanisms, Female, Humans, Internal-External Control, Male, Motivation, Self Concept, Social Responsibility, Thinking</t>
  </si>
  <si>
    <t>Considering counterfactuals about a self-handicap reduces motivation to improve on subsequent tasks</t>
  </si>
  <si>
    <t>Table 6, "Furthermore, as a proportion of items attempted, participants in the control condition outperformed those in the handicap-related counterfactual condition (see Table 6)."</t>
  </si>
  <si>
    <t>t(59)=2.325</t>
  </si>
  <si>
    <t>https://osf.io/2kjgz</t>
  </si>
  <si>
    <t>Direct Replication</t>
  </si>
  <si>
    <t>Affect</t>
  </si>
  <si>
    <t>Counterfactual thinking, self-handicapping, self-protection, motivation</t>
  </si>
  <si>
    <t>A proportion of items attempted, participants in the control condition outperformed those in the handicap-related counterfactual condition (see Table 6)</t>
  </si>
  <si>
    <t>t(59) = 2.325</t>
  </si>
  <si>
    <t>osc201597_1</t>
  </si>
  <si>
    <t>osc201597</t>
  </si>
  <si>
    <t>Schmidt, Roksana</t>
  </si>
  <si>
    <t>Purdie-Vaughns, V., Steele, C.M., Davies, P.G., Ditlmann, R., &amp; Crosby, J.R. (2008). Social identity contingencies: How diversity cues signal threat or safety for african americans in mainstream institutions. Journal of Personality and Social Psychology, 94(4), 615-630.</t>
  </si>
  <si>
    <t>10.1037/0022-3514.94.4.615</t>
  </si>
  <si>
    <t>10.1037--0022-3514.94.4.615.pdf</t>
  </si>
  <si>
    <t>Schmidt, K. (2023, September 28). Secondary Replication of V Purdie-Vaughns, CM Steele, PG Davies, R Ditlmann, JR Crosby (2008, JPSP 94(4), Exp. 3).</t>
  </si>
  <si>
    <t>10.17605/OSF.IO/ETG7C</t>
  </si>
  <si>
    <t>10.17605--osf.io--etg7c.pdf</t>
  </si>
  <si>
    <t>https://osf.io/3rxvs</t>
  </si>
  <si>
    <t>Social identity contingencies</t>
  </si>
  <si>
    <t>Adolescent, Adult, African Continental Ancestry Group [psychology], Cues, Cultural Diversity, Female, Hierarchy, Social, Humans, Judgment, Male, Organizational Culture, Prejudice, Rejection (Psychology), Social Identification, Social Values, Stereotyping, Trust</t>
  </si>
  <si>
    <t>Social identity contingencies: How diversity cues signal threat or safety for African Americans in mainstream institutions.</t>
  </si>
  <si>
    <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</si>
  <si>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F(1, 73) = 12.19</t>
  </si>
  <si>
    <t>osc201597_e</t>
  </si>
  <si>
    <t>1. Additional OSF link: https://osf.io/8nqsh
2. Several differences with the original study: online, not equal groups, another statistical analysis</t>
  </si>
  <si>
    <t>I agree that this is a conceptual</t>
  </si>
  <si>
    <t>Social identity</t>
  </si>
  <si>
    <t>Identity threat, African Americans, diversity, stigma</t>
  </si>
  <si>
    <t>For african american participants the fairness cue affected their racial identity, while for white participants it didn't</t>
  </si>
  <si>
    <t>https://osf.io/2r7nk</t>
  </si>
  <si>
    <t>I edited the links to the original paper because it was a link to another paper; multiple claims but tried to chose those that matched in both papers; in the o_paper and the r_paper a LCA was conducted to choose the best model and the 4-class solution was chosen as the optimal model (It is an important claim but didn't know how to report it)</t>
  </si>
  <si>
    <r>
      <rPr>
        <rFont val="Calibri"/>
        <sz val="11.0"/>
      </rPr>
      <t xml:space="preserve">He, J., Chen, G., Wu, S., Niu, R., &amp; Fan, X. (2020). Patterns of negative emotional eating among Chinese young adults: A latent class analysis. Appetite, 155, 104808. </t>
    </r>
    <r>
      <rPr>
        <rFont val="Calibri"/>
        <color rgb="FF1155CC"/>
        <sz val="11.0"/>
        <u/>
      </rPr>
      <t>https://doi.org/10.1016/j.appet.2020.104808</t>
    </r>
  </si>
  <si>
    <t xml:space="preserve">Dixit, U., He, J., Whited, M., Ellis, J. M., &amp; Zickgraf, H. F. (2023). Negative emotional eating patterns among American university students : A replication study. Appetite, 186, 106554. </t>
  </si>
  <si>
    <t>10.1016--j.appet.2023.106554.pdf</t>
  </si>
  <si>
    <t>emotional eating</t>
  </si>
  <si>
    <t>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</si>
  <si>
    <t>results of comparisons of the four patterns on other measures, and significant pattern differences were found in ARFID symptoms (χ2 = 67.52, p &lt; .01)</t>
  </si>
  <si>
    <t>χ2 = 67.52</t>
  </si>
  <si>
    <t>χ2 = 16.11</t>
  </si>
  <si>
    <t>results of comparisons of the four patterns on other measures, and significant pattern differences were found ... in traditional eating disorder symptoms (χ2 = 26.07, p &lt; .01)</t>
  </si>
  <si>
    <t>χ2 = 26.07</t>
  </si>
  <si>
    <t>χ2 = 32.26</t>
  </si>
  <si>
    <t>results of comparisons of the four patterns on other measures, and significant pattern differences were found... in psychological distress (χ2 = 39.22, p &lt; .01).</t>
  </si>
  <si>
    <t>χ2 = 39.22</t>
  </si>
  <si>
    <t>χ2 = 36.12</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</si>
  <si>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anxiety</t>
    </r>
  </si>
  <si>
    <t>χ2 = 33.22</t>
  </si>
  <si>
    <t>additional_studies62_e</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</si>
  <si>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depression</t>
    </r>
  </si>
  <si>
    <t>χ2 = 14.24</t>
  </si>
  <si>
    <t>additional_studies62_f</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</si>
  <si>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psychological flexibility</t>
    </r>
  </si>
  <si>
    <t>χ2 = 37.74</t>
  </si>
  <si>
    <t xml:space="preserve">Xu, Y., Song, J., Ren, Y., Barnhart, W. R., Dixit, U., Ji, F., Chen, C., &amp; He, J. (2024). Negative emotional eating patterns in general Chinese adults : A replication and expansion study examining group differences in eating disorder symptomatology, psychosocial impairment, and emotion regulation difficulties. Eating Behaviors, 54, 101899. </t>
  </si>
  <si>
    <t>10.1016--j.eatbeh.2024.101899.pdf</t>
  </si>
  <si>
    <t>replication and expansion</t>
  </si>
  <si>
    <t>χ2 = 47.78</t>
  </si>
  <si>
    <t>additional_studies63_b</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</si>
  <si>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muscularity-oriented eating disorder symptomatology</t>
    </r>
  </si>
  <si>
    <t>χ2 = 50.40</t>
  </si>
  <si>
    <t>additional_studies63_c</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</si>
  <si>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psychosocial impairment</t>
    </r>
  </si>
  <si>
    <t>χ2 = 115.88</t>
  </si>
  <si>
    <t>additional_studies63_d</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</si>
  <si>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emotion regulation difficulties</t>
    </r>
  </si>
  <si>
    <t>χ2 = 128.12</t>
  </si>
  <si>
    <t>curatescience53_1</t>
  </si>
  <si>
    <t>curatescience53_b</t>
  </si>
  <si>
    <r>
      <rPr>
        <rFont val="Calibri"/>
        <b/>
        <color theme="1"/>
        <sz val="11.0"/>
      </rPr>
      <t>GENERAL NOTE: The o_paper have 5 studies and the r_paper is replicating all of them except study number 2. All principal claims are reported here. Note that in the o_paper exp 3 and 4 have the same claims so the r_paper had one study that replicated both so the r_results are the same for o_results of exp 3 and for o_results of exp 4.</t>
    </r>
    <r>
      <rPr>
        <rFont val="Calibri"/>
        <color theme="1"/>
        <sz val="11.0"/>
      </rPr>
      <t xml:space="preserve"> Claim for row: Literary Fiction Versus Nonfiction (replication exp 1 - main effect condition)</t>
    </r>
  </si>
  <si>
    <t xml:space="preserve">Kidd, D. C., &amp; Castano, E. (2013). Reading literary fiction improves theory of mind. Science, 342(6156), 377-380. Study </t>
  </si>
  <si>
    <t>10.1126/science.1239918</t>
  </si>
  <si>
    <t>10.1126--science.1239918.pdf</t>
  </si>
  <si>
    <t>Panero, M. E., Weisberg, D. S., Black, J. E., Goldstein, T. R., Barnes, J. L., Brownell, H., &amp; Winner, E. (2016). Does reading a single passage of literary fiction really improve theory of mind? An attempt at replication. Journal of Personality and Social Psychology, 111(5), e46–e54. https://doi.org/10.1037/pspa0000064 (Study 1)</t>
  </si>
  <si>
    <t>10.1037/pspa0000064</t>
  </si>
  <si>
    <t>10.1037--pspa0000064.pdf</t>
  </si>
  <si>
    <t>we combined data from three independent research groups, each conducting either exact (Group 1) or close conceptual (Groups 2 and 3) replications of Kidd and Castano (2013)</t>
  </si>
  <si>
    <t>Theory of Mind</t>
  </si>
  <si>
    <t>Literary Fiction, Theory of Mind, Author Recognition Test, RMET</t>
  </si>
  <si>
    <t>Understanding others’ mental states is a crucial skill that enables the complex social relationships that characterize human societies. Yet little research has investigated what fosters this skill, which is known as Theory of Mind (ToM), in adults. We present five experiments showing that reading literary fiction led to better performance on tests of affective ToM (experiments 1 to 5) and cognitive ToM (experiments 4 and 5) compared with reading nonfiction (experiments 1), popular fiction (experiments 2 to 5), or nothing at all (experiments 2 and 5). Specifically, these results show that reading literary fiction temporarily enhances ToM. More broadly, they suggest that ToM may be influenced by engagement with works of art.</t>
  </si>
  <si>
    <t>Scores were higher in the literary fiction than nonfiction condition (Table 2)...</t>
  </si>
  <si>
    <t>omega squared</t>
  </si>
  <si>
    <t>p.2 (table 1)</t>
  </si>
  <si>
    <t>curatescience53_c</t>
  </si>
  <si>
    <t>Literary Fiction Versus Nonfiction (replication exp 1 - main effect ART)</t>
  </si>
  <si>
    <t>Higher Author Recognition Test scores (indicating more familiarity with fiction) predicted higher RMET scores.</t>
  </si>
  <si>
    <t>curatescience53_d</t>
  </si>
  <si>
    <t>Literary Fiction Versus Nonfiction (replication exp 1 - interaction effect); effect size not reported for r_claim</t>
  </si>
  <si>
    <t>Author Recognition Test x Condition</t>
  </si>
  <si>
    <t>F(1, 266) = 0.24</t>
  </si>
  <si>
    <t>curatescience53_e</t>
  </si>
  <si>
    <t>Literary Fiction Versus Popular Fiction (replication exp 3 - main effect condition)</t>
  </si>
  <si>
    <t>RMET scores were higher in the literary fiction condition than in the popular fiction condition.</t>
  </si>
  <si>
    <t>curatescience53_f</t>
  </si>
  <si>
    <t>Literary Fiction Versus Popular Fiction (replication exp 3 - main effect ART)</t>
  </si>
  <si>
    <t>There were no effects involving the Author Recognition Test (for test, Table 1; for means, Table 2).</t>
  </si>
  <si>
    <t>curatescience53_g</t>
  </si>
  <si>
    <t>Literary Fiction Versus Popular Fiction (replication exp 3 - interaction effect)</t>
  </si>
  <si>
    <t>F(1, 288) = 0.67</t>
  </si>
  <si>
    <t>curatescience53_h</t>
  </si>
  <si>
    <t>Literary Fiction Versus Popular Fiction (replication exp 4 - main effect condition)</t>
  </si>
  <si>
    <t>RMET scores were higher in the literary fic-tion condition than in the popular fiction condi-tion (for tests, see Table 1; for means, see Table 2).</t>
  </si>
  <si>
    <t>curatescience53_i</t>
  </si>
  <si>
    <t>Literary Fiction Versus Popular Fiction (replication exp 4 - main effect ART)</t>
  </si>
  <si>
    <t>Author Recognition Test scores predicted RMET scores.</t>
  </si>
  <si>
    <t>curatescience53_j</t>
  </si>
  <si>
    <t>Literary Fiction Versus Popular Fiction (replication exp 4 - interaction effect)</t>
  </si>
  <si>
    <t>curatescience53_k</t>
  </si>
  <si>
    <t>Literary Fiction Versus No Reading  (replication exp 5 - main effect condition)</t>
  </si>
  <si>
    <t>Results on the RMET were analyzed as in the previous experiments. The effect of condi-tion was significant (see Table 1). Scores were significantly higher in the literary fiction con-dition than in the popular fiction and no-reading conditions (see Table 2). The latter two condi-tions did not differ (P = 0.65).</t>
  </si>
  <si>
    <t>curatescience53_l</t>
  </si>
  <si>
    <t>Literary Fiction Versus No Reading  (replication exp 5 - main effect ART)</t>
  </si>
  <si>
    <t>A significant main effect of Author Recognition Test scores emerged (see Table 1).</t>
  </si>
  <si>
    <t xml:space="preserve"> F(1, 361) = 139.37</t>
  </si>
  <si>
    <t>curatescience53_m</t>
  </si>
  <si>
    <t>Literary Fiction Versus No Reading  (replication exp 5 - interaction effect)</t>
  </si>
  <si>
    <t>F(1, 361) = 4.06</t>
  </si>
  <si>
    <t>curatescience54_1</t>
  </si>
  <si>
    <t>curatescience54</t>
  </si>
  <si>
    <t>Kidd, D. C., &amp; Castano, E. (2013). Reading literary fiction improves theory of mind. Science, 342(6156), 377-380. Study 3</t>
  </si>
  <si>
    <r>
      <rPr>
        <rFont val="Calibri"/>
        <sz val="11.0"/>
      </rPr>
      <t xml:space="preserve">Dijkstra, K., Verkoeijen, P., van Kuijk, I., Yee Chow, S., Bakker, A., &amp; Zwaan, R. (2015). Leidt het lezen van literaire fictie tot meer empathie? : een replicatiestudie van Kidd en Castano (2013). De Psycholoog, 50(10), 10–21. Retrieved from </t>
    </r>
    <r>
      <rPr>
        <rFont val="Calibri"/>
        <color rgb="FF1155CC"/>
        <sz val="11.0"/>
        <u/>
      </rPr>
      <t>http://hdl.handle.net/1765/98670</t>
    </r>
  </si>
  <si>
    <t>curatescience55_1</t>
  </si>
  <si>
    <t>curatescience55</t>
  </si>
  <si>
    <t>Panero, M. E., Weisberg, D. S., Black, J. E., Goldstein, T. R., Barnes, J. L., Brownell, H., &amp; Winner, E. (2016). Does reading a single passage of literary fiction really improve theory of mind? An attempt at replication. Journal of Personality and Social Psychology, 111(5), e46–e54. https://doi.org/10.1037/pspa0000064 (Study 2)</t>
  </si>
  <si>
    <t>curatescience56_1</t>
  </si>
  <si>
    <t>curatescience56</t>
  </si>
  <si>
    <t>Kidd, D. C., &amp; Castano, E. (2013). Reading literary fiction improves theory of mind. Science, 342(6156), 377-380. Study 5</t>
  </si>
  <si>
    <t>Panero, M. E., Weisberg, D. S., Black, J. E., Goldstein, T. R., Barnes, J. L., Brownell, H., &amp; Winner, E. (2016). Does reading a single passage of literary fiction really improve theory of mind? An attempt at replication. Journal of Personality and Social Psychology, 111(5), e46–e54. https://doi.org/10.1037/pspa0000064 (Study 3)</t>
  </si>
  <si>
    <t>curatescience14_1</t>
  </si>
  <si>
    <t>curatescience14</t>
  </si>
  <si>
    <t>The r_study is more of a conceptual replication so I tried to report the closest claim to the o_study</t>
  </si>
  <si>
    <t>Wang, X. T., &amp; Dvorak, R. D. (2010). Sweet future: Fluctuating blood glucose levels affect future discounting. Psychological Science, 21(2), 183-188.</t>
  </si>
  <si>
    <t>10.1016/j.jtbi.2005.02.010</t>
  </si>
  <si>
    <t>10.1177--0956797609358096.pdf</t>
  </si>
  <si>
    <r>
      <rPr>
        <rFont val="Calibri"/>
        <sz val="11.0"/>
      </rPr>
      <t xml:space="preserve">Lange, F., &amp; Eggert, F. (2014). Sweet delusion. Glucose drinks fail to counteract ego depletion. Appetite, 75, 54–63. </t>
    </r>
    <r>
      <rPr>
        <rFont val="Calibri"/>
        <color rgb="FF1155CC"/>
        <sz val="11.0"/>
        <u/>
      </rPr>
      <t>https://doi.org/10.1016/j.appet.2013.12.020</t>
    </r>
  </si>
  <si>
    <t>10.1016/j.appet.2013.12.020</t>
  </si>
  <si>
    <t>10.1016--j.appet.2013.12.020.pdf</t>
  </si>
  <si>
    <t>Experiment 1 was designed to replicate the counteracting effect of sugar consumption on ego depletion (Gailliot et al., 2007; Hagger et al., 2010). Following the protocol of Wang and Dvorak (2010),</t>
  </si>
  <si>
    <t>future (delay) discounting</t>
  </si>
  <si>
    <t>intertemporal choice, future (delay) discounting, blood glucose</t>
  </si>
  <si>
    <t>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</si>
  <si>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</si>
  <si>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osc20151_1</t>
  </si>
  <si>
    <t>osc20151</t>
  </si>
  <si>
    <t>van Rijn, Corinna Gemmecke</t>
  </si>
  <si>
    <t>1/31/2025</t>
  </si>
  <si>
    <t>Unsure whether the F-test controlled for nesting, thus whether it was a repeated measures ANOVA</t>
  </si>
  <si>
    <t>The second coder coded etasqu as the effect size but it was partial etasqu; coded as nested due to 160 trials per participant and no details about aggregation for the ANOVA</t>
  </si>
  <si>
    <t>Roelofs, A. (2008). Tracing attention and the activation flow in spoken word planning using eye movements. Journal of Experimental Psychology: Learning, Memory, and Cognition, 34(2), 353-368.</t>
  </si>
  <si>
    <t>10.1037/0278-7393.34.2.353</t>
  </si>
  <si>
    <t>10.1037--0278-7393.34.2.353.pdf</t>
  </si>
  <si>
    <t>Van Rijn, H., &amp; Scholz, S. (2023, September 28). Replication of A Roelofs (2008, JEPLMC 34(2), Exp 3). Retrieved from osf.io/qwkum</t>
  </si>
  <si>
    <t>LINK</t>
  </si>
  <si>
    <t>Picture–word asymmetry</t>
  </si>
  <si>
    <t>Association Learning, Attention, Color Perception, Computer Simulation, Eye Movements, Field Dependence-Independence, Humans, Pattern Recognition, Visual, Phonetics, Reaction Time, Reading, Semantics, Verbal Behavior</t>
  </si>
  <si>
    <t>Tracing attention and the activation flow in spoken word planning using eye movements.</t>
  </si>
  <si>
    <t>"Moreover, there were interactions of […] task and relation, F1(1, 13) = 7.11, MSE = 1,234, p = .02", "latencies of picture naming […] were longer in the semantically related than unrelated condition"</t>
  </si>
  <si>
    <t>F(1, 13) = 7.11</t>
  </si>
  <si>
    <r>
      <rPr>
        <rFont val="Arial, sans-serif"/>
        <color rgb="FF1155CC"/>
        <u/>
      </rPr>
      <t>https://osf.io/sptyb</t>
    </r>
  </si>
  <si>
    <t>15.1.2025</t>
  </si>
  <si>
    <t>1. Second OSF link: https://osf.io/r8wt9
 2. Minor technical changes were made for the replication</t>
  </si>
  <si>
    <t>Attention, cascade processing, eye movements, word production</t>
  </si>
  <si>
    <t>Type of the task (picture naming, word reading) interacts with relation (semantically/phonologically related picture-word pair, semantically/phonologically unrelated picture-word pair) for vocal responses</t>
  </si>
  <si>
    <t>There were interactions of task and type, [...] task and relation, F1(1, 13) = 7.11, MSE = 1,234, p = .02 [...]</t>
  </si>
  <si>
    <r>
      <rPr>
        <rFont val="Arial, sans-serif"/>
        <color rgb="FF1155CC"/>
        <u/>
      </rPr>
      <t>https://osf.io/sptyb</t>
    </r>
  </si>
  <si>
    <t>osc201510_1</t>
  </si>
  <si>
    <t>osc201510</t>
  </si>
  <si>
    <t>Shaki, Corinna Gemmecke</t>
  </si>
  <si>
    <t>Differences regarding p-value of replication: I checked the report.</t>
  </si>
  <si>
    <t>Ganor-Stern, D., &amp; Tzelgov, J. (2008). Across-notation automatic numerical processing. Journal of Experimental Psychology: Learning, Memory, and Cognition, 34(2), 430-437.</t>
  </si>
  <si>
    <t>10.1037/0278-7393.34.2.430</t>
  </si>
  <si>
    <t>10.1037--0278-7393.34.2.430.pdf</t>
  </si>
  <si>
    <t>Shaki, S. (2023, September 28). Replication of D Ganor-Stern, J Tzelgov (2008, JEPLMC 34(2), Exp. 2). Retrieved from osf.io/vmipw</t>
  </si>
  <si>
    <t>Comparative distance effect</t>
  </si>
  <si>
    <t>Association Learning, Attention, Automatism [psychology], Comprehension, Discrimination (Psychology), Humans, Multilingualism, Paired-Associate Learning, Pattern Recognition, Visual, Problem Solving, Psychophysics, Reaction Time, Size Perception</t>
  </si>
  <si>
    <t>Across-notation automatic numerical processing.</t>
  </si>
  <si>
    <t>"performance was enhanced in pairs with large compared with small intrapair numerical difference in both RT [reaction time], F(1, 28) 26.69, MSE 5,845, p .001, [...] a revealing a CDE
 consistent with the one found in Experiment 1."</t>
  </si>
  <si>
    <t>F(1, 28) = 26.69</t>
  </si>
  <si>
    <t>F(1, 29) = 45.27</t>
  </si>
  <si>
    <r>
      <rPr>
        <rFont val="Arial, sans-serif"/>
        <color rgb="FF1155CC"/>
        <u/>
      </rPr>
      <t>https://doi.org/10.17605/OSF.IO/693JY</t>
    </r>
  </si>
  <si>
    <t>1. The second OSF link: https://osf.io/z4yqw
 2. Since there was a minor change in the experimental design (exclusion of duration condition) I consider the study as close replication</t>
  </si>
  <si>
    <t>Automatic numerical processing</t>
  </si>
  <si>
    <t>Automaticity, numerical processing, numerical notations</t>
  </si>
  <si>
    <t>Large interpair numerical difference increase the RT</t>
  </si>
  <si>
    <t>Performance was enhanced in pairs with large compared with small intrapair numerical difference in [...] RT, F(1, 28) = 26.69, MSE = 5,845, p &lt; .001</t>
  </si>
  <si>
    <r>
      <rPr>
        <rFont val="Arial, sans-serif"/>
        <color rgb="FF1155CC"/>
        <u/>
      </rPr>
      <t>https://osf.io/693jy</t>
    </r>
  </si>
  <si>
    <t>osc2015104_1</t>
  </si>
  <si>
    <t>osc2015104</t>
  </si>
  <si>
    <t>Foster, Corinna Gemmecke</t>
  </si>
  <si>
    <t>Only difference is that the second coder said that it is a conceptual replication. I think this is a rather subjective judgement call and thus both codings should be valid.</t>
  </si>
  <si>
    <t>Alter, A.A., &amp; Oppenheimer, D.M. (2008). Effects of fluency on psychological distance and mental construal (or why New York is a large city, but New York is a civilized jungle). Psychological Science, 19, 161-167.</t>
  </si>
  <si>
    <t>10.1111/j.1467-9280.2008.02062.x</t>
  </si>
  <si>
    <t>10.1111--j.1467-9280.2008.02062.x.pdf</t>
  </si>
  <si>
    <t>Foster, J. D. (2023, September 28). Replication of Alter &amp; Oppenheimmer (2008, PS, Study 2B). Retrieved from osf.io/kegmc</t>
  </si>
  <si>
    <t>Conceptual priming fluency</t>
  </si>
  <si>
    <t>Adult, Distance Perception, Environment, Female, Humans, Male, Perception, Questionnaires, Visual Perception</t>
  </si>
  <si>
    <t>Effects of fluency on psychological distance and mental construal (or why New York is a large city, but New York is a civilized jungle).; Table: primed participants (conceptually fluent participants) preferred concrete descriptions of the prime later, moreso than conceptually disfluent participants</t>
  </si>
  <si>
    <t>"As expected, the percentage of concrete- preferring participants was higher when Los Angeles had been primed earlier in the study (53%) than when Los Angeles had not been primed (41%), X2(1, N = 236) = 3.83, p = .05, prep = .92, phi = .13."</t>
  </si>
  <si>
    <t>0.13; X^2 = 3.83</t>
  </si>
  <si>
    <t>p. 5; Χ2(1) = .387</t>
  </si>
  <si>
    <r>
      <rPr>
        <rFont val="Arial, sans-serif"/>
        <color rgb="FF1155CC"/>
        <u/>
      </rPr>
      <t>https://doi.org/10.17605/OSF.IO/8EW6S</t>
    </r>
  </si>
  <si>
    <t>1. This was an online replication, thus -&gt; conceptual</t>
  </si>
  <si>
    <t>2b+P10</t>
  </si>
  <si>
    <t>Сonstrual level theory, distance perception, environment, perception, questionnaires, visual perception, fluency</t>
  </si>
  <si>
    <t>Primed participants (conceptually fluent participants) preferred concrete descriptions of the prime later</t>
  </si>
  <si>
    <t>The percentage of concrete-preferring participants was higher when Los Angeles had been primed earlier in the study (53%) than when Los Angeles had not been primed (41%), χ2(1,N=236) = 3.83, p = .05, p-rep = .92, V = .13</t>
  </si>
  <si>
    <r>
      <rPr>
        <rFont val="Arial, sans-serif"/>
        <color rgb="FF1155CC"/>
        <u/>
      </rPr>
      <t>https://osf.io/8ew6s</t>
    </r>
  </si>
  <si>
    <t>osc2015106_1</t>
  </si>
  <si>
    <t>osc2015106</t>
  </si>
  <si>
    <t>Fitneva, Corinna Gemmecke</t>
  </si>
  <si>
    <t>The codings align - only tags and effect size description differ. I took it from the table.</t>
  </si>
  <si>
    <t>Dessalegn, B. &amp; Landau, B. (2008). More than meets the eye: The role of language in binding visual properties. Psychological Science, 19(2), 189-195.</t>
  </si>
  <si>
    <t>10.1111/j.1467-9280.2008.02066.x</t>
  </si>
  <si>
    <t>10.1111--j.1467-9280.2008.02066.x.pdf</t>
  </si>
  <si>
    <t>Fitneva, S. A. (2023, September 28). Replication of Dessalegn &amp; Landau (2008, PS, Study 4). Retrieved from osf.io/iajp5</t>
  </si>
  <si>
    <t>Effect of language on vision</t>
  </si>
  <si>
    <t>Child, Preschool, Cognition, Cues, Female, Humans, Language, Male</t>
  </si>
  <si>
    <t>More than meets the eye: the role of language in binding and maintaining feature conjunctions.; table: directional language (e.g., to the left) helps children bind color and shape information to a greater extent than relational language alone ( e.g., next to)</t>
  </si>
  <si>
    <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</si>
  <si>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p. 5; F(1, 34) = 5.8</t>
  </si>
  <si>
    <r>
      <rPr>
        <rFont val="Arial, sans-serif"/>
        <color rgb="FF1155CC"/>
        <u/>
      </rPr>
      <t>https://doi.org/10.17605/OSF.IO/4KR6E</t>
    </r>
  </si>
  <si>
    <t>1. Changes were mostly connected with sample and statistical tools</t>
  </si>
  <si>
    <t>Language-vision interactions</t>
  </si>
  <si>
    <t>Child, preschool, cognition, cues, language, color-location conjunctions, language-vision interactions</t>
  </si>
  <si>
    <t>Directional language (e.g., to the left) helps children bind color and shape information to a greater extent</t>
  </si>
  <si>
    <t>A 2 (condition) × 3 (target type) mixed analysis of variance on percentage correct showed a main effect of condition, F(1,34) = 5.8, p &lt; .05, p-rep &gt; .90, d = 0.82, but no effect of target type and no interaction</t>
  </si>
  <si>
    <r>
      <rPr>
        <rFont val="Arial, sans-serif"/>
        <color rgb="FF1155CC"/>
        <u/>
      </rPr>
      <t>https://osf.io/4kr6e</t>
    </r>
  </si>
  <si>
    <t>osc2015107_1</t>
  </si>
  <si>
    <t>osc2015107</t>
  </si>
  <si>
    <t>Prenoveau, Corinna Gemmecke</t>
  </si>
  <si>
    <t>The table states that the p-value of the original effect size is two-tailed but the report does not include this information.; Authors reported p-rep instead of p-value</t>
  </si>
  <si>
    <t>Difference is that the second coder said that it is a conceptual replication. I think this is a rather subjective judgement call and thus both codings should be valid. Moreover the second coder describes the p-value as 2-tailed, but the report does not indicate that this is true.</t>
  </si>
  <si>
    <t>Eitam, B., Hassin, R. R., &amp; Schul, Y. (2008). Nonconscious goal pursuit in novel environments: The case of implicit learning. Psychological Science, 19, 261-267.</t>
  </si>
  <si>
    <t>10.1111/j.1467-9280.2008.02078.x</t>
  </si>
  <si>
    <t>10.1111--j.1467-9280.2008.02078.x.pdf</t>
  </si>
  <si>
    <t>Prenoveau, J. M., &amp; Kirkhart, M. W. (2023, September 28). Replication of Eitam, Hassin, &amp; Schul (2008, PS, Study 2). Retrieved from osf.io/edcr7</t>
  </si>
  <si>
    <t>Nonconscious goal pursuit in novel environments</t>
  </si>
  <si>
    <t>Achievement, Awareness, Cues, Goals, Humans, Mental Recall, Motivation, Orientation, Pattern Recognition, Visual, Problem Solving, Reaction Time, Serial Learning, Social Environment, Unconscious (Psychology), Verbal Learning</t>
  </si>
  <si>
    <t>goal primed participants learned more than participants in the control group</t>
  </si>
  <si>
    <t>"As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</si>
  <si>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p. 5; t(84) = 2.09</t>
  </si>
  <si>
    <t>p. 15; t(156) = 1.318</t>
  </si>
  <si>
    <r>
      <rPr>
        <rFont val="Arial, sans-serif"/>
        <color rgb="FF1155CC"/>
        <u/>
      </rPr>
      <t>https://doi.org/10.17605/OSF.IO/NMRJG</t>
    </r>
  </si>
  <si>
    <t>1. Most changes of the task were connected with its adaptation to another language. Depending on language (here Eng -&gt; Hebrew) it is a big or small change. I would consider this to be a big change, along with authors description
 2. Authors reported p-replication (probability of replication) instead of p-value</t>
  </si>
  <si>
    <t>Nonconscious Goal Pursuit</t>
  </si>
  <si>
    <t>Achievement, Awareness, Cues, Goals, Mental Recall, Motivation, Orientation, Pattern Recognition, Visual, Problem Solving, Reaction Time, Serial Learning, Social Environment, Unconscious, Verbal Learning</t>
  </si>
  <si>
    <t>Goal priming leads to better learning</t>
  </si>
  <si>
    <t>As hypothesized, primed participants learned more than participants in the control group, t(84) = 2.09, p-rep = .92, d = 0.45 (see Table 2)</t>
  </si>
  <si>
    <r>
      <rPr>
        <rFont val="Arial, sans-serif"/>
        <color rgb="FF1155CC"/>
        <u/>
      </rPr>
      <t>https://osf.io/nmrjg</t>
    </r>
  </si>
  <si>
    <t>osc2015109_1</t>
  </si>
  <si>
    <t>osc2015109</t>
  </si>
  <si>
    <t>Exclusion</t>
  </si>
  <si>
    <t>Bannard, C., &amp; Matthews, D. (2008). Stored word sequences in language learning: The effect of familiarity on children's repetition of four-word combinations. Psychological science, 19(3), 241-248.</t>
  </si>
  <si>
    <t>10.1111/j.1467-9280.2008.02075.x</t>
  </si>
  <si>
    <t>10.1111--j.1467-9280.2008.02075.x.pdf</t>
  </si>
  <si>
    <t>Attention, Child, Preschool, Female, Generalization (Psychology), Humans, Language Development, Male, Mental Recall, Reaction Time, Retention (Psychology), Semantics, Serial Learning, Speech Perception</t>
  </si>
  <si>
    <t>Stored word sequences in language learning</t>
  </si>
  <si>
    <t>1. No replication study</t>
  </si>
  <si>
    <t>osc201511_1</t>
  </si>
  <si>
    <t>osc201511</t>
  </si>
  <si>
    <t>Bosco, Corinna Gemmecke</t>
  </si>
  <si>
    <t>Difference between etasqu. and partial etasqu.; The report states that it is partial etasqu.; Difference in "nested_r", but the report states that they used a repeated measure ANOVA; --&gt; coded as partial, nested_r = yes</t>
  </si>
  <si>
    <t>Mirman, D., &amp; Magnuson, J. S. (2008). Attractor dynamics and semantic neighborhood density: Processing is slowed by near neighbors and speeded by distant neighbors. Journal of Experimental Psychology: Learning, Memory, and Cognition, 34, 65-79.</t>
  </si>
  <si>
    <t>10.1037/0278-7393.34.1.65</t>
  </si>
  <si>
    <t>10.1037--0278-7393.34.1.65.pdf</t>
  </si>
  <si>
    <t>Bosco, F., &amp; Field, J. G. (2016, August 19). Replication of Mirman &amp; Magnuson (2008, JEP:LMC, Study 2). Retrieved from osf.io/rvkc5</t>
  </si>
  <si>
    <t>semantic neighbohood effect</t>
  </si>
  <si>
    <t>Association Learning, Attention, Humans, Inhibition (Psychology), Orientation, Reaction Time, Reading, Semantics</t>
  </si>
  <si>
    <t>Words with many near neighbors (e.g., chicken) were associated with an increased level of processing (i.e., categorized more slowly) compared to words with few near neighbors</t>
  </si>
  <si>
    <t>"As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</si>
  <si>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p. 12; F(1, 21) = 17.3</t>
  </si>
  <si>
    <t>p. 4; F (1, 29) = 8.064</t>
  </si>
  <si>
    <r>
      <rPr>
        <rFont val="Arial, sans-serif"/>
        <color rgb="FF1155CC"/>
        <u/>
      </rPr>
      <t>https://doi.org/10.17605/OSF.IO/PK952</t>
    </r>
  </si>
  <si>
    <t>Bosco</t>
  </si>
  <si>
    <t>1. There were severa differences in experimental setup (common room), but authors of replication and original authors stated that it does not produce big differences -&gt; close replication</t>
  </si>
  <si>
    <t>Semantic nearness</t>
  </si>
  <si>
    <t>Semantics, neighborhood density, word recognition, attractor networks</t>
  </si>
  <si>
    <t>As predicted, words with many near neighbors were categorized more slowly than words with few near neighbors (24 ms), F1​(1,21) = 17.3, p &lt; .001, partial η2 = 0.45; F2(1,95) = 4.6, p &lt; .05, partial η2 = 0.05, and words with many distant neighbors were categorized more quickly than words with few distant neighbors (11 ms), F1​(1,21) = 5.2, p &lt; .05, partial η2 = 0.20; F2 ​&lt; 1.</t>
  </si>
  <si>
    <r>
      <rPr>
        <rFont val="Arial, sans-serif"/>
        <color rgb="FF1155CC"/>
        <u/>
      </rPr>
      <t>https://osf.io/pk952</t>
    </r>
  </si>
  <si>
    <t>osc2015110_1</t>
  </si>
  <si>
    <t>osc2015110</t>
  </si>
  <si>
    <t>Munafo, Corinna Gemmecke</t>
  </si>
  <si>
    <t>help: I am unsure regarding the nesting in the original analysis. Difference regarding effect size (partial versus not) --&gt; "all models included gender, clothing style, .." p. 4 so nesting yes and partial eta squared</t>
  </si>
  <si>
    <t>Farris, C., Treat, T.A., Viken, R.J., &amp; McFall, R.M. (2008). Perceptual mechanisms that characterize gender differences in decoding women's sexual intent. Psychological Science, 19(4), 348-354.</t>
  </si>
  <si>
    <t>10.1111/j.1467-9280.2008.02092.x</t>
  </si>
  <si>
    <t>10.1111--j.1467-9280.2008.02092.x.pdf</t>
  </si>
  <si>
    <t>Attwood, A. S., Andy, Easey, K., Penton-Voak, I., &amp; Munafo, M. R. (2016, August 19). Replication of C Farris, TA Treat, RJ Viken, and RM McFall (2008, PS 19(4)). Retrieved from osf.io/7dyp5</t>
  </si>
  <si>
    <t>gender differences in perceptual mechanisms</t>
  </si>
  <si>
    <t>Adult, Decision Making, Female, Humans, Intention, Male, Models, Psychological, Pilot Projects, Sex Factors, Sexual Behavior, Social Perception</t>
  </si>
  <si>
    <t>male participants were less sensitive to the distinction between friendliness and sexual interest than women, suggesting that gender differences are due to perceptual insensitivity in men</t>
  </si>
  <si>
    <t>"Compared with women (ln(a) 5 2.30), men (ln(a) 5 1.61) were significantly less sensitive to the dis- tinction between friendliness and sexual interest, F(1, 278) = 123.38, p &lt; .001, ηp2 = .326."</t>
  </si>
  <si>
    <t>p. 4; F(1, 278) = 123.38</t>
  </si>
  <si>
    <t>p. 4; F(1, 142) = 1.19</t>
  </si>
  <si>
    <r>
      <rPr>
        <rFont val="Arial, sans-serif"/>
        <color rgb="FF1155CC"/>
        <u/>
      </rPr>
      <t>https://doi.org/10.17605/OSF.IO/WMBP2</t>
    </r>
  </si>
  <si>
    <t>Perception of sexual intent</t>
  </si>
  <si>
    <t>Decision Making, Intention, Models, Psychological, Pilot Projects, Sex Factors, Sexual Behavior, Social Perception, perception bias, choice-prediction model, GLM</t>
  </si>
  <si>
    <t>Male participants were less sensitive to the distinction between friendliness and sexual interest (perceptual insensitivity in men)</t>
  </si>
  <si>
    <t>Compared with women (ln(a) = 2.30), men (ln(a) = 1.61) were significantly less sensitive to the distinction between friendliness and sexual interest, F(1,278) = 123.38, p &lt; .001, partial η2​ = .326</t>
  </si>
  <si>
    <r>
      <rPr>
        <rFont val="Arial, sans-serif"/>
        <color rgb="FF1155CC"/>
        <u/>
      </rPr>
      <t>https://osf.io/wmbp2</t>
    </r>
  </si>
  <si>
    <t>osc2015111_1</t>
  </si>
  <si>
    <t>osc2015111</t>
  </si>
  <si>
    <t>Chandler, Corinna Gemmecke</t>
  </si>
  <si>
    <t>Differences regarding the experiment, claim and effect. The authors report that the replicated Experiment 4a, which matches with the data in the table.</t>
  </si>
  <si>
    <t>Janiszewski, C., D. Uy. 2008. Anchor precision influences the amount of adjustment. Psychological Science, 19,121–127.</t>
  </si>
  <si>
    <t>10.1111/j.1467-9280.2008.02057.x</t>
  </si>
  <si>
    <t>4a</t>
  </si>
  <si>
    <t>10.1111--j.1467-9280.2008.02057.x.pdf</t>
  </si>
  <si>
    <t>Chandler, J. J. (2016, August 19). Replication of Janiszewski &amp; Uy (2008, PS, Study 4b). Retrieved from osf.io/aaudl</t>
  </si>
  <si>
    <t>10.17605/OSF.IO/HPK2M</t>
  </si>
  <si>
    <t>10.17605--osf.io--hpk2m.pdf</t>
  </si>
  <si>
    <t>Anchor heuristics</t>
  </si>
  <si>
    <t>Humans, Judgment, Mathematics</t>
  </si>
  <si>
    <t>increased anchor precision leads to decreased adjustment by participants</t>
  </si>
  <si>
    <t>"In Experiment 4a, there was a Motivation to Adjust X Scale Unit Width interaction, F(1, 55) = 6.88, prep = .947, w2 = .02."</t>
  </si>
  <si>
    <t>F(1, 55) = 6.88</t>
  </si>
  <si>
    <t>p. 2; F(1,116) = 6.28</t>
  </si>
  <si>
    <r>
      <rPr>
        <rFont val="Arial, sans-serif"/>
        <color rgb="FF1155CC"/>
        <u/>
      </rPr>
      <t>https://doi.org/10.17605/OSF.IO/HPK2M</t>
    </r>
  </si>
  <si>
    <t>1. Minor changes to the paradigm
 2. Authors reported p-replication (probability of replication) instead of p-value</t>
  </si>
  <si>
    <t>Numerical judgments</t>
  </si>
  <si>
    <t>Numerical anchor, numerical judgments, bias</t>
  </si>
  <si>
    <t>Increased anchor precision leads to decreased adjustment by participants</t>
  </si>
  <si>
    <t>In Experiment 4b, there was also a Motivation to Adjust × Scale Unit Width interaction, F(1, 145) = 4.01, p-rep = .882, omega² = .02</t>
  </si>
  <si>
    <t>omega-square</t>
  </si>
  <si>
    <r>
      <rPr>
        <rFont val="Arial, sans-serif"/>
        <color rgb="FF1155CC"/>
        <u/>
      </rPr>
      <t>https://osf.io/hpk2m</t>
    </r>
  </si>
  <si>
    <t>osc2015112_1</t>
  </si>
  <si>
    <t>osc2015112</t>
  </si>
  <si>
    <t>Saxe, Corinna Gemmecke</t>
  </si>
  <si>
    <t>31.01.205</t>
  </si>
  <si>
    <t>Both codings align</t>
  </si>
  <si>
    <t>C McKinstry, R Dale, MJ Spivey (2008). Action dynamics reveal parallel competition in decision making. Psychological Science, 19.1: 22-24.</t>
  </si>
  <si>
    <t>10.1111/j.1467-9280.2008.02041.x</t>
  </si>
  <si>
    <t>10.1111--j.1467-9280.2008.02041.x.pdf</t>
  </si>
  <si>
    <t>Saxe, R., Vélez, N., &amp; Feather, J. (2016, August 19). Replication of McKinstry, Dale, &amp; Spivey (2008, PS). Retrieved from osf.io/d0n81</t>
  </si>
  <si>
    <t>S+T22axe, R., Vélez, N., &amp; Feather, J. (2016, August 19). Replication of McKinstry, Dale, &amp; Spivey (2008, PS). Retrieved from osf.io/d0n81</t>
  </si>
  <si>
    <t>Adolescent, Adult, Attention, Choice Behavior, Conflict (Psychology), Decision Making, Female, Humans, Male, Psychomotor Performance, Reaction Time, Set (Psychology), Thinking</t>
  </si>
  <si>
    <t>Sample entropy was higher for middle-truth-value questions than for low- and high-truth-value questions</t>
  </si>
  <si>
    <t>"Sample entropy was higher for middle-truth-value questions than for low- and high-truth-value questions (see Fig. 1d), quadratic r = .70, F(1, 9) = 8.7, p &lt; .05, prep 5 .939."</t>
  </si>
  <si>
    <t>p. 3; F(1, 9) = 8.7</t>
  </si>
  <si>
    <t>p. 4; F(1, 9) = 11.6</t>
  </si>
  <si>
    <r>
      <rPr>
        <rFont val="Arial, sans-serif"/>
        <color rgb="FF1155CC"/>
        <u/>
      </rPr>
      <t>https://doi.org/10.17605/OSF.IO/WZXQ9</t>
    </r>
  </si>
  <si>
    <t>Choice, conflict Decision making, Female, Humans, Male, psychomotor performance, multiple response alternatives</t>
  </si>
  <si>
    <t>Sample entropy was higher for middle-truth-value questions than for low- and high-truth-value questions (see Fig. 1d), quadratic r = -.70, F(1,9) = 8.7, p &lt; .05, prep = .939</t>
  </si>
  <si>
    <r>
      <rPr>
        <rFont val="Arial, sans-serif"/>
        <color rgb="FF1155CC"/>
        <u/>
      </rPr>
      <t>https://osf.io/wzxq9</t>
    </r>
  </si>
  <si>
    <t>osc2015113_1</t>
  </si>
  <si>
    <t>osc2015113</t>
  </si>
  <si>
    <t>Lassetter, Corinna Gemmecke</t>
  </si>
  <si>
    <t>Authors reported p-rep instead of p-value</t>
  </si>
  <si>
    <t>All values align, except for the closeness. I think this would be again a jugdgement call.</t>
  </si>
  <si>
    <t>Armor, D.A., Massey, C., &amp; Sackett, A.M. 2008. Prescribed optimism: Is it right to be wrong about the future? Psychological Science, 19, 329-331.</t>
  </si>
  <si>
    <t>10.1111/j.1467-9280.2008.02089.x</t>
  </si>
  <si>
    <t>10.1111--j.1467-9280.2008.02089.x.pdf</t>
  </si>
  <si>
    <t>Lassetter, B., Brandt, M. J., van ’t Veer, A. E., &amp; Mehta, P. (2023, September 28). Replication of Armor, Massey &amp; Sackett (2008, PS, Study 1). Retrieved from osf.io/qlzap</t>
  </si>
  <si>
    <t>optimistic bias</t>
  </si>
  <si>
    <t>Affect, Attitude, Coercion, Forecasting, Humans, Time Perception</t>
  </si>
  <si>
    <t>among accurate, optimistic, or pessimistic predictions, participants are most likely to recommend optimisitic predictions</t>
  </si>
  <si>
    <t>"Participants clearly prescribed optimism. Those asked to pro- vide prescriptions recommended predictions that were opti- mistic (M = 1.12), t(124) = 10.36, prep &gt; .99, d = 0.93."</t>
  </si>
  <si>
    <t>p. 1; t(124) =10.36</t>
  </si>
  <si>
    <t>p. 6; t(175) = 15.64</t>
  </si>
  <si>
    <r>
      <rPr>
        <rFont val="Arial, sans-serif"/>
        <color rgb="FF1155CC"/>
        <u/>
      </rPr>
      <t>https://osf.io/wbs96</t>
    </r>
  </si>
  <si>
    <t>1. Authors of replication stated about potential differences on the effect due to cultural differences. Since it is an important factor for the results -&gt; conceptual replication
 2. Authors reported p-replication (probability of replication) instead of p-value</t>
  </si>
  <si>
    <t>Optimistic bias</t>
  </si>
  <si>
    <t>Affect, Attitude, Coercion, Forecasting, Humans, Time Perception, predictions</t>
  </si>
  <si>
    <t>Participants are most likely to recommend optimisitic predictions</t>
  </si>
  <si>
    <t>Those asked to provide prescriptions recommended predictions that were optimistic (M = 1.12), t(124) = 10.36, p-rep &gt; .99, d = 0.93</t>
  </si>
  <si>
    <r>
      <rPr>
        <rFont val="Arial, sans-serif"/>
        <color rgb="FF1155CC"/>
        <u/>
      </rPr>
      <t>https://osf.io/wbs96</t>
    </r>
  </si>
  <si>
    <t>osc2015114_1</t>
  </si>
  <si>
    <t>osc2015114</t>
  </si>
  <si>
    <t>Vasquez, Corinna Gemmecke</t>
  </si>
  <si>
    <t>The ANOVA of the replication report deviates from the one in the table (I chose the report). The table states that the test was two-tailed, but this information is not provided in the report.; Authors reported p-rep instead of p-value</t>
  </si>
  <si>
    <t>Difference in "nested_o": But the authors performed a repeated measures ANOVA</t>
  </si>
  <si>
    <t>Addis, D.R., Wong, A.T., &amp; Schacter, D.L. (2008). Age-related changes in the episodic simulation of future events. Psychological Science, 19(1), 33-41.</t>
  </si>
  <si>
    <t>10.1111/j.1467-9280.2008.02043.x</t>
  </si>
  <si>
    <t>10.1111--j.1467-9280.2008.02043.x.pdf</t>
  </si>
  <si>
    <t>Vásquez-Echeverría, A. (2023, September 28). Replication of DR Addis, AT Wong, DL Schacter (2008, PS 19(1)). Retrieved from osf.io/yaeu7</t>
  </si>
  <si>
    <t>Episodic memory</t>
  </si>
  <si>
    <t>Adult, Aged, Aging [psychology], Female, Humans, Imagination, Life Change Events, Male, Mental Recall, Middle Aged, Neuropsychological Tests, Word Association Tests</t>
  </si>
  <si>
    <t>Age-related changes in the episodic simulation of future events</t>
  </si>
  <si>
    <t>"Of most interest here, we found significant group differences, with older adults producing fewer internal details, F(1, 30) = 14.49, prep = .99, η2 = .326"</t>
  </si>
  <si>
    <t>0.326; F(1,30) = 14.49</t>
  </si>
  <si>
    <t>0.426; F (1,30) = 21.92</t>
  </si>
  <si>
    <r>
      <rPr>
        <rFont val="Arial, sans-serif"/>
        <color rgb="FF1155CC"/>
        <u/>
      </rPr>
      <t>https://osf.io/e89gh</t>
    </r>
  </si>
  <si>
    <t>1. In RPP table the study is attributed to Social studies, but it is rather Neuroscience
 2. Authors reported p-replication (probability of replication) instead of p-value</t>
  </si>
  <si>
    <t>Aged, Aging, Imagination, Life Change Events, Mental Recall, Middle Aged, Neuropsychological Tests, Word Association Tests</t>
  </si>
  <si>
    <t>Older adults produced fewer internal details, but more external details than young adults</t>
  </si>
  <si>
    <t>Of most interest here, we found significant group differences, with older adults producing fewer internal details, F(1,30) = 14.49, p-rep = .99, η2 = .326, but more external details, F(1,30) = 6.54, p-rep &gt; .94, η2 = .179, than young adults (see Fig. 1a)</t>
  </si>
  <si>
    <r>
      <rPr>
        <rFont val="Arial, sans-serif"/>
        <color rgb="FF1155CC"/>
        <u/>
      </rPr>
      <t>https://osf.io/e89gh</t>
    </r>
  </si>
  <si>
    <t>osc2015115_1</t>
  </si>
  <si>
    <t>osc2015115</t>
  </si>
  <si>
    <t>Brown, Corinna Gemmecke</t>
  </si>
  <si>
    <t>The codings align.</t>
  </si>
  <si>
    <t>Nurmsoo, E., &amp; Bloom, P. (2008). Preschoolers' Perspective Taking in Word Learning Do They Blindly Follow Eye Gaze?. Psychological Science, 19(3), 211-215.</t>
  </si>
  <si>
    <t>10.1111/j.1467-9280.2008.02069.x</t>
  </si>
  <si>
    <t>10.1111--j.1467-9280.2008.02069.x.pdf</t>
  </si>
  <si>
    <t>Brown, B. T., Kleinberg, B., Hicks, G., Bentley, H., Attridge, P. R., Eboigbe, S., … Brown, K. (2023, September 28). Replication of Nurmsoo &amp; Bloom (2008, PS, Study 1). Retrieved from osf.io/aczvt</t>
  </si>
  <si>
    <t>10.17605/OSF.IO%2FVK6D9</t>
  </si>
  <si>
    <t>10.17605--osf.io%2fvk6d9.pdf</t>
  </si>
  <si>
    <t>preschooler’s perspective taking in word learning</t>
  </si>
  <si>
    <t>Attention, Child, Preschool, Comprehension, Female, Humans, Language Development, Male, Personal Construct Theory, Semantics, Verbal Learning, Visual Perception</t>
  </si>
  <si>
    <t>When learning an object name, young children often assume that the name refers to the object the speaker is looking at, even if the children themselves are looking at a different object when the word is used</t>
  </si>
  <si>
    <t>"Only older children’s performance was consistently above chance level, t(31) = 3.23, p-rep = .97"</t>
  </si>
  <si>
    <t>t(31) = 3.23</t>
  </si>
  <si>
    <t>0.286; t(7) = -1.426</t>
  </si>
  <si>
    <r>
      <rPr>
        <rFont val="Arial, sans-serif"/>
        <color rgb="FF1155CC"/>
        <u/>
      </rPr>
      <t>https://doi.org/10.17605/OSF.IO/VK6D9</t>
    </r>
  </si>
  <si>
    <t>1. Authors reported p-replication (probability of replication) instead of p-value</t>
  </si>
  <si>
    <t>Visual perspective</t>
  </si>
  <si>
    <t>Attention, Preschool, Comprehension, Language Development, Personal Construct Theory, Semantics, Verbal Learning, Visual Perception</t>
  </si>
  <si>
    <t>Older children were able to disregard these gaze cues and identify the correct referent, although the younger children were not</t>
  </si>
  <si>
    <t>Only older children’s performance was consistently above chance level, t(31) = 3.23, p-rep = .97</t>
  </si>
  <si>
    <t>t(7) = -1.426</t>
  </si>
  <si>
    <r>
      <rPr>
        <rFont val="Arial, sans-serif"/>
        <color rgb="FF1155CC"/>
        <u/>
      </rPr>
      <t>https://osf.io/ictp5</t>
    </r>
  </si>
  <si>
    <t>osc2015116_1</t>
  </si>
  <si>
    <t>osc2015116</t>
  </si>
  <si>
    <t>Vanpaemel, Corinna Gemmecke</t>
  </si>
  <si>
    <t>The table states that the p-value of the original study was two-sided, while I can not collect this information from the original report. The t-test refers to values of a pre-post test. I only coded the test statistics, as the effect size was dz (from replication report).</t>
  </si>
  <si>
    <t>The reported effect is for Cohens dz, thus for dependent samples. Therefore, the "nested_r" should be "yes" and Cohens d can not be used as an effect size (correct?). -&gt; yes, coded nested as yes and left the t statistic</t>
  </si>
  <si>
    <t>Vul, E., &amp; Pashler, H. (2008). Measuring the crowd within: Probabilistic representations within individuals. Psychological Science, 19, 645-647.</t>
  </si>
  <si>
    <t>10.1111/j.1467-9280.2008.02136.x</t>
  </si>
  <si>
    <t>10.1111--j.1467-9280.2008.02136.x.pdf</t>
  </si>
  <si>
    <t>steegen, sara, vanpaemel, wolf, tuerlinckx, francis, &amp; Dewitte, L. (2023, September 28). Replication of Vul &amp; Pashler (Psych Science, 2008). Retrieved from osf.io/ivfu6</t>
  </si>
  <si>
    <t>10.3389/fpsyg.2014.00786</t>
  </si>
  <si>
    <t>10.3389--fpsyg.2014.00786.pdf</t>
  </si>
  <si>
    <t>Replication study</t>
  </si>
  <si>
    <t>Crowd effect</t>
  </si>
  <si>
    <t>Crowding, Humans, Models, Statistical</t>
  </si>
  <si>
    <t>Measuring the crowd within: Probabilistic representations within individuals.</t>
  </si>
  <si>
    <t>"In the delayed condition, the error of the average was also smaller than the error of the first guess, t(172) = 3.94, p &lt; .01"</t>
  </si>
  <si>
    <t>t(172) = 3.94</t>
  </si>
  <si>
    <t>t(139) = 4.02</t>
  </si>
  <si>
    <r>
      <rPr>
        <rFont val="Arial, sans-serif"/>
        <color rgb="FF1155CC"/>
        <u/>
      </rPr>
      <t>https://osf.io/2hk76</t>
    </r>
  </si>
  <si>
    <t>1. Minor sample and language differences
 2. For replication Cohen's dz is used</t>
  </si>
  <si>
    <t>Crowd effect, wisdom of the crowd, Crowding, probability</t>
  </si>
  <si>
    <t>Averaging two guesses within one person provides a more accurate answer than either guess alone</t>
  </si>
  <si>
    <t>In the delayed condition, the error of the average was also smaller than the error of the first guess, t(172) = 3.94, p &lt; .01, and of the second guess, t(172) = 6.59, p &lt; .01</t>
  </si>
  <si>
    <t>Cohen's dz</t>
  </si>
  <si>
    <r>
      <rPr>
        <rFont val="Arial, sans-serif"/>
        <color rgb="FF1155CC"/>
        <u/>
      </rPr>
      <t>https://osf.io/2hk76</t>
    </r>
  </si>
  <si>
    <t>osc2015117_1</t>
  </si>
  <si>
    <t>osc2015117</t>
  </si>
  <si>
    <t>Barnett Cowan, Corinna Gemmecke</t>
  </si>
  <si>
    <t>The codings largy align with each other. However, the second coder did not include the effect size for the replication of the table</t>
  </si>
  <si>
    <t>Vul, E., Nieuwenstein, M., &amp; Kanwisher, N. (2008). Temporal selection is suppressed, delayed, and diffused during the attentional blink. Psychological Science, 19(1), 55-61.</t>
  </si>
  <si>
    <t>10.1111/j.1467-9280.2008.02046.x</t>
  </si>
  <si>
    <t>10.1111--j.1467-9280.2008.02046.x.pdf</t>
  </si>
  <si>
    <t>Barnett-Cowan, M. (2023, September 28). Replication of Vul et al (2008, PS, Study 1). Retrieved from osf.io/rzjvn</t>
  </si>
  <si>
    <t>Temporal selection of visual targets</t>
  </si>
  <si>
    <t>Adolescent, Adult, Attentional Blink, Cues, Female, Humans, Inhibition (Psychology), Male, Pattern Recognition, Visual, Probability, Reaction Time, Serial Learning, Time Perception</t>
  </si>
  <si>
    <t>Temporal selection is suppressed, delayed, and diffused during the attentional blink.</t>
  </si>
  <si>
    <t>"All effects and interactions were significant at a p value of .0001; most important, the three-way interaction was highly significant, F(18, 660) = 16.31, p &lt; .00001"</t>
  </si>
  <si>
    <t>F(18, 660) = 16.31</t>
  </si>
  <si>
    <t>p. 6; F(18, 660) = 12.98</t>
  </si>
  <si>
    <r>
      <rPr>
        <rFont val="Arial, sans-serif"/>
        <color rgb="FF1155CC"/>
        <u/>
      </rPr>
      <t>https://osf.io/pyt4e</t>
    </r>
  </si>
  <si>
    <t>Temporal selection</t>
  </si>
  <si>
    <t>Temporal selection, attentional blink, stimulus onset asynchronies, efficacy, latency, precision, selective attention</t>
  </si>
  <si>
    <t>Selection is suppressed (efficacy), delayed (latency), and diffused (precision) in time during the attentional blink</t>
  </si>
  <si>
    <t>All effects and interactions were significant at a p value of .0001; most important, the three-way interaction was highly significant, F(18, 660) = 16.31, p &lt; .00001</t>
  </si>
  <si>
    <t>F(18, 660) = 12.98</t>
  </si>
  <si>
    <r>
      <rPr>
        <rFont val="Arial, sans-serif"/>
        <color rgb="FF1155CC"/>
        <u/>
      </rPr>
      <t>https://osf.io/pyt4e</t>
    </r>
  </si>
  <si>
    <t>osc2015118_1</t>
  </si>
  <si>
    <t>osc2015118</t>
  </si>
  <si>
    <t>Osborne, Corinna Gemmecke</t>
  </si>
  <si>
    <t>Difference in coding of nesting (both in replication and original). However, an 2 x 2 between subjects ANOVA was performed. -&gt; coded as nested</t>
  </si>
  <si>
    <t>Masicampo, E.J., &amp; Baumeister, R.F. (2008). Toward a physiology of dual-process reasoning and judgment: Lemonade, willpower, and expensive rule-based analysis. Psychological Science, 19(3), 255-260.</t>
  </si>
  <si>
    <t>10.1111/j.1467-9280.2008.02077.x</t>
  </si>
  <si>
    <t>10.1111--j.1467-9280.2008.02077.x.pdf</t>
  </si>
  <si>
    <t>Osborne, C., Vuu, G., &amp; Henninger, F. (2023, September 28). Replication of EJ Masicampo, RF Baumeister (2008, PS 19(3)). Retrieved from osf.io/3h29d</t>
  </si>
  <si>
    <t>Attraction effect</t>
  </si>
  <si>
    <t>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</si>
  <si>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The attraction effect was larger in the depletion with placebo group than among participants in the other three groups (depletion with sugar, no depletion with sugar, no depletion with placebo)</t>
  </si>
  <si>
    <t>"We tested this prediction using a focused interaction contrast pitting the depletion-plus-placebo condi- tion against the combination of the other three conditions. This interaction was significant, F(1,111) = 5.311, p-rep = .92, partial η2 ​= .045"</t>
  </si>
  <si>
    <t>p. 4; F(1, 111) = 5.311</t>
  </si>
  <si>
    <t>p. 5; F(1, 158) = 0.379</t>
  </si>
  <si>
    <r>
      <rPr>
        <rFont val="Arial, sans-serif"/>
        <color rgb="FF1155CC"/>
        <u/>
      </rPr>
      <t>https://osf.io/8ybk5</t>
    </r>
  </si>
  <si>
    <t>1. Minor changes to the paradigm
 2. Authors reported p-replication (probability of replication) instead of p-value
 3. I am not sure whether the analsis was nested or not.</t>
  </si>
  <si>
    <t>Association, Attention, Beverages, Blood Glucose, Brain, Inhibition, Interpersonal Relations, Judgment, Logic, Motivation, Physical Exertion, Problem Solving, Set, dual-process reasoning</t>
  </si>
  <si>
    <t>This interaction was significant, F(1,111) = 5.311, p-rep = .92, partial η2 ​= .045</t>
  </si>
  <si>
    <r>
      <rPr>
        <rFont val="Arial, sans-serif"/>
        <color rgb="FF1155CC"/>
        <u/>
      </rPr>
      <t>https://osf.io/8ybk5</t>
    </r>
  </si>
  <si>
    <t>osc201512_1</t>
  </si>
  <si>
    <t>osc201512</t>
  </si>
  <si>
    <t>Bell, Corinna Gemmecke</t>
  </si>
  <si>
    <t>Only difference: partial etasq versus regular etasq.</t>
  </si>
  <si>
    <t>Marsh, J.E., Vachon, F., &amp; Jones, D.M. (2008). When does between-sequence phonological similarity promote irrelevant sound disruption? Journal of Experimental Psychology: Learning, Memory, and Cognition, 34(1), 243-248.</t>
  </si>
  <si>
    <t>10.1037/0278-7393.34.1.243</t>
  </si>
  <si>
    <t>10.1037--0278-7393.34.1.243.pdf</t>
  </si>
  <si>
    <t>Ricker, A. A., &amp; Saide, A. (2023, September 28). Replication of JI Campbell, ND Robert (2008, JEPLMC 34(3), Exp 3). Retrieved from osf.io/gxvd3</t>
  </si>
  <si>
    <t>Phonological similarity</t>
  </si>
  <si>
    <t>Attention, Humans, Mental Recall, Phonetics, Psychoacoustics, Semantics, Serial Learning, Speech Perception, Verbal Learning</t>
  </si>
  <si>
    <t>Free recall, but not serial recall, of lists of phonologically related to-be-remembered items are disrupted by an irrelevant sound stream (end rhymes) sharing similar phonological content</t>
  </si>
  <si>
    <t>"Of particular importance for the purpose of the present study is the significant interaction between instruction type and sound condition, F(2, 92) = 3.13, p &lt; .05, d = 0.52."</t>
  </si>
  <si>
    <t>p. 3; F(2, 92) = 3.13</t>
  </si>
  <si>
    <t>p. 7; F(2, 232) = 1.63</t>
  </si>
  <si>
    <r>
      <rPr>
        <rFont val="Arial, sans-serif"/>
        <color rgb="FF1155CC"/>
        <u/>
      </rPr>
      <t>https://osf.io/vj2xr</t>
    </r>
  </si>
  <si>
    <t>1. The second OSF link: https://osf.io/pgvej
 2. Confidence rating was excluded from the replication. Given that it was collected in the original study after the recall, I consider this study to be a close replication</t>
  </si>
  <si>
    <t>Auditory distraction, phonological similarity, selective attention, free recall, serial recall</t>
  </si>
  <si>
    <t>Phonologically similar irrelevant items disrupted recall compared with phonologically dissimilar items in free recall</t>
  </si>
  <si>
    <t>The purpose of the present study is the significant interaction between instruction type and sound condition, F(2, 92) = 3.13, p &lt; .05, d = 0.52</t>
  </si>
  <si>
    <r>
      <rPr>
        <rFont val="Arial, sans-serif"/>
        <color rgb="FF1155CC"/>
        <u/>
      </rPr>
      <t>https://osf.io/vj2xr</t>
    </r>
  </si>
  <si>
    <t>osc2015120_1</t>
  </si>
  <si>
    <t>osc2015120</t>
  </si>
  <si>
    <t>Lewis, Corinna Gemmecke</t>
  </si>
  <si>
    <t>The table states that the correlation was tested one-tailed (in the original), the report does not specify this.</t>
  </si>
  <si>
    <t>Only difference: coding whether the original effect size was tested one tailed or two-tailed --&gt; not reported in the manuscript on p. 3</t>
  </si>
  <si>
    <t>Hajcak, G., &amp; Foti, D. (2008). Errors are aversive: Defensive motivation and the error-related negativity. Psychological science, 19(2), 103-108.</t>
  </si>
  <si>
    <t>10.1111/j.1467-9280.2008.02053.x</t>
  </si>
  <si>
    <t>10.1111--j.1467-9280.2008.02053.x.pdf</t>
  </si>
  <si>
    <t>Lewis, M., &amp; Pitts, M. (2023, September 28). Replication of Hajcak &amp; Foti (2008, PS, Study 1).</t>
  </si>
  <si>
    <t>10.17605/OSF.IO/73PND</t>
  </si>
  <si>
    <t>10.17605--osf.io--73pnd.pdf</t>
  </si>
  <si>
    <t>Error-related negativity</t>
  </si>
  <si>
    <t>Affect, Defense Mechanisms, Female, Humans, Male, Motivation, Time Factors, Verbal Behavior, Vocabulary</t>
  </si>
  <si>
    <t>The magnitude of the startle response following an error is correlated to the amplitude of the Error-Related Negativity (ERN)</t>
  </si>
  <si>
    <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</si>
  <si>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r>
      <rPr>
        <rFont val="Arial, sans-serif"/>
        <color rgb="FF1155CC"/>
        <u/>
      </rPr>
      <t>https://osf.io/hsntd</t>
    </r>
  </si>
  <si>
    <t>1. Although in RPP table this paper was in Social science, I would rather put it in Cognitive because of the studied phenomenon and methods. However, I report along with the RPP table the final Code.</t>
  </si>
  <si>
    <t>Error-related negativity, motivation, affect, defense mechanisms, verbal behavior, vocabulary</t>
  </si>
  <si>
    <t>The amplitude of the ERN predicted the degree to which errors potentiated the startle response (see Fig. 2; r = .38, p &lt; .05)</t>
  </si>
  <si>
    <t>r = -0.38</t>
  </si>
  <si>
    <t>r = -0.25</t>
  </si>
  <si>
    <r>
      <rPr>
        <rFont val="Arial, sans-serif"/>
        <color rgb="FF1155CC"/>
        <u/>
      </rPr>
      <t>https://osf.io/hsntd</t>
    </r>
  </si>
  <si>
    <t>Overall your validation work was very good and transparent,. I could easily understand the comments and issues, thank you!
A few minor points:
- please remove merged cells (this can happen if you copy from MS Excel to Google Spreadsheets and when the text is wider than a cell and the next cell is empty)
- there should be no empty cells except for the exclusion variable (some study numbers were missing and for some NA pvals the tails and types should also have been coded as NA)
- please don't paste effect sizes AND test statistics into the es_value_ cells. Report the effect size only and paste the test statistics in the notes variable</t>
  </si>
  <si>
    <t>osc2015121_1</t>
  </si>
  <si>
    <t>osc2015121</t>
  </si>
  <si>
    <t>Beer, Corinna Gemmecke</t>
  </si>
  <si>
    <t>Authors reported p-rep instead of p-value, another effect size was available, too (z = 5.43)</t>
  </si>
  <si>
    <t>Difference in effect size of the replication study. The second coder did not code the effect size of the table.</t>
  </si>
  <si>
    <t>Tabibnia, G., Satpute, A.B., Lieberman, M.D. (2008). The sunny side of fairness: Preference for fairness activates reward circuitry (and disregarding unfairness activates self-control circuitry). Psychological Science, 19(4), 339-347.</t>
  </si>
  <si>
    <t>10.1111/j.1467-9280.2008.02091.x</t>
  </si>
  <si>
    <t>10.1111--j.1467-9280.2008.02091.x.pdf</t>
  </si>
  <si>
    <t>Beer, J. S., Rigney, A. E., &amp; Flagan, T. (2016, August 19). Replication of G Tabibnia, AB Satpute, MD Lieberman (2008, PS 19(4)). Retrieved from osf.io/94j6h</t>
  </si>
  <si>
    <t>10.17605/OSF.IO/VQZX9</t>
  </si>
  <si>
    <t>10.17605--osf.io--vqzx9.pdf</t>
  </si>
  <si>
    <t>Fairness preferences</t>
  </si>
  <si>
    <t>Adolescent, Adult, Affect, Cerebral Cortex [physiology], Conflict (Psychology), Female, Happiness, Humans, Male, Prefrontal Cortex [physiology], Reward, Social Control, Informal, Social Justice</t>
  </si>
  <si>
    <t>Accepting unfair offers increases right ventrolateral prefrontal cortex activation</t>
  </si>
  <si>
    <t>"However, a large cluster (k = 834) in right VLPFC was active in this comparison (x = 50, y = 44, z = 8), t(11) = 5.39, p-rep &gt; .99, d = 3.25, a finding consistent with the hypothesis that accepting unfair offers may involve emotion regulation"</t>
  </si>
  <si>
    <t>p. 5, 6; t(11) = 5.39</t>
  </si>
  <si>
    <t>Z = 4.92, N = 24</t>
  </si>
  <si>
    <r>
      <rPr>
        <rFont val="Arial, sans-serif"/>
        <color rgb="FF1155CC"/>
        <u/>
      </rPr>
      <t>https://osf.io/vqzx9</t>
    </r>
  </si>
  <si>
    <t>1. The final report of replication in under another link: https://osf.io/nxp9w
 2. Although the study in RPP table is in Social sciences, it is more about neuroscience due to target and methodology. However, I report along with RPP table. 
 3. Updates were made for the replication, but no major changes -&gt; close replication
 4. Authors reported p-replication (probability of replication) instead of p-value</t>
  </si>
  <si>
    <t>Fairness acceptance</t>
  </si>
  <si>
    <t>Affect, Cerebral Cortex, Conflict, Happiness, Prefrontal Cortex, Reward, Social Control, Informal, Social Justice, fairness, acceptance, ultimatum game</t>
  </si>
  <si>
    <t>However, a large cluster (k = 834) in right VLPFC was active in this comparison (x = 50, y = 44, z = 8), t(11) = 5.39, p-rep &gt; .99, d = 3.25, a finding consistent with the hypothesis that accepting unfair offers may involve emotion regulation</t>
  </si>
  <si>
    <t>z = 4.92</t>
  </si>
  <si>
    <r>
      <rPr>
        <rFont val="Arial, sans-serif"/>
        <color rgb="FF1155CC"/>
        <u/>
      </rPr>
      <t>https://osf.io/vqzx9</t>
    </r>
  </si>
  <si>
    <t>osc2015122_1</t>
  </si>
  <si>
    <t>osc2015122</t>
  </si>
  <si>
    <t>Schlegelmilch, Corinna Gemmecke</t>
  </si>
  <si>
    <t>The authors of the original report report r-square as an effect size, but I was not sure whether you can use that effect size for further codings. The authors of the replication report report Cohens dz and I was not sure whether you can work with this effect size and whether it corrects for dependence. Therefore, I only report test statistics.</t>
  </si>
  <si>
    <t>Differences in coding of effect sizes --&gt; t tests were chosen over R²</t>
  </si>
  <si>
    <t>Alvarez, G.A. &amp; Oliva, A. (2008). The representation of simple ensemble visual features outside the focus of attention. Psychological Science, 19(4), 392-398.</t>
  </si>
  <si>
    <t>10.1111/j.1467-9280.2008.02098.x</t>
  </si>
  <si>
    <t>10.1111--j.1467-9280.2008.02098.x.pdf</t>
  </si>
  <si>
    <t>Schlegelmilch, R., &amp; van den Bergh, D. (2023, September 28). Replication of GA Alvarez, A Oliva (2008, PS 19(4), Exp. 3). Retrieved from osf.io/dnaxe</t>
  </si>
  <si>
    <t>Representation of ensemble visual features</t>
  </si>
  <si>
    <t>Adolescent, Adult, Attention, Humans, Visual Perception</t>
  </si>
  <si>
    <t>Reporting error on the location of missing distractors items was less when the targets were spatially distinct</t>
  </si>
  <si>
    <t>"As Figure 4b illustrates, localization error in the centroid condition was significantly lower for targets than for distractors,[..] but centroid localization was better than chance for both targets [...] and distractors, t(7) = 2.76, p = .028, r-square = .52"</t>
  </si>
  <si>
    <t>t(7) = 2.76</t>
  </si>
  <si>
    <t>t(16)= -9.59</t>
  </si>
  <si>
    <r>
      <rPr>
        <rFont val="Arial, sans-serif"/>
        <color rgb="FF1155CC"/>
        <u/>
      </rPr>
      <t>https://osf.io/fs3ut</t>
    </r>
  </si>
  <si>
    <t>1. Authors of replication stated that they did minor changes to screen size, but adjusted all paramaters to the renewed screen. Since this can affect the visual perception directly, I put the replication to conceptual category
 2. R-square is used for ES measurement
 3. For replication Cohen's dz is used</t>
  </si>
  <si>
    <t>Ensemble perception</t>
  </si>
  <si>
    <t>Attention, Visual Perception, object tracking task, local visual features, statistical summary features</t>
  </si>
  <si>
    <t>As Figure 4b illustrates, localization error in the centroid condition was significantly lower for targets than for distractors, t(7) = 3.17, p = .016, r-square = .59, but centroid localization was better than chance for both targets, t(7) = 8.32, p &lt; .001, r-square = .88, and distractors, t(7) = 2.76, p = .028, r-square = .52</t>
  </si>
  <si>
    <r>
      <rPr>
        <rFont val="Arial, sans-serif"/>
        <color rgb="FF1155CC"/>
        <u/>
      </rPr>
      <t>https://osf.io/fs3ut</t>
    </r>
  </si>
  <si>
    <t>osc2015123_1</t>
  </si>
  <si>
    <t>osc2015123</t>
  </si>
  <si>
    <t>No replication</t>
  </si>
  <si>
    <t>Woodman, G. F., Kang, M. S., Thompson, K., &amp; Schall, J. D. (2008). The effect of visual search efficiency on response preparation: neurophysiological evidence for discrete flow. Psychological science, 19(2), 128-136.</t>
  </si>
  <si>
    <t>10.1111/j.1467-9280.2008.02058.x</t>
  </si>
  <si>
    <t>10.1111--j.1467-9280.2008.02058.x.pdf</t>
  </si>
  <si>
    <t>Animals, Macaca mulatta, Macaca radiata, Neurophysiology, Reaction Time, Saccades [physiology], Visual Fields [physiology], Visual Perception</t>
  </si>
  <si>
    <t>The effect of visual search efficiency on response preparation</t>
  </si>
  <si>
    <t>1. No replication</t>
  </si>
  <si>
    <t>osc2015124_1</t>
  </si>
  <si>
    <t>osc2015124</t>
  </si>
  <si>
    <t>Stieger, Corinna Gemmecke</t>
  </si>
  <si>
    <t>I was not sure whether you could use omega as an effect size. Therefore, I report test statistics.; Only p-rep is reported</t>
  </si>
  <si>
    <t>Difference in reporting of p-value. The second coder reports p-rep.; Difference in nesting: Both performed analysis were analysis of vaiance (no reporting of repeated measures). --&gt; p-rep is wrong, first coder's values were chosen</t>
  </si>
  <si>
    <t>Lau, G.P., Kay, A.C., &amp; Spencer, S.J. (2008). Loving those who justify inequality: The effects of system threat on attraction to women who embody benevolent sexist ideals. Psychological Science, 19, 20-21.</t>
  </si>
  <si>
    <t>Stieger, S., &amp; Kuhlmann, T. (2023, September 28). Replication of GP Lau, AC Kay, SJ Spencer (2008, PS 19(1)). Retrieved from osf.io/fxqsk</t>
  </si>
  <si>
    <t>Effects of System Threat on Attraction to Women Who Embody Benevolent Sexist Ideals</t>
  </si>
  <si>
    <t>Adolescent, Adult, Canada, Cross-Cultural Comparison, Culture, Humans, Male, Politics, Prejudice, Rationalization, Social Change, Social Desirability, Socioeconomic Factors, Stereotyping</t>
  </si>
  <si>
    <t>Male participants whose faith in the federal system was threatened showed greater romantic interest in women who embody benevolent sexist ideals than in women who do not embody these ideals</t>
  </si>
  <si>
    <t>"A 2 (system threat vs. no threat) × 2 (benevolent-stereotypic vs. non-benevolent-stereotypic) analysis of variance conducted on the mean ratings of romantic interest revealed a significant two-way interaction, F(1,34) = 55.89, p = .93, w-square = .02"</t>
  </si>
  <si>
    <t>F(1, 34) = 5.89</t>
  </si>
  <si>
    <t>p. 3; F(1, 68) = 0.08</t>
  </si>
  <si>
    <r>
      <rPr>
        <rFont val="Arial, sans-serif"/>
        <color rgb="FF1155CC"/>
        <u/>
      </rPr>
      <t>https://osf.io/tpzk9</t>
    </r>
  </si>
  <si>
    <t>1. Two more OSF links: https://osf.io/fymue, https://osf.io/2uh78
 2. There was no information about Discipline in the RPP table, thus I put my considerations into the cell</t>
  </si>
  <si>
    <t>Benevolent stereotyping</t>
  </si>
  <si>
    <t>Prejudice, rationalization, social change, social desirability, socioeconomic factors, stereotyping, system-justification theory, benevolent stereotyping, relationship</t>
  </si>
  <si>
    <t>A 2 (system threat vs. no threat) × 2 (benevolent-stereotypic vs. non-benevolent-stereotypic) analysis of variance conducted on the mean ratings of romantic interest revealed a significant two-way interaction, F(1,34) = 55.89, p = .93, w-square = .02</t>
  </si>
  <si>
    <r>
      <rPr>
        <rFont val="Arial, sans-serif"/>
        <color rgb="FF1155CC"/>
        <u/>
      </rPr>
      <t>https://osf.io/tpzk9</t>
    </r>
  </si>
  <si>
    <t>osc2015126_1</t>
  </si>
  <si>
    <t>osc2015126</t>
  </si>
  <si>
    <t>Deary, I. J., Batty, G. D., &amp; Gale, C. R. (2008). Bright children become enlightened adults. Psychological science, 19(1), 1-6.</t>
  </si>
  <si>
    <t>10.1111/j.1467-9280.2008.02036.x</t>
  </si>
  <si>
    <t>10.1111--j.1467-9280.2008.02036.x.pdf</t>
  </si>
  <si>
    <t>Adolescent, Adult, Child, Child Development, Cohort Studies, Educational Status, Female, Great Britain, Humans, Individuality, Intelligence, Male, Models, Psychological, Politics, Prejudice, Social Class, Social Justice, Social Values</t>
  </si>
  <si>
    <t>Bright children become enlightened adults</t>
  </si>
  <si>
    <t>1. There is no replication</t>
  </si>
  <si>
    <t>osc2015127_1</t>
  </si>
  <si>
    <t>osc2015127</t>
  </si>
  <si>
    <t>Levitan, Corinna Gemmecke</t>
  </si>
  <si>
    <t>The authors of the original report report a value of p = .000, but as a p-value can not be zero, I changed the value. A two-tailed paired t-test was used, thus the test should control for nesting.</t>
  </si>
  <si>
    <t>Difference in p-value of original report and in "pval_tails_r", but the replication report notes on p. 3 that a two-tailed paired t-test was used. Therefore, the test should also control for nesting (the test was also used in the original study). Correct? -&gt; two tails were chosen, yes to nesting ni paired t tests</t>
  </si>
  <si>
    <t>Winawer, Huk, and Boroditsky (2008). A Motion aftereffect from still photographs depicting motion. Psychological Science, 19, 276-283.</t>
  </si>
  <si>
    <t>10.1111/j.1467-9280.2008.02080.x</t>
  </si>
  <si>
    <t>10.1111--j.1467-9280.2008.02080.x.pdf</t>
  </si>
  <si>
    <t>Levitan, C., Errington, T. M., &amp; Gampa, A. (2023, September 28). Replication of Winawer, Huk, &amp; Boroditsky (Psychological Science, 2008). Retrieved from osf.io/mjasz</t>
  </si>
  <si>
    <t>Motion aftereffect</t>
  </si>
  <si>
    <t>Attention, Cues, Figural Aftereffect, Humans, Imagination, Motion Perception, Orientation, Pattern Recognition, Visual, Photography, Psychophysics, Transfer (Psychology)</t>
  </si>
  <si>
    <t>Motion aftereffects were present following the presentation of a still photograph depicting motion</t>
  </si>
  <si>
    <t>"Subjects in the third experiment showed significant adapta- tion to inward and outward implied motion. The point of per- ceived null motion shifted by 0.17 _x0003_ 0.04 units of normalized coherence, t(28) = 4.98, p = .000, prep = .99"</t>
  </si>
  <si>
    <t>t(28) = 4.978</t>
  </si>
  <si>
    <t>p. 4; t(25)=-3.1029</t>
  </si>
  <si>
    <r>
      <rPr>
        <rFont val="Arial, sans-serif"/>
        <color rgb="FF1155CC"/>
        <u/>
      </rPr>
      <t>https://osf.io/m9suf</t>
    </r>
  </si>
  <si>
    <t>1. Changes in distance between viewer and screen could affect the results -&gt; conceptual replication</t>
  </si>
  <si>
    <t>Motion aftereffec</t>
  </si>
  <si>
    <t>Attention, Cues, Figural Aftereffect, Humans, Imagination, Motion Perception, Orientation, Pattern Recognition, Visual, Photography, Psychophysics</t>
  </si>
  <si>
    <t>The point of perceived null motion shifted by 0.17 ± 0.04 units of normalized coherence, t(28) = 4.98, p &lt; .001, p-rep = .99, or 5.7 ± 1.0% of actual coherence, t(28) = 5.48, p &lt; .001, p-rep = .99</t>
  </si>
  <si>
    <t>t(28) = 4.98</t>
  </si>
  <si>
    <r>
      <rPr>
        <rFont val="Arial, sans-serif"/>
        <color rgb="FF1155CC"/>
        <u/>
      </rPr>
      <t>https://osf.io/m9suf</t>
    </r>
  </si>
  <si>
    <t>osc2015129_1</t>
  </si>
  <si>
    <t>osc2015129</t>
  </si>
  <si>
    <t>Lai, Corinna Gemmecke</t>
  </si>
  <si>
    <t>Only p-rep was reported (original report); The OSF page of the replication project does not work.</t>
  </si>
  <si>
    <t>As this coding is not complete, I choose the second one.</t>
  </si>
  <si>
    <t>Richeson, J. A., &amp; Trawalter, S. (2008). The threat of appearing prejudiced and race-based attentional biases. Psychological Science, 19(2), 98-102.</t>
  </si>
  <si>
    <t>10.1111/j.1467-9280.2008.02052.x</t>
  </si>
  <si>
    <t>10.1111--j.1467-9280.2008.02052.x.pdf</t>
  </si>
  <si>
    <r>
      <rPr>
        <rFont val="Calibri, sans-serif"/>
        <color rgb="FF38761D"/>
        <sz val="11.0"/>
      </rPr>
      <t xml:space="preserve">Lai, C. K. (2023). Replication of Richeson &amp; Trawalter (2008, PS, Study 1). Retrieved from </t>
    </r>
    <r>
      <rPr>
        <rFont val="Calibri, sans-serif"/>
        <color rgb="FF38761D"/>
        <sz val="11.0"/>
        <u/>
      </rPr>
      <t>osf.io/c5fza</t>
    </r>
  </si>
  <si>
    <t>Race-based attentional bias</t>
  </si>
  <si>
    <t>Adult, Anxiety [psychology], Arousal [physiology], Attention, Attitude, Bias (Epidemiology), Facial Expression, Female, Humans, Male, Prejudice</t>
  </si>
  <si>
    <t>High External Motivation (EM) participants exhibit attentional biases for neutral Black faces, but not happy Black faces.</t>
  </si>
  <si>
    <t>"The three-way interaction of group, presentation duration, and facial expression was reliable, F(1,26) = 4.17, p-rep = .92, d = 0.80"</t>
  </si>
  <si>
    <t>0.80; F(1, 26) = 4.17</t>
  </si>
  <si>
    <t>0.00; F(1, 64) = .02</t>
  </si>
  <si>
    <r>
      <rPr>
        <rFont val="Arial, sans-serif"/>
        <color rgb="FF1155CC"/>
        <u/>
      </rPr>
      <t>https://osf.io/s2d6t</t>
    </r>
  </si>
  <si>
    <t>1. Minor changes to the paradigm</t>
  </si>
  <si>
    <r>
      <rPr>
        <rFont val="Calibri, sans-serif"/>
        <color rgb="FF38761D"/>
        <sz val="11.0"/>
      </rPr>
      <t xml:space="preserve">Lai, C. K. (2023). Replication of Richeson &amp; Trawalter (2008, PS, Study 1). Retrieved from </t>
    </r>
    <r>
      <rPr>
        <rFont val="Calibri, sans-serif"/>
        <color rgb="FF38761D"/>
        <sz val="11.0"/>
        <u/>
      </rPr>
      <t>osf.io/c5fza</t>
    </r>
  </si>
  <si>
    <t>Attentional bias</t>
  </si>
  <si>
    <t>Attentional bias, prejudice, anxiety, dot-probe detection paradigm, threatening cues, race, motivation</t>
  </si>
  <si>
    <t>High External Motivation (EM) participants exhibit attentional biases for neutral Black faces, but not happy Black faces</t>
  </si>
  <si>
    <t>The three-way interaction of group, presentation duration, and facial expression was reliable, F(1,26) = 4.17, p-rep = .92, d = 0.80</t>
  </si>
  <si>
    <t>p. 3; F(1, 26) = 4.17</t>
  </si>
  <si>
    <t>p. 4; F(1, 64) = .02</t>
  </si>
  <si>
    <r>
      <rPr>
        <rFont val="Arial, sans-serif"/>
        <color rgb="FF1155CC"/>
        <u/>
      </rPr>
      <t>https://osf.io/s2d6t</t>
    </r>
  </si>
  <si>
    <t>osc201513_1</t>
  </si>
  <si>
    <t>osc201513</t>
  </si>
  <si>
    <t>Ricker, Corinna Gemmecke</t>
  </si>
  <si>
    <t>Only difference in p-value of replication. The p-value was lower than .001.</t>
  </si>
  <si>
    <t>Campbell, J.I., &amp; Robert, N.D. (2008). Bidirectional associations in multiplication memory: Conditions of negative and positive transfer. Journal of Experimental Psychology: Learning, Memory, and Cognition, 34(3), 546-555.</t>
  </si>
  <si>
    <t>10.1037/0278-7393.34.3.546</t>
  </si>
  <si>
    <t>10.1037--0278-7393.34.3.546.pdf</t>
  </si>
  <si>
    <t>Bidirectional Associations in Multiplication Memory</t>
  </si>
  <si>
    <t>Adolescent, Adult, Female, Humans, Male, Mathematics, Mental Recall, Practice (Psychology), Problem Solving, Retention (Psychology), Transfer (Psychology)</t>
  </si>
  <si>
    <t>response times were faster when participants were given the same mathematical operation to practice and to test, relative to operational change or a new problem</t>
  </si>
  <si>
    <t>"There was a robust Group X Problem Type interaction, F(2,68) = 41.59, MSE = 4470.55, p &lt; .001"</t>
  </si>
  <si>
    <t>F(2, 68) = 41.59</t>
  </si>
  <si>
    <t>F(2, 68) = 41.603</t>
  </si>
  <si>
    <r>
      <rPr>
        <rFont val="Arial, sans-serif"/>
        <color rgb="FF1155CC"/>
        <u/>
      </rPr>
      <t>https://osf.io/689xc</t>
    </r>
  </si>
  <si>
    <t>1. The second OSF link: https://osf.io/d2yqj
 2. I would say it is a close replication, since authors only changed the software and instructional presentation was not detailed in original study
 3. The Effect can be either "Numeracy" (object, phenomenon) or Identical Elements Model (effect). I chose the broader term.</t>
  </si>
  <si>
    <t>Numeracy</t>
  </si>
  <si>
    <t>Arithmetic, factoring, multiplication, transfer, identical elements</t>
  </si>
  <si>
    <t>Practising the same mathematical operation which will occur in experimental part increased the response time in comparison to operational change)</t>
  </si>
  <si>
    <t>There was a robust Group X Problem Type interaction, F(2,68) = 41.59, MSE = 4470.55, p &lt; .001</t>
  </si>
  <si>
    <r>
      <rPr>
        <rFont val="Arial, sans-serif"/>
        <color rgb="FF1155CC"/>
        <u/>
      </rPr>
      <t>https://osf.io/689xc</t>
    </r>
  </si>
  <si>
    <t>Boyce_etal20231_1</t>
  </si>
  <si>
    <t>Boyce_etal20231</t>
  </si>
  <si>
    <r>
      <rPr>
        <rFont val="Calibri"/>
        <sz val="11.0"/>
      </rPr>
      <t xml:space="preserve">1. Changed the Discipline from Psychology to "Cognitive Psychology"
2. The report is absent in github folder, and the data is missed in the outcome table
3. I was not able to find corresponding OSF link except: </t>
    </r>
    <r>
      <rPr>
        <rFont val="Calibri"/>
        <color rgb="FF1155CC"/>
        <sz val="11.0"/>
        <u/>
      </rPr>
      <t>https://osf.io/xwn9m/</t>
    </r>
    <r>
      <rPr>
        <rFont val="Calibri"/>
        <sz val="11.0"/>
      </rPr>
      <t xml:space="preserve"> (general, not specific)</t>
    </r>
  </si>
  <si>
    <t xml:space="preserve">Should in case of exclusion we left the row empty (except "Exclusion" column? </t>
  </si>
  <si>
    <t>Alais, D., &amp; Burr, D. (2004). The ventriloquist effect results from near-optimal bimodal integration. Current biology, 14(3), 257-262.</t>
  </si>
  <si>
    <t>10.1016/j.cub.2004.01.029</t>
  </si>
  <si>
    <t>10.1016--j.cub.2004.01.029.pdf</t>
  </si>
  <si>
    <t>No replication report / data</t>
  </si>
  <si>
    <t>You wrote "Should in case of exclusion we left the row empty (except "Exclusion" column? " - I did not understand the question entirely, I think. You were right to leave the cells empty as this is an exclusion anyway.</t>
  </si>
  <si>
    <t>No statistics in Boyce dataset</t>
  </si>
  <si>
    <t>Boyce, V., Mathur, M., &amp; Frank, M. C. (2023). Eleven years of student replication projects provide evidence on the correlates of replicability in psychology. Royal Society Open Science, 10(11), 231240. https://doi.org/10.1098/rsos.231063</t>
  </si>
  <si>
    <t>10.1098/rsos.231063</t>
  </si>
  <si>
    <t>Comparison of the best unimodal performance with bimodal performance predicted by Equation 1,  in a one-tailed, matched samples t test produces a clearly significant result, with t5 =  3.69 and p&lt;0.01.</t>
  </si>
  <si>
    <t>Boyce_etal202310_1</t>
  </si>
  <si>
    <t>Boyce_etal202310</t>
  </si>
  <si>
    <t>No individual report found</t>
  </si>
  <si>
    <t>Boyce datatable suggests that effect went in opposite direction - but we only have F. Yet correlation is so small (and noisy) that it makes no difference where the point estimate is.</t>
  </si>
  <si>
    <t>Blair, K. S., Smith, B. W., Mitchell, D. G., Morton, J., Vythilingam, M., Pessoa, L., ... &amp; Blair, R. J. R. (2007). Modulation of emotion by cognition and cognition by emotion. Neuroimage, 35(1), 430-440.</t>
  </si>
  <si>
    <t>10.1016/j.neuroimage.2006.11.048</t>
  </si>
  <si>
    <t>10.1016--j.neuroimage.2006.11.048.pdf</t>
  </si>
  <si>
    <t>Very close replication</t>
  </si>
  <si>
    <t>Emotion modulation</t>
  </si>
  <si>
    <t>fMRI, Emotion, Attention, Stroop interference, Emotional interference</t>
  </si>
  <si>
    <t>Modulation of emotion by cognition and cognition by emotion</t>
  </si>
  <si>
    <t>"There was also a significant main effect for task (F(1,21) = 25.75; p &lt; 0.001); subjects were significantly slower to respond to incongruent, relative to congruent trials (M(incongruent) = 746.31, S.E. = 25.83; M(congruent) = 706.98, S.E. = 25.83)"</t>
  </si>
  <si>
    <t>p. 5: =(746.31-706.98)/SQRT((25.83^2+25.83^2)/2)</t>
  </si>
  <si>
    <t>F(1, 3446) = 3.49</t>
  </si>
  <si>
    <t>https://osf.io/kspm6</t>
  </si>
  <si>
    <t>- Es repr_r was missing and prereg (for the chosen row). Please make sure that all cells are filled out.
- When there is no reference to a preregistration, please code it as "NA" because nothing is reported. Use "no" only when it is explicitly stated, that the respective study/analysis was not preregistered.</t>
  </si>
  <si>
    <t>Nikita, LW</t>
  </si>
  <si>
    <t>Boyce, V., Mathur, M., &amp; Frank, M. C. (2023). Eleven years of student replication projects provide evidence on the correlates of replicability in psychology. Royal Society Open Science, 10(11), 231240. https://doi.org/10.1098/rsos.231071</t>
  </si>
  <si>
    <t>10.1098/rsos.231071</t>
  </si>
  <si>
    <t>a significant main effect for task (F(1,21) = 25.75; p&lt; 0.001);</t>
  </si>
  <si>
    <t>p. 534</t>
  </si>
  <si>
    <t>Boyce_etal2023100_1</t>
  </si>
  <si>
    <t>Boyce_etal2023100</t>
  </si>
  <si>
    <t>1. Changed the Discipline from Psychology to "Cognitive Psychology"
2. The original paper was added as "10.1038nature03390.pdf"</t>
  </si>
  <si>
    <t>Najemnik, J., &amp; Geisler, W. S. (2005). Optimal eye movement strategies in visual search. Nature, 434(7031), 387-391.</t>
  </si>
  <si>
    <t>No statistical outcome both in original study and replication data</t>
  </si>
  <si>
    <t>10.1038/nature03390</t>
  </si>
  <si>
    <t>Boyce, V., Mathur, M., &amp; Frank, M. C. (2023). Eleven years of student replication projects provide evidence on the correlates of replicability in psychology. Royal Society Open Science, 10(11), 231240. https://doi.org/10.1098/rsos.231160</t>
  </si>
  <si>
    <t>10.1098/rsos.231160</t>
  </si>
  <si>
    <t>Boyce_etal2023101_1</t>
  </si>
  <si>
    <t>Boyce_etal2023101</t>
  </si>
  <si>
    <t>1. Changed the Discipline from Psychology to "Social Psychology"
2. The detailed replication data is not provided anywhere. For example, there is M and SD, but for between-group design we do not have a clear description of how many students are in each group (are they equal)? If yes, there is a possibility to calculate ES, if no - we need to rely on the Boyce general table, which can be not correct. 
3. I was not able to find corresponding OSF link except: https://osf.io/xwn9m/ (general, not specific)</t>
  </si>
  <si>
    <t>Nekmat, E., Gower, K. K., Zhou, S., &amp; Metzger, M. (2019). Connective-collective action on social media: Moderated mediation of cognitive elaboration and perceived source credibility on personalness of source. Communication Research, 46(1), 62-87.</t>
  </si>
  <si>
    <t>10.1177/0093650215609676</t>
  </si>
  <si>
    <t>10.1177--0093650215609676.pdf</t>
  </si>
  <si>
    <t>Far replication</t>
  </si>
  <si>
    <t>Personalness of source</t>
  </si>
  <si>
    <t>Social media, collective action, connective action, source effects, cognitive elaboration, source credibility</t>
  </si>
  <si>
    <t>Moderated mediation of cognitive elaboration and perceived source credibility on personalness of source</t>
  </si>
  <si>
    <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</si>
  <si>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12, 13</t>
  </si>
  <si>
    <t>Page incorrect</t>
  </si>
  <si>
    <t>Boyce, V., Mathur, M., &amp; Frank, M. C. (2023). Eleven years of student replication projects provide evidence on the correlates of replicability in psychology. Royal Society Open Science, 10(11), 231240. https://doi.org/10.1098/rsos.231161</t>
  </si>
  <si>
    <t>10.1098/rsos.231161</t>
  </si>
  <si>
    <t>when compared with messages passed by organizational sources, those passed by personally closer people (e.g., friends, family) would lead to greater willingness to participate in collective activities on social media. This was supported.</t>
  </si>
  <si>
    <t>Boyce_etal2023102</t>
  </si>
  <si>
    <t>Boyce_etal2023102_1</t>
  </si>
  <si>
    <t>Ngo, C. T., Horner, A. J., Newcombe, N. S., &amp; Olson, I. R. (2019). Development of holistic episodic recollection. Psychological science, 30(12), 1696-1706.</t>
  </si>
  <si>
    <t>10.1177/0956797619879441</t>
  </si>
  <si>
    <t>Boyce, V., Mathur, M., &amp; Frank, M. C. (2023). Eleven years of student replication projects provide evidence on the correlates of replicability in psychology. Royal Society Open Science, 10(11), 231240. https://doi.org/10.1098/rsos.231162</t>
  </si>
  <si>
    <t>10.1098/rsos.231162</t>
  </si>
  <si>
    <t>whether holistic recollection is evident at the ages of 4 and 6 years, during a crucial developmental window of robust gains in episodic memory,</t>
  </si>
  <si>
    <r>
      <rPr>
        <rFont val="Calibri"/>
        <sz val="11.0"/>
      </rPr>
      <t xml:space="preserve">1. Changed the Discipline from Psychology to "Cognitive Psychology"
2. There was a full report in the Replication folder. I used it to provide and varify the data: </t>
    </r>
    <r>
      <rPr>
        <rFont val="Calibri"/>
        <color rgb="FF1155CC"/>
        <sz val="11.0"/>
        <u/>
      </rPr>
      <t>https://rstudio-pubs-static.s3.amazonaws.com/817655_c94c0f2142fc466fa36a6790ee3fcdde.html</t>
    </r>
    <r>
      <rPr>
        <rFont val="Calibri"/>
        <sz val="11.0"/>
      </rPr>
      <t xml:space="preserve">
3. There is no matching correlation between original and replication studies
4. ES from the report, not Boyce table (the value is on Aleks row)</t>
    </r>
  </si>
  <si>
    <t>1 (younger adults only)</t>
  </si>
  <si>
    <t>10.1177--0956797619879441.pdf</t>
  </si>
  <si>
    <t>https://rstudio-pubs-static.s3.amazonaws.com/817655_c94c0f2142fc466fa36a6790ee3fcdde.html</t>
  </si>
  <si>
    <t>Holistic recollection</t>
  </si>
  <si>
    <t>holistic recollection, memory development, pattern completion, episodic memory, open data, open materials</t>
  </si>
  <si>
    <t>Development of holistic episodic recollection</t>
  </si>
  <si>
    <t>"We found that within-event retrieval accuracy was dependent in young adults: Dependency (M = .07, SE = .01, 95% CI = [.05, .08]) was significantly greater than zero, t(30) = 7.37, p &lt; .001, d = 1.32, 95% CI = [0.83, 1.80]"</t>
  </si>
  <si>
    <t>https://osf.io/t3rpq</t>
  </si>
  <si>
    <t>Boyce_etal2023103</t>
  </si>
  <si>
    <t>Boyce_etal2023103_1</t>
  </si>
  <si>
    <t>Nook, E. C., Schleider, J. L., &amp; Somerville, L. H. (2017). A linguistic signature of psychological distancing in emotion regulation. Journal of Experimental Psychology: General, 146(3), 337.</t>
  </si>
  <si>
    <t>10.1037/xge0000263</t>
  </si>
  <si>
    <t>Boyce, V., Mathur, M., &amp; Frank, M. C. (2023). Eleven years of student replication projects provide evidence on the correlates of replicability in psychology. Royal Society Open Science, 10(11), 231240. https://doi.org/10.1098/rsos.231163</t>
  </si>
  <si>
    <t>10.1098/rsos.231163</t>
  </si>
  <si>
    <t>Linguistic Distancing, Reappraise Negative condition</t>
  </si>
  <si>
    <t>Participants’ writing was more distanced in the Reappraise Negative condition (M = 0.10, SD = 0.24) than in the Look Negative condition (M = -0.11, SD = 0.32), t(106) = 7.71, p &lt; .001, 95% CI = [0.15, 0.26], d = 0.72.</t>
  </si>
  <si>
    <t>Boyce_etal2023103_a</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</si>
  <si>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</si>
  <si>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</si>
  <si>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Close replication</t>
  </si>
  <si>
    <t>Linguistic Distancing</t>
  </si>
  <si>
    <t>Emotion, emotion regulation, psychological distance, language</t>
  </si>
  <si>
    <t>Linguistic signature of psychological distancing in emotion regulation</t>
  </si>
  <si>
    <t>"Participants’ writing was more distanced in the Reappraise Negative condition (M = 0.10, SD = 0.24) than in the Look Negative condition (M = -0.11, SD = 0.32), t(106) = 7.71, p &lt; .001, 95% CI = [0.15, 0.26], d = 0.72"</t>
  </si>
  <si>
    <t>https://osf.io/92der</t>
  </si>
  <si>
    <t>Boyce_etal2023103_b</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</si>
  <si>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</si>
  <si>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</si>
  <si>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Reappraisal success is positively correlated with linguistic distance</t>
  </si>
  <si>
    <t>"We observed a significant correlation between reappraisal success and the extent to which participants increased their linguistic distance when regulating their emotions, r(105) = .28, p = .004, 95% CI = [.09, .44]"</t>
  </si>
  <si>
    <t>Boyce_etal2023103_c</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</si>
  <si>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</si>
  <si>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</si>
  <si>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Reappraisal is not correlated with positive affect words</t>
  </si>
  <si>
    <t>"Reappraisal success was not associated with changes in the use of positive affect words, r(105) = .06, p = .560"</t>
  </si>
  <si>
    <t>Boyce_etal2023103_d</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</si>
  <si>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</si>
  <si>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</si>
  <si>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Reappraisal is negatively correlated with negative affect words</t>
  </si>
  <si>
    <t>"Greater reappraisal success was also associated with reduced use of negative affect words when regulating as compared to when responding naturally, r(105) = -.32, p &lt; .001"</t>
  </si>
  <si>
    <t>Boyce_etal2023103_e</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</si>
  <si>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</si>
  <si>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</si>
  <si>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Participants reported feeling less negative when writing about images in the Reappraise Negative conditionm than in Look Negative</t>
  </si>
  <si>
    <t>"Self-reported negative affect ratings differed significantly across conditions, F(2,212) = 297.20, p &lt; .001, partial eta-square = .74, 90% CI = [.69, .77]"</t>
  </si>
  <si>
    <t>t(1041) = -3.4396</t>
  </si>
  <si>
    <t>p. 29</t>
  </si>
  <si>
    <t>Boyce_etal2023103_f</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</si>
  <si>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</si>
  <si>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</si>
  <si>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Participants used fewer negative affect words in the Reappraise Negative condition than in the Look Negative condition</t>
  </si>
  <si>
    <t>"The prevalence of negative affect terms differed significantly across conditions, F(2, 212) = 185.49, p &lt; .001, partial eta-square = .64, 90% CI = [.57, .68]"</t>
  </si>
  <si>
    <t>t(1116.5) = -0.27195</t>
  </si>
  <si>
    <t>Boyce_etal2023103_g</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</si>
  <si>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</si>
  <si>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</si>
  <si>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Participants’ writing was more distanced in the Reappraise Negative condition than in the Look Negative condition</t>
  </si>
  <si>
    <t>"The composite measure of linguistic distancing differed significantly across conditions, F(2, 212) = 35.97, p &lt; .001, partial eta-square = .25, 90% CI = [.17, .33]"</t>
  </si>
  <si>
    <t>t(1109.9) = -0.26013</t>
  </si>
  <si>
    <t>p. 37</t>
  </si>
  <si>
    <t>Boyce_etal2023104</t>
  </si>
  <si>
    <t>Boyce_etal2023104_1</t>
  </si>
  <si>
    <t>I assume that the results indicated by Aleksandr are not matching</t>
  </si>
  <si>
    <t>O'Brien, E. (2015). Mapping out past and future minds: The perceived trajectory of rationality versus emotionality over time. Journal of Experimental Psychology: General, 144(3), 624.</t>
  </si>
  <si>
    <t>10.1037/xge0000064</t>
  </si>
  <si>
    <t>Boyce, V., Mathur, M., &amp; Frank, M. C. (2023). Eleven years of student replication projects provide evidence on the correlates of replicability in psychology. Royal Society Open Science, 10(11), 231240. https://doi.org/10.1098/rsos.231164</t>
  </si>
  <si>
    <t>10.1098/rsos.231164</t>
  </si>
  <si>
    <t>Study 4</t>
  </si>
  <si>
    <t>For the fun version of the task, participants motivated by their past self completed more trials (M  6.90, SD  3.57) than did participants motivated by their
future self (M  5.03, SD  3.43), F(1, 220)  9.95, p  .002, n2  .04.</t>
  </si>
  <si>
    <t>632-633</t>
  </si>
  <si>
    <t>p.633</t>
  </si>
  <si>
    <t>Boyce_etal2023104_a</t>
  </si>
  <si>
    <r>
      <rPr>
        <rFont val="Calibri"/>
        <sz val="11.0"/>
      </rPr>
      <t xml:space="preserve">1. The data for checking is taking from: </t>
    </r>
    <r>
      <rPr>
        <rFont val="Calibri"/>
        <color rgb="FF1155CC"/>
        <sz val="11.0"/>
        <u/>
      </rPr>
      <t xml:space="preserve">https://osf.io/fd9kq
</t>
    </r>
    <r>
      <rPr>
        <rFont val="Calibri"/>
        <sz val="11.0"/>
      </rPr>
      <t>2. There were changes in experimental procedure -&gt; conceptual 
3. The original paper was added as: 10.1037xge0000064.pdf</t>
    </r>
  </si>
  <si>
    <t>Page corrected</t>
  </si>
  <si>
    <t>Mind perception; change; mental time travel; emotions; rationality</t>
  </si>
  <si>
    <t>Participants completed more “fun” tasks than “self-control” tasks</t>
  </si>
  <si>
    <t>"There was [...] an incidental effect of task such that participants completed more “fun” tasks (M = 5.92) than “self-control” tasks (M = 4.06), F(1, 220) = 19.91, p &lt; .001, eta-square = .08"</t>
  </si>
  <si>
    <t>F(1, 146) = 3.21</t>
  </si>
  <si>
    <t>https://osf.io/tyvbw</t>
  </si>
  <si>
    <t>Boyce_etal2023104_b</t>
  </si>
  <si>
    <r>
      <rPr>
        <rFont val="Calibri"/>
        <sz val="11.0"/>
      </rPr>
      <t xml:space="preserve">1. The data for checking is taking from: </t>
    </r>
    <r>
      <rPr>
        <rFont val="Calibri"/>
        <color rgb="FF1155CC"/>
        <sz val="11.0"/>
        <u/>
      </rPr>
      <t xml:space="preserve">https://osf.io/fd9kq
</t>
    </r>
    <r>
      <rPr>
        <rFont val="Calibri"/>
        <sz val="11.0"/>
      </rPr>
      <t>2. There were changes in experimental procedure -&gt; conceptual 
3. The original paper was added as: 10.1037xge0000064.pdf</t>
    </r>
  </si>
  <si>
    <t>For the fun version of the task, participants motivated by their past self completed more trials than did participants motivated by their future self, however this logic reversed in the self-control version of the task</t>
  </si>
  <si>
    <t>"Importantly, this effect was qualified by a predicted interaction with role model, F(1, 220) = 12.45, p &lt; .001, eta-square = .05"</t>
  </si>
  <si>
    <t>F(1, 146) = 1.47</t>
  </si>
  <si>
    <t>Boyce_etal2023105_1</t>
  </si>
  <si>
    <t>Boyce_etal2023105</t>
  </si>
  <si>
    <t>1. Changed the Discipline from Psychology to "Cognitive Psychology"
2. Since to test results are provided anywhere except the table, it is impossible to check the values. I marked them with the color. Since no statistical inferences are described, I put NA / unsure to tail and nested columns.
3. Since there is no description of the replication attempt, I can't understand what to code in Original ES</t>
  </si>
  <si>
    <t>Oh, D., Buck, E. A., &amp; Todorov, A. (2019). Revealing hidden gender biases in competence impressions of faces. Psychological Science, 30(1), 65-79.</t>
  </si>
  <si>
    <t>10.1177/0956797618813092</t>
  </si>
  <si>
    <t>10.1177--0956797618813092.pdf</t>
  </si>
  <si>
    <t>No replication. The OSF report was registered only in Dec 2024.</t>
  </si>
  <si>
    <t>No statstics for original study available in Boyce, so not really possible ti understand what exactly was replicated, except for that it was experiment 3(based on sample size)</t>
  </si>
  <si>
    <t>Boyce, V., Mathur, M., &amp; Frank, M. C. (2023). Eleven years of student replication projects provide evidence on the correlates of replicability in psychology. Royal Society Open Science, 10(11), 231240. https://doi.org/10.1098/rsos.231165</t>
  </si>
  <si>
    <t>10.1098/rsos.231165</t>
  </si>
  <si>
    <t>Experiment 3</t>
  </si>
  <si>
    <t>Boyce_etal2023106</t>
  </si>
  <si>
    <t>Boyce_etal2023106_1</t>
  </si>
  <si>
    <t>1. The test statistics is t(41) = -5.0574 from the replication report (not d reported, but taken from Boyce table) 
2. Effect. tags, prereg_r and description corrected</t>
  </si>
  <si>
    <t>Okan, Y., Garcia-Retamero, R., Cokely, E. T., &amp; Maldonado, A. (2018). Biasing and debiasing health decisions with bar graphs: Costs and benefits of graph literacy. Quarterly Journal of Experimental Psychology, 71(12), 2506-2519.</t>
  </si>
  <si>
    <t>10.1177/1747021817744546</t>
  </si>
  <si>
    <t>Boyce, V., Mathur, M., &amp; Frank, M. C. (2023). Eleven years of student replication projects provide evidence on the correlates of replicability in psychology. Royal Society Open Science, 10(11), 231240. https://doi.org/10.1098/rsos.231166</t>
  </si>
  <si>
    <t>10.1098/rsos.231166</t>
  </si>
  <si>
    <t>Within-the-bar bias</t>
  </si>
  <si>
    <t>Graph comprehension; graph design; medical decision-making; graph literacy; risk communication</t>
  </si>
  <si>
    <t>Within-the-bar condition resulted in a larger and significant bias in rating</t>
  </si>
  <si>
    <t>participants presented with bars judged the value below the mean (M=5.26, SD=1.82) to be more likely than the value above the mean (M=2.62, SD=1.62), paired t(201)=14.06, p&lt;.001, d=1.40, 95% CI=[1.15, 1.62], revealing a large, signifcant influence of the within-the-bar bias.</t>
  </si>
  <si>
    <t>https://osf.io/8e5cg</t>
  </si>
  <si>
    <t>Boyce_etal2023106_a</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</si>
  <si>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</si>
  <si>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The data for replication is replicated from the replication report</t>
  </si>
  <si>
    <t>10.1177--1747021817744546.pdf</t>
  </si>
  <si>
    <t>"Consistent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</si>
  <si>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t(41) = -5.0574</t>
  </si>
  <si>
    <t>Boyce_etal2023106_b</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</si>
  <si>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</si>
  <si>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Within-the-dot condition resulted in a non-significant bias in rating</t>
  </si>
  <si>
    <t>"A tendency in the same direction was also observed among those presented with [...] the dot plot (judgement below: M=4.41, SD=2.21; judgement above: M=2.72, SD=1.67)"</t>
  </si>
  <si>
    <t>t(38) = -2.5608</t>
  </si>
  <si>
    <t>Boyce_etal2023106_c</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</si>
  <si>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</si>
  <si>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The model explained moderate varience</t>
  </si>
  <si>
    <t>"This model explained a moderate and significant amount of variance, R2=.05, F(5, 605)=6.57, p&lt;.001"</t>
  </si>
  <si>
    <t>Boyce_etal2023106_d</t>
  </si>
  <si>
    <t xml:space="preserve">1. Discipline - changed to cognitive
2. If printing the replication report to obtain PDF, the browser only gives one page (Chrome, Edge), thus there is no opporunity to indicate the page for replication results. </t>
  </si>
  <si>
    <t>Dot plots reduced the bias</t>
  </si>
  <si>
    <t>"As expected, [...] dot plots significantly reduced the bias, β=−.17, t=3.66, p&lt;.001 (see Figure 5)"</t>
  </si>
  <si>
    <t>Boyce_etal2023106_e</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</si>
  <si>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</si>
  <si>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Graph literacy was positively correlated with bias</t>
  </si>
  <si>
    <t>"[...] higher graph literacy related to stronger bias, β=.22, t=3.23, p=.001"</t>
  </si>
  <si>
    <t>Boyce_etal2023106_f</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</si>
  <si>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</si>
  <si>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The relation between graph literacy and display type was not significantly different in bar and dot conditions</t>
  </si>
  <si>
    <t>"The interaction terms between graph literacy and display type were [...] marginally significant ([...] β=−.10, t=1.82, p=.07 for bars vs dot plot)"</t>
  </si>
  <si>
    <t>Boyce_etal2023107</t>
  </si>
  <si>
    <t>Boyce_etal2023107_1</t>
  </si>
  <si>
    <t>O’Keefe, P. A., Dweck, C. S., &amp; Walton, G. M. (2018). Implicit theories of interest: Finding your passion or developing it?. Psychological science, 29(10), 1653-1664.</t>
  </si>
  <si>
    <t>10.1177/0956797618780643</t>
  </si>
  <si>
    <t>Boyce, V., Mathur, M., &amp; Frank, M. C. (2023). Eleven years of student replication projects provide evidence on the correlates of replicability in psychology. Royal Society Open Science, 10(11), 231240. https://doi.org/10.1098/rsos.231167</t>
  </si>
  <si>
    <t>10.1098/rsos.231167</t>
  </si>
  <si>
    <t>Study 2</t>
  </si>
  <si>
    <t>The more students endorsed a fixed theory, the less interest they expressed in the article that mismatched their inter- est identity,</t>
  </si>
  <si>
    <t>https://osf.io/5fzqp/</t>
  </si>
  <si>
    <t>10.1177--0956797618780643.pdf</t>
  </si>
  <si>
    <t>Implicit theories of interest</t>
  </si>
  <si>
    <t>Motivation, social cognition, interest, passion, implicit self-theories</t>
  </si>
  <si>
    <t>The more students endorsed a fixed theory, the less interest they expressed in the article that mismatched their interest identity</t>
  </si>
  <si>
    <t>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</si>
  <si>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F(1, 137) = 7.46</t>
  </si>
  <si>
    <t>F(1, 70)=2.4602</t>
  </si>
  <si>
    <t>Boyce dataset: https://osf.io/kspm6</t>
  </si>
  <si>
    <t>https://osf.io/4uj6v</t>
  </si>
  <si>
    <t>Here - and in some other places - prereg_o contains the repl prereg. this must be for the original study</t>
  </si>
  <si>
    <t>Boyce_etal2023108</t>
  </si>
  <si>
    <t>Boyce_etal2023108_1</t>
  </si>
  <si>
    <t>sampl O is 302, not 300 as syayed in Boyce dataset</t>
  </si>
  <si>
    <t>Difference in n_o</t>
  </si>
  <si>
    <t>Okonofua, J. A., Paunesku, D., &amp; Walton, G. M. (2016). Brief intervention to encourage empathic discipline cuts suspension rates in half among adolescents. Proceedings of the National Academy of Sciences, 113(19), 5221-5226.</t>
  </si>
  <si>
    <t>10.1073/pnas.1523698113</t>
  </si>
  <si>
    <t>Boyce, V., Mathur, M., &amp; Frank, M. C. (2023). Eleven years of student replication projects provide evidence on the correlates of replicability in psychology. Royal Society Open Science, 10(11), 231240. https://doi.org/10.1098/rsos.231168</t>
  </si>
  <si>
    <t>10.1098/rsos.231168</t>
  </si>
  <si>
    <t>As predicted, college students reported that, as middle-school students, they would respect the teacher far more in the empathic- mindset than in the punitive-discipline condition</t>
  </si>
  <si>
    <t>1. Replication data report was absent and there was no one for study 2, except the initial steps of the replication (no analysis/results)
2. Discipline is changed to "Social psychology"</t>
  </si>
  <si>
    <t>10.1073--pnas.1523698113.pdf</t>
  </si>
  <si>
    <t>Empathic mindset</t>
  </si>
  <si>
    <t>Teacher–student relationships, empathy,  respect, school suspensions, discipline</t>
  </si>
  <si>
    <t>Brief intervention to encourage empathic discipline cuts suspension rates in half among adolescents</t>
  </si>
  <si>
    <t>"College students reported that, as middle-school students, they would respect the teacher far more in the empathic-mindset than in the punitive-discipline condition (M = 5.23, SD = 1.14 versus M = 2.47, SD = 1.09), t(300) = 20.98, P &lt; 0.001, d = 2.42"</t>
  </si>
  <si>
    <t>Boyce_etal2023109</t>
  </si>
  <si>
    <t>Boyce_etal2023109_1</t>
  </si>
  <si>
    <t>statistics is missing in the dataset, data for R identified and extracted from the report</t>
  </si>
  <si>
    <t>Page and ES incorrect</t>
  </si>
  <si>
    <t>Otto, R. A., Skatova, A., Madlon-Kay, S., &amp; Daw, N. (2014). Cognitive Control Mode Predicts Behavioral Expression of Model-Based Reinforcement-Learning. In Proceedings of the Annual Meeting of the Cognitive Science Society (Vol. 36, No. 36).</t>
  </si>
  <si>
    <t>10.1162/jocn_a_00709</t>
  </si>
  <si>
    <t>Boyce, V., Mathur, M., &amp; Frank, M. C. (2023). Eleven years of student replication projects provide evidence on the correlates of replicability in psychology. Royal Society Open Science, 10(11), 231240. https://doi.org/10.1098/rsos.231169</t>
  </si>
  <si>
    <t>10.1098/rsos.231169</t>
  </si>
  <si>
    <t>experiment 1, Reward × Transition × Stroop (infrequent)</t>
  </si>
  <si>
    <t>interference effects in the Stroop color-naming task relate to the expression of model-based choice in sequential choice.. ... Table 2 - Reward × Transition × Stroop (infrequent)</t>
  </si>
  <si>
    <t>p.325</t>
  </si>
  <si>
    <t>Boyce_etal2023109_1_a</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</si>
  <si>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</si>
  <si>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Cognitive control</t>
  </si>
  <si>
    <t>Behavior, reinforcement learning, cognitive control, decision making, individual differences, neural substrate, sequential choice, control paradigm</t>
  </si>
  <si>
    <t>Stroop interference predicts a decreased model-based choice contribution</t>
  </si>
  <si>
    <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</si>
  <si>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Boyce_etal2023109_1_b</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</si>
  <si>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</si>
  <si>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Predictive effect of susceptibility to response conflict was limited to model-based rather than model-free choice contribution in the infrequent condition</t>
  </si>
  <si>
    <t>"There was no significant effect of infrequent IE upon previous reward (p = .307) suggesting that the predictive effect of susceptibility to response conflict was limited to model-based rather than model-free choice contribution"</t>
  </si>
  <si>
    <t>Boyce_etal2023109_1_c</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</si>
  <si>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</si>
  <si>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Rewards significantly influence the repetition of the previous choice</t>
  </si>
  <si>
    <t>"A logistic regression revealed a significant main effect of reward (p&lt;.0001), indicating model-free learning [...] (the third through fifth coefficients in Table 2)"</t>
  </si>
  <si>
    <t>Z = 1.992, N = 31</t>
  </si>
  <si>
    <t>Boyce_etal2023109_1_d</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</si>
  <si>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</si>
  <si>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Rewards and transition interaction (rare / common) significantly influence the repetition of the previous choice</t>
  </si>
  <si>
    <t>"A logistic regression revealed a significant [...] interaction between reward and transition type (p&lt;.01), the signature of model-based contributions (the third through fifth coefficients in Table 2)"</t>
  </si>
  <si>
    <t>Z = 2.28, N = 31</t>
  </si>
  <si>
    <t>Boyce_etal2023109_1_e</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</si>
  <si>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</si>
  <si>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Transition interaction (rare / common) did not influence the repetition of the previous choice</t>
  </si>
  <si>
    <t>"[...] the signature of model-based contributions (the third through fifth coefficients in Table 2)"</t>
  </si>
  <si>
    <t>Z = -2.75, N = 31</t>
  </si>
  <si>
    <t>Boyce_etal2023109_1_f</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</si>
  <si>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</si>
  <si>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Predictive effect of susceptibility to response conflict was not limited to model-based choice in the frequent condition</t>
  </si>
  <si>
    <t>"However, we found no significant (or even negatively trending) relationship between frequent IE and model-based choice (p=.143, Figure 2B) [...]"</t>
  </si>
  <si>
    <t>Boyce_etal202311</t>
  </si>
  <si>
    <t>Boyce_etal202311_1</t>
  </si>
  <si>
    <t>Blankenship, K. L., &amp; Wegener, D. T. (2008). Opening the mind to close it: considering a message in light of important values increases message processing and later resistance to change. Journal of Personality and Social Psychology, 94(2), 196.</t>
  </si>
  <si>
    <t>Boyce, V., Mathur, M., &amp; Frank, M. C. (2023). Eleven years of student replication projects provide evidence on the correlates of replicability in psychology. Royal Society Open Science, 10(11), 231240. https://doi.org/10.1098/rsos.231072</t>
  </si>
  <si>
    <t>10.1098/rsos.231072</t>
  </si>
  <si>
    <t>participants reported greater involvement with the issue of whether more nuclear power plants should be built in Canada when they had previously considered values that were important (M  7.22, SD  1.48) rather than unimportant (M  6.49, SD  2.06).</t>
  </si>
  <si>
    <t>p. 208</t>
  </si>
  <si>
    <t>Aleksandr</t>
  </si>
  <si>
    <t>Merged</t>
  </si>
  <si>
    <t>5A</t>
  </si>
  <si>
    <t>Values, information processing, resistance to persuasion</t>
  </si>
  <si>
    <t>Considering a message in light of important values increases message processing and later resistance to change</t>
  </si>
  <si>
    <t>The predicted Value x Argument Quality interaction was significant for Study 5A, F(1, 257) = 11.58, p = .002 [...]. That is, the difference between the strong and weak argument conditions was greater when values were important rather than unimportant.</t>
  </si>
  <si>
    <t>F(1, 247) = .49</t>
  </si>
  <si>
    <r>
      <rPr>
        <rFont val="Calibri"/>
        <sz val="11.0"/>
      </rPr>
      <t xml:space="preserve">1. Discipline - changed
2. There is no replication of study 5B open, only study 5A: </t>
    </r>
    <r>
      <rPr>
        <rFont val="Calibri"/>
        <color rgb="FF1155CC"/>
        <sz val="11.0"/>
        <u/>
      </rPr>
      <t>https://osf.io/2gx4k/wiki/home/</t>
    </r>
  </si>
  <si>
    <t>5B</t>
  </si>
  <si>
    <t>"Similarly, participants reported greater involvement with the issue of whether more nuclear power plants should be built in Canada when they had previously considered values that were important (M = 7.22, SD = 1.48) rather than unimportant (M = 6.49, SD = 2.06)"</t>
  </si>
  <si>
    <t>0.05063469690341634</t>
  </si>
  <si>
    <t>0.46605449515145414</t>
  </si>
  <si>
    <t>Boyce_etal2023110_1</t>
  </si>
  <si>
    <t>Boyce_etal2023110_1_a</t>
  </si>
  <si>
    <t>No second coder data</t>
  </si>
  <si>
    <t>Moral reflection</t>
  </si>
  <si>
    <t>Dual-process model; Moral decision making; Moral judgment; Moral psychology; Moral reasoning; Morality; Reflection; Social intuitionist model</t>
  </si>
  <si>
    <t>The responses before and after in the test are equal, highlighling the reliability across dilemmas</t>
  </si>
  <si>
    <t>"Critically, the proportion of subjects in each condition was statistically indistinguishable before and after exclusion (Pre-Exclusion CRT-First: 65 of 150 [43%], Post-Exclusion CRT-First: 41 of 92 [45%], chi-square = .003, p = .96)"</t>
  </si>
  <si>
    <t>χ²(1) = 0.003</t>
  </si>
  <si>
    <t>χ²(1) = 0.22801</t>
  </si>
  <si>
    <t>Boyce_etal2023110_1_b</t>
  </si>
  <si>
    <t>Subjects in the CRT-First condition (inducing more reflective attributions) judged the utilitarian actions to be more acceptable</t>
  </si>
  <si>
    <t>"Subjects in the CRT-First condition judged the utilitarian actions to be more acceptable (CRT-First: M = 3.77; Dilemmas-First: M = 3.25; t(90) = 2.03, p = .05, d = 0.43)"</t>
  </si>
  <si>
    <t>t(80) = -0.35568,</t>
  </si>
  <si>
    <t>Boyce_etal2023110_1_c</t>
  </si>
  <si>
    <t>Higher CRT scores would correlate positively with utilitarian judgments</t>
  </si>
  <si>
    <t>"Again collapsing across all three dilemmas, we examined data from subjects in the CRT-First condition and observed a robust positive correlation between CRT scores and moral acceptability ratings, consistent with our second prediction (r = .39, p = .001; see Fig. 1)"</t>
  </si>
  <si>
    <t>t(48) = 1.0144</t>
  </si>
  <si>
    <t>Boyce_etal2023110_1_d</t>
  </si>
  <si>
    <t>The relationships between the variables are not equal since the correlation coefficients are different</t>
  </si>
  <si>
    <t>"A Fischer r–z test confirmed that these correlations differed significantly (z = 2.6, p = .01).</t>
  </si>
  <si>
    <t>z = 2.6</t>
  </si>
  <si>
    <t>z = 0.47</t>
  </si>
  <si>
    <t>Boyce_etal2023110_1_e</t>
  </si>
  <si>
    <t>The reported effects of the CRT was not the effects of performing a task of some non-specific kind</t>
  </si>
  <si>
    <t>"To test this hypothesis, we compared the CRT scores across the two conditions and found no significant effect (CRT-First: M = 1.32; Dilemmas-First: M = 1.16; t(148) = 0.83, p = .41)"</t>
  </si>
  <si>
    <t>t(148) = 0.83</t>
  </si>
  <si>
    <t>t(139) = 1.3332</t>
  </si>
  <si>
    <t>Boyce_etal2023111</t>
  </si>
  <si>
    <t>Boyce_etal2023111_1</t>
  </si>
  <si>
    <t>Payne, J. D., Stickgold, R., Swanberg, K., &amp; Kensinger, E. A. (2008). Sleep preferentially enhances memory for emotional components of scenes. Psychological science, 19(8), 781-788.</t>
  </si>
  <si>
    <t>10.1111/j.1467-9280.2008.02157.x</t>
  </si>
  <si>
    <t>Boyce, V., Mathur, M., &amp; Frank, M. C. (2023). Eleven years of student replication projects provide evidence on the correlates of replicability in psychology. Royal Society Open Science, 10(11), 231240. https://doi.org/10.1098/rsos.231170</t>
  </si>
  <si>
    <t>10.1098/rsos.231170</t>
  </si>
  <si>
    <t>after sleep</t>
  </si>
  <si>
    <t>Negative, but not neutral, objects were better remembered after
sleep than after wake,</t>
  </si>
  <si>
    <t>p.785</t>
  </si>
  <si>
    <t>Boyce_etal2023111_1_f</t>
  </si>
  <si>
    <t>1. Conceptual replication - because laboratory study was replicated online
2. I am not sure what exactly should I indicate in the Effect</t>
  </si>
  <si>
    <t>10.1111--j.1467-9280.2008.02157.x.pdf</t>
  </si>
  <si>
    <t>Sleep effect on emotional memory</t>
  </si>
  <si>
    <t>Arousal, Attention, Circadian Rhythm, Emotions, Humans, Pattern Recognition, Visual, Retention, Sleep, Wakefulness</t>
  </si>
  <si>
    <t>There is an emotional-memory trade-off: general recognition is significantly influenced by the interaction of condition (sleep, wake) and scene component (object, background)</t>
  </si>
  <si>
    <t>"A 2 (condition: sleep, wake) x 2 (valence: negative, neutral) x 2 (scene component: object, background) mixed ANOVA on general recognition revealed interaction [...] between condition and scene component, F(1, 46) = 7.6, p = .008, partial eta-square = .14"</t>
  </si>
  <si>
    <t>https://osf.io/mj7nd</t>
  </si>
  <si>
    <t>Boyce_etal2023111_1_g</t>
  </si>
  <si>
    <t>There is an emotional-memory trade-off: general recognition is significantly influenced by the interaction of condition (sleep, wake) and valence (negative, neutral)</t>
  </si>
  <si>
    <t>"A 2 (condition: sleep, wake) x 2 (valence: negative, neutral) x 2 (scene component: object, background) mixed ANOVA on general recognition revealed interactions between condition and valence, F(1, 46) = 13.1, p = .001, partial eta-square = .20"</t>
  </si>
  <si>
    <t>Boyce_etal2023111_1_h</t>
  </si>
  <si>
    <t>There is an emotional-memory trade-off: general recognition is significantly influenced by the interaction of factors</t>
  </si>
  <si>
    <t>"A 2 (condition: sleep, wake) x 2 (valence: negative, neutral) x 2 (scene component: object, background) mixed ANOVA on general recognition revealed interaction [...] among the three factors, F(1, 46) = 4.7, p = .03, partial eta-square = .10 (see Figs. 3a and 3b)"</t>
  </si>
  <si>
    <t>Boyce_etal2023111_1_i</t>
  </si>
  <si>
    <t>Sleep selectively preserved memory for the scene’s negative emotional objects</t>
  </si>
  <si>
    <t>"Negative, but not neutral, objects were better remembered after sleep than after wake, F(1, 46) = 11.5, p = .001, partial eta-square = .20."</t>
  </si>
  <si>
    <t>Boyce_etal2023111_1_j</t>
  </si>
  <si>
    <t>Sleep does not preserve memory for the scene’s background regardless their valence</t>
  </si>
  <si>
    <t>"In contrast, sleep offered no benefit for backgrounds, regardless of whether they were presented with negative or neutral objects (Valence x Condition interaction, p &gt; .10)"</t>
  </si>
  <si>
    <t>Boyce_etal2023112</t>
  </si>
  <si>
    <t>Boyce_etal2023112_1</t>
  </si>
  <si>
    <t>d calculated based on provided statistics in the O</t>
  </si>
  <si>
    <t>Focused on two pairwise comparisons, and thus entered sample size for two pairs. In replication, only overall sample (with non-missing data quality) visible, so equal group sizes assumed to calculate sample size for pairwise comparisons.</t>
  </si>
  <si>
    <t>Peer, E., Rothschild, D., Gordon, A., Evernden, Z., &amp; Damer, E. (2022). Data quality of platforms and panels for online behavioral research. Behavior Research Methods, 54(4), 1643-1662.</t>
  </si>
  <si>
    <t>10.3758/s13428-021-01694-3</t>
  </si>
  <si>
    <t>Boyce, V., Mathur, M., &amp; Frank, M. C. (2023). Eleven years of student replication projects provide evidence on the correlates of replicability in psychology. Royal Society Open Science, 10(11), 231240. https://doi.org/10.1098/rsos.231171</t>
  </si>
  <si>
    <t>10.1098/rsos.231171</t>
  </si>
  <si>
    <t>http://rpubs.com/kimiasaadatian/replicationreport</t>
  </si>
  <si>
    <t>Data quality on Prolific vs MTurk</t>
  </si>
  <si>
    <t>Data quality, Online research, Attention, Comprehension, Reliability, Honesty, Amazon mechanical turk, Prolific</t>
  </si>
  <si>
    <t>Overall data quality score: [...] We found statistically significant differences between the sites on this measure, F(2, 1458) = 129.4, p &lt; .001, which showed higher scores for Prolific (M = 5.87, SD = 1.0) [...] compared to MTurk (M = 4.55, SD = 1.9)</t>
  </si>
  <si>
    <t>p. 1655</t>
  </si>
  <si>
    <t>p. 13: =(5.87-4.55)/SQRT((1^2+1.9^2)/2)</t>
  </si>
  <si>
    <t>https://osf.io/txe4d</t>
  </si>
  <si>
    <t>https://rpubs.com/kimiasaadatian/replicationreport: =(6.26-4.75)/SQRT((1.41^2+2.47^2)/2)</t>
  </si>
  <si>
    <t>https://osf.io/e6cps</t>
  </si>
  <si>
    <t>Data quality on CR vs MTurk</t>
  </si>
  <si>
    <t>Overall data quality score: [...] We found statistically significant differences between the sites on this measure, F(2, 1458) = 129.4, p &lt; .001, which showed higher scores for [...] CR (M = 5.78, SD = 1.1) compared to MTurk (M = 4.55, SD = 1.9)</t>
  </si>
  <si>
    <t>p. 13: =(5.78-4.55)/SQRT((1.1^2+1.9^2)/2)</t>
  </si>
  <si>
    <t>https://rpubs.com/kimiasaadatian/replicationreport: =(3.75-4.75)/SQRT((2.23^2+2.47^2)/2)</t>
  </si>
  <si>
    <r>
      <rPr>
        <rFont val="Calibri"/>
        <sz val="11.0"/>
      </rPr>
      <t xml:space="preserve">1. There is a bit of dismatching data in the replication report. Some data (like attention and so on) are taken from study 1, while the overall metric is taken from the study 2: </t>
    </r>
    <r>
      <rPr>
        <rFont val="Calibri"/>
        <color rgb="FF1155CC"/>
        <sz val="11.0"/>
        <u/>
      </rPr>
      <t xml:space="preserve">https://rstudio-pubs-static.s3.amazonaws.com/843645_4999687f04a2418cb522a69fb65ceeb8.html#Anticipated_challenges
</t>
    </r>
    <r>
      <rPr>
        <rFont val="Calibri"/>
        <sz val="11.0"/>
      </rPr>
      <t>2. The original paper was added as  10.3758s13428-021-01694-3.pdf
3. ES from report, not Boyce table</t>
    </r>
  </si>
  <si>
    <t>Data quality</t>
  </si>
  <si>
    <t>"We found statistically significant differences between the sites on this measure, F(2, 1458) = 129.4, p &lt; .001, which showed higher scores for Prolific (M = 5.87, SD = 1.0) and CR (M = 5.78, SD = 1.1) compared to MTurk (M = 4.55, SD = 1.9)"</t>
  </si>
  <si>
    <t>F(2, 1458) = 129.4</t>
  </si>
  <si>
    <t>F(2, 159) = 13.63</t>
  </si>
  <si>
    <t>p. 40</t>
  </si>
  <si>
    <t>Boyce_etal2023113</t>
  </si>
  <si>
    <t>Boyce_etal2023113_1</t>
  </si>
  <si>
    <t>statistics is missing in Boyce, rawstats = bseb=0.3661(0.2423). Report is absent</t>
  </si>
  <si>
    <t>I assume the beta is unstandardized, while second coder - standardized</t>
  </si>
  <si>
    <t>Petersen, M. B. (2017). Healthy out-group members are represented psychologically as infected in-group members. Psychological Science, 28(12), 1857-1863.</t>
  </si>
  <si>
    <t>10.1177/0956797617728270</t>
  </si>
  <si>
    <t>Boyce, V., Mathur, M., &amp; Frank, M. C. (2023). Eleven years of student replication projects provide evidence on the correlates of replicability in psychology. Royal Society Open Science, 10(11), 231240. https://doi.org/10.1098/rsos.231172</t>
  </si>
  <si>
    <t>10.1098/rsos.231172</t>
  </si>
  <si>
    <t>the number of between-group errors increased in the treatment condition, b = 0.34, p = .007, 95% CI = [0.10, 0.61].</t>
  </si>
  <si>
    <t>Boyce_etal2023113_a</t>
  </si>
  <si>
    <r>
      <rPr>
        <rFont val="Calibri"/>
        <sz val="11.0"/>
      </rPr>
      <t xml:space="preserve">1. Discipline changed
2. Replication data from: </t>
    </r>
    <r>
      <rPr>
        <rFont val="Calibri"/>
        <color rgb="FF1155CC"/>
        <sz val="11.0"/>
        <u/>
      </rPr>
      <t>https://rpubs.com/kl2018/432454</t>
    </r>
  </si>
  <si>
    <t>10.1177--0956797617728270.pdf</t>
  </si>
  <si>
    <t>Out-group prejudice, pathogen avoidance, disgust sensitivity, social categories, open data, open materials</t>
  </si>
  <si>
    <t>Healthy out-group members are represented psychologically as infected in-group members</t>
  </si>
  <si>
    <t>"As in the previous studies, [...] the number of between-group errors increased in the treatment condition, b = 0.34, p = .007, 95% CI = [0.10, 0.61]"</t>
  </si>
  <si>
    <t>https://osf.io/apgqj</t>
  </si>
  <si>
    <t>Boyce_etal2023113_b</t>
  </si>
  <si>
    <r>
      <rPr>
        <rFont val="Calibri"/>
        <sz val="11.0"/>
      </rPr>
      <t xml:space="preserve">1. Discipline changed
2. Replication data from: </t>
    </r>
    <r>
      <rPr>
        <rFont val="Calibri"/>
        <color rgb="FF1155CC"/>
        <sz val="11.0"/>
        <u/>
      </rPr>
      <t>https://rpubs.com/kl2018/432454</t>
    </r>
  </si>
  <si>
    <t>The decrease of correct recall was mostly due to the increase in the number of within-group errors</t>
  </si>
  <si>
    <t>"But, in contrast to Study 1 and Study 2, the decrease in correct recall was due to a very large increase in the number of within-group errors, b = 0.80, p &lt; .001, 95% CI = [0.56, 1.04]"</t>
  </si>
  <si>
    <t>Boyce_etal2023114</t>
  </si>
  <si>
    <t>Boyce_etal2023114_1</t>
  </si>
  <si>
    <t>no statistics for R provided, report is absent</t>
  </si>
  <si>
    <t>Piff, P. K., Stancato, D. M., Côté, S., Mendoza-Denton, R., &amp; Keltner, D. (2012). Higher social class predicts increased unethical behavior. Proceedings of the National Academy of Sciences, 109(11), 4086-4091.</t>
  </si>
  <si>
    <t>10.1073/pnas.1118373109</t>
  </si>
  <si>
    <t>Boyce, V., Mathur, M., &amp; Frank, M. C. (2023). Eleven years of student replication projects provide evidence on the correlates of replicability in psychology. Royal Society Open Science, 10(11), 231240. https://doi.org/10.1098/rsos.231173</t>
  </si>
  <si>
    <t>10.1098/rsos.231173</t>
  </si>
  <si>
    <t xml:space="preserve">a significant effect for the greed manipulation ...  These effects were qualified by the predicted significant
interaction between social class and the greed manipulation, </t>
  </si>
  <si>
    <t>p. 4088</t>
  </si>
  <si>
    <t>10.1073--pnas.1118373109.pdf</t>
  </si>
  <si>
    <t>Socioeconomic status, immoral action, ethical judgment, self-interest</t>
  </si>
  <si>
    <t xml:space="preserve">Participants primed with positive features of greed expressed more favorable attitudes toward greed </t>
  </si>
  <si>
    <t>"As expected, participants primed with positive features of greed expressed more favorable attitudes toward greed (M = 3.12) compared with participants in the neutral-prime condition (M = 2.42), t(87) = .72, P &lt; 0.01, d = 0.58"</t>
  </si>
  <si>
    <t>F(1, 92) = 0.20</t>
  </si>
  <si>
    <t>https://osf.io/sxw48/</t>
  </si>
  <si>
    <t>Boyce_etal2023114_b</t>
  </si>
  <si>
    <t>Higher social class predicts increased unethical behavior</t>
  </si>
  <si>
    <t>"Results yielded a significant effect for social class, such that upper-class participants reported more unethical behavior than lower-class participants, b = 0.13, SE b = 0.07, t(84) = 2.00, P &lt; 0.05"</t>
  </si>
  <si>
    <t>F(1, 92) = 3.20</t>
  </si>
  <si>
    <t>Boyce_etal2023114_c</t>
  </si>
  <si>
    <t>In the neutral-prime condition, upper-class participants reported significantly more unethical behavior, but when priming with positive aspects of greed, lower-class articipants exhibited high levels of unethical behavior</t>
  </si>
  <si>
    <t>"These effects were qualified by the predicted significant interaction between social class and the greed manipulation, b =−0.24, SE b=0.18, t(84) = −2.34, P &lt; 0.03"</t>
  </si>
  <si>
    <t>F(1,92) = 0.89</t>
  </si>
  <si>
    <t xml:space="preserve">No report </t>
  </si>
  <si>
    <t>Boyce_etal2023115</t>
  </si>
  <si>
    <t>Boyce_etal2023115_1</t>
  </si>
  <si>
    <t>Read the report for the study, and since author wrote that "As I have not yet been able to reproduce the Cohen’s-d values nor the 95% Credibility interval in the original paper, I am not using these statistics as a basis of comparison" and the statistic in the O paper aren't matching with the Boyce I decided to extract all the info from Boyce dataset, and not theoriginal paper (no points to match). Data could be not very reliable</t>
  </si>
  <si>
    <t>Pilditch, T. D., Fenton, N., &amp; Lagnado, D. (2019). The zero-sum fallacy in evidence evaluation. Psychological science, 30(2), 250-260.</t>
  </si>
  <si>
    <t>10.1177/0956797618818484</t>
  </si>
  <si>
    <t>Boyce, V., Mathur, M., &amp; Frank, M. C. (2023). Eleven years of student replication projects provide evidence on the correlates of replicability in psychology. Royal Society Open Science, 10(11), 231240. https://doi.org/10.1098/rsos.231174</t>
  </si>
  <si>
    <t>10.1098/rsos.231174</t>
  </si>
  <si>
    <t>experiment 2</t>
  </si>
  <si>
    <t>p.6 in O (probably), but used statistics from Boyce</t>
  </si>
  <si>
    <t>1. From the paper "The design and analysis plans for the experiments were not preregistered"
2. This study is difficult for me to understand due to not working with BFs. I am not sure that there are no more matching results
3.  BFinclusion = 607.57</t>
  </si>
  <si>
    <t>10.1177--0956797618818484.pdf</t>
  </si>
  <si>
    <t>Reasoning error</t>
  </si>
  <si>
    <t>Zero sum, intuitive judgment, cognitive bias, evidential reasoning, probabilistic reasoning, open data, open materials</t>
  </si>
  <si>
    <t xml:space="preserve">Participants were more accurate or correct in their responses when they received a negative test result </t>
  </si>
  <si>
    <t>"Correct responding was significantly higher in the negative- than the positive-test-result condition, BFinclusion = 607.57, [...] as can be seen in Table 1"</t>
  </si>
  <si>
    <t>0.6128039037857511</t>
  </si>
  <si>
    <t>0.9289729131757601</t>
  </si>
  <si>
    <t>Boyce_etal2023116</t>
  </si>
  <si>
    <t>Boyce_etal2023116_1_b</t>
  </si>
  <si>
    <t>was replicated twice, by different students (this one and Boyce_etal2023116_1_d)</t>
  </si>
  <si>
    <t>Porter, S. C., Rheinschmidt-Same, M., &amp; Richeson, J. A. (2016). Inferring identity from language: Linguistic intergroup bias informs social categorization. Psychological science, 27(1), 94-102.</t>
  </si>
  <si>
    <t>10.1177/0956797615612202</t>
  </si>
  <si>
    <t>Boyce, V., Mathur, M., &amp; Frank, M. C. (2023). Eleven years of student replication projects provide evidence on the correlates of replicability in psychology. Royal Society Open Science, 10(11), 231240. https://doi.org/10.1098/rsos.231176</t>
  </si>
  <si>
    <t>10.1098/rsos.231176</t>
  </si>
  <si>
    <t>Social category inference.</t>
  </si>
  <si>
    <t>As predicted, participants in the favorable-LIB condition were significantly more likely to believe that the communicator was a Democrat, and thus shared a party affiliation with the target, than were participants in the unfavorable-LIB condition, t(86) = 2.89, p = .005, d = 0.62</t>
  </si>
  <si>
    <t>Boyce_etal2023116_1_d</t>
  </si>
  <si>
    <t>was replicated twice, by different students (this one and Boyce_etal2023116_1_b)</t>
  </si>
  <si>
    <t>Boyce, V., Mathur, M., &amp; Frank, M. C. (2023). Eleven years of student replication projects provide evidence on the correlates of replicability in psychology. Royal Society Open Science, 10(11), 231240. https://doi.org/10.1098/rsos.231178</t>
  </si>
  <si>
    <t>10.1098/rsos.231178</t>
  </si>
  <si>
    <t>Boyce_etal2023116_1_c</t>
  </si>
  <si>
    <t>Boyce, V., Mathur, M., &amp; Frank, M. C. (2023). Eleven years of student replication projects provide evidence on the correlates of replicability in psychology. Royal Society Open Science, 10(11), 231240. https://doi.org/10.1098/rsos.231177</t>
  </si>
  <si>
    <t>10.1098/rsos.231177</t>
  </si>
  <si>
    <t>Policy ratings</t>
  </si>
  <si>
    <t>As predicted, participants in the favorable-LIB condition believed that the communicator was more likely to support these Democratic-leaning social policies (M = 4.90, SD = 0.99), compared with participants in the unfavorable-LIB condition</t>
  </si>
  <si>
    <t>Boyce_etal2023116_1</t>
  </si>
  <si>
    <t>Boyce, V., Mathur, M., &amp; Frank, M. C. (2023). Eleven years of student replication projects provide evidence on the correlates of replicability in psychology. Royal Society Open Science, 10(11), 231240. https://doi.org/10.1098/rsos.231175</t>
  </si>
  <si>
    <t>10.1098/rsos.231175</t>
  </si>
  <si>
    <r>
      <rPr>
        <rFont val="Calibri"/>
        <sz val="11.0"/>
      </rPr>
      <t xml:space="preserve">1. The data for replication was taken from: </t>
    </r>
    <r>
      <rPr>
        <rFont val="Calibri"/>
        <color rgb="FF1155CC"/>
        <sz val="11.0"/>
        <u/>
      </rPr>
      <t xml:space="preserve">https://www.rpubs.com/sansiropp/256552
</t>
    </r>
    <r>
      <rPr>
        <rFont val="Calibri"/>
        <sz val="11.0"/>
      </rPr>
      <t>2. Since the survey was not original, but recreated, I put "conceptual replication"</t>
    </r>
  </si>
  <si>
    <t>10.1177--0956797615612202.pdf</t>
  </si>
  <si>
    <t>Linguistic intergroup bias</t>
  </si>
  <si>
    <t>Social cognition, social perception, attitudes, intergroup dynamics, language, open data</t>
  </si>
  <si>
    <t>Participants who received favorable information about Peter perceived him as more likely to act helpfully</t>
  </si>
  <si>
    <t>"As expected, participants in the favorable-LIB condition believed that Peter was more likely to be helpful in the future (M = 71.63%, SD = 18.68) compared with participants in the unfavorable-LIB condition (M = 60.39%, SD = 21.52), F(1, 129) = 10.14, p &lt; .01, d = 0.56."</t>
  </si>
  <si>
    <r>
      <rPr>
        <rFont val="Calibri"/>
        <sz val="11.0"/>
      </rPr>
      <t xml:space="preserve">1. The data for replication was taken from: </t>
    </r>
    <r>
      <rPr>
        <rFont val="Calibri"/>
        <color rgb="FF1155CC"/>
        <sz val="11.0"/>
        <u/>
      </rPr>
      <t xml:space="preserve">https://www.rpubs.com/sansiropp/256552
</t>
    </r>
    <r>
      <rPr>
        <rFont val="Calibri"/>
        <sz val="11.0"/>
      </rPr>
      <t>2. Since the survey was not original, but recreated, I put "conceptual replication"</t>
    </r>
  </si>
  <si>
    <t>Participants in the favorable-LIB condition were significantly more likely to believe the communicator and target shared political-group membership</t>
  </si>
  <si>
    <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</si>
  <si>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Boyce_etal2023116_1_e</t>
  </si>
  <si>
    <t>Boyce, V., Mathur, M., &amp; Frank, M. C. (2023). Eleven years of student replication projects provide evidence on the correlates of replicability in psychology. Royal Society Open Science, 10(11), 231240. https://doi.org/10.1098/rsos.231179</t>
  </si>
  <si>
    <t>10.1098/rsos.231179</t>
  </si>
  <si>
    <t>Participants in the favorable-LIB condition, relative to those in the unfavorable-LIB condition, were significantly more likely to believe that the communicator and target shared political-group membership, F(1, 121) = 8.67, p &lt; .01, d = 0.51</t>
  </si>
  <si>
    <r>
      <rPr>
        <rFont val="Calibri"/>
        <sz val="11.0"/>
      </rPr>
      <t xml:space="preserve">1. The data for replication was taken from: </t>
    </r>
    <r>
      <rPr>
        <rFont val="Calibri"/>
        <color rgb="FF1155CC"/>
        <sz val="11.0"/>
        <u/>
      </rPr>
      <t xml:space="preserve">https://www.rpubs.com/sansiropp/256552
</t>
    </r>
    <r>
      <rPr>
        <rFont val="Calibri"/>
        <sz val="11.0"/>
      </rPr>
      <t>2. Since the survey was not original, but recreated, I put "conceptual replication"</t>
    </r>
  </si>
  <si>
    <t>There was no significant interaction between the LIB condition and the target’s political affiliation</t>
  </si>
  <si>
    <t>""Further, there was no [...] interaction between the LIB condition and target’s political affiliation, F(1, 121) = 0.02"</t>
  </si>
  <si>
    <t>F(1, 121) = 0.02</t>
  </si>
  <si>
    <t>Boyce_etal2023117_1</t>
  </si>
  <si>
    <t>Boyce_etal2023117_a</t>
  </si>
  <si>
    <r>
      <rPr>
        <rFont val="Calibri"/>
        <sz val="11.0"/>
      </rPr>
      <t xml:space="preserve">1. There is OSF link, but it is not stated whether the paper was pre-registrated or registrated. 
2. Replication data was taken from: </t>
    </r>
    <r>
      <rPr>
        <rFont val="Calibri"/>
        <color rgb="FF1155CC"/>
        <sz val="11.0"/>
        <u/>
      </rPr>
      <t>https://rpubs.com/camillag/256522</t>
    </r>
    <r>
      <rPr>
        <rFont val="Calibri"/>
        <sz val="11.0"/>
      </rPr>
      <t xml:space="preserve"> </t>
    </r>
  </si>
  <si>
    <t xml:space="preserve">Favorable Linguistic intergroup bias lead to higher believs that Peter was more likely to be helpful in the future </t>
  </si>
  <si>
    <t xml:space="preserve">“As expected, participants in the favorable-LIB condition believed that Peter was more likely to be helpful in the future (M = 70.29%, SD = 23.58) than did participants in the unfavorable-LIB condition (M = 57.83%, SD = 24.08), t(86) = 2.45, p = .016, d = 0.53" </t>
  </si>
  <si>
    <t>https://osf.io/w3h9y</t>
  </si>
  <si>
    <t>Boyce_etal2023117_b</t>
  </si>
  <si>
    <r>
      <rPr>
        <rFont val="Calibri"/>
        <sz val="11.0"/>
      </rPr>
      <t xml:space="preserve">1. There is OSF link, but it is not stated whether the paper was pre-registrated or registrated. 
2. Replication data was taken from: </t>
    </r>
    <r>
      <rPr>
        <rFont val="Calibri"/>
        <color rgb="FF1155CC"/>
        <sz val="11.0"/>
        <u/>
      </rPr>
      <t>https://rpubs.com/camillag/256522</t>
    </r>
    <r>
      <rPr>
        <rFont val="Calibri"/>
        <sz val="11.0"/>
      </rPr>
      <t xml:space="preserve"> </t>
    </r>
  </si>
  <si>
    <t>Favorable Linguistic intergroup bias lead to higher believs that Peter was less likely to be rude in the future</t>
  </si>
  <si>
    <t>"Similarly, participants in the favorable-LIB condition indicated that Peter was less likely to be rude in the future (M = 33.67%, SD = 25.48) compared with participants in the unfavorable-LIB condition (M = 53.93%, SD = 25.22), t(86) = 3.73, p &lt; .001, d = 0.80”</t>
  </si>
  <si>
    <t>Boyce_etal2023117_c</t>
  </si>
  <si>
    <r>
      <rPr>
        <rFont val="Calibri"/>
        <sz val="11.0"/>
      </rPr>
      <t xml:space="preserve">1. There is OSF link, but it is not stated whether the paper was pre-registrated or registrated. 
2. Replication data was taken from: </t>
    </r>
    <r>
      <rPr>
        <rFont val="Calibri"/>
        <color rgb="FF1155CC"/>
        <sz val="11.0"/>
        <u/>
      </rPr>
      <t>https://rpubs.com/camillag/256522</t>
    </r>
    <r>
      <rPr>
        <rFont val="Calibri"/>
        <sz val="11.0"/>
      </rPr>
      <t xml:space="preserve"> </t>
    </r>
  </si>
  <si>
    <t>Being in the favorable Favorable Linguistic intergroup lead to higher believe that the communicator was a Democrat</t>
  </si>
  <si>
    <t>"As predicted, participants in the favorable-LIB condition were significantly more likely to believe that the communicator was a Democrat, and thus shared a party affiliation with the target, than were participants in the unfavorable-LIB condition, t(86) = 2.89, p = .005, d = 0.62 (Fig. 1)"</t>
  </si>
  <si>
    <t>Boyce_etal2023118_1</t>
  </si>
  <si>
    <t>Boyce_etal2023118</t>
  </si>
  <si>
    <r>
      <rPr>
        <rFont val="Calibri"/>
        <sz val="11.0"/>
      </rPr>
      <t xml:space="preserve">1. The data was taken from: </t>
    </r>
    <r>
      <rPr>
        <rFont val="Calibri"/>
        <color rgb="FF1155CC"/>
        <sz val="11.0"/>
        <u/>
      </rPr>
      <t>https://github.com/lrhasak/porter2016/blob/master/writeup/ReplicationReport.Rmd</t>
    </r>
  </si>
  <si>
    <t>Participants in the favorable-LIB condition believed that the communicator was less likely to support the policy</t>
  </si>
  <si>
    <t>"Participants in the favorable-LIB condition believed that the communicator was less likely to support the policy (M = 3.83, SD = 1.44) than did participants in the unfavorable-LIB condition (M = 4.45, SD = 1.13), t(116) = 2.61, p = .01"</t>
  </si>
  <si>
    <t>t(116) = 2.61</t>
  </si>
  <si>
    <t>Boyce_etal2023119_1</t>
  </si>
  <si>
    <t>Boyce_etal2023119</t>
  </si>
  <si>
    <r>
      <rPr>
        <rFont val="Calibri"/>
        <sz val="11.0"/>
      </rPr>
      <t xml:space="preserve">1. The data was taken from: </t>
    </r>
    <r>
      <rPr>
        <rFont val="Calibri"/>
        <color rgb="FF1155CC"/>
        <sz val="11.0"/>
        <u/>
      </rPr>
      <t>https://github.com/lrhasak/porter2016/blob/master/writeup/ReplicationReport.Rmd</t>
    </r>
  </si>
  <si>
    <t>Participants in the favorable-LIB condition were more likely excplicitly beliving that the communicator was more from Democratics</t>
  </si>
  <si>
    <t>"Participants in the favorable-LIB condition believed that the communicator was more likely to support these Democratic-leaning social policies (M = 4.90, SD = 0.99), compared with participants in the unfavorable-LIB condition (M = 4.33, SD = 0.90), t(116) = 3.25, p = .002, d = 0.60 (Fig. 2)"</t>
  </si>
  <si>
    <t>Boyce_etal202312</t>
  </si>
  <si>
    <t>Boyce_etal202312_1</t>
  </si>
  <si>
    <t>Bourrat, P., Baumard, N., &amp; McKay, R. (2011). Surveillance cues enhance moral condemnation. Evolutionary Psychology, 9(2), 147470491100900206.</t>
  </si>
  <si>
    <t>10.1177/147470491100900206</t>
  </si>
  <si>
    <t>Boyce, V., Mathur, M., &amp; Frank, M. C. (2023). Eleven years of student replication projects provide evidence on the correlates of replicability in psychology. Royal Society Open Science, 10(11), 231240. https://doi.org/10.1098/rsos.231073</t>
  </si>
  <si>
    <t>10.1098/rsos.231073</t>
  </si>
  <si>
    <t>Boyce_etal2023120_1</t>
  </si>
  <si>
    <t>Boyce_etal2023120</t>
  </si>
  <si>
    <r>
      <rPr>
        <rFont val="Calibri"/>
        <sz val="11.0"/>
      </rPr>
      <t xml:space="preserve">1. The data for replication was taken from: </t>
    </r>
    <r>
      <rPr>
        <rFont val="Calibri"/>
        <color rgb="FF1155CC"/>
        <sz val="11.0"/>
        <u/>
      </rPr>
      <t>https://www.rpubs.com/sansiropp/256552</t>
    </r>
  </si>
  <si>
    <t>"Likewise, participants in the unfavorable-LIB condition believed that Peter was more likely to be rude in the future (M = 53.82%, SD = 23.99) compared with participants in the favorable-LIB condition (M = 42.18%, SD = 19.73), F(1, 129) = 9.40, p &lt; .01, d = 0.53"</t>
  </si>
  <si>
    <r>
      <rPr>
        <rFont val="Calibri"/>
        <sz val="11.0"/>
      </rPr>
      <t xml:space="preserve">1. The data for replication was taken from: </t>
    </r>
    <r>
      <rPr>
        <rFont val="Calibri"/>
        <color rgb="FF1155CC"/>
        <sz val="11.0"/>
        <u/>
      </rPr>
      <t>https://www.rpubs.com/sansiropp/256552</t>
    </r>
  </si>
  <si>
    <t>The target’s political affiliation (Democrat vs. Republican) did not significantly influence participants’ judgments about shared group membership</t>
  </si>
  <si>
    <t>"Further, there was no main effect of target’s political affiliation, F(1, 121) = 0.87"</t>
  </si>
  <si>
    <t>F(1, 121) = 0.87</t>
  </si>
  <si>
    <t>1. The study was replicated online, however author claimed that it should no affect the replication due to specific aspects of the experimental procedure</t>
  </si>
  <si>
    <t>10.1177--147470491100900206.pdf</t>
  </si>
  <si>
    <t>The replication was not completed</t>
  </si>
  <si>
    <r>
      <rPr>
        <rFont val="Calibri"/>
        <sz val="11.0"/>
      </rPr>
      <t xml:space="preserve">1. The data for replication was taken from: </t>
    </r>
    <r>
      <rPr>
        <rFont val="Calibri"/>
        <color rgb="FF1155CC"/>
        <sz val="11.0"/>
        <u/>
      </rPr>
      <t>https://www.rpubs.com/sansiropp/256552</t>
    </r>
  </si>
  <si>
    <t>The interaction between the LIB condition and the participant’s political affiliation was not significant</t>
  </si>
  <si>
    <t>" The LIB Condition × Participant’s Political Affiliation interaction was not reliable, F(2, 121) = 0.92"</t>
  </si>
  <si>
    <t>F(2, 121) = 0.92</t>
  </si>
  <si>
    <t>Boyce_etal2023121</t>
  </si>
  <si>
    <t>Boyce_etal2023121_1</t>
  </si>
  <si>
    <t>Proudfoot, D., Kay, A. C., &amp; Koval, C. Z. (2015). A gender bias in the attribution of creativity: Archival and experimental evidence for the perceived association between masculinity and creative thinking. Psychological science, 26(11), 1751-1761.</t>
  </si>
  <si>
    <t>10.1177/0956797615598739</t>
  </si>
  <si>
    <t>Boyce, V., Mathur, M., &amp; Frank, M. C. (2023). Eleven years of student replication projects provide evidence on the correlates of replicability in psychology. Royal Society Open Science, 10(11), 231240. https://doi.org/10.1098/rsos.231180</t>
  </si>
  <si>
    <t>10.1098/rsos.231180</t>
  </si>
  <si>
    <t>whether the creative thought process tends to be masculinized.</t>
  </si>
  <si>
    <t>Boyce_etal2023121_1_a</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</si>
  <si>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</si>
  <si>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 xml:space="preserve">Not sure whether the results match </t>
  </si>
  <si>
    <t>10.1177--0956797615598739.pdf</t>
  </si>
  <si>
    <t>Stereotype</t>
  </si>
  <si>
    <t>Stereotyped attitudes, social perception, prejudice, sex-role attitudes</t>
  </si>
  <si>
    <t>Participants rated different types of traits (masculine vs. feminine) differently, regardless of the condition</t>
  </si>
  <si>
    <t>"A mixed-model ANOVA with condition as the between subjects factor and trait type as the within-subjects factor revealed a main effect of trait type, F(1, 78) = 75.02, p &lt; .001, partial eta-square = .49"</t>
  </si>
  <si>
    <t>F(1,2) = 57.800</t>
  </si>
  <si>
    <t>Boyce_etal2023121_1_b</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</si>
  <si>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</si>
  <si>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The difference in how masculine and feminine traits were rated marginally depended on whether participants were in the divergent-thinking or convergent-thinking condition</t>
  </si>
  <si>
    <t>"A mixed-model ANOVA with condition as the between subjects factor and trait type as the within-subjects factor revealed [...] a marginally significant interaction between trait type and condition, F(1, 78) = 3.05, p = .084, partial eta-square = .04 (see Fig. 1)"</t>
  </si>
  <si>
    <t>F(1,2) = 0.022</t>
  </si>
  <si>
    <t>Boyce_etal2023121_1_c</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</si>
  <si>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</si>
  <si>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In the divergent-thinking condition, participants strongly associated creativity with masculine-agentic traits</t>
  </si>
  <si>
    <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</si>
  <si>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Boyce_etal2023121_1_d</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</si>
  <si>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</si>
  <si>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In the convergent-thinking condition, participants still associated creativity more with masculine-agentic traits</t>
  </si>
  <si>
    <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</si>
  <si>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Boyce_etal2023121_1_e</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</si>
  <si>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</si>
  <si>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Masculine traits were seen as more important for creativity in the divergent-thinking condition</t>
  </si>
  <si>
    <t>"The masculine traits were perceived as more central to creativity when divergence was emphasized, rather than convergence, F(1, 78) = 10.21, p = .002, d = 0.71"</t>
  </si>
  <si>
    <t>Boyce_etal2023121_1_f</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</si>
  <si>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</si>
  <si>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 xml:space="preserve">F &lt; 1" can be a bad estimation of the effect size (test statistics) </t>
  </si>
  <si>
    <t>There was no significant difference in how feminine traits were perceived across the divergent-thinking and convergent-thinking conditions.</t>
  </si>
  <si>
    <t>"There was no effect of condition on the perceived centrality of the feminine traits, F &lt; 1, p = .536"</t>
  </si>
  <si>
    <t>F &lt; 1</t>
  </si>
  <si>
    <t>Boyce_etal2023122</t>
  </si>
  <si>
    <t>Boyce_etal2023122_1</t>
  </si>
  <si>
    <t>statistics for R extracted from report</t>
  </si>
  <si>
    <t>Ranzini, M., Dehaene, S., Piazza, M., &amp; Hubbard, E. M. (2009). Neural mechanisms of attentional shifts due to irrelevant spatial and numerical cues. Neuropsychologia, 47(12), 2615-2624.</t>
  </si>
  <si>
    <t>10.1016/j.neuropsychologia.2009.05.011</t>
  </si>
  <si>
    <t>Boyce, V., Mathur, M., &amp; Frank, M. C. (2023). Eleven years of student replication projects provide evidence on the correlates of replicability in psychology. Royal Society Open Science, 10(11), 231240. https://doi.org/10.1098/rsos.231181</t>
  </si>
  <si>
    <t>10.1098/rsos.231181</t>
  </si>
  <si>
    <t>The Cue Direction/Magnitude × Target Position interactions ...  approached significance for numbers (F(1,14) = 4.1,
P = 0.06).</t>
  </si>
  <si>
    <t>p.2617</t>
  </si>
  <si>
    <t>1. I would say that changes in the procedure were really big -&gt; conceptual 
2. The original paper was added as 10.1016j.neuropsychologia.2009.05.011.pdf</t>
  </si>
  <si>
    <t>https://osf.io/q8src</t>
  </si>
  <si>
    <t xml:space="preserve">Attentional orienting effect </t>
  </si>
  <si>
    <t>Attention, Visuospatial attention, Number processing, ERPs, early directing attention negativity, anterior directing attention negativity</t>
  </si>
  <si>
    <t>Mean reaction times were faster when the target location was congruent with that indicated by the numeric cue</t>
  </si>
  <si>
    <t>The Cue Direction/Magnitude × Target Position interactions [...] approached significance for numbers (F(1,14) = 4.1, P = 0.06). Although these results are not significant, mean reaction times were faster when the target location was congruent with that indicated by the cue.</t>
  </si>
  <si>
    <t>p. 2617</t>
  </si>
  <si>
    <t>F(1, 14) = 4.1</t>
  </si>
  <si>
    <t>F(1, 16) = 0.24</t>
  </si>
  <si>
    <t>Boyce_etal2023123</t>
  </si>
  <si>
    <t>Boyce_etal2023123_1</t>
  </si>
  <si>
    <t>Read, D., &amp; Scholten, M. (2012). Tradeoffs between sequences: Weighing accumulated outcomes against outcome-adjusted delays. Journal of Experimental Psychology: Learning, Memory, and Cognition, 38(6), 1675.</t>
  </si>
  <si>
    <t>10.1037/a0028216</t>
  </si>
  <si>
    <t>Boyce, V., Mathur, M., &amp; Frank, M. C. (2023). Eleven years of student replication projects provide evidence on the correlates of replicability in psychology. Royal Society Open Science, 10(11), 231240. https://doi.org/10.1098/rsos.231182</t>
  </si>
  <si>
    <t>10.1098/rsos.231182</t>
  </si>
  <si>
    <t>relative magnitude effect,</t>
  </si>
  <si>
    <t>First, preference for LL decreased as A0;2 increased, F(2, 550)  125.46, p &lt;.005, n2p  .31.</t>
  </si>
  <si>
    <t>p.1680</t>
  </si>
  <si>
    <t>Boyce_etal2023123_1_a</t>
  </si>
  <si>
    <t>1. The original paper was added as 10.1037a0028216.pdf</t>
  </si>
  <si>
    <t>Intertemporal decisions</t>
  </si>
  <si>
    <t>Intertemporal choice, discounting, tradeoffs, sequences</t>
  </si>
  <si>
    <t>Interest rates decrease as A0:2 increases - tradeoff model</t>
  </si>
  <si>
    <t>"First, preference for LL decreased as A0.2 increased, F(2, 550) = 125.46, p &lt; .005, partial eta-square = .31"</t>
  </si>
  <si>
    <t>Boyce_etal2023123_1_b</t>
  </si>
  <si>
    <t>Explicitly stating zero outcomes increases patience</t>
  </si>
  <si>
    <t>"Furthermore, preference for LL increased when zero outcomes were stated explicitly, F(1, 275) = 41.07,p &lt; .005, partial eta-square= .13"</t>
  </si>
  <si>
    <t>Boyce_etal2023123_1_c</t>
  </si>
  <si>
    <t>Increasing the smaller sooner reward reduces patience</t>
  </si>
  <si>
    <t>"For A0:2 = €0 (Cells A, B, and C), preference for LL decreased as AQ increased, F(2, 550) = 11.19, p &lt; .005, partial eta-square = .06"</t>
  </si>
  <si>
    <t>Boyce_etal2023123_1_d</t>
  </si>
  <si>
    <t>For larger later rewards, increasing the smaller sooner reward increases patience</t>
  </si>
  <si>
    <t>"For A0:2 = €500 (Cells D, E, and F) and €1,000 (Cells G, H, and I), however, preference for LL increased as AQ increased, F(2, 550) = 61.12, p &lt; .005, partial eta-square = .18"</t>
  </si>
  <si>
    <t>Boyce_etal2023123_1_e</t>
  </si>
  <si>
    <t>1. The original paper was added as 10.1037a0028216.pdf
2. There are 2 corresponding results in replication study, I am not sure which one to use</t>
  </si>
  <si>
    <t>The effect of adding amounts to rewards depends on the specific reward structure</t>
  </si>
  <si>
    <t>"A0:2 interacted with A0, F(4, 1100) = 48.76, p &lt; .005, partial eta-square = .15. For A0:2 = €0 (Cells A, B, and C)"</t>
  </si>
  <si>
    <t>Boyce_etal2023124_1</t>
  </si>
  <si>
    <t>Boyce_etal2023124</t>
  </si>
  <si>
    <t>Reinecke, K., Yeh, T., Miratrix, L., Mardiko, R., Zhao, Y., Liu, J., &amp; Gajos, K. Z. (2013, April). Predicting users' first impressions of website aesthetics with a quantification of perceived visual complexity and colorfulness. In Proceedings of the SIGCHI conference on human factors in computing systems (pp. 2049-2058).</t>
  </si>
  <si>
    <t>10.1145/2470654.2481281</t>
  </si>
  <si>
    <t>10.1145--2470654.2481281.pdf</t>
  </si>
  <si>
    <t>Boyce, V., Mathur, M., &amp; Frank, M. C. (2023). Eleven years of student replication projects provide evidence on the correlates of replicability in psychology. Royal Society Open Science, 10(11), 231240. https://doi.org/10.1098/rsos.231183</t>
  </si>
  <si>
    <t>10.1098/rsos.231183</t>
  </si>
  <si>
    <t>Boyce_etal2023125</t>
  </si>
  <si>
    <t>Boyce_etal2023125_1</t>
  </si>
  <si>
    <t>Reis, H. T., Lee, K. Y., O'Keefe, S. D., &amp; Clark, M. S. (2018). Perceived partner responsiveness promotes intellectual humility. Journal of Experimental Social Psychology, 79, 21-33.</t>
  </si>
  <si>
    <t>10.1016/j.jesp.2018.05.006</t>
  </si>
  <si>
    <t>Boyce, V., Mathur, M., &amp; Frank, M. C. (2023). Eleven years of student replication projects provide evidence on the correlates of replicability in psychology. Royal Society Open Science, 10(11), 231240. https://doi.org/10.1098/rsos.231184</t>
  </si>
  <si>
    <t>10.1098/rsos.231184</t>
  </si>
  <si>
    <t>The main effect for condition was significant, F(2,483) = 5.99, p = .003, eta2 = 0.024,</t>
  </si>
  <si>
    <t>p.29</t>
  </si>
  <si>
    <t>Boyce_etal2023125_1_a</t>
  </si>
  <si>
    <t>1. Minor changes to the procedure (like different attentional check) which should not affect the experiment
2. Confirmation of the row choice: "I was able to reproduce the same means and test statistics as the original article. [Unresponsive: M = 10.5, SD = 5.04. Responsive: M = 12.3, SD = 4.38.] The ANOVA between the three conditions yielded F = 6.07(2,517), p = .002." replication report - correspond to the data in the table"\</t>
  </si>
  <si>
    <t>https://rpubs.com/cgarton/975073</t>
  </si>
  <si>
    <t xml:space="preserve">Intellectual humility </t>
  </si>
  <si>
    <t>Intellectual Humility, Self-Serving Bias, Perceived Partner Responsiveness,  Interpersonal Affirmation, global-local visual processing task, self-affirmation</t>
  </si>
  <si>
    <t>Responsive conditions increase global focus</t>
  </si>
  <si>
    <t>The main effect for condition was significant, F(2,483) = 5.99, p = .003, eta-square = 0.024. [...] Participants in the responsive condition showed a significantly more global focus than participants in the unresponsive condition (p = .001)</t>
  </si>
  <si>
    <t>p. 29: =(12.27-10.51)/SQRT(((178-1)*4.38^2+(172-1)*5.04^2)/(178+172-2)))</t>
  </si>
  <si>
    <t>https://rpubs.com/cgarton/975073: =(9.45-10.34)/SQRT(((110-1)*4.58^2+(98-1)*4.65^2)/(110+98-2)))</t>
  </si>
  <si>
    <t>Boyce_etal2023125_1_b</t>
  </si>
  <si>
    <t>1. Minor changes to the procedure (like different attentional check) which should not affect the experiment</t>
  </si>
  <si>
    <t>Mood does not mediate global processing effects</t>
  </si>
  <si>
    <t>"Mood was not significantly related to global orientation scores, F(1,468) = 1.75, p = .187, eta-square = 0.004"</t>
  </si>
  <si>
    <t>Boyce_etal2023125_1_c</t>
  </si>
  <si>
    <t>Responsive conditions increase global focus when the mood was considered as a factor</t>
  </si>
  <si>
    <t>"To ensure that these effects were not attributable to mood differences, we repeated the above one-way analysis of variance controlling for mood. [...] the condition main effect remained significant, F(2,468) = 7.11, p = .001, eta-square = 0.029"</t>
  </si>
  <si>
    <t>Boyce_etal2023126</t>
  </si>
  <si>
    <t>Boyce_etal2023126_1</t>
  </si>
  <si>
    <t>Richter, F. R., &amp; Yeung, N. (2012). Memory and cognitive control in task switching. Psychological Science, 23(10), 1256-1263.</t>
  </si>
  <si>
    <t>10.1177/0956797612444613</t>
  </si>
  <si>
    <t>Boyce, V., Mathur, M., &amp; Frank, M. C. (2023). Eleven years of student replication projects provide evidence on the correlates of replicability in psychology. Royal Society Open Science, 10(11), 231240. https://doi.org/10.1098/rsos.231185</t>
  </si>
  <si>
    <t>10.1098/rsos.231185</t>
  </si>
  <si>
    <t>Task switching and memory</t>
  </si>
  <si>
    <t>memory for attended items was worse on switch trials than on repeat trials, t(17) = −2.60, p &lt; .05,</t>
  </si>
  <si>
    <t>-0.61.</t>
  </si>
  <si>
    <t>p. 1259</t>
  </si>
  <si>
    <t xml:space="preserve">1. No replication report was found in the folder and internet </t>
  </si>
  <si>
    <t>10.1177--0956797612444613.pdf</t>
  </si>
  <si>
    <t>Very close report</t>
  </si>
  <si>
    <t>Attention, long-term memory</t>
  </si>
  <si>
    <t>Switching reverses memory effects for attended and unattended items</t>
  </si>
  <si>
    <t>""Thus, a main effect of attention [...] was reliably modulated by switching [...]: Whereas memory for attended items was worse on switch trials than on repeat trials, t(17) = −2.60, p &lt; .05"</t>
  </si>
  <si>
    <t>Boyce_etal2023127</t>
  </si>
  <si>
    <t>Boyce_etal2023127_1</t>
  </si>
  <si>
    <t>R extracted from the report</t>
  </si>
  <si>
    <t>Page incorrect
We report different results, I assume that both can exist (like 114)</t>
  </si>
  <si>
    <t>Risen, J. L., &amp; Gilovich, T. (2008). Why people are reluctant to tempt fate. Journal of personality and social psychology, 95(2), 293.</t>
  </si>
  <si>
    <t>Boyce, V., Mathur, M., &amp; Frank, M. C. (2023). Eleven years of student replication projects provide evidence on the correlates of replicability in psychology. Royal Society Open Science, 10(11), 231240. https://doi.org/10.1098/rsos.231186</t>
  </si>
  <si>
    <t>10.1098/rsos.231186</t>
  </si>
  <si>
    <t>Study 6</t>
  </si>
  <si>
    <t>when participants were not under load, those who imagined that they had not done the reading believed that it was more likely that they would be called on  than participants who imagined that they had done the reading</t>
  </si>
  <si>
    <t>p. 302</t>
  </si>
  <si>
    <t>Boyce_etal2023127_1_a</t>
  </si>
  <si>
    <t>1. I would say that this is the extention of the original study for a new cohort -&gt; conceptual
2. The original paper was added as 10.10370022-3514.95.2.293.pdf
3. Effect can be either "Cognitive load" or "Tempting fate". The first is broader</t>
  </si>
  <si>
    <t>Cognitive load</t>
  </si>
  <si>
    <t>Cognitive load amplifies perceived risk</t>
  </si>
  <si>
    <t>"A 2 (behavior: had read vs. had not read) x 2 (load: yes vs. no) ANOVA revealed main effects for [...] load, F(1, 116) = 17.34, p &lt; .001"</t>
  </si>
  <si>
    <t>F(1,116) = 17.34</t>
  </si>
  <si>
    <t>F(1,222) = 10.275</t>
  </si>
  <si>
    <t>Boyce_etal2023127_1_b</t>
  </si>
  <si>
    <t>Tempting fate increases perceived risk</t>
  </si>
  <si>
    <t>"A 2 (behavior: had read vs. had not read) x 2 (load: yes vs. no) ANOVA revealed main effects for reading, F(1, 116) = 22.88, p &lt; .001 [...]"</t>
  </si>
  <si>
    <t>F(1,116) = 22.88</t>
  </si>
  <si>
    <t>F(1,222) = 0.501</t>
  </si>
  <si>
    <t>Boyce_etal2023127_1_c</t>
  </si>
  <si>
    <t>1. I would say that this is the extention of the original study for a new cohort -&gt; conceptual
2. The original paper was added as 10.10370022-3514.95.2.293.pdf
3. Effect can be either "Cognitive load" or "Tempting fate". The first is broader
4. For the second coder row: The replication values are not for the main effect (reported in the original study)</t>
  </si>
  <si>
    <t>We report different results, I assume that both can exist</t>
  </si>
  <si>
    <t>Load amplifies the effect of tempting fate</t>
  </si>
  <si>
    <t>"The main effects were qualified by the predicted interaction, however, F(1,116) = 4.15, p &lt; .05"</t>
  </si>
  <si>
    <t>F(1,116) = 4.15</t>
  </si>
  <si>
    <t>F(1,222) = 0.002</t>
  </si>
  <si>
    <t>Boyce_etal2023128</t>
  </si>
  <si>
    <t>Boyce_etal2023128_1</t>
  </si>
  <si>
    <t>Rogers, T., Zeckhauser, R., Gino, F., Norton, M. I., &amp; Schweitzer, M. E. (2017). Artful paltering: The risks and rewards of using truthful statements to mislead others. Journal of personality and social psychology, 112(3), 456.</t>
  </si>
  <si>
    <t>10.1037/pspi0000081</t>
  </si>
  <si>
    <t>Boyce, V., Mathur, M., &amp; Frank, M. C. (2023). Eleven years of student replication projects provide evidence on the correlates of replicability in psychology. Royal Society Open Science, 10(11), 231240. https://doi.org/10.1098/rsos.231187</t>
  </si>
  <si>
    <t>10.1098/rsos.231187</t>
  </si>
  <si>
    <t>The buyer who paltered and the buyer who lied by commission were regarded as equally unethical</t>
  </si>
  <si>
    <t>p. 466</t>
  </si>
  <si>
    <t>https://osf.io/8k4t5/.</t>
  </si>
  <si>
    <t>Boyce_etal2023128_1_a</t>
  </si>
  <si>
    <t>1. The 3rd study was not preregistrated (but the 4th was)
2. A delay was added to the procedure, but no more changes. I hope it was not a big change to call the study "conceptual replication"
3. The original paper was added as 10.1037pspi0000081.pdf</t>
  </si>
  <si>
    <t xml:space="preserve">Negotiation </t>
  </si>
  <si>
    <t>Deception, lying, negotiation, paltering, risk</t>
  </si>
  <si>
    <t>Participants perceive paltering as more unethical compared to honest responses</t>
  </si>
  <si>
    <t>"Participants rated the behavior of the buyer who paltered as more unethical than the behavior of the buyer who answered honestly (B = 1.06, SE = .36, p = .002)"</t>
  </si>
  <si>
    <t>Boyce_etal2023128_1_b</t>
  </si>
  <si>
    <t>Lying by commission and paltering are perceived as equally unethical</t>
  </si>
  <si>
    <t>"Participants rated the behavior of the buyer who paltered no different from the buyer who lied by commission (B = −.31, SE = .34, p = .36).</t>
  </si>
  <si>
    <t>Boyce_etal2023128_1_c</t>
  </si>
  <si>
    <t>Lying by commission is perceived as more unethical than honesty</t>
  </si>
  <si>
    <t>"Participants rated the buyer who [...] lied by commission to be more unethical than the buyer who answered honestly, ([...] B=.87, SE=.33, p=.01, respectively)"</t>
  </si>
  <si>
    <t>Boyce_etal2023128_1_d</t>
  </si>
  <si>
    <t>Paltering and lying by commission are perceived equivalently in terms of unethicality</t>
  </si>
  <si>
    <t>"The buyer who paltered and the buyer who lied by commission were regarded as equally unethical (B=.04, SE=.34, p=.91 )"</t>
  </si>
  <si>
    <t>Boyce_etal2023128_1_e</t>
  </si>
  <si>
    <t>Participants trust the honest buyer more than the one who paltered</t>
  </si>
  <si>
    <t>"Participants had more trust in the honest buyer than the one who paltered [...] (B = −1.0, SE = .32, p = .002"</t>
  </si>
  <si>
    <t>Boyce_etal2023128_1_f</t>
  </si>
  <si>
    <t>Participants trust the honest buyer more than the one who lied by commission</t>
  </si>
  <si>
    <t>"Participants had more trust in the honest buyer than the one who lied by commission ([...] B = −1.36, SE = .32, p &lt; .001, respectively)"</t>
  </si>
  <si>
    <t>Boyce_etal2023128_1_g</t>
  </si>
  <si>
    <t>Lying by commission and paltering are perceived as equally untrustworthy</t>
  </si>
  <si>
    <t>"The latter two were regarded as equally untrustworthy (B = .36, SE = .32, p = .26)"</t>
  </si>
  <si>
    <t>Boyce_etal2023128_1_h</t>
  </si>
  <si>
    <t>Participants are less likely to negotiate again with a buyer who paltered compared to one who answered honestly.</t>
  </si>
  <si>
    <t>"Participants reported that they were more likely to negotiate again with the buyer who answered honestly than the buyer who paltered (B = −.78, SE = .33, p = .02)"</t>
  </si>
  <si>
    <t>Boyce_etal2023128_1_i</t>
  </si>
  <si>
    <t>Pparticipants are less likely to negotiate again with a buyer who lied by commission compared to one who answered honestly</t>
  </si>
  <si>
    <t>"Participants reported that they were more likely to negotiate again with [...] the buyer who lied by commission (B = −.77, SE = .33, p = .02)"</t>
  </si>
  <si>
    <t>Boyce_etal2023128_1_j</t>
  </si>
  <si>
    <t>Participants perceive lying by commission and paltering as equally undesirable for future negotiation likelihood</t>
  </si>
  <si>
    <t>"The latter two had the same likelihood of securing another negotiation (B = −.01, SE = .33, p = .97)"</t>
  </si>
  <si>
    <t>Boyce_etal2023129</t>
  </si>
  <si>
    <t>Boyce_etal2023129_1</t>
  </si>
  <si>
    <t>d and p valuse for O extracted from Boyce</t>
  </si>
  <si>
    <t>Differences in discipline between 2 coders -&gt; I assume Psychology to fit better
Corrected p value</t>
  </si>
  <si>
    <t>Rottman, J., &amp; Young, L. (2019). Specks of dirt and tons of pain: Dosage distinguishes impurity from harm. Psychological Science, 30(8), 1151-1160.</t>
  </si>
  <si>
    <t>10.1177/0956797619855382</t>
  </si>
  <si>
    <t>Boyce, V., Mathur, M., &amp; Frank, M. C. (2023). Eleven years of student replication projects provide evidence on the correlates of replicability in psychology. Royal Society Open Science, 10(11), 231240. https://doi.org/10.1098/rsos.231188</t>
  </si>
  <si>
    <t>10.1098/rsos.231188</t>
  </si>
  <si>
    <t>Judgment</t>
  </si>
  <si>
    <t>Moral cognition, purity, harm, scope insensitivity, open data, open materials, preregistered</t>
  </si>
  <si>
    <t>The difference in wrongness ratings between the high-dosage and low-dosage versions was substantially higher for the harm transgressions</t>
  </si>
  <si>
    <t>The difference in wrongness ratings between the high- dosage and low-dosage versions of the scenarios was substantially higher for the harm transgressions (mean difference = 14.605; SD = 20.395)</t>
  </si>
  <si>
    <t>https://osf.io/zxp9k/.</t>
  </si>
  <si>
    <t>Boyce_etal2023129_1_a</t>
  </si>
  <si>
    <r>
      <rPr>
        <rFont val="Calibri"/>
        <sz val="11.0"/>
      </rPr>
      <t xml:space="preserve">1. Study 1 was not preregistrated in the original paper (only study 3: </t>
    </r>
    <r>
      <rPr>
        <rFont val="Calibri"/>
        <color rgb="FF1155CC"/>
        <sz val="11.0"/>
        <u/>
      </rPr>
      <t xml:space="preserve">https://osf.io/bd9ea)
</t>
    </r>
    <r>
      <rPr>
        <rFont val="Calibri"/>
        <sz val="11.0"/>
      </rPr>
      <t xml:space="preserve">2. The data for replication was taken from: </t>
    </r>
    <r>
      <rPr>
        <rFont val="Calibri"/>
        <color rgb="FF1155CC"/>
        <sz val="11.0"/>
        <u/>
      </rPr>
      <t>https://rpubs.com/cceballos-stanford/544019</t>
    </r>
  </si>
  <si>
    <t>10.1177--0956797619855382.pdf</t>
  </si>
  <si>
    <t>Participants had greater sensitivity to dosage for harm-based transgressions</t>
  </si>
  <si>
    <t>"Crucially, there was a significant interaction between domain and dosage, b = 9.599, SE = 1.821, p &lt; .001"</t>
  </si>
  <si>
    <t>https://osf.io/cxatn</t>
  </si>
  <si>
    <t>Boyce_etal2023129_1_b</t>
  </si>
  <si>
    <r>
      <rPr>
        <rFont val="Calibri"/>
        <sz val="11.0"/>
      </rPr>
      <t xml:space="preserve">1. Study 1 was not preregistrated in the original paper (only study 3: </t>
    </r>
    <r>
      <rPr>
        <rFont val="Calibri"/>
        <color rgb="FF1155CC"/>
        <sz val="11.0"/>
        <u/>
      </rPr>
      <t xml:space="preserve">https://osf.io/bd9ea)
</t>
    </r>
    <r>
      <rPr>
        <rFont val="Calibri"/>
        <sz val="11.0"/>
      </rPr>
      <t xml:space="preserve">2. The data for replication was taken from: </t>
    </r>
    <r>
      <rPr>
        <rFont val="Calibri"/>
        <color rgb="FF1155CC"/>
        <sz val="11.0"/>
        <u/>
      </rPr>
      <t>https://rpubs.com/cceballos-stanford/544019</t>
    </r>
  </si>
  <si>
    <t>High-dosage transgressions were judged to be more wrong than low-dosage transgressions</t>
  </si>
  <si>
    <t>"Rerunning this model without the interaction term (to ensure more interpretable main effects) indicated [...] there was a clear effect of dosage, b = 9.199, SE = 0.915, p &lt; .001"</t>
  </si>
  <si>
    <t>Boyce_etal2023129_1_c</t>
  </si>
  <si>
    <r>
      <rPr>
        <rFont val="Calibri"/>
        <sz val="11.0"/>
      </rPr>
      <t xml:space="preserve">1. Study 1 was not preregistrated in the original paper (only study 3: </t>
    </r>
    <r>
      <rPr>
        <rFont val="Calibri"/>
        <color rgb="FF1155CC"/>
        <sz val="11.0"/>
        <u/>
      </rPr>
      <t xml:space="preserve">https://osf.io/bd9ea)
</t>
    </r>
    <r>
      <rPr>
        <rFont val="Calibri"/>
        <sz val="11.0"/>
      </rPr>
      <t xml:space="preserve">2. The data for replication was taken from: </t>
    </r>
    <r>
      <rPr>
        <rFont val="Calibri"/>
        <color rgb="FF1155CC"/>
        <sz val="11.0"/>
        <u/>
      </rPr>
      <t>https://rpubs.com/cceballos-stanford/544019</t>
    </r>
  </si>
  <si>
    <t>The harm and purity transgressions were well matched for severity</t>
  </si>
  <si>
    <t>“Rerunning this model without the interaction term (to ensure more interpretable main effects) indicated that there was no overall effect of domain, b = 3.400, SE = 6.803, p = .625"</t>
  </si>
  <si>
    <t>Boyce_etal202313</t>
  </si>
  <si>
    <t>Boyce_etal202313_1</t>
  </si>
  <si>
    <t>Brady, T. F., &amp; Alvarez, G. A. (2011). Hierarchical encoding in visual working memory: Ensemble statistics bias memory for individual items. Psychological science, 22(3), 384-392.</t>
  </si>
  <si>
    <t>10.1177/0956797610397956</t>
  </si>
  <si>
    <t>Boyce, V., Mathur, M., &amp; Frank, M. C. (2023). Eleven years of student replication projects provide evidence on the correlates of replicability in psychology. Royal Society Open Science, 10(11), 231240. https://doi.org/10.1098/rsos.231074</t>
  </si>
  <si>
    <t>10.1098/rsos.231074</t>
  </si>
  <si>
    <t>https://osf.io/p5hvr</t>
  </si>
  <si>
    <t>On average, the reported size of the tested circle was 1.11 times greater (SEM = 0.03) on trials with the larger same- colored circles than on trials with the smaller same-colored circles (see Fig. 2b). This ratio was significantly greater than 1.0, t(20) = 4.17, p = .0004.</t>
  </si>
  <si>
    <t>p. 386</t>
  </si>
  <si>
    <t>For second coder: I didn't find any place with n_o = 20</t>
  </si>
  <si>
    <t>10.1177--0956797610397956.pdf</t>
  </si>
  <si>
    <t>Ensemble statistics and item memory</t>
  </si>
  <si>
    <t>Working memory, constructive memory, ensemble statistics, summary statistics</t>
  </si>
  <si>
    <t>Observers are biased by the ensemble statistics of a display when representing display items in visual working memory</t>
  </si>
  <si>
    <t>On average, the reported size of the tested circle was 1.11 times greater (SEM = 0.03) on trials with the larger same colored circles than on trials with the smaller same-colored circles (see Fig. 2b). This ratio was significantly greater than 1.0, t(20) = 4.17, p = .0004</t>
  </si>
  <si>
    <t>t(20) = 4.17</t>
  </si>
  <si>
    <t>t(18) = 5.08</t>
  </si>
  <si>
    <t>Boyce_etal2023130</t>
  </si>
  <si>
    <t>Boyce_etal2023130_1</t>
  </si>
  <si>
    <t>Rychlowska, M., Jack, R. E., Garrod, O. G., Schyns, P. G., Martin, J. D., &amp; Niedenthal, P. M. (2017). Functional smiles: Tools for love, sympathy, and war. Psychological science, 28(9), 1259-1270.</t>
  </si>
  <si>
    <t>10.1177/0956797617706082</t>
  </si>
  <si>
    <t>Boyce, V., Mathur, M., &amp; Frank, M. C. (2023). Eleven years of student replication projects provide evidence on the correlates of replicability in psychology. Royal Society Open Science, 10(11), 231240. https://doi.org/10.1098/rsos.231189</t>
  </si>
  <si>
    <t>10.1098/rsos.231189</t>
  </si>
  <si>
    <t>Boyce_etal2023131</t>
  </si>
  <si>
    <t>Boyce_etal2023131_1</t>
  </si>
  <si>
    <t>PCA replicated, no statistics in Botce, report present</t>
  </si>
  <si>
    <t>Santello, M., Flanders, M., &amp; Soechting, J. F. (1998). Postural hand synergies for tool use. Journal of neuroscience, 18(23), 10105-10115.</t>
  </si>
  <si>
    <t>10.1523/JNEUROSCI.18-23-10105.1998</t>
  </si>
  <si>
    <t>Boyce, V., Mathur, M., &amp; Frank, M. C. (2023). Eleven years of student replication projects provide evidence on the correlates of replicability in psychology. Royal Society Open Science, 10(11), 231240. https://doi.org/10.1098/rsos.231190</t>
  </si>
  <si>
    <t>10.1098/rsos.231190</t>
  </si>
  <si>
    <t>Supp. 4</t>
  </si>
  <si>
    <t>10.1177--0956797617706082.pdf</t>
  </si>
  <si>
    <t xml:space="preserve">p. </t>
  </si>
  <si>
    <t>Boyce_etal2023132</t>
  </si>
  <si>
    <t>Boyce_etal2023132_1</t>
  </si>
  <si>
    <t>Savani, K., Markus, H. R., Naidu, N. V. R., Kumar, S., &amp; Berlia, N. (2010). What counts as a choice? US Americans are more likely than Indians to construe actions as choices. Psychological Science, 21(3), 391-398.</t>
  </si>
  <si>
    <t>10.1177/0956797609359908</t>
  </si>
  <si>
    <t>Boyce, V., Mathur, M., &amp; Frank, M. C. (2023). Eleven years of student replication projects provide evidence on the correlates of replicability in psychology. Royal Society Open Science, 10(11), 231240. https://doi.org/10.1098/rsos.231191</t>
  </si>
  <si>
    <t>10.1098/rsos.231191</t>
  </si>
  <si>
    <t>Indian participants identified substantially fewer actions in the construal-of-choice condition, t(32) = 4.25, p &lt; .001, prep &gt; .99, d = 1.03</t>
  </si>
  <si>
    <t>p.394</t>
  </si>
  <si>
    <t>10.1523--jneurosci.18-23-10105.1998.pdf</t>
  </si>
  <si>
    <t>1. I didn't find a replication report, thus I use the data from the table</t>
  </si>
  <si>
    <t>10.1177--0956797609359908.pdf</t>
  </si>
  <si>
    <t>Cultural Differences</t>
  </si>
  <si>
    <t>Choice, construal, action identification, culture, India</t>
  </si>
  <si>
    <t>Participants identified significantly fewer actions in the construal-of-choice condition compared to the control condition</t>
  </si>
  <si>
    <t>"Simple-effects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</si>
  <si>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Boyce_etal2023133</t>
  </si>
  <si>
    <t>Boyce_etal2023133_1</t>
  </si>
  <si>
    <t>Savani, K., &amp; Rattan, A. (2012). A choice mind-set increases the acceptance and maintenance of wealth inequality. Psychological science, 23(7), 796-804.</t>
  </si>
  <si>
    <t>10.1177/0956797611434540</t>
  </si>
  <si>
    <t>Boyce, V., Mathur, M., &amp; Frank, M. C. (2023). Eleven years of student replication projects provide evidence on the correlates of replicability in psychology. Royal Society Open Science, 10(11), 231240. https://doi.org/10.1098/rsos.231192</t>
  </si>
  <si>
    <t>10.1098/rsos.231192</t>
  </si>
  <si>
    <t>that participants in the choice condition were less disturbed by wealth inequality than participants in the control condition were, b = –0.97, SE = 0.43, t(42) = 2.29, p &lt; .03, Bayes factor = 12.76,3 d = 0.594 (see Fig. 1).</t>
  </si>
  <si>
    <t>p.798</t>
  </si>
  <si>
    <t>10.1177--0956797611434540.pdf</t>
  </si>
  <si>
    <t>Choice Perception</t>
  </si>
  <si>
    <t>Participants who perceived more choice were less disturbed by wealth inequality compared to those in the control condition</t>
  </si>
  <si>
    <t>A choice mind-set increases the acceptance and maintenance of wealth inequality</t>
  </si>
  <si>
    <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</si>
  <si>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Boyce_etal2023134</t>
  </si>
  <si>
    <t>Boyce_etal2023134_1</t>
  </si>
  <si>
    <t>Schaerer, M., Swaab, R. I., &amp; Galinsky, A. D. (2015). Anchors weigh more than power: Why absolute powerlessness liberates negotiators to achieve better outcomes. Psychological science, 26(2), 170-181.</t>
  </si>
  <si>
    <t>10.1177/0956797614558718</t>
  </si>
  <si>
    <t>Boyce, V., Mathur, M., &amp; Frank, M. C. (2023). Eleven years of student replication projects provide evidence on the correlates of replicability in psychology. Royal Society Open Science, 10(11), 231240. https://doi.org/10.1098/rsos.231193</t>
  </si>
  <si>
    <t>10.1098/rsos.231193</t>
  </si>
  <si>
    <t>Experiment 1a</t>
  </si>
  <si>
    <t>We also predicted that participants with a weak BATNA would make the lowest first offers, and we found that as well</t>
  </si>
  <si>
    <t>p. 172</t>
  </si>
  <si>
    <r>
      <rPr>
        <rFont val="Calibri"/>
        <sz val="11.0"/>
      </rPr>
      <t xml:space="preserve">1. The replication data was taken from: </t>
    </r>
    <r>
      <rPr>
        <rFont val="Calibri"/>
        <color rgb="FF1155CC"/>
        <sz val="11.0"/>
        <u/>
      </rPr>
      <t>https://osf.io/38en2</t>
    </r>
  </si>
  <si>
    <t>Coded the comparison between weak and no BATNA as key claim</t>
  </si>
  <si>
    <t>10.1177--0956797614558718.pdf</t>
  </si>
  <si>
    <t>https://rpubs.com/brucksm/final_report</t>
  </si>
  <si>
    <t>Negotiation, power, alternatives, first offer, anchoring, negotiator focus</t>
  </si>
  <si>
    <t>Negotiators with a weak BATNA made significantly lower first offers than those with no alternative</t>
  </si>
  <si>
    <t>"Negotiators with a weak BATNA (M = $4.57, SD = 1.74, 95% CI = [4.33, 4.92]) made lower offers than negotiators in both other conditions, ts(285) &gt; 6.18, ps &lt; .001, ds &gt; 0.76"</t>
  </si>
  <si>
    <t>https://osf.io/9j2ym</t>
  </si>
  <si>
    <t>Boyce_etal2023135</t>
  </si>
  <si>
    <t>Boyce_etal2023135_1</t>
  </si>
  <si>
    <t>No statistics in Boyce, report present. Report claims that the author succesfully reproduced the main statistical findings of interest, specifically - the interaction between valence and distance.  Unfortunately, I couldn't find results about that in the original paper, which might be because of my lack in expertize in the area</t>
  </si>
  <si>
    <t>Schechtman, E., Laufer, O., &amp; Paz, R. (2010). Negative valence widens generalization of learning. Journal of Neuroscience, 30(31), 10460-10464.</t>
  </si>
  <si>
    <t>10.1523/JNEUROSCI.2377-10.2010</t>
  </si>
  <si>
    <t>Boyce, V., Mathur, M., &amp; Frank, M. C. (2023). Eleven years of student replication projects provide evidence on the correlates of replicability in psychology. Royal Society Open Science, 10(11), 231240. https://doi.org/10.1098/rsos.231194</t>
  </si>
  <si>
    <t>10.1098/rsos.231194</t>
  </si>
  <si>
    <t>Boyce_etal2023136_1</t>
  </si>
  <si>
    <t>Boyce_etal2023136</t>
  </si>
  <si>
    <t>1. P-rep is provided for this study</t>
  </si>
  <si>
    <t>No 2nd coder data</t>
  </si>
  <si>
    <t>Schnall, S., Benton, J., &amp; Harvey, S. (2008). With a clean conscience: Cleanliness reduces the severity of moral judgments. Psychological science, 19(12), 1219-1222.</t>
  </si>
  <si>
    <t>Clean Conscience</t>
  </si>
  <si>
    <t>Moral Judgment, Intuitive Processes, Physical Purity, Disgust and Cleanliness, Moral Intuition</t>
  </si>
  <si>
    <t>Cleanliness reduces the severity of moral judgments</t>
  </si>
  <si>
    <t>"As predicted, participants gave lower ratings after the cleanliness priming (M = 4.98, SD = 1.26) than they did after the neutral priming (M = 5.81, SD = 1.47), F(1, 38) = 3.63, p-rep 5.90, partial eta-square = .09"</t>
  </si>
  <si>
    <t>1. In the original paper there is no data in the table of the project. The comparison in the replication study is not matching (distance is not a frequency)</t>
  </si>
  <si>
    <t>10.1523--jneurosci.2377-10.2010.pdf</t>
  </si>
  <si>
    <t>There is no matching results</t>
  </si>
  <si>
    <t>Boyce_etal2023137</t>
  </si>
  <si>
    <t>Boyce_etal2023137_1</t>
  </si>
  <si>
    <t>Final N O is 555 (99 + 456), Boyce states 550</t>
  </si>
  <si>
    <t>N_o incorrect</t>
  </si>
  <si>
    <t>Scopelliti, I., Loewenstein, G., &amp; Vosgerau, J. (2015). You call it “Self-Exuberance”; I call it “Bragging” miscalibrated predictions of emotional responses to self-promotion. Psychological science, 26(6), 903-914.</t>
  </si>
  <si>
    <t>10.1177/0956797615573516</t>
  </si>
  <si>
    <t>Boyce, V., Mathur, M., &amp; Frank, M. C. (2023). Eleven years of student replication projects provide evidence on the correlates of replicability in psychology. Royal Society Open Science, 10(11), 231240. https://doi.org/10.1098/rsos.231195</t>
  </si>
  <si>
    <t>10.1098/rsos.231195</t>
  </si>
  <si>
    <t>Whereas profile writers who tried to maximize interest in themselves believed that they would be liked more (M = 5.28, SD = 1.20) than did profile writers in the control condition (M = 4.85, SD = 1.36), b = 0.434, robust SE = 0.257, t(257) = 1.69, p = .093, d = 0.21,</t>
  </si>
  <si>
    <t>Boyce_etal2023137_1_c</t>
  </si>
  <si>
    <t>N_o incorrect in Boyce report?</t>
  </si>
  <si>
    <t>10.1177--0956797615573516.pdf</t>
  </si>
  <si>
    <t>Self-promotion</t>
  </si>
  <si>
    <t>Social interaction, emotions, interpersonal relationships, judgment, social behavior, open data, open materials</t>
  </si>
  <si>
    <t>Condition does not independently affect emotional ratings</t>
  </si>
  <si>
    <t>"Also as predicted, self-promoters underestimated the extent to which recipients were annoyed (M = 3.54, SD = 1.94, vs. M = 4.82, SD = 2.15), F(1, 145) = 11.56, p = .001, eta-square = .07"</t>
  </si>
  <si>
    <t>p. 6: =(3.54-4.82)/SQRT((1.94^2+2.15^2)/2)</t>
  </si>
  <si>
    <t>Boyce_etal2023138_1</t>
  </si>
  <si>
    <t>Boyce_etal2023138_1_a</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</si>
  <si>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</si>
  <si>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misjudge recipients' emotions</t>
  </si>
  <si>
    <t>"The interaction of condition and emotion was significant, F(6, 912) = 10.90, p &lt; .001, η2 = .07 (see Table 5)"</t>
  </si>
  <si>
    <t>Boyce_etal2023137_1_b</t>
  </si>
  <si>
    <t>Data for R extracted from the report. ES in the report is partial etasq, extracted F for consistency with the findings below</t>
  </si>
  <si>
    <t>ES incorrect</t>
  </si>
  <si>
    <t>Boyce, V., Mathur, M., &amp; Frank, M. C. (2023). Eleven years of student replication projects provide evidence on the correlates of replicability in psychology. Royal Society Open Science, 10(11), 231240. https://doi.org/10.1098/rsos.231196</t>
  </si>
  <si>
    <t>10.1098/rsos.231196</t>
  </si>
  <si>
    <t>Experiment 2, emotion x condition</t>
  </si>
  <si>
    <t>self-promoters will overestimate the extent to which their behavior elicits positive emotional reactions in others, and underestimate the extent to which their behavior elicits negative emotional reactions</t>
  </si>
  <si>
    <t>Boyce_etal2023138_1_b</t>
  </si>
  <si>
    <r>
      <rPr>
        <rFont val="Calibri"/>
        <sz val="11.0"/>
      </rPr>
      <t xml:space="preserve">1. I consider the Discipline - "social psychology"
2. The original study was not PREregistrated. Registrated data can be found in: </t>
    </r>
    <r>
      <rPr>
        <rFont val="Calibri"/>
        <color rgb="FF1155CC"/>
        <sz val="11.0"/>
        <u/>
      </rPr>
      <t>https://osf.io/y65ze/</t>
    </r>
  </si>
  <si>
    <t>Emotions differ in intensity across conditions</t>
  </si>
  <si>
    <t>"We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</si>
  <si>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F(6, 912) = 21.92</t>
  </si>
  <si>
    <t>F(6,294) = 21.83</t>
  </si>
  <si>
    <t>Boyce_etal2023138_1_c</t>
  </si>
  <si>
    <r>
      <rPr>
        <rFont val="Calibri"/>
        <sz val="11.0"/>
      </rPr>
      <t xml:space="preserve">1. I consider the Discipline - "social psychology"
2. The original study was not PREregistrated. Registrated data can be found in: </t>
    </r>
    <r>
      <rPr>
        <rFont val="Calibri"/>
        <color rgb="FF1155CC"/>
        <sz val="11.0"/>
        <u/>
      </rPr>
      <t>https://osf.io/y65ze/</t>
    </r>
  </si>
  <si>
    <t>F(1, 145) = 2.10</t>
  </si>
  <si>
    <t>F(1,44) = 1.43</t>
  </si>
  <si>
    <t>Boyce_etal2023138_1_d</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</si>
  <si>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</si>
  <si>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perceived greater happiness in recipients than recipients actually reported</t>
  </si>
  <si>
    <t>"Self-promoters overestimated the extent to which recipients felt happy for them (M=4.88 vs. M=3.70), F(1,145)=10.85,p=.001,η2=.07"</t>
  </si>
  <si>
    <t>F(1,44) = 3.43</t>
  </si>
  <si>
    <t>Boyce, V., Mathur, M., &amp; Frank, M. C. (2023). Eleven years of student replication projects provide evidence on the correlates of replicability in psychology. Royal Society Open Science, 10(11), 231240. https://doi.org/10.1098/rsos.231197</t>
  </si>
  <si>
    <t>10.1098/rsos.231197</t>
  </si>
  <si>
    <t>Experiment 2, happy</t>
  </si>
  <si>
    <t>Boyce_etal2023138_1_e</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</si>
  <si>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</si>
  <si>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believed recipients felt prouder of them than recipients actually did</t>
  </si>
  <si>
    <t>"Self-promoters overestimated the extent to which recipients felt proud of them (M=4.33 vs. M=3.08), F(1,145)=12.12,p&lt;.001,η2=.08"</t>
  </si>
  <si>
    <t>F(1,44) = 3.44</t>
  </si>
  <si>
    <t>Boyce_etal2023137_1_d</t>
  </si>
  <si>
    <t>Boyce, V., Mathur, M., &amp; Frank, M. C. (2023). Eleven years of student replication projects provide evidence on the correlates of replicability in psychology. Royal Society Open Science, 10(11), 231240. https://doi.org/10.1098/rsos.231198</t>
  </si>
  <si>
    <t>10.1098/rsos.231198</t>
  </si>
  <si>
    <t>Experiment 2, proud</t>
  </si>
  <si>
    <t>Boyce_etal2023138_1_f</t>
  </si>
  <si>
    <r>
      <rPr>
        <rFont val="Calibri"/>
        <sz val="11.0"/>
      </rPr>
      <t xml:space="preserve">1. I consider the Discipline - "social psychology"
2. The original study was not PREregistrated. Registrated data can be found in: </t>
    </r>
    <r>
      <rPr>
        <rFont val="Calibri"/>
        <color rgb="FF1155CC"/>
        <sz val="11.0"/>
        <u/>
      </rPr>
      <t>https://osf.io/y65ze/</t>
    </r>
  </si>
  <si>
    <t>Despite expectations, self-promoters thought recipients felt more jealous than they actually reported</t>
  </si>
  <si>
    <t>"Contrary to predictions, self-promoters overestimated the extent to which recipients felt jealous of them (M=3.60 vs. M=2.82), F(1,145)=3.76,p=.054,η2=.03"</t>
  </si>
  <si>
    <t>F(1,44) = 3.31</t>
  </si>
  <si>
    <t>Boyce_etal2023137_1_e</t>
  </si>
  <si>
    <t>Boyce, V., Mathur, M., &amp; Frank, M. C. (2023). Eleven years of student replication projects provide evidence on the correlates of replicability in psychology. Royal Society Open Science, 10(11), 231240. https://doi.org/10.1098/rsos.231199</t>
  </si>
  <si>
    <t>10.1098/rsos.231199</t>
  </si>
  <si>
    <t>Experiment 2, jealous</t>
  </si>
  <si>
    <t>Boyce_etal2023138_1_g</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</si>
  <si>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</si>
  <si>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failed to recognize the extent of recipients' annoyance toward their self-promotion</t>
  </si>
  <si>
    <t>"As predicted, self-promoters underestimated the extent to which recipients were annoyed (M=3.54 vs. M=4.82), F(1,145)=11.56,p=.001,η2=.07"</t>
  </si>
  <si>
    <t>F(1,44) = 7.29</t>
  </si>
  <si>
    <t>Boyce_etal2023137_1_f</t>
  </si>
  <si>
    <t>Boyce, V., Mathur, M., &amp; Frank, M. C. (2023). Eleven years of student replication projects provide evidence on the correlates of replicability in psychology. Royal Society Open Science, 10(11), 231240. https://doi.org/10.1098/rsos.231200</t>
  </si>
  <si>
    <t>10.1098/rsos.231200</t>
  </si>
  <si>
    <t>Experiment 2, annoyed</t>
  </si>
  <si>
    <t>Boyce_etal2023138_1_h</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</si>
  <si>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</si>
  <si>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and recipients did not differ significantly in perceptions of recipients' upset emotions</t>
  </si>
  <si>
    <t>"No significant differences were observed in ratings of upset (M=2.58 vs. M=3.04), F(1,145)=1.15,p&gt;.250,η2=.01"</t>
  </si>
  <si>
    <t>F(1,44) = 0.18</t>
  </si>
  <si>
    <t>Boyce_etal2023137_1_g</t>
  </si>
  <si>
    <t>Boyce, V., Mathur, M., &amp; Frank, M. C. (2023). Eleven years of student replication projects provide evidence on the correlates of replicability in psychology. Royal Society Open Science, 10(11), 231240. https://doi.org/10.1098/rsos.231201</t>
  </si>
  <si>
    <t>10.1098/rsos.231201</t>
  </si>
  <si>
    <t>Experiment 2, upset</t>
  </si>
  <si>
    <t>Boyce_etal2023138_1_i</t>
  </si>
  <si>
    <r>
      <rPr>
        <rFont val="Calibri"/>
        <sz val="11.0"/>
      </rPr>
      <t xml:space="preserve">1. I consider the Discipline - "social psychology"
2. The original study was not PREregistrated. Registrated data can be found in: </t>
    </r>
    <r>
      <rPr>
        <rFont val="Calibri"/>
        <color rgb="FF1155CC"/>
        <sz val="11.0"/>
        <u/>
      </rPr>
      <t>https://osf.io/y65ze/</t>
    </r>
  </si>
  <si>
    <t>There was no notable discrepancy between self-promoters' and recipients' perceptions of anger</t>
  </si>
  <si>
    <t>"No significant differences were observed in ratings of anger (M=2.74 vs. M=2.97), F(1,145)=0.25,p&gt;.250,η2=.002"</t>
  </si>
  <si>
    <t>F(1,44) = 0.04</t>
  </si>
  <si>
    <t>Boyce_etal2023137_1_h</t>
  </si>
  <si>
    <t>Boyce, V., Mathur, M., &amp; Frank, M. C. (2023). Eleven years of student replication projects provide evidence on the correlates of replicability in psychology. Royal Society Open Science, 10(11), 231240. https://doi.org/10.1098/rsos.231202</t>
  </si>
  <si>
    <t>10.1098/rsos.231202</t>
  </si>
  <si>
    <t>Experiment 2, angry</t>
  </si>
  <si>
    <t>Boyce_etal2023138_1_j</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</si>
  <si>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</si>
  <si>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slightly overestimated how inferior recipients felt in comparison to them, though not significantly</t>
  </si>
  <si>
    <t>"Self-promoters marginally overestimated the extent to which recipients felt inferior to them (M=2.93 vs. M=2.43), F(1,145)=2.75,p=.10,η2=.02"</t>
  </si>
  <si>
    <t>F(1,44) = 0.28</t>
  </si>
  <si>
    <t>Boyce, V., Mathur, M., &amp; Frank, M. C. (2023). Eleven years of student replication projects provide evidence on the correlates of replicability in psychology. Royal Society Open Science, 10(11), 231240. https://doi.org/10.1098/rsos.231203</t>
  </si>
  <si>
    <t>10.1098/rsos.231203</t>
  </si>
  <si>
    <t>Experiment 2, inferior</t>
  </si>
  <si>
    <r>
      <rPr>
        <rFont val="Calibri"/>
        <sz val="11.0"/>
      </rPr>
      <t xml:space="preserve">1. I consider the Discipline - "social psychology"
2. The original study was not PREregistrated. Registrated data can be found in: </t>
    </r>
    <r>
      <rPr>
        <rFont val="Calibri"/>
        <color rgb="FF1155CC"/>
        <sz val="11.0"/>
        <u/>
      </rPr>
      <t>https://osf.io/y65ze/</t>
    </r>
  </si>
  <si>
    <t>Boyce_etal2023139</t>
  </si>
  <si>
    <t>Boyce_etal2023139_1</t>
  </si>
  <si>
    <t>Semrow, M., Zou, L. X., Liu, S., &amp; Cheryan, S. (2020). Gay Asian Americans are seen as more American than Asian Americans who are presumed straight. Social Psychological and Personality Science, 11(3), 336-344.</t>
  </si>
  <si>
    <t>10.1177/1948550619849426</t>
  </si>
  <si>
    <t>Boyce, V., Mathur, M., &amp; Frank, M. C. (2023). Eleven years of student replication projects provide evidence on the correlates of replicability in psychology. Royal Society Open Science, 10(11), 231240. https://doi.org/10.1098/rsos.231204</t>
  </si>
  <si>
    <t>10.1098/rsos.231204</t>
  </si>
  <si>
    <t>A 2 (sexual orientation: gay, straight; between)  2 (country of origin: equally accepting, less accepting; within) mixed-model ANOVA on American identity revealed  a significant interaction, F(1, 98) 1⁄4 22.39, p &lt; .001</t>
  </si>
  <si>
    <t>https://osf.io/xhz4q/</t>
  </si>
  <si>
    <t>Boyce_etal2023139_1_a</t>
  </si>
  <si>
    <r>
      <rPr>
        <rFont val="Calibri"/>
        <sz val="11.0"/>
      </rPr>
      <t xml:space="preserve">1. The data for replication: </t>
    </r>
    <r>
      <rPr>
        <rFont val="Calibri"/>
        <color rgb="FF1155CC"/>
        <sz val="11.0"/>
        <u/>
      </rPr>
      <t xml:space="preserve">https://github.com/psych251/Semrow2019/blob/master/writeup/Apaza_replication_Semrow.html
</t>
    </r>
    <r>
      <rPr>
        <rFont val="Calibri"/>
        <sz val="11.0"/>
      </rPr>
      <t xml:space="preserve">2. Replication authors stated that the samples differ between studies and it can have a significant effect because the study is sociological -&gt; conceptual </t>
    </r>
  </si>
  <si>
    <t>10.1177--1948550619849426.pdf</t>
  </si>
  <si>
    <t>Stigmatization</t>
  </si>
  <si>
    <t>Race, sexual orientation, intersectionality, foreign stereotypes, acceptance</t>
  </si>
  <si>
    <t>Sexual orientation (gay vs. straight) influences perceptions of American identity</t>
  </si>
  <si>
    <t>"A 2 (sexual orientation: gay, straight; between) x 2 (country of origin: equally accepting, less accepting; within) mixed-model ANOVA on American identity revealed main effects of sexual orientation,  F(1, 98) = 12.54, p = .001, d = .52 [...]"</t>
  </si>
  <si>
    <t>https://osf.io/ajqzg</t>
  </si>
  <si>
    <t>F(1,100) = 2.205</t>
  </si>
  <si>
    <t>Boyce_etal2023139_1_b</t>
  </si>
  <si>
    <r>
      <rPr>
        <rFont val="Calibri"/>
        <sz val="11.0"/>
      </rPr>
      <t xml:space="preserve">1. The data for replication: </t>
    </r>
    <r>
      <rPr>
        <rFont val="Calibri"/>
        <color rgb="FF1155CC"/>
        <sz val="11.0"/>
        <u/>
      </rPr>
      <t xml:space="preserve">https://github.com/psych251/Semrow2019/blob/master/writeup/Apaza_replication_Semrow.html
</t>
    </r>
    <r>
      <rPr>
        <rFont val="Calibri"/>
        <sz val="11.0"/>
      </rPr>
      <t xml:space="preserve">2. Replication authors stated that the samples differ between studies and it can have a significant effect because the study is sociological -&gt; conceptual </t>
    </r>
  </si>
  <si>
    <t>Perceived acceptance of one's country of origin (equally accepting vs. less accepting) affects perceptions of American identity</t>
  </si>
  <si>
    <t>"A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</si>
  <si>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F(1,100) = 6.634</t>
  </si>
  <si>
    <t>Boyce_etal2023139_1_c</t>
  </si>
  <si>
    <r>
      <rPr>
        <rFont val="Calibri"/>
        <sz val="11.0"/>
      </rPr>
      <t xml:space="preserve">1. The data for replication: </t>
    </r>
    <r>
      <rPr>
        <rFont val="Calibri"/>
        <color rgb="FF1155CC"/>
        <sz val="11.0"/>
        <u/>
      </rPr>
      <t xml:space="preserve">https://github.com/psych251/Semrow2019/blob/master/writeup/Apaza_replication_Semrow.html
</t>
    </r>
    <r>
      <rPr>
        <rFont val="Calibri"/>
        <sz val="11.0"/>
      </rPr>
      <t xml:space="preserve">2. Replication authors stated that the samples differ between studies and it can have a significant effect because the study is sociological -&gt; conceptual </t>
    </r>
  </si>
  <si>
    <t>The relationship between sexual orientation and perceptions of American identity depends on the level of acceptance associated with one's country of origin</t>
  </si>
  <si>
    <t>"A 2 (sexual orientation: gay, straight; between) x 2 (country of origin: equally accepting, less accepting; within) mixed-model ANOVA on American identity revealed [...] a significant interaction, F(1, 98) = 22.39, p &lt; .001 (see Figure 3)"</t>
  </si>
  <si>
    <t>F(1, 98) = 22.39</t>
  </si>
  <si>
    <t>F(1,100) = 2.778</t>
  </si>
  <si>
    <t>Boyce_etal202314_1</t>
  </si>
  <si>
    <t>Boyce_etal202314_1_a</t>
  </si>
  <si>
    <t xml:space="preserve">1. Online replication -&gt; conceptual </t>
  </si>
  <si>
    <t>Brady, T. F., Konkle, T., Alvarez, G. A., &amp; Oliva, A. (2013). Real-world objects are not represented as bound units: independent forgetting of different object details from visual memory. Journal of Experimental Psychology: General, 142(3), 791.</t>
  </si>
  <si>
    <t>10.1037/a0029649</t>
  </si>
  <si>
    <t>10.1037--a0029649.pdf</t>
  </si>
  <si>
    <t>Feature dependency</t>
  </si>
  <si>
    <t>Binding, visual working memory, visual long-term memory, object-based attention</t>
  </si>
  <si>
    <t>Dependence of state on exemplar is reduced compared to short-delay conditions, though not significantly</t>
  </si>
  <si>
    <t>"In addition, these values of dependence were lower than those observed in the short-delay condition: state given exemplar, t(26) = 1.99, p = .057, d = 0.75; exemplar given state, t(26) = 2.06, p = .05, d = 0.78"</t>
  </si>
  <si>
    <t>Boyce_etal202314_1_d</t>
  </si>
  <si>
    <t>Dependence of exemplar on state is significantly reduced compared to short-delay conditions</t>
  </si>
  <si>
    <t>Boyce_etal2023140</t>
  </si>
  <si>
    <t>Boyce_etal2023140_1</t>
  </si>
  <si>
    <t>Shah, A. K., Shafir, E., &amp; Mullainathan, S. (2015). Scarcity frames value. Psychological science, 26(4), 402-412.</t>
  </si>
  <si>
    <t>10.1177/0956797614563958</t>
  </si>
  <si>
    <t>Boyce, V., Mathur, M., &amp; Frank, M. C. (2023). Eleven years of student replication projects provide evidence on the correlates of replicability in psychology. Royal Society Open Science, 10(11), 231240. https://doi.org/10.1098/rsos.231205</t>
  </si>
  <si>
    <t>10.1098/rsos.231205</t>
  </si>
  <si>
    <t>The interaction between income and context was significant,</t>
  </si>
  <si>
    <t>Boyce_etal2023140_1_a</t>
  </si>
  <si>
    <t>1. No PREregistration of the original study, only registration (https://osf.io/vyibm)</t>
  </si>
  <si>
    <t>1b-1c</t>
  </si>
  <si>
    <t>10.1177--0956797614563958.pdf</t>
  </si>
  <si>
    <t>Scarcity</t>
  </si>
  <si>
    <t>Context effects, judgment and decision making, scarcity, open data, open materials</t>
  </si>
  <si>
    <t xml:space="preserve">Higher-income participants showed greater willingness to pay </t>
  </si>
  <si>
    <t>"The interaction between income and context was significant, F(1, 145) = 11.18, p &lt; .01, partial eta-square = .07 (see Fig. 1b)"</t>
  </si>
  <si>
    <t>Boyce_etal2023140_1_b</t>
  </si>
  <si>
    <t>Higher income predicting a stronger effect of context on WTP</t>
  </si>
  <si>
    <t>"The interaction was also significant when income was treated as a continuous variable, β = 2.27, t(145) = 2.17, p &lt; .05"</t>
  </si>
  <si>
    <t>There is an interaction between income and context</t>
  </si>
  <si>
    <t>"The interaction between income and context was significant, F(1, 574) = 5.68, p &lt; .05, partial eta-square = .01 (see Fig. 1c)"</t>
  </si>
  <si>
    <t>Boyce_etal2023140_1_c</t>
  </si>
  <si>
    <t xml:space="preserve">Replication </t>
  </si>
  <si>
    <t>Higher income amplifying the influence of context (resort vs. grocery store) on WTP</t>
  </si>
  <si>
    <t>"The interaction was also significant when income was treated continuously, β = 1.65, t(574) = 3.27, p &lt; .01"</t>
  </si>
  <si>
    <t>Boyce_etal2023141</t>
  </si>
  <si>
    <t>Boyce_etal2023141_1</t>
  </si>
  <si>
    <t>statistics for R extracted from the report</t>
  </si>
  <si>
    <t>Sharif, M. A., &amp; Oppenheimer, D. M. (2016). The effect of relative encoding on memory-based judgments. Psychological science, 27(8), 1136-1145.</t>
  </si>
  <si>
    <t>10.1177/0956797616651973</t>
  </si>
  <si>
    <t>Boyce, V., Mathur, M., &amp; Frank, M. C. (2023). Eleven years of student replication projects provide evidence on the correlates of replicability in psychology. Royal Society Open Science, 10(11), 231240. https://doi.org/10.1098/rsos.231206</t>
  </si>
  <si>
    <t>10.1098/rsos.231206</t>
  </si>
  <si>
    <t>they were significantly more likely to choose the target singer than to choose one of the other average-quality singers</t>
  </si>
  <si>
    <r>
      <rPr>
        <rFont val="Calibri"/>
        <sz val="11.0"/>
      </rPr>
      <t xml:space="preserve">1. No PREregistration. Open-Ended registration: </t>
    </r>
    <r>
      <rPr>
        <rFont val="Calibri"/>
        <color rgb="FF1155CC"/>
        <sz val="11.0"/>
        <u/>
      </rPr>
      <t>https://osf.io/fzm68</t>
    </r>
  </si>
  <si>
    <t>10.1177--0956797616651973.pdf</t>
  </si>
  <si>
    <t>Memory-based judgments</t>
  </si>
  <si>
    <t>Memory, judgments, ordinal rank, encode, open data, open materials</t>
  </si>
  <si>
    <t xml:space="preserve">Participants' choices of the target singer are influenced by the quality of the comparison set </t>
  </si>
  <si>
    <t>"They were significantly more likely to choose the target singer as the winner when the distribution included two bad singers (the T1-top condition; 40.8%) than when the distribution included two good singers (the T1-bottom condition; 2.0%), χ2(2, N = 100) = 22.74, p &lt; .001, r = .477"</t>
  </si>
  <si>
    <t>χ2(2) = 12.026</t>
  </si>
  <si>
    <t>Boyce_etal2023141_1_b</t>
  </si>
  <si>
    <r>
      <rPr>
        <rFont val="Calibri"/>
        <sz val="11.0"/>
      </rPr>
      <t xml:space="preserve">1. No PREregistration. Open-Ended registration: </t>
    </r>
    <r>
      <rPr>
        <rFont val="Calibri"/>
        <color rgb="FF1155CC"/>
        <sz val="11.0"/>
        <u/>
      </rPr>
      <t>https://osf.io/fzm68</t>
    </r>
  </si>
  <si>
    <t>Participants' evaluations of the target singer persist despite changes in the comparison set</t>
  </si>
  <si>
    <t>"[...] they were significantly more likely to choose the target singer than to choose one of the other average-quality singers (43% chose the target singer, chance = 33.33%), χ2(2, N = 90) = 4.05, p = .044,  r = .212 "</t>
  </si>
  <si>
    <t>Boyce_etal2023142</t>
  </si>
  <si>
    <t>Boyce_etal2023142_1</t>
  </si>
  <si>
    <t>Shariff, A. F., Greene, J. D., Karremans, J. C., Luguri, J. B., Clark, C. J., Schooler, J. W., ... &amp; Vohs, K. D. (2014). Free will and punishment: A mechanistic view of human nature reduces retribution. Psychological science, 25(8), 1563-1570.</t>
  </si>
  <si>
    <t>10.1177/0956797614534693</t>
  </si>
  <si>
    <t>Boyce, V., Mathur, M., &amp; Frank, M. C. (2023). Eleven years of student replication projects provide evidence on the correlates of replicability in psychology. Royal Society Open Science, 10(11), 231240. https://doi.org/10.1098/rsos.231207</t>
  </si>
  <si>
    <t>10.1098/rsos.231207</t>
  </si>
  <si>
    <t>Punishment and blameworthiness.</t>
  </si>
  <si>
    <t>As predicted, participants who read the neuroscience articles recommended significantly shorter prison sentences than did participants who read the other science articles (M = 3.10, SD = 1.48, vs. M = 3.83, SD = 1.77), t(86) = 2.09, p =.04, d = 0.45 (Fig. 1)</t>
  </si>
  <si>
    <t>1. I didn't find the replication report</t>
  </si>
  <si>
    <t>10.1177--0956797614534693.pdf</t>
  </si>
  <si>
    <t>Free-will</t>
  </si>
  <si>
    <t>Free will, punishment, morality, responsibility, blame, open materials</t>
  </si>
  <si>
    <t xml:space="preserve">Participants who read the neuroscience articles recommended significantly shorter prison sentences </t>
  </si>
  <si>
    <t>"As predicted, participants who read the neuroscience articles recommended significantly shorter prison sentences than did participants who read the other science articles (M = 3.10, SD = 1.48, vs. M = 3.83, SD = 1.77), t(86) = 2.09, p = .04, d = 0.45 (Fig. 1) and blamed the transgressor less [...]"</t>
  </si>
  <si>
    <t>Boyce_etal2023143</t>
  </si>
  <si>
    <t>Boyce_etal2023143_1</t>
  </si>
  <si>
    <t>Shavit, Y. Z., Chi, K., &amp; Carstensen, L. L. (2022). Age and Time Horizons Are Associated With Preferences for Helping Colleagues. Work, Aging and Retirement.</t>
  </si>
  <si>
    <t>10.1093/workar/waac024</t>
  </si>
  <si>
    <t>Boyce, V., Mathur, M., &amp; Frank, M. C. (2023). Eleven years of student replication projects provide evidence on the correlates of replicability in psychology. Royal Society Open Science, 10(11), 231240. https://doi.org/10.1098/rsos.231208</t>
  </si>
  <si>
    <t>10.1098/rsos.231208</t>
  </si>
  <si>
    <t>Furthermore, the interaction term between age and expanded time horizons was negative, although it failed to reach the conventional threshold for statistical significance in the traditional two-tailed test (β = −0.42, 95% CI: −0.88 – 0.02, Z = −1.86, p = .07).</t>
  </si>
  <si>
    <t>p. 285</t>
  </si>
  <si>
    <t>Boyce_etal2023143_1_a</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</si>
  <si>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</si>
  <si>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Age differences</t>
  </si>
  <si>
    <t>Motivation, socioemotional selectivity theory, time horizons, work preferences, older workers</t>
  </si>
  <si>
    <t>Participants in the expanded time horizon condition are less likely to help others compared to the control condition</t>
  </si>
  <si>
    <t>"In support of the second hypothesis, we found a main effect of expanded time horizons on preferences, whereby the likelihood of helping others was reduced in the expanded horizons condition (β = −0.7, Z = −3.15, p = .002)."</t>
  </si>
  <si>
    <t>https://osf.io/86p4e/</t>
  </si>
  <si>
    <t>Boyce_etal2023143_1_b</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</si>
  <si>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</si>
  <si>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The relationship between age and likelihood of helping others differs by time horizon condition</t>
  </si>
  <si>
    <t>"The interaction term between age and expanded time horizons was negative, although it failed to reach conventional significance in a two-tailed test (β = −0.42, Z = −1.86, p = .07), but significant with a one-tailed test (p(one-tailed) = .035)."</t>
  </si>
  <si>
    <t>Boyce_etal2023143_1_c</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</si>
  <si>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</si>
  <si>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Participants in the unspecified (limited) time horizon condition are less likely to help others compared to the expanded condition</t>
  </si>
  <si>
    <t>"Contrary to the third hypothesis, the main effect of limited time horizons was also negative (β = −0.45, Z = −2.01, p = .05)."</t>
  </si>
  <si>
    <t>Boyce_etal2023143_1_d</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</si>
  <si>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</si>
  <si>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Age predicts likelihood of helping others in the expanded time horizon condition</t>
  </si>
  <si>
    <t>"Age was not significantly associated with the likelihood of helping a colleague or a friend under expanded time horizons (β = 0.17, Z = 1.06, p = .29)."</t>
  </si>
  <si>
    <t>Boyce_etal2023143_1_e</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</si>
  <si>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</si>
  <si>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Older individuals are more likely to help others when faced with limited time horizons, compared to younger individuals</t>
  </si>
  <si>
    <t>"However, under limited time horizons, the effect of age on increasing the likelihood of helping others fell just short of reaching the traditional threshold for statistical significance (β = 0.3, 95% CI: −0.01 – 0.61, Z = 1.9, p = .06)."</t>
  </si>
  <si>
    <t>Boyce_etal2023144</t>
  </si>
  <si>
    <t>Boyce_etal2023144_1</t>
  </si>
  <si>
    <t>Page and p-value incorrect</t>
  </si>
  <si>
    <t>Sheppes, G., Scheibe, S., Suri, G., &amp; Gross, J. J. (2011). Emotion-regulation choice. Psychological science, 22(11), 1391-1396.</t>
  </si>
  <si>
    <t>10.1177/0956797611418350</t>
  </si>
  <si>
    <t>Boyce, V., Mathur, M., &amp; Frank, M. C. (2023). Eleven years of student replication projects provide evidence on the correlates of replicability in psychology. Royal Society Open Science, 10(11), 231240. https://doi.org/10.1098/rsos.231209</t>
  </si>
  <si>
    <t>10.1098/rsos.231209</t>
  </si>
  <si>
    <t>that participants chose to employ .... distraction on 70.7% of the high-intensity trials (95% CI: [60.7, 80.7]), F(1, 19) = 47.54, p &lt; .000001, ηp2 = .71.</t>
  </si>
  <si>
    <t>p. 1393</t>
  </si>
  <si>
    <t xml:space="preserve">1. Several changes to methodology (online, no video and so on) -&gt; conceptual
2. This is called "reproducibility report" and it is not reproduction of the previous analysis with the same sample: "Unlike in the original study that was performed in a sample of undergraduate students, the present replication will be performed on a sample of participants recruited online via Prolific" </t>
  </si>
  <si>
    <t>10.1177--0956797611418350.pdf</t>
  </si>
  <si>
    <t>Reproducibility Report</t>
  </si>
  <si>
    <t>Choice, emotion, emotion regulation, self-regulation, emotional control, self-control</t>
  </si>
  <si>
    <t>Participants chose to employ reappraisal on 76.3% of the low-intensity trials, but chose to employ distraction on 70.7% of the high-intensity trials</t>
  </si>
  <si>
    <t>"Participants chose to employ reappraisal more frequently in low-intensity trials (76.3%, 95% CI: [66.3, 86.3]) compared to distraction in high-intensity trials (70.7%, 95% CI: [60.7, 80.7]), with a significant difference observed, F (1, 19) = 47.54, p &lt; .000001, partial eta-square = .71"</t>
  </si>
  <si>
    <t>https://osf.io/dn6gz</t>
  </si>
  <si>
    <t>Boyce_etal2023145_1</t>
  </si>
  <si>
    <t>Boyce_etal2023145</t>
  </si>
  <si>
    <t>Sherman, G. D., Haidt, J., &amp; Clore, G. L. (2012). The faintest speck of dirt: Disgust enhances the detection of impurity. Psychological Science, 23(12), 1506-1514.</t>
  </si>
  <si>
    <t>10.1177/0956797612445318</t>
  </si>
  <si>
    <t>10.1177--0956797612445318.pdf</t>
  </si>
  <si>
    <t>report for R also states that ηp2 = .91</t>
  </si>
  <si>
    <t>Effect, tag and description added</t>
  </si>
  <si>
    <t>Boyce, V., Mathur, M., &amp; Frank, M. C. (2023). Eleven years of student replication projects provide evidence on the correlates of replicability in psychology. Royal Society Open Science, 10(11), 231240. https://doi.org/10.1098/rsos.231210</t>
  </si>
  <si>
    <t>10.1098/rsos.231210</t>
  </si>
  <si>
    <t>Emotions, perception, individual differences</t>
  </si>
  <si>
    <t>Spectrum and Trait interation was significant</t>
  </si>
  <si>
    <t>"Second, the predicted End of Spectrum × Trait Disgust interaction was significant, b = −0.04, SE = 0.02, t(17586) = −2.11, p = .04, OR = 0.96"</t>
  </si>
  <si>
    <t>Boyce_etal2023146</t>
  </si>
  <si>
    <t>Boyce_etal2023146_1</t>
  </si>
  <si>
    <t>sloman2016_1, p value for O in Boyce is different from one in original paper. P from original paper extracted</t>
  </si>
  <si>
    <t>Sloman, S. A., &amp; Rabb, N. (2016). Your understanding is my understanding: Evidence for a community of knowledge. Psychological science, 27(11), 1451-1460.</t>
  </si>
  <si>
    <t>10.1177/0956797616662271</t>
  </si>
  <si>
    <t>Boyce, V., Mathur, M., &amp; Frank, M. C. (2023). Eleven years of student replication projects provide evidence on the correlates of replicability in psychology. Royal Society Open Science, 10(11), 231240. https://doi.org/10.1098/rsos.231211</t>
  </si>
  <si>
    <t>10.1098/rsos.231211</t>
  </si>
  <si>
    <t>Experiment 2</t>
  </si>
  <si>
    <t>Planned comparisons showed that ratings in the public CK condition (M = 0.21, 95% CI = [0.16, 0.25]) were significantly higher than those in ... the secret CK condition (M = 0.18, 95% CI = [0.13, 0.22]), t(105) = −1.96, p = .052.</t>
  </si>
  <si>
    <t>d copied from Boyce data set</t>
  </si>
  <si>
    <t>Boyce_etal2023146_1_b</t>
  </si>
  <si>
    <t>sloman2016_2</t>
  </si>
  <si>
    <t>Effect, tag and description and claim added</t>
  </si>
  <si>
    <t>Boyce, V., Mathur, M., &amp; Frank, M. C. (2023). Eleven years of student replication projects provide evidence on the correlates of replicability in psychology. Royal Society Open Science, 10(11), 231240. https://doi.org/10.1098/rsos.231212</t>
  </si>
  <si>
    <t>10.1098/rsos.231212</t>
  </si>
  <si>
    <t>Community-of-knowledge hypothesis</t>
  </si>
  <si>
    <t>Cognitive processes, knowledge level, judgment, monitoring, open data, open materials</t>
  </si>
  <si>
    <t>Participants demonstrated significantly higher understanding scores in the common knowledge (CK) condition</t>
  </si>
  <si>
    <t>"A paired-samples t-test on the log-transformed ratings of understanding showed that scores were significantly higher in the CK condition (M = 0.28, 95% CI [0.21, 0.35]) compared to the no-CK condition (M = 0.20, 95% CI [0.15, 0.25]), t(69) = −3.40, p = .001, d = 0.43"</t>
  </si>
  <si>
    <t>Boyce_etal2023146_1_a</t>
  </si>
  <si>
    <r>
      <rPr>
        <rFont val="Calibri"/>
        <sz val="11.0"/>
      </rPr>
      <t xml:space="preserve">1. Data for replication: </t>
    </r>
    <r>
      <rPr>
        <rFont val="Calibri"/>
        <color rgb="FF1155CC"/>
        <sz val="11.0"/>
        <u/>
      </rPr>
      <t>https://rpubs.com/hrlarry/YUIMU-final</t>
    </r>
  </si>
  <si>
    <t>10.1177--0956797616662271.pdf</t>
  </si>
  <si>
    <t>Participants' ratings of understanding differ significantly across conditions</t>
  </si>
  <si>
    <t>"A repeated measures analysis of variance (ANOVA) on the log-transformed ratings of understanding revealed a main effect of condition on understanding, F(2, 210) = 5.62, p = .004, partial eta-square = .051"</t>
  </si>
  <si>
    <t>https://osf.io/x4m6w</t>
  </si>
  <si>
    <r>
      <rPr>
        <rFont val="Calibri"/>
        <sz val="11.0"/>
      </rPr>
      <t xml:space="preserve">1. Data for replication: </t>
    </r>
    <r>
      <rPr>
        <rFont val="Calibri"/>
        <color rgb="FF1155CC"/>
        <sz val="11.0"/>
        <u/>
      </rPr>
      <t>https://rpubs.com/hrlarry/YUIMU-final</t>
    </r>
  </si>
  <si>
    <t>Ratings of understanding are significantly higher in the public CK condition than in the public no-CK condition</t>
  </si>
  <si>
    <t>"Planned comparisons showed that ratings in the public CK condition (M = 0.21, 95% CI = [0.16, 0.25]) were significantly higher than those in the public no-CK condition (M = 0.15, 95% CI = [0.11, 0.19]), t(105) = −3.20, p = .002."</t>
  </si>
  <si>
    <t>t(105) = −3.20</t>
  </si>
  <si>
    <t>t(157) = -4.25</t>
  </si>
  <si>
    <t>Boyce_etal2023146_1_c</t>
  </si>
  <si>
    <r>
      <rPr>
        <rFont val="Calibri"/>
        <sz val="11.0"/>
      </rPr>
      <t xml:space="preserve">1. Data for replication: </t>
    </r>
    <r>
      <rPr>
        <rFont val="Calibri"/>
        <color rgb="FF1155CC"/>
        <sz val="11.0"/>
        <u/>
      </rPr>
      <t>https://rpubs.com/hrlarry/YUIMU-final</t>
    </r>
  </si>
  <si>
    <t>Ratings of understanding in the public CK condition are nearly significantly higher than in the secret CK condition</t>
  </si>
  <si>
    <t>"Planned comparisons showed that ratings in the public CK condition were nearly significantly higher than those in the secret CK condition (M = 0.18, 95% CI = [0.13, 0.22]), t(105) = −1.96, p = .052."</t>
  </si>
  <si>
    <t>t(105) = −1.96</t>
  </si>
  <si>
    <t>t(157) = -2.62</t>
  </si>
  <si>
    <t>Boyce_etal2023146_1_d</t>
  </si>
  <si>
    <r>
      <rPr>
        <rFont val="Calibri"/>
        <sz val="11.0"/>
      </rPr>
      <t xml:space="preserve">1. Data for replication: </t>
    </r>
    <r>
      <rPr>
        <rFont val="Calibri"/>
        <color rgb="FF1155CC"/>
        <sz val="11.0"/>
        <u/>
      </rPr>
      <t>https://rpubs.com/hrlarry/YUIMU-final</t>
    </r>
  </si>
  <si>
    <t>There is no significant difference in ratings of understanding between the public no-CK and secret CK conditions</t>
  </si>
  <si>
    <t>"The means for the public no-CK and secret CK conditions were not significantly different, t(105) = −1.51, p = .134"</t>
  </si>
  <si>
    <t>t(105) = −1.51</t>
  </si>
  <si>
    <t>t(157) = -1.91</t>
  </si>
  <si>
    <t>Boyce_etal2023147_1</t>
  </si>
  <si>
    <t>Boyce_etal2023147</t>
  </si>
  <si>
    <r>
      <rPr>
        <rFont val="Calibri"/>
        <sz val="11.0"/>
      </rPr>
      <t xml:space="preserve">1. Data for replication: </t>
    </r>
    <r>
      <rPr>
        <rFont val="Calibri"/>
        <color rgb="FF1155CC"/>
        <sz val="11.0"/>
        <u/>
      </rPr>
      <t>https://rpubs.com/kleibow/338461</t>
    </r>
  </si>
  <si>
    <t>Boyce_etal2023148</t>
  </si>
  <si>
    <t>Boyce_etal2023148_1</t>
  </si>
  <si>
    <t>data for R extracted from the report</t>
  </si>
  <si>
    <t>Sofer, C., Dotsch, R., Wigboldus, D. H., &amp; Todorov, A. (2015). What is typical is good: The influence of face typicality on perceived trustworthiness. Psychological Science, 26(1), 39-47.</t>
  </si>
  <si>
    <t>10.1177/0956797614554955</t>
  </si>
  <si>
    <t>Boyce, V., Mathur, M., &amp; Frank, M. C. (2023). Eleven years of student replication projects provide evidence on the correlates of replicability in psychology. Royal Society Open Science, 10(11), 231240. https://doi.org/10.1098/rsos.231213</t>
  </si>
  <si>
    <t>10.1098/rsos.231213</t>
  </si>
  <si>
    <t>Experiment 1, regression</t>
  </si>
  <si>
    <t>These results were confirmed in a multiple regression analysis in which we predicted the judgments using DFT, DFT-squared, judgment type (trustworthiness = 1, attractiveness = 0), and their interactions (all predictors centered), F(5, 16) = 285.81, p &lt; .001, R2= .99.</t>
  </si>
  <si>
    <t>Boyce_etal2023148_1_a</t>
  </si>
  <si>
    <t>1. Several procedural differences (setup, sample) -&gt; conceptual</t>
  </si>
  <si>
    <t>10.1177--0956797614554955.pdf</t>
  </si>
  <si>
    <t>Face recognition</t>
  </si>
  <si>
    <t>Social perception, face perception, face typicality, distinctiveness, trustworthiness, attractiveness, familiarity, open data, open materials</t>
  </si>
  <si>
    <t>face typicality and perceived trustworthiness</t>
  </si>
  <si>
    <t>"These results were confirmed in a multiple regression analysis predicting judgments from DFT, DFT-squared, judgment type (trustworthiness = 1, attractiveness = 0), and their interactions (all predictors centered), F(5, 16) = 285.81, p &lt; .001, R² = .99."</t>
  </si>
  <si>
    <t>Boyce_etal2023148_1_b</t>
  </si>
  <si>
    <t>Distance from the typical face (DFT) influences attractiveness judgments.</t>
  </si>
  <si>
    <t>"The significant effect of DFT, β = 2.27, p &lt; .001, revealed that DFT influenced attractiveness judgments, such that the more distant faces were from the typical face, the more attractive they were judged."</t>
  </si>
  <si>
    <t>Boyce_etal2023148_1_c</t>
  </si>
  <si>
    <t>The relationship between DFT and attractiveness judgments follows a quadratic trend</t>
  </si>
  <si>
    <t>"A significant quadratic effect of DFT on attractiveness judgments, β = −1.09, p &lt; .001; the effect of DFT became weaker at higher values of DFT."</t>
  </si>
  <si>
    <t>Boyce_etal2023148_1_d</t>
  </si>
  <si>
    <t>The influence of DFT on judgments differs between trustworthiness and attractiveness</t>
  </si>
  <si>
    <t>"The interactions between [...] DFT-squared and judgment type, β = 0.34, p &lt; .03, indicated that trustworthiness and attractiveness judgments followed different trends as a function of DFT."</t>
  </si>
  <si>
    <t>Boyce_etal2023148_1_e</t>
  </si>
  <si>
    <t>The more distant the face from the typical face, the less trustworthy it was judged</t>
  </si>
  <si>
    <t>"The interactions between DFT and judgment type, β = −1.54, p &lt; .001 [...], indicated that trustworthiness and attractiveness judgments followed different trends as a function of DFT."</t>
  </si>
  <si>
    <t>Boyce_etal2023148_1_f</t>
  </si>
  <si>
    <t>Trustworthiness judgments are systematically lower than attractiveness judgments</t>
  </si>
  <si>
    <t>"On average, trustworthiness judgments were lower than attractiveness judgments, as revealed by the significant effect of judgment type, β = −0.26, p &lt; .001."</t>
  </si>
  <si>
    <t>Boyce_etal2023149</t>
  </si>
  <si>
    <t>Boyce_etal2023149_1</t>
  </si>
  <si>
    <t>Stavrova, O., Ehlebracht, D., &amp; Vohs, K. D. (2020). Victims, perpetrators, or both? The vicious cycle of disrespect and cynical beliefs about human nature. Journal of Experimental Psychology: General, 149(9), 1736.</t>
  </si>
  <si>
    <t>10.1037/xge0000738</t>
  </si>
  <si>
    <t>Boyce, V., Mathur, M., &amp; Frank, M. C. (2023). Eleven years of student replication projects provide evidence on the correlates of replicability in psychology. Royal Society Open Science, 10(11), 231240. https://doi.org/10.1098/rsos.231214</t>
  </si>
  <si>
    <t>10.1098/rsos.231214</t>
  </si>
  <si>
    <t>Study 3, Cynicism</t>
  </si>
  <si>
    <t>showed that participants in the disrespect condition reported a higher level of cynicism (M  3.90, SD  1.29) than participants in the control condition (M  3.40, SD  1.22), t(221)  2.95, p  .004, d .40.</t>
  </si>
  <si>
    <t>p. 1742</t>
  </si>
  <si>
    <t>https://aspredicted.org/ai7am.pdf</t>
  </si>
  <si>
    <t>1. Since no report, the data was taken from the table
2. The original paper was added as 10.1037xge0000738.pdf</t>
  </si>
  <si>
    <t>Cynicism</t>
  </si>
  <si>
    <t>Bidirectional effects, cynicism, disrespect, hostility</t>
  </si>
  <si>
    <t>Participants exposed to a disrespect condition reported higher levels of cynicism</t>
  </si>
  <si>
    <t>"Cynicism. An independent-samples t-test showed that participants in the disrespect condition reported a higher level of cynicism (M = 3.90, SD = 1.29) than those in the control condition (M = 3.40, SD = 1.22), t(221) = 2.95, p = .004, d = 0.40"</t>
  </si>
  <si>
    <t>Boyce_etal202315</t>
  </si>
  <si>
    <t>Boyce_etal202315_1</t>
  </si>
  <si>
    <t>Brandone, A. C., Gelman, S. A., &amp; Hedglen, J. (2015). Children's developing intuitions about the truth conditions and implications of novel generics versus quantified statements. Cognitive science, 39(4), 711-738.</t>
  </si>
  <si>
    <t>10.1111/cogs.12176</t>
  </si>
  <si>
    <t>Boyce, V., Mathur, M., &amp; Frank, M. C. (2023). Eleven years of student replication projects provide evidence on the correlates of replicability in psychology. Royal Society Open Science, 10(11), 231240. https://doi.org/10.1098/rsos.231076</t>
  </si>
  <si>
    <t>10.1098/rsos.231076</t>
  </si>
  <si>
    <t>Generic language</t>
  </si>
  <si>
    <t>Cognitive development; Concepts; Generic language; Language understanding; Language acquisition; Semantics</t>
  </si>
  <si>
    <t>Children's developing intuitions about the truth conditions and implications of novel generics versus quantified statementsThere is a significant difference between mean prevalence level for generic wording in adults between truth condition and implied prevalence task</t>
  </si>
  <si>
    <t>Results showed significant main effects of wording, F(3, 129) = 31.45, p &lt; .001,</t>
  </si>
  <si>
    <t>1. Since no report, the data was taken from the table</t>
  </si>
  <si>
    <t>10.1111--cogs.12176.pdf</t>
  </si>
  <si>
    <t>"The average prevalence level that led to right responses for each wording condition at each age group is displayed in Table 1"</t>
  </si>
  <si>
    <t>No replication results</t>
  </si>
  <si>
    <t>Boyce_etal2023150</t>
  </si>
  <si>
    <t>Boyce_etal2023150_1</t>
  </si>
  <si>
    <t>Storm, B. C., &amp; Stone, S. M. (2015). Saving-enhanced memory: The benefits of saving on the learning and remembering of new information. Psychological Science, 26(2), 182-188.</t>
  </si>
  <si>
    <t>10.1177/0956797614559285</t>
  </si>
  <si>
    <t>Boyce, V., Mathur, M., &amp; Frank, M. C. (2023). Eleven years of student replication projects provide evidence on the correlates of replicability in psychology. Royal Society Open Science, 10(11), 231240. https://doi.org/10.1098/rsos.231215</t>
  </si>
  <si>
    <t>10.1098/rsos.231215</t>
  </si>
  <si>
    <t>Recall performance for File B</t>
  </si>
  <si>
    <t>ANOVA revealed a significant interaction, F(1, 46) = 7.89, MSE = 0.01, p = .007, η2 = .15.</t>
  </si>
  <si>
    <t>Boyce_etal2023150_1_a</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</si>
  <si>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t>
    </r>
  </si>
  <si>
    <t>10.1177--0956797614559285.pdf</t>
  </si>
  <si>
    <t>Saving-Enhanced Memory</t>
  </si>
  <si>
    <t>Memory, human-computer interaction, cognition(s), forgetting</t>
  </si>
  <si>
    <t>Participants recalled significantly more words on save trials than no-save trials in the eight-word condition</t>
  </si>
  <si>
    <t>"In the eight-word condition, the proportion of words recalled was significantly greater on save trials (M = .80, SE = .03) than on no-save trials (M = .29, SE = .03), t(23) = 14.24, p &lt; .001, d = 2.91, mean difference = .51 (95% CI = [.43, .58])"</t>
  </si>
  <si>
    <t>Boyce_etal2023150_1_b</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</si>
  <si>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t>
    </r>
  </si>
  <si>
    <t xml:space="preserve">Better recall on save trials and lower recall on no-save trials </t>
  </si>
  <si>
    <t>"A similar difference was observed in the two-word condition, with performance being perfect on save trials (M = 1.00, SE = .00) and significantly worse than perfect on no-save trials (M = .79, SE = .05), t(23) = 3.98, p = .001, d = 0.81, mean difference = .21 (95% CI = [.10, .32])"</t>
  </si>
  <si>
    <t>Boyce_etal2023150_1_c</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</si>
  <si>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t>
    </r>
  </si>
  <si>
    <t>Saving File A improved recall of words from File B in the eight-word condition, suggesting a cognitive offloading effect</t>
  </si>
  <si>
    <t>" [...] participants in the eight-word condition recalled significantly more words from File B when they had saved File A than when they had not saved File A, t(23) = 4.56, p &lt; .001, d = 0.93, mean difference = .13 (95% CI = [.07, .18])"</t>
  </si>
  <si>
    <t>Boyce_etal2023150_1_d</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</si>
  <si>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t>
    </r>
  </si>
  <si>
    <t>No significant difference in File B recall was found when File A contained only two words, implying the effect depends on task complexity</t>
  </si>
  <si>
    <t>"When File A consisted of only two words, participants did not recall significantly more words from File B after they had saved File A than after they had not saved File A, t(23) = 0.40, p = .69, d = 0.08, mean difference = .01 (95% CI = [−.05, .07])."</t>
  </si>
  <si>
    <t>Boyce_etal2023150_1_e</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</si>
  <si>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
3. The data from the report was used for ES</t>
    </r>
  </si>
  <si>
    <t>The interaction between trial type (save vs. no-save) and condition (eight-word vs. two-word) confirms that the impact of saving varies by word count</t>
  </si>
  <si>
    <t>"A 2 (trial type: save vs. no save) × 2 (condition: eight word vs. two word) mixed-design ANOVA revealed a significant interaction, F(1, 46) = 7.89, MSE = 0.01, p = .007, η2 = .15"</t>
  </si>
  <si>
    <t>Boyce_etal2023151</t>
  </si>
  <si>
    <t>Boyce_etal2023151_1</t>
  </si>
  <si>
    <t>Störmer, V. S., &amp; Alvarez, G. A. (2016). Attention alters perceived attractiveness. Psychological Science, 27(4), 563-571.</t>
  </si>
  <si>
    <t>10.1177/0956797616630964</t>
  </si>
  <si>
    <t>Boyce, V., Mathur, M., &amp; Frank, M. C. (2023). Eleven years of student replication projects provide evidence on the correlates of replicability in psychology. Royal Society Open Science, 10(11), 231240. https://doi.org/10.1098/rsos.231216</t>
  </si>
  <si>
    <t>10.1098/rsos.231216</t>
  </si>
  <si>
    <t>when the two faces were physically identical, participants tended to judge the face at the cued location to have higher con-
trast than the face at the uncued location (55.8% vs. 45.8%), t(15) = 2.51, p = .02, η2 = .30.</t>
  </si>
  <si>
    <r>
      <rPr>
        <rFont val="Calibri"/>
        <sz val="11.0"/>
      </rPr>
      <t xml:space="preserve">1. Online study for attention -&gt; conceptually new design
2. The replication data: </t>
    </r>
    <r>
      <rPr>
        <rFont val="Calibri"/>
        <color rgb="FF1155CC"/>
        <sz val="11.0"/>
        <u/>
      </rPr>
      <t xml:space="preserve">https://rpubs.com/mlee17/262394
</t>
    </r>
    <r>
      <rPr>
        <rFont val="Calibri"/>
        <sz val="11.0"/>
      </rPr>
      <t>3. Effect can be either "Attentional cueing" or "attractiveness judgments". The first is broader</t>
    </r>
  </si>
  <si>
    <t>10.1177--0956797616630964.pdf</t>
  </si>
  <si>
    <t>Attentional cuing</t>
  </si>
  <si>
    <t>Attention, perception, face perception, visual attention</t>
  </si>
  <si>
    <t>Participants chose the face with higher contrast around the eye region more often</t>
  </si>
  <si>
    <t>"There was a main effect of actual contrast level on contrast judgments, F(4, 15) = 27.93, p = .0001, eta-square = .31"</t>
  </si>
  <si>
    <t>Boyce_etal2023151_1_b</t>
  </si>
  <si>
    <r>
      <rPr>
        <rFont val="Calibri"/>
        <sz val="11.0"/>
      </rPr>
      <t xml:space="preserve">1. Online study for attention -&gt; conceptually new design
2. The replication data: </t>
    </r>
    <r>
      <rPr>
        <rFont val="Calibri"/>
        <color rgb="FF1155CC"/>
        <sz val="11.0"/>
        <u/>
      </rPr>
      <t xml:space="preserve">https://rpubs.com/mlee17/262394
</t>
    </r>
    <r>
      <rPr>
        <rFont val="Calibri"/>
        <sz val="11.0"/>
      </rPr>
      <t>3. Effect can be either "Attentional cueing" or "attractiveness judgments". The first is broader</t>
    </r>
  </si>
  <si>
    <t>The attended (cued) face tended to be judged to have higher contrast than the same face that was unattended to some degree</t>
  </si>
  <si>
    <t>"As shown in Figure 4b, when the two faces were physically identical, participants tended to judge the face at the cued location to have higher contrast than the face at the uncued location (55.8% vs. 45.8%), t(15) = 2.51, p = .02, eta-square = .30"</t>
  </si>
  <si>
    <t>Boyce_etal2023152_1</t>
  </si>
  <si>
    <t>Boyce_etal2023152</t>
  </si>
  <si>
    <t>Suppes, P., &amp; Schlag-Rey, M. (1965). Observable changes of hypotheses under positive reinforcement. Science, 148(3670), 661-662.</t>
  </si>
  <si>
    <t>10.1126/science.148.3670.661</t>
  </si>
  <si>
    <t>10.1126--science.148.3670.661.pdf</t>
  </si>
  <si>
    <t>Boyce, V., Mathur, M., &amp; Frank, M. C. (2023). Eleven years of student replication projects provide evidence on the correlates of replicability in psychology. Royal Society Open Science, 10(11), 231240. https://doi.org/10.1098/rsos.231217</t>
  </si>
  <si>
    <t>10.1098/rsos.231217</t>
  </si>
  <si>
    <t>Boyce_etal2023153</t>
  </si>
  <si>
    <t>Boyce_etal2023153_1</t>
  </si>
  <si>
    <t>Tamir, D. I., &amp; Mitchell, J. P. (2012). Disclosing information about the self is intrinsically rewarding. Proceedings of the National Academy of Sciences, 109(21), 8038-8043.</t>
  </si>
  <si>
    <t>10.1073/pnas.1202129109</t>
  </si>
  <si>
    <t>Boyce, V., Mathur, M., &amp; Frank, M. C. (2023). Eleven years of student replication projects provide evidence on the correlates of replicability in psychology. Royal Society Open Science, 10(11), 231240. https://doi.org/10.1098/rsos.231218</t>
  </si>
  <si>
    <t>10.1098/rsos.231218</t>
  </si>
  <si>
    <t>Participants gave up an average of 0.63¢ per trial to perform the self task instead of judging another person [t(36) = 3.32, P = . 002, d = 1.11]</t>
  </si>
  <si>
    <t>p. 8039</t>
  </si>
  <si>
    <t>10.1073--pnas.1202129109.pdf</t>
  </si>
  <si>
    <t>Self-disclosure</t>
  </si>
  <si>
    <t>Self-reference, social cognition, reward, functional MRI</t>
  </si>
  <si>
    <t>Disclosing information about the self is intrinsically rewarding</t>
  </si>
  <si>
    <t>"Participants gave up an average of 0.63¢ per trial to perform the self-task instead of judging another person, t(36) = 3.32, p = .002, d = 1.11"</t>
  </si>
  <si>
    <t>0.00917662935482247</t>
  </si>
  <si>
    <t>0.9685334559246237</t>
  </si>
  <si>
    <t>Boyce_etal2023154</t>
  </si>
  <si>
    <t>Boyce_etal2023154_1</t>
  </si>
  <si>
    <t>The results are from another experiment (Exp 3, while in the table it was Exp 1)</t>
  </si>
  <si>
    <t>Tarampi, M. R., Heydari, N., &amp; Hegarty, M. (2016). A tale of two types of perspective taking: Sex differences in spatial ability. Psychological Science, 27(11), 1507-1516.</t>
  </si>
  <si>
    <t>10.1177/0956797616667459</t>
  </si>
  <si>
    <t>Boyce, V., Mathur, M., &amp; Frank, M. C. (2023). Eleven years of student replication projects provide evidence on the correlates of replicability in psychology. Royal Society Open Science, 10(11), 231240. https://doi.org/10.1098/rsos.231219</t>
  </si>
  <si>
    <t>10.1098/rsos.231219</t>
  </si>
  <si>
    <t>Consistent with our hypothesis, the analysis showed that females were more accurate in the social condition (M = 11.59, SD = 5.29, 95% CI = [9.80, 13.37]) than in the spatial condition (M = 7.69, SD = 3.80, 95% CI = [5.96, 9.43]),</t>
  </si>
  <si>
    <t>calculated based on the data in the paper, p. 1511 -  Consistent with our hypothesis, the analysis showed that females were more accurate in the social condition (M = 11.59, SD = 5.29, 95% CI = [9.80, 13.37]) than in the spatial condition (M = 7.69, SD = 3.80, 95% CI = [5.96, 9.43]), t(68) = 3.55, p = .001.</t>
  </si>
  <si>
    <r>
      <rPr>
        <rFont val="Calibri"/>
        <sz val="11.0"/>
      </rPr>
      <t xml:space="preserve">1. Replication data: </t>
    </r>
    <r>
      <rPr>
        <rFont val="Calibri"/>
        <color rgb="FF1155CC"/>
        <sz val="11.0"/>
        <u/>
      </rPr>
      <t xml:space="preserve">https://rpubs.com/chuqihu8/pilot
</t>
    </r>
    <r>
      <rPr>
        <rFont val="Calibri"/>
        <sz val="11.0"/>
      </rPr>
      <t>2. Replication was online -&gt; conceptual</t>
    </r>
  </si>
  <si>
    <t>10.1177--0956797616667459.pdf</t>
  </si>
  <si>
    <t>Sex difference</t>
  </si>
  <si>
    <t>Spatial ability, perspective taking, individual differences, stereotype threat, gender, open materials</t>
  </si>
  <si>
    <t>Males and females differ significantly in performance on the spatial-orientation test</t>
  </si>
  <si>
    <t>"We first tested our predictions for the spatial-orientation test. A 2 (sex: male, female) × 2 (condition: social, spatial) between-subjects analysis of variance (ANOVA) found significant main effects of sex, F(1, 131) = 14.22, p &lt; .001, partial η² = .10, d = 0.61 [...]"</t>
  </si>
  <si>
    <t>F(1,4) = 0.015</t>
  </si>
  <si>
    <t>Boyce_etal2023154_1_b</t>
  </si>
  <si>
    <r>
      <rPr>
        <rFont val="Calibri"/>
        <sz val="11.0"/>
      </rPr>
      <t xml:space="preserve">1. Replication data: </t>
    </r>
    <r>
      <rPr>
        <rFont val="Calibri"/>
        <color rgb="FF1155CC"/>
        <sz val="11.0"/>
        <u/>
      </rPr>
      <t xml:space="preserve">https://rpubs.com/chuqihu8/pilot
</t>
    </r>
    <r>
      <rPr>
        <rFont val="Calibri"/>
        <sz val="11.0"/>
      </rPr>
      <t>2. Replication was online -&gt; conceptual</t>
    </r>
  </si>
  <si>
    <t>Performance on the spatial-orientation test differs significantly between the social and spatial conditions</t>
  </si>
  <si>
    <t>"We first tested our predictions for the spatial-orientation test. A 2 (sex: male, female) × 2 (condition: social, spatial) between-subjects analysis of variance (ANOVA) found significant main effects of [...] condition, F(1, 131) = 16.84, p &lt; .001, partial η² = .11, d = 0.67"</t>
  </si>
  <si>
    <t>F(1,4) = 0.061</t>
  </si>
  <si>
    <t>Boyce_etal2023154_1_c</t>
  </si>
  <si>
    <r>
      <rPr>
        <rFont val="Calibri"/>
        <sz val="11.0"/>
      </rPr>
      <t xml:space="preserve">1. Replication data: </t>
    </r>
    <r>
      <rPr>
        <rFont val="Calibri"/>
        <color rgb="FF1155CC"/>
        <sz val="11.0"/>
        <u/>
      </rPr>
      <t xml:space="preserve">https://rpubs.com/chuqihu8/pilot
</t>
    </r>
    <r>
      <rPr>
        <rFont val="Calibri"/>
        <sz val="11.0"/>
      </rPr>
      <t>2. Replication was online -&gt; conceptual
3. For second coder: The results are for Exp 3, while in the table it was Exp 1. This result can be also used</t>
    </r>
  </si>
  <si>
    <t>The effect of condition on spatial-orientation test performance varies significantly by sex</t>
  </si>
  <si>
    <t>"As predicted, there was a statistically significant interaction between sex and condition, F(1, 131) = 14.18, p &lt; .001, partial η² = .10"</t>
  </si>
  <si>
    <t>F(1,4) = 1.527</t>
  </si>
  <si>
    <t>Boyce_etal2023155</t>
  </si>
  <si>
    <t>Boyce_etal2023155_1</t>
  </si>
  <si>
    <t>Not found in Boyce, I would assume it's the one with the title "the original doesn't give adults stats, the t test we're using is from the replication based on the raw data, for French adults only. Also, student screwed up and used original data for both (wrong variable name in a couple places). I fixed it and ran their code". Noneheless, I didn't find matching statistics in the paper, so moght be worth excluding</t>
  </si>
  <si>
    <t>Tieu, L., Yatsushiro, K., Cremers, A., Romoli, J., Sauerland, U., &amp; Chemla, E. (2017). On the role of alternatives in the acquisition of simple and complex disjunctions in French and Japanese. Journal of Semantics, 34(1), 127-152.</t>
  </si>
  <si>
    <t>10.1093/jos/ffw010</t>
  </si>
  <si>
    <t>Boyce, V., Mathur, M., &amp; Frank, M. C. (2023). Eleven years of student replication projects provide evidence on the correlates of replicability in psychology. Royal Society Open Science, 10(11), 231240. https://doi.org/10.1098/rsos.231220</t>
  </si>
  <si>
    <t>10.1098/rsos.231220</t>
  </si>
  <si>
    <r>
      <rPr>
        <rFont val="Calibri"/>
        <sz val="11.0"/>
      </rPr>
      <t xml:space="preserve">1. Replication data: </t>
    </r>
    <r>
      <rPr>
        <rFont val="Calibri"/>
        <color rgb="FF1155CC"/>
        <sz val="11.0"/>
        <u/>
      </rPr>
      <t xml:space="preserve">https://rpubs.com/masoud/tieu2016_replication
</t>
    </r>
    <r>
      <rPr>
        <rFont val="Calibri"/>
        <sz val="11.0"/>
      </rPr>
      <t>2. Different languages for comparison are used -&gt; conceptual replication
3. No corresponding results are indicated in the original data. For the project the original results were recalculated by the project team using the data from replication</t>
    </r>
  </si>
  <si>
    <t>10.1093--jos--ffw010.pdf</t>
  </si>
  <si>
    <t>Web-based replication</t>
  </si>
  <si>
    <t>Language acquisition</t>
  </si>
  <si>
    <t>Child language acquisition, disjunction interpretation, scalar implicatures, cross-linguistic comparison, logical reasoning in children</t>
  </si>
  <si>
    <t>Role of alternatives in the acquisition of simple and complex disjunctions in French and Japanese</t>
  </si>
  <si>
    <t>t(19) = 35.18</t>
  </si>
  <si>
    <t>Boyce_etal2023156</t>
  </si>
  <si>
    <t>Boyce_etal2023156_1</t>
  </si>
  <si>
    <t>Todd2016_1</t>
  </si>
  <si>
    <t>Todd, A. R., Thiem, K. C., &amp; Neel, R. (2016). Does seeing faces of young black boys facilitate the identification of threatening stimuli?. Psychological science, 27(3), 384-393.</t>
  </si>
  <si>
    <t>10.1177/0956797615624492</t>
  </si>
  <si>
    <t>Boyce, V., Mathur, M., &amp; Frank, M. C. (2023). Eleven years of student replication projects provide evidence on the correlates of replicability in psychology. Royal Society Open Science, 10(11), 231240. https://doi.org/10.1098/rsos.231221</t>
  </si>
  <si>
    <t>10.1098/rsos.231221</t>
  </si>
  <si>
    <t>RTS</t>
  </si>
  <si>
    <t>A 2 (race of prime: Black, White) × 2 (target object: gun, toy) repeated measures analysis of variance (ANOVA) revealed a significant interaction, F(1, 62) = 17.21, p &lt; .001, ηp2 = .22.</t>
  </si>
  <si>
    <r>
      <rPr>
        <rFont val="Calibri"/>
        <sz val="11.0"/>
      </rPr>
      <t xml:space="preserve">1. Data for replication: </t>
    </r>
    <r>
      <rPr>
        <rFont val="Calibri"/>
        <color rgb="FF1155CC"/>
        <sz val="11.0"/>
        <u/>
      </rPr>
      <t>https://rpubs.com/mateusmazza/project_report_pilotB</t>
    </r>
  </si>
  <si>
    <t>10.1177--0956797615624492.pdf</t>
  </si>
  <si>
    <t>Age, process dissociation, stereotyping, threat, weapon identification task</t>
  </si>
  <si>
    <t>Potential racial biases in threat perception</t>
  </si>
  <si>
    <t>"A 2 (race of prime: Black, White) × 2 (target object: gun, toy) repeated measures analysis of variance (ANOVA) revealed a significant interaction, F(1, 62) = 17.21, p &lt; .001, partial η² = .22"</t>
  </si>
  <si>
    <t>F(1, 23) = 1.3</t>
  </si>
  <si>
    <t>Boyce_etal2023157_1</t>
  </si>
  <si>
    <t>Boyce_etal2023157</t>
  </si>
  <si>
    <r>
      <rPr>
        <rFont val="Calibri"/>
        <sz val="11.0"/>
      </rPr>
      <t xml:space="preserve">1. Replication data: </t>
    </r>
    <r>
      <rPr>
        <rFont val="Calibri"/>
        <color rgb="FF1155CC"/>
        <sz val="11.0"/>
        <u/>
      </rPr>
      <t>https://rpubs.com/klsanch/pilotAwriteup</t>
    </r>
  </si>
  <si>
    <t>Participants misidentified safe words as threatening more often after Black primes than after White primes</t>
  </si>
  <si>
    <t>"Analyses of error-rate data revealed that, as with the RT data, there was a significant Race of Prime × Target Word interaction, F(1, 61) = 32.30, p &lt; .001, partial η² = .35"</t>
  </si>
  <si>
    <t>Boyce_etal2023156_1_b</t>
  </si>
  <si>
    <t>Todd2016_2, statistics from Boyce not found in the O, d and p values for O extracted from Boyce</t>
  </si>
  <si>
    <t>Boyce, V., Mathur, M., &amp; Frank, M. C. (2023). Eleven years of student replication projects provide evidence on the correlates of replicability in psychology. Royal Society Open Science, 10(11), 231240. https://doi.org/10.1098/rsos.231222</t>
  </si>
  <si>
    <t>10.1098/rsos.231222</t>
  </si>
  <si>
    <t>Boyce_etal2023158</t>
  </si>
  <si>
    <t>Boyce_etal2023158_1</t>
  </si>
  <si>
    <t>Coded as social psychology, because it's the closest discipline</t>
  </si>
  <si>
    <t>Tribushinina, E. (2011). Once again on norms and comparison classes. Linguistics, 49(3), 525–553.</t>
  </si>
  <si>
    <t>10.1515/ling.2011.016</t>
  </si>
  <si>
    <t>Boyce, V., Mathur, M., &amp; Frank, M. C. (2023). Eleven years of student replication projects provide evidence on the correlates of replicability in psychology. Royal Society Open Science, 10(11), 231240. https://doi.org/10.1098/rsos.231223</t>
  </si>
  <si>
    <t>10.1098/rsos.231223</t>
  </si>
  <si>
    <t>Perception</t>
  </si>
  <si>
    <t>Relative adjectives, reference points, norm-based interpretation, scale sensitivity, real-time processing</t>
  </si>
  <si>
    <t>Participants more frequently categorized stimuli into the "klein" range compared to the "groot" range</t>
  </si>
  <si>
    <t>Further, the ranges dubbed groot ‘big’ and klein ‘small’ were not equal. The zone labeled klein was significantly larger than the groot zone: Z = 3.1, p &lt; .005</t>
  </si>
  <si>
    <t>calculated based on data from p. 540, including table</t>
  </si>
  <si>
    <r>
      <rPr>
        <rFont val="Calibri"/>
        <sz val="11.0"/>
      </rPr>
      <t xml:space="preserve">1. Online experiment
2. Data: </t>
    </r>
    <r>
      <rPr>
        <rFont val="Calibri"/>
        <color rgb="FF1155CC"/>
        <sz val="11.0"/>
        <u/>
      </rPr>
      <t>https://github.com/StanfordPsych254/Tribushinina2011/blob/master/writeup/Replication-Report.html</t>
    </r>
    <r>
      <rPr>
        <rFont val="Calibri"/>
        <sz val="11.0"/>
      </rPr>
      <t xml:space="preserve"> (replication)
3. The original paper was added as 10.1515ling.2011.016.pdf</t>
    </r>
  </si>
  <si>
    <t>"The zone labeled klein was significantly larger than the groot zone: Z = 3.1, p &lt; .005 (Wilcoxon Signed-ranks test)"</t>
  </si>
  <si>
    <t>Z = 3.1, N = 10</t>
  </si>
  <si>
    <t>Boyce_etal2023158_a</t>
  </si>
  <si>
    <r>
      <rPr>
        <rFont val="Calibri"/>
        <sz val="11.0"/>
      </rPr>
      <t xml:space="preserve">1. Online experiment
2. Data: </t>
    </r>
    <r>
      <rPr>
        <rFont val="Calibri"/>
        <color rgb="FF1155CC"/>
        <sz val="11.0"/>
        <u/>
      </rPr>
      <t>https://github.com/StanfordPsych254/Tribushinina2011/blob/master/writeup/Replication-Report.html</t>
    </r>
    <r>
      <rPr>
        <rFont val="Calibri"/>
        <sz val="11.0"/>
      </rPr>
      <t xml:space="preserve"> (replication)
3. The original paper was added as 10.1515ling.2011.016.pdf</t>
    </r>
  </si>
  <si>
    <t>The perceived acceptable size range ("groot zone") differs based on the prototypical size category (PROTOTYPICALLY SMALL vs. PROTOTYPICALLY BIG) of an object</t>
  </si>
  <si>
    <t>"The "groot zone" (i.e., the range of sizes considered appropriate for an object) was significantly larger for objects from the PROTOTYPICALLY SMALL category compared to the PROTOTYPICALLY BIG category, as evidenced by a Friedman test: χ²(2) = 9.5, p &lt; .05."</t>
  </si>
  <si>
    <t>χ²(2) = 9.5</t>
  </si>
  <si>
    <t>χ²(2) = 22.02</t>
  </si>
  <si>
    <t>Boyce_etal2023159_1</t>
  </si>
  <si>
    <t>Boyce_etal2023159</t>
  </si>
  <si>
    <r>
      <rPr>
        <rFont val="Calibri"/>
        <sz val="11.0"/>
      </rPr>
      <t xml:space="preserve">1. Replication data: </t>
    </r>
    <r>
      <rPr>
        <rFont val="Calibri"/>
        <color rgb="FF1155CC"/>
        <sz val="11.0"/>
        <u/>
      </rPr>
      <t>https://rstudio-pubs-static.s3.amazonaws.com/426870_bb10c991135648a19be27ad27cb36a15.html</t>
    </r>
    <r>
      <rPr>
        <rFont val="Calibri"/>
        <sz val="11.0"/>
      </rPr>
      <t xml:space="preserve"> (https://osf.io/3xcq7) is for EXPERIMENT 1, not 2</t>
    </r>
  </si>
  <si>
    <t>Tworek, C. M., &amp; Cimpian, A. (2016). Why do people tend to infer “ought” from “is”? The role of biases in explanation. Psychological Science, 27(8), 1109-1122.</t>
  </si>
  <si>
    <t>10.1177/0956797616650875</t>
  </si>
  <si>
    <t>10.1177--0956797616650875.pdf</t>
  </si>
  <si>
    <t>No replication data for experiment 2</t>
  </si>
  <si>
    <t>Data for R from the report</t>
  </si>
  <si>
    <t>Boyce, V., Mathur, M., &amp; Frank, M. C. (2023). Eleven years of student replication projects provide evidence on the correlates of replicability in psychology. Royal Society Open Science, 10(11), 231240. https://doi.org/10.1098/rsos.231224</t>
  </si>
  <si>
    <t>10.1098/rsos.231224</t>
  </si>
  <si>
    <t>Cognitive development, inherence heuristic, sociomoral judgments, explanation, open data, open materials, preregistered</t>
  </si>
  <si>
    <t>The predicted interaction between the measure of inherence bias and behavior typicality was significant</t>
  </si>
  <si>
    <t>The predicted interaction between the measure of inherence bias and behavior typicality was significant in this model, b = 2.44, 95% CI = [0.78, 4.10], p = .004 (for results for the full model, see Table 4).</t>
  </si>
  <si>
    <t>https://aspredicted.org/public/205223581.pdf</t>
  </si>
  <si>
    <t>Boyce_etal202316</t>
  </si>
  <si>
    <t>Boyce_etal202316_1</t>
  </si>
  <si>
    <t>brown-iannuzzi2017_1, statistics extracted from the report</t>
  </si>
  <si>
    <t>Brown-Iannuzzi, J. L., Dotsch, R., Cooley, E., &amp; Payne, B. K. (2017). The relationship between mental representations of welfare recipients and attitudes toward welfare. Psychological science, 28(1), 92-103.</t>
  </si>
  <si>
    <t>10.1177/0956797616674999</t>
  </si>
  <si>
    <t>Boyce, V., Mathur, M., &amp; Frank, M. C. (2023). Eleven years of student replication projects provide evidence on the correlates of replicability in psychology. Royal Society Open Science, 10(11), 231240. https://doi.org/10.1098/rsos.231077</t>
  </si>
  <si>
    <t>10.1098/rsos.231077</t>
  </si>
  <si>
    <t>https://osf.io/v6zk8</t>
  </si>
  <si>
    <t>Stereotyped attitudes, socioeconomic status, social cognition, open data, open materials</t>
  </si>
  <si>
    <t>Framing the policy differently does not significantly affect support for basic income policies</t>
  </si>
  <si>
    <t>"Additionally, participants were less supportive of giving cash assistance to the person depicted in the welfare image (M = 2.95, 95% CI [2.78, 3.13]) than the non-recipient image (M = 3.80, 95% CI [3.65, 3.96]), partial eta-square = .26. (supplementary materials)"</t>
  </si>
  <si>
    <t>Boyce_etal202317_1</t>
  </si>
  <si>
    <t>Boyce_etal202317</t>
  </si>
  <si>
    <t>10.1177--0956797616674999.pdf</t>
  </si>
  <si>
    <t>The results from the original and "replication" studies investigate the phenomenon using different dependent variables and analysis. The replication is not strictly speaking replication</t>
  </si>
  <si>
    <t>Boyce_etal202316_1_b</t>
  </si>
  <si>
    <t>brown-iannuzzi2017_2</t>
  </si>
  <si>
    <t>Boyce, V., Mathur, M., &amp; Frank, M. C. (2023). Eleven years of student replication projects provide evidence on the correlates of replicability in psychology. Royal Society Open Science, 10(11), 231240. https://doi.org/10.1098/rsos.231078</t>
  </si>
  <si>
    <t>10.1098/rsos.231078</t>
  </si>
  <si>
    <t>"As predicted, the person depicted in the welfare-recipient image was rated as less responsible (generally), and less responsible with food stamps and cash assistance, than the person depicted in the non-welfare-recipient image"</t>
  </si>
  <si>
    <t>supplement -- 3 with study 1 images</t>
  </si>
  <si>
    <t>"The indirect effect was not significant when mediated by perceived race alone, b = −0.04, 95% CI = [−0.46, 0.36]."</t>
  </si>
  <si>
    <t>t(41) = -0.39</t>
  </si>
  <si>
    <t>Boyce_etal2023160</t>
  </si>
  <si>
    <t>Boyce_etal2023160_1</t>
  </si>
  <si>
    <t>Van Koningsbruggen, G. M., Hartmann, T., Eden, A., &amp; Veling, H. (2017). Spontaneous hedonic reactions to social media cues. Cyberpsychology, Behavior, and Social Networking, 20(5), 334-340.</t>
  </si>
  <si>
    <t>10.1089/cyber.2016.0530</t>
  </si>
  <si>
    <t>Boyce, V., Mathur, M., &amp; Frank, M. C. (2023). Eleven years of student replication projects provide evidence on the correlates of replicability in psychology. Royal Society Open Science, 10(11), 231240. https://doi.org/10.1098/rsos.231225</t>
  </si>
  <si>
    <t>10.1098/rsos.231225</t>
  </si>
  <si>
    <t>a significant interaction effect between cue type and Facebook use, F(1, 126) = 8.91, p = 0.003, and g2 p = 0.066 (Fig. 2B).</t>
  </si>
  <si>
    <t>p. 338</t>
  </si>
  <si>
    <t>Boyce_etal2023160_1_a</t>
  </si>
  <si>
    <r>
      <rPr>
        <rFont val="Calibri"/>
        <sz val="11.0"/>
      </rPr>
      <t xml:space="preserve">Replication data: </t>
    </r>
    <r>
      <rPr>
        <rFont val="Calibri"/>
        <color rgb="FF1155CC"/>
        <sz val="11.0"/>
        <u/>
      </rPr>
      <t>https://rpubs.com/ayl888/695975</t>
    </r>
  </si>
  <si>
    <t>10.1089--cyber.2016.0530.pdf</t>
  </si>
  <si>
    <t>Hedonic Reaction</t>
  </si>
  <si>
    <t>Social media, Facebook, self-control, temptation, craving</t>
  </si>
  <si>
    <t>The cue type did not have a significant main effect on the outcome variable</t>
  </si>
  <si>
    <t>"The main effects of cue type, F(1, 126) = 2.28, p = 0.134, partial η² = 0.018 [...]"</t>
  </si>
  <si>
    <t>Boyce_etal2023160_1_b</t>
  </si>
  <si>
    <r>
      <rPr>
        <rFont val="Calibri"/>
        <sz val="11.0"/>
      </rPr>
      <t xml:space="preserve">Replication data: </t>
    </r>
    <r>
      <rPr>
        <rFont val="Calibri"/>
        <color rgb="FF1155CC"/>
        <sz val="11.0"/>
        <u/>
      </rPr>
      <t>https://rpubs.com/ayl888/695975</t>
    </r>
  </si>
  <si>
    <t>Facebook use did not have a significant main effect on the outcome variable</t>
  </si>
  <si>
    <t>"The main effects of [...] Facebook use, F(1, 126) = 0.26, p = 0.609, partial η² = 0.002, were not significant"</t>
  </si>
  <si>
    <t>Boyce_etal2023160_1_c</t>
  </si>
  <si>
    <r>
      <rPr>
        <rFont val="Calibri"/>
        <sz val="11.0"/>
      </rPr>
      <t xml:space="preserve">Replication data: </t>
    </r>
    <r>
      <rPr>
        <rFont val="Calibri"/>
        <color rgb="FF1155CC"/>
        <sz val="11.0"/>
        <u/>
      </rPr>
      <t>https://rpubs.com/ayl888/695975</t>
    </r>
  </si>
  <si>
    <t>There was a significant interaction effect between cue type and Facebook use on the outcome variable, with a noticeable difference in their combined impact</t>
  </si>
  <si>
    <t>"However, the results again revealed a significant interaction effect between cue type and Facebook use, F(1, 126) = 8.91, p = 0.003, partial η² = 0.066 (Fig. 2B)"</t>
  </si>
  <si>
    <t>Boyce_etal2023161</t>
  </si>
  <si>
    <t>Boyce_etal2023161_1</t>
  </si>
  <si>
    <t>Vasilyeva, N., Blanchard, T., &amp; Lombrozo, T. (2018). Stable causal relationships are better causal relationships. Cognitive Science, 42(4), 1265-1296.</t>
  </si>
  <si>
    <t>10.1111/cogs.12605</t>
  </si>
  <si>
    <t>Boyce, V., Mathur, M., &amp; Frank, M. C. (2023). Eleven years of student replication projects provide evidence on the correlates of replicability in psychology. Royal Society Open Science, 10(11), 231240. https://doi.org/10.1098/rsos.231226</t>
  </si>
  <si>
    <t>10.1098/rsos.231226</t>
  </si>
  <si>
    <t>a main effect of moderator: as shown in Fig. 2a, participants were significantly less likely to agree with claims about causal and explanatory relationships when a relationship was moderated than non-moderated</t>
  </si>
  <si>
    <t>p. 1273</t>
  </si>
  <si>
    <r>
      <rPr>
        <rFont val="Calibri"/>
        <sz val="11.0"/>
      </rPr>
      <t>Replication data is only for exp 3, not exp 1: "</t>
    </r>
    <r>
      <rPr>
        <rFont val="Calibri"/>
        <color rgb="FF1155CC"/>
        <sz val="11.0"/>
        <u/>
      </rPr>
      <t>https://rpubs.com/pgzhu/vasilyeva2018</t>
    </r>
    <r>
      <rPr>
        <rFont val="Calibri"/>
        <sz val="11.0"/>
      </rPr>
      <t>" → I use the data from table</t>
    </r>
  </si>
  <si>
    <t>10.1111--cogs.12605.pdf</t>
  </si>
  <si>
    <t>Causal relationship</t>
  </si>
  <si>
    <t>Stability, Robustness, Invariance, Sensitivity, Causality, Explanation, Background conditions, Moderating variables</t>
  </si>
  <si>
    <t>Participants were significantly less likely to agree with claims about causal and explanatory relationships when a relationship was moderated</t>
  </si>
  <si>
    <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</si>
  <si>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1.63866476810305</t>
  </si>
  <si>
    <t>Boyce_etal2023162</t>
  </si>
  <si>
    <t>Boyce_etal2023162_1</t>
  </si>
  <si>
    <t>Romero Verdugo, P., van Lieshout, L. L., de Lange, F. P., &amp; Cools, R. (2020). Choice boosts curiosity. Psychological Science, 09567976221082637.</t>
  </si>
  <si>
    <t>10.1177/09567976221082637</t>
  </si>
  <si>
    <t>Boyce, V., Mathur, M., &amp; Frank, M. C. (2023). Eleven years of student replication projects provide evidence on the correlates of replicability in psychology. Royal Society Open Science, 10(11), 231240. https://doi.org/10.1098/rsos.231227</t>
  </si>
  <si>
    <t>10.1098/rsos.231227</t>
  </si>
  <si>
    <t>Choice and preference independently enhanced curiosity</t>
  </si>
  <si>
    <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</si>
  <si>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calculated based on Chosen Lotteries:  (M = 2.94, SD = 0.33; willingness to wait: M = 47.19%, SD = 19.81%) tand provided to them (M = 2.78, SD = 0.3; willingness to wait: M = 40.19%, SD = 19.23%).</t>
  </si>
  <si>
    <t>https:osf.io/gseqn</t>
  </si>
  <si>
    <t>Replication report: https://osf.io/wdp9b</t>
  </si>
  <si>
    <t>10.1177--09567976221082637.pdf</t>
  </si>
  <si>
    <t>Curiosity</t>
  </si>
  <si>
    <t>Curiosity, choice, uncertainty, expected value, information seeking, open data, open materials, preregistered</t>
  </si>
  <si>
    <t>Choice boosts curiosity</t>
  </si>
  <si>
    <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</si>
  <si>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0.006352567590246201</t>
  </si>
  <si>
    <t>https:osf.io/gseqn/</t>
  </si>
  <si>
    <t>https://osf.io/5ausj</t>
  </si>
  <si>
    <t>Boyce_etal2023163</t>
  </si>
  <si>
    <t>Boyce_etal2023163_1</t>
  </si>
  <si>
    <t>Vohs, K. D., Mead, N. L., &amp; Goode, M. R. (2006). The psychological consequences of money. science, 314(5802), 1154-1156.</t>
  </si>
  <si>
    <t>10.1126/science.1132491</t>
  </si>
  <si>
    <t>Boyce, V., Mathur, M., &amp; Frank, M. C. (2023). Eleven years of student replication projects provide evidence on the correlates of replicability in psychology. Royal Society Open Science, 10(11), 231240. https://doi.org/10.1098/rsos.231228</t>
  </si>
  <si>
    <t>10.1098/rsos.231228</t>
  </si>
  <si>
    <t>Participants who were primed with money were less helpful than participants not primed with money [t(42) = 2.13, P &lt; 0.04; Cohen’s d = 0.63].</t>
  </si>
  <si>
    <t>p. 1155</t>
  </si>
  <si>
    <t>10.1126--science.1132491.pdf</t>
  </si>
  <si>
    <t>Money, Motivation, Behavior, Self-sufficiency, Dependency, Priming, Money reminders, Causal behavior, Interpersonal relationships, Financial strain</t>
  </si>
  <si>
    <t>Money makes people self-sufficient (primed with money donated significantly less)</t>
  </si>
  <si>
    <t>"We found that participants primed with money donated significantly less money to the student fund than participants not primed with money, t(38) = 2.13, p &lt; 0.05, Cohen’s d = 0.64 (Table 1)."</t>
  </si>
  <si>
    <t>0.12436505404118418</t>
  </si>
  <si>
    <t>Boyce_etal2023164</t>
  </si>
  <si>
    <t>Boyce_etal2023164_1</t>
  </si>
  <si>
    <t>In Boyce it's Vohs2013</t>
  </si>
  <si>
    <t>Vohs, K. D., Sengupta, J., &amp; Dahl, D. W. (2014). The price had better be right: Women’s reactions to sexual stimuli vary with market factors. Psychological science, 25(1), 278-283.</t>
  </si>
  <si>
    <t>10.1177/0956797613502732</t>
  </si>
  <si>
    <t>Boyce, V., Mathur, M., &amp; Frank, M. C. (2023). Eleven years of student replication projects provide evidence on the correlates of replicability in psychology. Royal Society Open Science, 10(11), 231240. https://doi.org/10.1098/rsos.231229</t>
  </si>
  <si>
    <t>10.1098/rsos.231229</t>
  </si>
  <si>
    <t>Women reported more positive attitudes toward sexual imagery that promoted an expensive watch than toward sexual imagery that promoted a cheap watch, F(1, 83) = 7.55, p &lt; .01, hp2 = .144.</t>
  </si>
  <si>
    <t>p. 279</t>
  </si>
  <si>
    <r>
      <rPr>
        <rFont val="Calibri"/>
        <sz val="11.0"/>
      </rPr>
      <t xml:space="preserve">1. Data for replication: </t>
    </r>
    <r>
      <rPr>
        <rFont val="Calibri"/>
        <color rgb="FF1155CC"/>
        <sz val="11.0"/>
        <u/>
      </rPr>
      <t xml:space="preserve">https://rstudio-pubs-static.s3.amazonaws.com/955939_50cc1f13803a4ee1beb7841644071e54.html
</t>
    </r>
    <r>
      <rPr>
        <rFont val="Calibri"/>
        <sz val="11.0"/>
      </rPr>
      <t>2. The study is marked "Reproducupility report" but it is not the reproduction of the study with the same sample: "To reproduce this study, I will recruit a population (of 100) that includes people who identify as male or female. It’s a 2 gender 2 price study. We randomize people into two groups, one is the sexy ad group and the other is the non-sexy-ad (control) group."</t>
    </r>
  </si>
  <si>
    <t>10.1177--0956797613502732.pdf</t>
  </si>
  <si>
    <t>Sex, judgment, decision making, sex differences, sexual economics</t>
  </si>
  <si>
    <t>Women reported more positive attitudes toward sexual imagery for expensive goods</t>
  </si>
  <si>
    <t>"Women reported more positive attitudes toward sexual imagery that promoted an expensive watch than toward sexual imagery that promoted a cheap watch, F(1, 83) = 7.55, p &lt; .01, partial η² = .144"</t>
  </si>
  <si>
    <t>F(1, 36) = 0.56</t>
  </si>
  <si>
    <t>Boyce_etal2023164_b</t>
  </si>
  <si>
    <r>
      <rPr>
        <rFont val="Calibri"/>
        <sz val="11.0"/>
      </rPr>
      <t xml:space="preserve">1. Data for replication: </t>
    </r>
    <r>
      <rPr>
        <rFont val="Calibri"/>
        <color rgb="FF1155CC"/>
        <sz val="11.0"/>
        <u/>
      </rPr>
      <t xml:space="preserve">https://rstudio-pubs-static.s3.amazonaws.com/955939_50cc1f13803a4ee1beb7841644071e54.html
</t>
    </r>
    <r>
      <rPr>
        <rFont val="Calibri"/>
        <sz val="11.0"/>
      </rPr>
      <t>2. The study is marked "Reproducupility report" but it is not the reproduction of the study with the same sample: "To reproduce this study, I will recruit a population (of 100) that includes people who identify as male or female. It’s a 2 gender 2 price study. We randomize people into two groups, one is the sexy ad group and the other is the non-sexy-ad (control) group."</t>
    </r>
  </si>
  <si>
    <t>Interaction between gender and price in emotional response was marginally significant</t>
  </si>
  <si>
    <t>"This hypothesis was supported, F(1, 82) = 3.68, p = .059, partial eta-square = .043"</t>
  </si>
  <si>
    <t>F(1, 100) = 3.935</t>
  </si>
  <si>
    <t>Boyce_etal2023165</t>
  </si>
  <si>
    <t>Boyce_etal2023165_1</t>
  </si>
  <si>
    <t>Boyce states that N O is 321 and d is 0.55, I don't think it;s correct, because the sample is 556, so calculated d O myself</t>
  </si>
  <si>
    <t>Ter Wal, M., Linde-Domingo, J., Lifanov, J., Roux, F., Kolibius, L. D., Gollwitzer, S., ... &amp; Wimber, M. (2021). Theta rhythmicity governs human behavior and hippocampal signals during memory-dependent tasks. Nature communications, 12(1), 1-15.</t>
  </si>
  <si>
    <t>10.1038/s41467-021-27323-3</t>
  </si>
  <si>
    <t>Boyce, V., Mathur, M., &amp; Frank, M. C. (2023). Eleven years of student replication projects provide evidence on the correlates of replicability in psychology. Royal Society Open Science, 10(11), 231240. https://doi.org/10.1098/rsos.231230</t>
  </si>
  <si>
    <t>10.1098/rsos.231230</t>
  </si>
  <si>
    <t>We found strong support for an effect of memory dependency on O-score, with significantly higher Z-scores for memory- dependent than memory-independent task phases (Fig. 3A; coefficient = 0.28; 95% CI: 0.19–0.36; t(556) = 6.55; p &lt; 0.001).</t>
  </si>
  <si>
    <t>calculated based on statistics page 4 (Fig. 3A; coefficient = 0.28; 95% CI: 0.19–0.36; t(556) = 6.55; p &lt; 0.001).</t>
  </si>
  <si>
    <t>1. The replication will be online
2. The original paper was added as 10.1038s41467-021-27323-3.pdf</t>
  </si>
  <si>
    <t>1,5</t>
  </si>
  <si>
    <t>Cues, Electrocorticography, Hippocampus, Humans, Magnetic Resonance Imaging, Mental Recall, Pattern Recognition, Theta Rhythm</t>
  </si>
  <si>
    <t>Behavioral responses are more theta-oscillatory in memory-dependent compared to memory-independent tasks</t>
  </si>
  <si>
    <t>"We found strong support for an effect of memory dependency on O-score, with significantly higher Z-scores for memory dependent than memory-independent task phases (Fig. 3A; coefficient = 0.28; 95% CI: 0.19–0.36; t(556) = 6.55; p&lt;0.001)"</t>
  </si>
  <si>
    <t>t(556) = 6.55</t>
  </si>
  <si>
    <t>cohen's f partial</t>
  </si>
  <si>
    <t>p. 28</t>
  </si>
  <si>
    <t>Boyce_etal2023166</t>
  </si>
  <si>
    <t>Boyce_etal2023166_1</t>
  </si>
  <si>
    <t>Wilkins, C. L., &amp; Kaiser, C. R. (2014). Racial progress as threat to the status hierarchy: Implications for perceptions of anti-White bias. Psychological science, 25(2), 439-446.</t>
  </si>
  <si>
    <t>10.1177/0956797613508412</t>
  </si>
  <si>
    <t>Boyce, V., Mathur, M., &amp; Frank, M. C. (2023). Eleven years of student replication projects provide evidence on the correlates of replicability in psychology. Royal Society Open Science, 10(11), 231240. https://doi.org/10.1098/rsos.231231</t>
  </si>
  <si>
    <t>10.1098/rsos.231231</t>
  </si>
  <si>
    <t>Does SLB endorsement moderate perceptions of anti-White bias?</t>
  </si>
  <si>
    <t>a significant interaction between condition and SLB endorsement, F(3, 156) = 10.70, p &lt; .001; R2 change = .04; b = 0.49, SE = 0.18, t(156) = 2.66, p = .01.</t>
  </si>
  <si>
    <t>p.442</t>
  </si>
  <si>
    <r>
      <rPr>
        <rFont val="Calibri"/>
        <sz val="11.0"/>
      </rPr>
      <t xml:space="preserve">1. The replication data: </t>
    </r>
    <r>
      <rPr>
        <rFont val="Calibri"/>
        <color rgb="FF1155CC"/>
        <sz val="11.0"/>
        <u/>
      </rPr>
      <t>https://github.com/psych251/wilkins2014</t>
    </r>
  </si>
  <si>
    <t>10.1177--0956797613508412.pdf</t>
  </si>
  <si>
    <t>Anti-White bias</t>
  </si>
  <si>
    <t>Anti-White bias, discrimination, status-legitimizing beliefs, prejudice, racial-ethnic attitudes and relations, social perception</t>
  </si>
  <si>
    <t>Judgments of trustworthiness and attractiveness are strongly predicted by interactions, with an excellent model fit."</t>
  </si>
  <si>
    <t>"Step 2 revealed a significant interaction between condition and SLB endorsement, F(3, 156) = 10.70, p &lt; .001; R2  change = .04; b = 0.49, SE = 0.18, t(156) = 2.66, p = .01"</t>
  </si>
  <si>
    <t>Boyce_etal2023166_b</t>
  </si>
  <si>
    <r>
      <rPr>
        <rFont val="Calibri"/>
        <sz val="11.0"/>
      </rPr>
      <t xml:space="preserve">1. The replication data: </t>
    </r>
    <r>
      <rPr>
        <rFont val="Calibri"/>
        <color rgb="FF1155CC"/>
        <sz val="11.0"/>
        <u/>
      </rPr>
      <t>https://github.com/psych251/wilkins2014</t>
    </r>
  </si>
  <si>
    <t>Stronger SLB endorsement predicts greater perceptions of anti-White bias</t>
  </si>
  <si>
    <t>"Stronger SLB endorsement was associated with increased perceptions of anti-White bias (b = 0.45, SE = 0.09, t(157) = 4.90, p &lt; .001)"</t>
  </si>
  <si>
    <t>Boyce_etal2023166_c</t>
  </si>
  <si>
    <r>
      <rPr>
        <rFont val="Calibri"/>
        <sz val="11.0"/>
      </rPr>
      <t xml:space="preserve">1. The replication data: </t>
    </r>
    <r>
      <rPr>
        <rFont val="Calibri"/>
        <color rgb="FF1155CC"/>
        <sz val="11.0"/>
        <u/>
      </rPr>
      <t>https://github.com/psych251/wilkins2014</t>
    </r>
  </si>
  <si>
    <t>The racial progress condition did not independently influence perceptions of anti-White bias</t>
  </si>
  <si>
    <t>"There was no main effect of condition (b = 0.10, SE = 0.17, t(157) = 0.59, p = .56)"</t>
  </si>
  <si>
    <t>Boyce_etal2023167_1</t>
  </si>
  <si>
    <t>Boyce_etal2023167</t>
  </si>
  <si>
    <t>1. Since no report, the data was taken from the table
2. Keywords from Pubmed Mesh</t>
  </si>
  <si>
    <t>Wilson, T. D., Reinhard, D. A., Westgate, E. C., Gilbert, D. T., Ellerbeck, N., Hahn, C., ... &amp; Shaked, A. (2014). Just think: The challenges of the disengaged mind. Science, 345(6192), 75-77.</t>
  </si>
  <si>
    <t>10.1126/science.1250830</t>
  </si>
  <si>
    <t>10.1126--science.1250830.pdf</t>
  </si>
  <si>
    <t>Loneliness</t>
  </si>
  <si>
    <t>Attention, Electroshock, Loneliness, Pleasure</t>
  </si>
  <si>
    <t>Participants enjoyed the external activities much more than justthinking</t>
  </si>
  <si>
    <t>"As seen in Table 1, participants enjoyed the external activities much more than just thinking [t(28) = 4.83, p &lt; 0.001], found it easier to concentrate [t(28) = 4.16, p &lt; 0.001], and reported that their minds wandered less [t(28) = 3.61, p = 0.001]."</t>
  </si>
  <si>
    <t>t(28) = 4.83</t>
  </si>
  <si>
    <t>Boyce_etal2023168</t>
  </si>
  <si>
    <t>Boyce_etal2023168_1</t>
  </si>
  <si>
    <t>No p and d in Boyce, raw statistics prop:11/19,9/17. Report is absent</t>
  </si>
  <si>
    <t>Wiltermuth, S. S. (2011). Cheating more when the spoils are split. Organizational Behavior and Human Decision Processes, 115(2), 157-168.</t>
  </si>
  <si>
    <t>10.1016/j.obhdp.2010.10.001</t>
  </si>
  <si>
    <t>Boyce, V., Mathur, M., &amp; Frank, M. C. (2023). Eleven years of student replication projects provide evidence on the correlates of replicability in psychology. Royal Society Open Science, 10(11), 231240. https://doi.org/10.1098/rsos.231232</t>
  </si>
  <si>
    <t>10.1098/rsos.231232</t>
  </si>
  <si>
    <r>
      <rPr>
        <rFont val="Calibri"/>
        <sz val="11.0"/>
      </rPr>
      <t xml:space="preserve">Data for replication: </t>
    </r>
    <r>
      <rPr>
        <rFont val="Calibri"/>
        <color rgb="FF1155CC"/>
        <sz val="11.0"/>
        <u/>
      </rPr>
      <t xml:space="preserve">https://rstudio-pubs-static.s3.amazonaws.com/257540_6659667fe79e4d43936e8bb9d045f803.html
</t>
    </r>
    <r>
      <rPr>
        <rFont val="Calibri"/>
        <sz val="11.0"/>
      </rPr>
      <t>I would say that this study is more like extention (modification) with a new sample
The original paper was added as 10.1016j.obhdp.2010.10.001.pdf</t>
    </r>
  </si>
  <si>
    <t>Cheating</t>
  </si>
  <si>
    <t>Ethics, Cheating, Decision making, Dishonesty, Rationalization, Justification</t>
  </si>
  <si>
    <t>Cheating more when the spoils are split</t>
  </si>
  <si>
    <t>"Specifically, participants in the self-and-other high benefit condition cheated significantly more often (37%) than did those in the other-alone benefits condition, 16%, χ²(1) = 5.59, p = .02."</t>
  </si>
  <si>
    <t>χ²(1) = 5.59</t>
  </si>
  <si>
    <t>χ²(1) = 0</t>
  </si>
  <si>
    <t>Boyce_etal2023169</t>
  </si>
  <si>
    <t>Boyce_etal2023169_1</t>
  </si>
  <si>
    <t>Xu, Y., &amp; Franconeri, S. L. (2015). Capacity for visual features in mental rotation. Psychological science, 26(8), 1241-1251.</t>
  </si>
  <si>
    <t>10.1177/0956797615585002</t>
  </si>
  <si>
    <t>Boyce, V., Mathur, M., &amp; Frank, M. C. (2023). Eleven years of student replication projects provide evidence on the correlates of replicability in psychology. Royal Society Open Science, 10(11), 231240. https://doi.org/10.1098/rsos.231233</t>
  </si>
  <si>
    <t>10.1098/rsos.231233</t>
  </si>
  <si>
    <t>We found that they could keep only a single feature attached during mental rotation,</t>
  </si>
  <si>
    <r>
      <rPr>
        <rFont val="Calibri"/>
        <sz val="11.0"/>
      </rPr>
      <t xml:space="preserve">Replication data: </t>
    </r>
    <r>
      <rPr>
        <rFont val="Calibri"/>
        <color rgb="FF1155CC"/>
        <sz val="11.0"/>
        <u/>
      </rPr>
      <t>https://rstudio-pubs-static.s3.amazonaws.com/155174_48b1633681bb4024b4098ed433d5a80a.html</t>
    </r>
  </si>
  <si>
    <t>10.1177--0956797615585002.pdf</t>
  </si>
  <si>
    <t>Mental rotation</t>
  </si>
  <si>
    <t>Mental rotation, capacity, attention, selection, tracking, eye tracking, visual working memory</t>
  </si>
  <si>
    <t>Capacity for visual features in mental rotation was significantly lower</t>
  </si>
  <si>
    <t>"But capacity in the object-rotation condition was dramatically lower: Only a single feature could remain attached to a moving part (M = 0.96, SE = 0.10, 95% CI = [0.74, 1.18]), F(1, 11) = 32.04, p &lt; .001, partial η² = .74 (Fig. 2b)"</t>
  </si>
  <si>
    <t>F(1,26) = 3.645357</t>
  </si>
  <si>
    <t>https://osf.io/62jvk</t>
  </si>
  <si>
    <t>Boyce_etal2023169_a</t>
  </si>
  <si>
    <r>
      <rPr>
        <rFont val="Calibri"/>
        <sz val="11.0"/>
      </rPr>
      <t xml:space="preserve">Replication data: </t>
    </r>
    <r>
      <rPr>
        <rFont val="Calibri"/>
        <color rgb="FF1155CC"/>
        <sz val="11.0"/>
        <u/>
      </rPr>
      <t>https://rstudio-pubs-static.s3.amazonaws.com/155174_48b1633681bb4024b4098ed433d5a80a.html</t>
    </r>
  </si>
  <si>
    <t>Accuracy was significantly lower in the object-rotation condition compared to the no-rotation condition</t>
  </si>
  <si>
    <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</si>
  <si>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F(1,26) = 3.1593304</t>
  </si>
  <si>
    <t>Boyce_etal2023170</t>
  </si>
  <si>
    <t>Boyce_etal2023170_1</t>
  </si>
  <si>
    <t>Boyce states that N O is 48, but in fact it 32 for the relevant part of the study</t>
  </si>
  <si>
    <t>Yang, F., Choi, Y. J., Misch, A., Yang, X., &amp; Dunham, Y. (2018). In defense of the commons: Young children negatively evaluate and sanction free riders. Psychological science, 29(10), 1598-1611.</t>
  </si>
  <si>
    <t>10.1177/0956797618779061</t>
  </si>
  <si>
    <t>Boyce, V., Mathur, M., &amp; Frank, M. C. (2023). Eleven years of student replication projects provide evidence on the correlates of replicability in psychology. Royal Society Open Science, 10(11), 231240. https://doi.org/10.1098/rsos.231234</t>
  </si>
  <si>
    <t>10.1098/rsos.231234</t>
  </si>
  <si>
    <t>preschoolers rated contributors (M = 3.74) more positively than the free riders (M = 2.24; d = 1.40)</t>
  </si>
  <si>
    <t>https://aspredicted.org/uv6ha.pdf</t>
  </si>
  <si>
    <t>10.1177--0956797618779061.pdf</t>
  </si>
  <si>
    <t>Cheater detection</t>
  </si>
  <si>
    <t>Free riding, common good, norm enforcement, moral development, cooperation, open data, open materials, preregistered</t>
  </si>
  <si>
    <t>Young children negatively evaluate and sanction free riders</t>
  </si>
  <si>
    <t>"We carried out the same analysis as in Study 1 and observed effects for target (β = 1.72, 95% CI = [1.44, 2.00])"</t>
  </si>
  <si>
    <t>Boyce_etal2023171</t>
  </si>
  <si>
    <t>Boyce_etal2023171_1</t>
  </si>
  <si>
    <t>Yeshurun, Y., &amp; Levy, L. (2003). Transient spatial attention degrades temporal resolution. Psychological Science, 14(3), 225-231.</t>
  </si>
  <si>
    <t>10.1111/1467-9280.02436</t>
  </si>
  <si>
    <t>Boyce, V., Mathur, M., &amp; Frank, M. C. (2023). Eleven years of student replication projects provide evidence on the correlates of replicability in psychology. Royal Society Open Science, 10(11), 231240. https://doi.org/10.1098/rsos.231235</t>
  </si>
  <si>
    <t>10.1098/rsos.231235</t>
  </si>
  <si>
    <t>performance was significantly less accurate in the cued than the neutral trials, F(1, 17)  8.01, p  .01.</t>
  </si>
  <si>
    <t>p. 227</t>
  </si>
  <si>
    <r>
      <rPr>
        <rFont val="Calibri"/>
        <sz val="11.0"/>
      </rPr>
      <t xml:space="preserve">Replication data: </t>
    </r>
    <r>
      <rPr>
        <rFont val="Calibri"/>
        <color rgb="FF1155CC"/>
        <sz val="11.0"/>
        <u/>
      </rPr>
      <t>https://rstudio-pubs-static.s3.amazonaws.com/1159352_e9a668d9124f415e8831bab302f49b6b.html</t>
    </r>
  </si>
  <si>
    <t>10.1111--1467-9280.02436.pdf</t>
  </si>
  <si>
    <t>Temporal perception, Spatial perception, Transient spatial attention, Temporal resolution, Two-flash fusion threshold</t>
  </si>
  <si>
    <t>Transient spatial attention degrades temporal resolution</t>
  </si>
  <si>
    <t>"As can be seen in Figure 2a, performance was significantly less accurate in the cued than the neutral trials, F(1, 17) = 8.01, p &lt;=  .01"</t>
  </si>
  <si>
    <t>Boyce_etal2023172</t>
  </si>
  <si>
    <t>Boyce_etal2023172_1</t>
  </si>
  <si>
    <t>For the statistics in Boyce sample zise is not 240, but 96. Even though it's 240 for other parts of experiment 5</t>
  </si>
  <si>
    <t xml:space="preserve">Effect, tags and description added
The data in the replication report is different from the table. Maybe I mismatch the results </t>
  </si>
  <si>
    <t>Yousif, S. R., Aboody, R., &amp; Keil, F. C. (2019). The illusion of consensus: A failure to distinguish between true and false consensus. Psychological Science, 30(8), 1195-1204.</t>
  </si>
  <si>
    <t>10.1177/0956797619856844</t>
  </si>
  <si>
    <t>Boyce, V., Mathur, M., &amp; Frank, M. C. (2023). Eleven years of student replication projects provide evidence on the correlates of replicability in psychology. Royal Society Open Science, 10(11), 231240. https://doi.org/10.1098/rsos.231236</t>
  </si>
  <si>
    <t>10.1098/rsos.231236</t>
  </si>
  <si>
    <t>illusion of consensus</t>
  </si>
  <si>
    <t>Consensus, conformity, social learning, reasoning, open data, open materials, preregistered</t>
  </si>
  <si>
    <t>Participants in the false-consensus condition showed slightly higher confidence than those in the no-consensus condition</t>
  </si>
  <si>
    <t>"Bonferroni corrected confidence ratings in the false-consensus condition [...] were slightly higher than those in the no-consensus condition, t(94) = 2.77, p = .019, d = 0.50"</t>
  </si>
  <si>
    <t>https://osf.io/g9yrc</t>
  </si>
  <si>
    <t>Boyce_etal2023172_1_a</t>
  </si>
  <si>
    <r>
      <rPr>
        <rFont val="Calibri"/>
        <sz val="11.0"/>
      </rPr>
      <t xml:space="preserve">Replication data: </t>
    </r>
    <r>
      <rPr>
        <rFont val="Calibri"/>
        <color rgb="FF1155CC"/>
        <sz val="11.0"/>
        <u/>
      </rPr>
      <t>https://rpubs.com/ayodeledada/yousif2019</t>
    </r>
  </si>
  <si>
    <t>10.1177--0956797619856844.pdf</t>
  </si>
  <si>
    <t>Participants in the false-consensus condition reported significantly lower confidence compared to those in the true-consensus condition</t>
  </si>
  <si>
    <t>"Although confidence ratings in the false-consensus condition were still significantly lower than those in the true-consensus condition, t(94) = 7.77, p &lt; .001, d = 1.72, [...]"</t>
  </si>
  <si>
    <t>https://osf.io/vcmdp</t>
  </si>
  <si>
    <t>Boyce_etal2023172_1_b</t>
  </si>
  <si>
    <r>
      <rPr>
        <rFont val="Calibri"/>
        <sz val="11.0"/>
      </rPr>
      <t xml:space="preserve">Replication data: </t>
    </r>
    <r>
      <rPr>
        <rFont val="Calibri"/>
        <color rgb="FF1155CC"/>
        <sz val="11.0"/>
        <u/>
      </rPr>
      <t>https://rpubs.com/ayodeledada/yousif2019</t>
    </r>
  </si>
  <si>
    <t>"Although confidence ratings in the false-consensus condition were [...] slightly higher than those in the no-consensus condition, t(94) = 2.77, p = .019, d = 0.50, Bonferroni corrected"</t>
  </si>
  <si>
    <t>Boyce_etal2023173</t>
  </si>
  <si>
    <t>Boyce_etal2023173_1</t>
  </si>
  <si>
    <t>P for R is not specified, report is absent.  Raw statistics bseb=1.037(.006)</t>
  </si>
  <si>
    <t>Zangger, C., &amp; Widmer, J. (2020). Choosing what is best for one’s children? Experimental evidence on parents’ responsiveness to childcare subsidies and their preferences for different childcare arrangements. Early childhood research quarterly, 51, 110-123.</t>
  </si>
  <si>
    <t>10.1016/j.ecresq.2019.10.004</t>
  </si>
  <si>
    <t>Boyce, V., Mathur, M., &amp; Frank, M. C. (2023). Eleven years of student replication projects provide evidence on the correlates of replicability in psychology. Royal Society Open Science, 10(11), 231240. https://doi.org/10.1098/rsos.231237</t>
  </si>
  <si>
    <t>10.1098/rsos.231237</t>
  </si>
  <si>
    <t>Amount of subsidies (in Swiss Francs)</t>
  </si>
  <si>
    <t>Each unit increase in subsidies for the corresponding childcare alternative is associated with a 2.5% increase in the odds of pre- ferring that mode of childcare.</t>
  </si>
  <si>
    <t>p. 117, Table 4</t>
  </si>
  <si>
    <t>Boyce_etal2023173_1_a</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</si>
  <si>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</si>
  <si>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 am not sure whether beta or OR is indicated in original paper and replication manuscript</t>
  </si>
  <si>
    <t>Subsidizing</t>
  </si>
  <si>
    <t>Childcare, Preferences, Choice experiment, Subsidies, Families</t>
  </si>
  <si>
    <t>Parents’ responsiveness to childcare subsidies and their preferences for different childcare arrangements in model 1</t>
  </si>
  <si>
    <t>"Model 1 in Table 4 reports the effects of the experimentally altered dimensions of the different alternatives and the situational context"</t>
  </si>
  <si>
    <t>Boyce_etal2023173_1_b</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</si>
  <si>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</si>
  <si>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Parents’ responsiveness to childcare subsidies and their preferences for different childcare arrangements in model 2</t>
  </si>
  <si>
    <t>"Finally, all the reported effects of the experimentally altered dimensions are persistent when including additional controls, namely, respondents’ gender and their social and migration background (models 2–5 in Table 4)."</t>
  </si>
  <si>
    <t>Boyce_etal2023173_1_c</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</si>
  <si>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</si>
  <si>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Parents’ responsiveness to childcare subsidies and their preferences for different childcare arrangements in model 3</t>
  </si>
  <si>
    <t>Boyce_etal2023173_1_d</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</si>
  <si>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</si>
  <si>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Parents’ responsiveness to childcare subsidies and their preferences for different childcare arrangements in model 4</t>
  </si>
  <si>
    <t>Boyce_etal2023173_1_e</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</si>
  <si>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</si>
  <si>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Parents’ responsiveness to childcare subsidies and their preferences for different childcare arrangements in model 5</t>
  </si>
  <si>
    <t>Boyce_etal2023173_1_f</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</si>
  <si>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</si>
  <si>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Subsidies and ISEI interaction in 3rd model</t>
  </si>
  <si>
    <t>Boyce_etal2023173_1_g</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</si>
  <si>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</si>
  <si>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Subsidies and migration background interaction in 4th model</t>
  </si>
  <si>
    <t>Boyce_etal2023173_1_h</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</si>
  <si>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</si>
  <si>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Subsidies and gender interaction in 5th model</t>
  </si>
  <si>
    <t>Boyce_etal2023173_1_i</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</si>
  <si>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</si>
  <si>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ISEI for professional caregiver in model 2</t>
  </si>
  <si>
    <t>"Model 2 in Table 4 demonstrates that there is no effect of parental social status, measured by the ISEI, on the likelihood of recommending one particular childcare alternative to their friend"</t>
  </si>
  <si>
    <t>Boyce_etal2023173_1_j</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</si>
  <si>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</si>
  <si>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ISEI for professional caregiver in model 4</t>
  </si>
  <si>
    <t>Boyce_etal2023173_1_k</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</si>
  <si>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</si>
  <si>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ISEI for professional caregiver in model 5</t>
  </si>
  <si>
    <t>Boyce_etal2023173_1_l</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</si>
  <si>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</si>
  <si>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ISEI for care by family members in model 5</t>
  </si>
  <si>
    <t>"To this end, models 3, 4, and 5 in Table 4 include alternative-specific interaction effects of the amount of subsidies with individual social status (ISEI), migration background, and gender"</t>
  </si>
  <si>
    <t>Boyce_etal2023173_1_m</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</si>
  <si>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</si>
  <si>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Boyce_etal2023173_1_n</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</si>
  <si>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</si>
  <si>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Boyce_etal2023174</t>
  </si>
  <si>
    <t>Boyce_etal2023174_1</t>
  </si>
  <si>
    <t>Zaval, L., Markowitz, E. M., &amp; Weber, E. U. (2015). How will I be remembered? Conserving the environment for the sake of one’s legacy. Psychological science, 26(2), 231-236.</t>
  </si>
  <si>
    <t>10.1177/0956797614561266</t>
  </si>
  <si>
    <t>Boyce, V., Mathur, M., &amp; Frank, M. C. (2023). Eleven years of student replication projects provide evidence on the correlates of replicability in psychology. Royal Society Open Science, 10(11), 231240. https://doi.org/10.1098/rsos.231238</t>
  </si>
  <si>
    <t>10.1098/rsos.231238</t>
  </si>
  <si>
    <t xml:space="preserve">We also found a significant effect of the legacy prime on behavioral intentions. Participants who were primed reported greater behavioral intentions (M = 3.05, SD = 0.86) than those who were not primed (M = 2.73, SD = 0.85), F(1, 309) = 10.07, p = .002, d = 0.36
</t>
  </si>
  <si>
    <t>Boyce_etal2023174_1_a</t>
  </si>
  <si>
    <r>
      <rPr>
        <rFont val="Calibri"/>
        <sz val="11.0"/>
      </rPr>
      <t xml:space="preserve">Replication report: </t>
    </r>
    <r>
      <rPr>
        <rFont val="Calibri"/>
        <color rgb="FF1155CC"/>
        <sz val="11.0"/>
        <u/>
      </rPr>
      <t>https://rpubs.com/rcatapano/Zaval_replication_report</t>
    </r>
  </si>
  <si>
    <t>10.1177--0956797614561266.pdf</t>
  </si>
  <si>
    <t>Decision making, judgment, environmental effects, climate change, open data, open material</t>
  </si>
  <si>
    <t>Participants exposed to a legacy prime reported greater behavioral intentions compared to those not primed</t>
  </si>
  <si>
    <t>“We also found a significant effect of the legacy prime on behavioral intentions. Participants who were primed reported greater behavioral intentions (M = 3.05, SD = 0.86) than those who were not primed (M=2.73,SD=0.85), F(1,309)=10.07, p=.002, d=0.36.”</t>
  </si>
  <si>
    <t>Boyce_etal2023174_1_b</t>
  </si>
  <si>
    <r>
      <rPr>
        <rFont val="Calibri"/>
        <sz val="11.0"/>
      </rPr>
      <t xml:space="preserve">Replication report: </t>
    </r>
    <r>
      <rPr>
        <rFont val="Calibri"/>
        <color rgb="FF1155CC"/>
        <sz val="11.0"/>
        <u/>
      </rPr>
      <t>https://rpubs.com/rcatapano/Zaval_replication_report</t>
    </r>
  </si>
  <si>
    <t>Writing an essay enhanced participants' legacy motives</t>
  </si>
  <si>
    <t>“As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</si>
  <si>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Boyce_etal2023174_1_c</t>
  </si>
  <si>
    <r>
      <rPr>
        <rFont val="Calibri"/>
        <sz val="11.0"/>
      </rPr>
      <t xml:space="preserve">Replication report: </t>
    </r>
    <r>
      <rPr>
        <rFont val="Calibri"/>
        <color rgb="FF1155CC"/>
        <sz val="11.0"/>
        <u/>
      </rPr>
      <t>https://rpubs.com/rcatapano/Zaval_replication_report</t>
    </r>
  </si>
  <si>
    <t>Priming legacy motives increased participants' belief scores regarding climate-change behaviors</t>
  </si>
  <si>
    <t>“Moreover,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</si>
  <si>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Boyce_etal2023174_1_d</t>
  </si>
  <si>
    <r>
      <rPr>
        <rFont val="Calibri"/>
        <sz val="11.0"/>
      </rPr>
      <t xml:space="preserve">Replication report: </t>
    </r>
    <r>
      <rPr>
        <rFont val="Calibri"/>
        <color rgb="FF1155CC"/>
        <sz val="11.0"/>
        <u/>
      </rPr>
      <t>https://rpubs.com/rcatapano/Zaval_replication_report</t>
    </r>
  </si>
  <si>
    <t>The effect of the legacy prime on climate-change beliefs was partially mediated by increased legacy motives</t>
  </si>
  <si>
    <t>"This analysis showed that the indirect effect of the legacy prime on climate-change beliefs through legacy motives was significant, with a 95% confidence interval (CI) that excluded zero (β = 0.041, 95% CI = [0.01, 0.09], p = .029)"</t>
  </si>
  <si>
    <t>Boyce_etal2023174_1_e</t>
  </si>
  <si>
    <r>
      <rPr>
        <rFont val="Calibri"/>
        <sz val="11.0"/>
      </rPr>
      <t xml:space="preserve">Replication report: </t>
    </r>
    <r>
      <rPr>
        <rFont val="Calibri"/>
        <color rgb="FF1155CC"/>
        <sz val="11.0"/>
        <u/>
      </rPr>
      <t>https://rpubs.com/rcatapano/Zaval_replication_report</t>
    </r>
  </si>
  <si>
    <t>The legacy prime's influence on behavioral intentions was partially mediated by increased legacy motives</t>
  </si>
  <si>
    <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</si>
  <si>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Boyce_etal2023175</t>
  </si>
  <si>
    <t>Boyce_etal2023175_1</t>
  </si>
  <si>
    <t>Zhao, M., Bülthoff, H. H., &amp; Bülthoff, I. (2016). Beyond faces and expertise: Facelike holistic processing of nonface objects in the absence of expertise. Psychological science, 27(2), 213-222.</t>
  </si>
  <si>
    <t>10.1177/0956797615617779</t>
  </si>
  <si>
    <t>Boyce, V., Mathur, M., &amp; Frank, M. C. (2023). Eleven years of student replication projects provide evidence on the correlates of replicability in psychology. Royal Society Open Science, 10(11), 231240. https://doi.org/10.1098/rsos.231239</t>
  </si>
  <si>
    <t>10.1098/rsos.231239</t>
  </si>
  <si>
    <t>the interaction between congruency and alignment, F(1, 21) = 22.80, p &lt; .001, ηp2 = .52, .... was significant.</t>
  </si>
  <si>
    <t>p. 216</t>
  </si>
  <si>
    <t>Boyce_etal2023175_1_a</t>
  </si>
  <si>
    <t>1. the official preregistration was not completed</t>
  </si>
  <si>
    <t>10.1177--0956797615617779.pdf</t>
  </si>
  <si>
    <t>Holistic processing</t>
  </si>
  <si>
    <t>Holistic processing, composite-face effect, expertise, face perception, Gestalt</t>
  </si>
  <si>
    <t>Congruency (e.g., consistency between stimuli and responses) influences task performance across conditions</t>
  </si>
  <si>
    <t>"A 2 (alignment) × 2 (congruency) × 2 (task) repeated measures analysis of variance (ANOVA) revealed a main effect of congruency, F(1, 21) = 41.84, p &lt; .001, partial eta-square = .67"</t>
  </si>
  <si>
    <t>F(1,13) = 21.804</t>
  </si>
  <si>
    <t>Boyce_etal2023175_1_b</t>
  </si>
  <si>
    <t>The influence of congruency on task performance depends on alignment</t>
  </si>
  <si>
    <t>"The interaction between congruency and alignment was also significant, F(1, 21) = 25.81, p &lt; .001, partial eta-square = .55"</t>
  </si>
  <si>
    <t>F(1,13) = 15.466</t>
  </si>
  <si>
    <t>Boyce_etal2023175_1_c</t>
  </si>
  <si>
    <t>The combined effects of alignment, congruency, and task type significantly influence performance.</t>
  </si>
  <si>
    <t>"The three-way interaction of alignment, congruency, and task was not significant, F(1, 21) = 3.80, p = .065, partial eta-square = .15"</t>
  </si>
  <si>
    <t>F(1,13) = 14.957</t>
  </si>
  <si>
    <t>Boyce_etal2023175_1_d</t>
  </si>
  <si>
    <t>Congruency affects performance specifically in the face task</t>
  </si>
  <si>
    <t>"For the face task, the congruency effect, F(1, 21) = 26.35, p &lt; .001, partial eta-square = .56 [...], were both significant"</t>
  </si>
  <si>
    <t>F(1,13) = 14.04</t>
  </si>
  <si>
    <t>Boyce_etal2023175_1_e</t>
  </si>
  <si>
    <t>The relationship between congruency and performance varies by alignment in the face task</t>
  </si>
  <si>
    <t>"The interaction between congruency and alignment, F(1, 21) = 7.97, p = .010, partial eta-square = .28, were both significant"</t>
  </si>
  <si>
    <t>F(1,13) = 0.014</t>
  </si>
  <si>
    <t>Boyce_etal2023175_1_f</t>
  </si>
  <si>
    <t>Congruency significantly impacts performance in the aligned condition</t>
  </si>
  <si>
    <t>" Moreover, the congruency effect was significant only in the aligned condition, t(21) = 5.41, p &lt; .001, Cohen’s d = 1.15"</t>
  </si>
  <si>
    <t>t(13) = 2.707</t>
  </si>
  <si>
    <t>Boyce_etal2023175_1_g</t>
  </si>
  <si>
    <t>" Moreover, the congruency effect was significant [...] not in the misaligned condition, t(21) = 0.00, p = .059, Cohen’s d = 0.43"</t>
  </si>
  <si>
    <t>t(13) = 3.577</t>
  </si>
  <si>
    <t>Boyce_etal2023175_1_h</t>
  </si>
  <si>
    <t>Congruency consistently affects performance across both tasks</t>
  </si>
  <si>
    <t>"Both the congruency effect, F(1, 21) = 26.30, p &lt; .001, partial eta-square = .56, [...] were significant"</t>
  </si>
  <si>
    <t>F(1,13) = 9.312</t>
  </si>
  <si>
    <t>Boyce_etal2023175_1_i</t>
  </si>
  <si>
    <t>The interaction between congruency and alignment is significant across line task</t>
  </si>
  <si>
    <t>"Both the congruency effect,  [...] and the interaction between congruency and alignment, F(1, 21) = 22.80, p &lt; .001, partial eta-square = .52, were significant"</t>
  </si>
  <si>
    <t>Boyce_etal2023175_1_j</t>
  </si>
  <si>
    <t>Congruency significantly affects performance in the aligned condition across line task</t>
  </si>
  <si>
    <t>"Again, a significant congruency effect was observed in the aligned condition, t(21) = 5.95, p &lt; .001, Cohen’s d = 1.27"</t>
  </si>
  <si>
    <t>t(13) = 4.478</t>
  </si>
  <si>
    <t>Boyce_etal2023175_1_k</t>
  </si>
  <si>
    <t>Congruency significantly affects performance in the misaligned condition across line task</t>
  </si>
  <si>
    <t>"Again, a significant congruency effect was observed [,,,] not in the misaligned condition, t(21) = 0.96, p = .348, Cohen’s d = 0.20."</t>
  </si>
  <si>
    <t>t(13) = 1.438</t>
  </si>
  <si>
    <t>Boyce_etal2023176_1</t>
  </si>
  <si>
    <t>Boyce_etal2023176</t>
  </si>
  <si>
    <t>10.1037--a0025345.pdf</t>
  </si>
  <si>
    <t xml:space="preserve">Hierarchical social context </t>
  </si>
  <si>
    <t>Processing fluency, social hierarchy, liking, asymmetry, familiarity</t>
  </si>
  <si>
    <t>learning and remembering heirarchical relationships</t>
  </si>
  <si>
    <t>"Paticipants responded the fastest (in milliseconds) to the pairs in the hierarchy condition (M = 459.32, SD = 63.06), and they were slower to respond in the equality (submissive) (M = 462.22, SD = 64.82), equality (dominant) (M = 469.42, SD = 68.35), and animal conditions (M = 507.19, SD = 59.24)"</t>
  </si>
  <si>
    <t>0.022356441140367795</t>
  </si>
  <si>
    <t>0.9965467603884997</t>
  </si>
  <si>
    <t>Boyce_etal202318</t>
  </si>
  <si>
    <t>Boyce_etal202318_1</t>
  </si>
  <si>
    <t>Cao, J., Kleiman-Weiner, M., &amp; Banaji, M. R. (2019). People make the same Bayesian judgment they criticize in others. Psychological Science, 30(1), 20-31.</t>
  </si>
  <si>
    <t>10.1177/0956797618805750</t>
  </si>
  <si>
    <t>Boyce, V., Mathur, M., &amp; Frank, M. C. (2023). Eleven years of student replication projects provide evidence on the correlates of replicability in psychology. Royal Society Open Science, 10(11), 231240. https://doi.org/10.1098/rsos.231079</t>
  </si>
  <si>
    <t>10.1098/rsos.231079</t>
  </si>
  <si>
    <t>https://osf.io/z6rfa</t>
  </si>
  <si>
    <t>study 5</t>
  </si>
  <si>
    <t>But as shown in Figure 4, participants judged that the man was more likely than the woman to be the pilot, regardless of their evaluation of person X, F(1, 344) = 84.58, p &lt; .0001, η2 = .19, 95% CI = [.13, .27].</t>
  </si>
  <si>
    <t>p. 348</t>
  </si>
  <si>
    <t>1. There is a registration but not preregistration</t>
  </si>
  <si>
    <t>10.1177--0956797618805750.pdf</t>
  </si>
  <si>
    <t>Judgment, accuracy, fairness, social cognition, base rates, open data, open materials</t>
  </si>
  <si>
    <t>Participants judged the man as more likely to be the pilot than the woman,</t>
  </si>
  <si>
    <t>"But as shown in Figure 4, participants judged that the man was more likely than the woman to be the pilot, regardless of their evaluation of person X, F(1,344) = 84.58,p &lt; .0001, eta-square = .19,95% CI = [.13,.27]."</t>
  </si>
  <si>
    <t>https://osf.io/9fdhb/</t>
  </si>
  <si>
    <t>https://osf.io/h37qu</t>
  </si>
  <si>
    <t>Boyce_etal202318_b</t>
  </si>
  <si>
    <t>The very same participants who criticized person X’s morality and intellect had just made judgments that were conceptually identical to person X’s Bayesian judgment</t>
  </si>
  <si>
    <t>"[...] means below the midpoint of 4 on the scales, Cronbach’s α = .91, composite M = 3.29, SE = 0.08, one sample t(347) = −8.90, p &lt; .0001, Cohen’s d = 0.48, 95% CI = [0.37, 0.60]"</t>
  </si>
  <si>
    <t>t(35) = -3.89</t>
  </si>
  <si>
    <t>Boyce_etal202319</t>
  </si>
  <si>
    <t>Boyce_etal202319_1</t>
  </si>
  <si>
    <t>Catarino, A., Küpper, C. S., Werner-Seidler, A., Dalgleish, T., &amp; Anderson, M. C. (2015). Failing to forget: Inhibitory-control deficits compromise memory suppression in posttraumatic stress disorder. Psychological science, 26(5), 604-616.</t>
  </si>
  <si>
    <t>10.1177/0956797615569889</t>
  </si>
  <si>
    <t>Boyce, V., Mathur, M., &amp; Frank, M. C. (2023). Eleven years of student replication projects provide evidence on the correlates of replicability in psychology. Royal Society Open Science, 10(11), 231240. https://doi.org/10.1098/rsos.231080</t>
  </si>
  <si>
    <t>10.1098/rsos.231080</t>
  </si>
  <si>
    <t>https://osf.io/ab9q3</t>
  </si>
  <si>
    <t>Memory Suppression</t>
  </si>
  <si>
    <t>Memory suppression, forgetting, trauma, PTSD, inhibitory control, thought control</t>
  </si>
  <si>
    <t>Condition significantly interacts with the group</t>
  </si>
  <si>
    <t>"This interaction was driven once again by a significant suppression effect in the control group (M = 1.19), F(1, 15) = 33.548, p &lt; .001, partial eta-square = .691"</t>
  </si>
  <si>
    <r>
      <rPr>
        <rFont val="Calibri"/>
        <sz val="11.0"/>
      </rPr>
      <t xml:space="preserve">Replication data: </t>
    </r>
    <r>
      <rPr>
        <rFont val="Calibri"/>
        <color rgb="FF1155CC"/>
        <sz val="11.0"/>
        <u/>
      </rPr>
      <t>https://rstudio-pubs-static.s3.amazonaws.com/696061_39068ca5d4344e6894d818cbf8f2c60e.html</t>
    </r>
  </si>
  <si>
    <t>replicating control condition only for 2 DVs: gist and details</t>
  </si>
  <si>
    <t>10.1177--0956797615569889.pdf</t>
  </si>
  <si>
    <t>Inhibitory-control deficits compromise memory suppression in posttraumatic stress disorder</t>
  </si>
  <si>
    <t>"A significant group difference in suppression induced forgetting was observed, as indicated by a significant condition-by-group interaction, F(1, 30) = 4.573, p = .041, partial eta-square = .132"</t>
  </si>
  <si>
    <t>F(4,6) = 6.636</t>
  </si>
  <si>
    <t>https://osf.io/wsj2f</t>
  </si>
  <si>
    <t>Boyce_etal202319_b</t>
  </si>
  <si>
    <r>
      <rPr>
        <rFont val="Calibri"/>
        <sz val="11.0"/>
      </rPr>
      <t xml:space="preserve">Replication data: </t>
    </r>
    <r>
      <rPr>
        <rFont val="Calibri"/>
        <color rgb="FF1155CC"/>
        <sz val="11.0"/>
        <u/>
      </rPr>
      <t>https://rstudio-pubs-static.s3.amazonaws.com/696061_39068ca5d4344e6894d818cbf8f2c60e.html</t>
    </r>
  </si>
  <si>
    <t>"As for the two previous measures, a significant group difference in suppression-induced forgetting was observed, established by a significant condition-by-group interaction, F(1, 30) = 14.231, p = .001, partial eta-square = .322"</t>
  </si>
  <si>
    <t>F(4,6) = 1.4195</t>
  </si>
  <si>
    <t>Boyce_etal20232</t>
  </si>
  <si>
    <t>Boyce_etal20232_1</t>
  </si>
  <si>
    <t>Albarracín, D., Handley, I. M., Noguchi, K., McCulloch, K. C., Li, H., Leeper, J., ... &amp; Hart, W. P. (2008). Increasing and decreasing motor and cognitive output: a model of general action and inaction goals. Journal of Personality and Social Psychology, 95(3), 510.</t>
  </si>
  <si>
    <t>Boyce, V., Mathur, M., &amp; Frank, M. C. (2023). Eleven years of student replication projects provide evidence on the correlates of replicability in psychology. Royal Society Open Science, 10(11), 231240. https://doi.org/10.1098/rsos.231064</t>
  </si>
  <si>
    <t>10.1098/rsos.231064</t>
  </si>
  <si>
    <t>participants primed with action performed better than participants primed with inaction did (M  12.83, SD  1.86 vs. M  10.78, SD  3.15, respectively).</t>
  </si>
  <si>
    <t>p. 517</t>
  </si>
  <si>
    <r>
      <rPr>
        <rFont val="Calibri"/>
        <sz val="11.0"/>
      </rPr>
      <t xml:space="preserve">Data for replication from: </t>
    </r>
    <r>
      <rPr>
        <rFont val="Calibri"/>
        <color rgb="FF1155CC"/>
        <sz val="11.0"/>
        <u/>
      </rPr>
      <t>https://osf.io/yt5q8/</t>
    </r>
  </si>
  <si>
    <t>Action and inaction primes produced, respectively, higher and lower levels of cognitive output</t>
  </si>
  <si>
    <t>"The analysis revealed a main effect of prime on number of solved problems, F(1, 34) = 5.68, p = .02, demonstrating that participants primed with action performed better than participants primed with inaction did (M = 12.83, SD = 1.86 vs. M = 10.78, SD = 3.15, respectively)"</t>
  </si>
  <si>
    <t>F(1,86) = 0.08</t>
  </si>
  <si>
    <t>https://osf.io/yt5q8/</t>
  </si>
  <si>
    <t>Boyce_etal202320_1</t>
  </si>
  <si>
    <t>Boyce_etal202320</t>
  </si>
  <si>
    <t>Charpentier, C. J., De Neve, J. E., Li, X., Roiser, J. P., &amp; Sharot, T. (2016). Models of affective decision making: how do feelings predict choice?. Psychological science, 27(6), 763-775.</t>
  </si>
  <si>
    <t>10.1177/0956797616634654</t>
  </si>
  <si>
    <t>10.1177--0956797616634654.pdf</t>
  </si>
  <si>
    <t>No replication data available</t>
  </si>
  <si>
    <t>Boyce, V., Mathur, M., &amp; Frank, M. C. (2023). Eleven years of student replication projects provide evidence on the correlates of replicability in psychology. Royal Society Open Science, 10(11), 231240. https://doi.org/10.1098/rsos.231081</t>
  </si>
  <si>
    <t>10.1098/rsos.231081</t>
  </si>
  <si>
    <t>Boyce_etal202321</t>
  </si>
  <si>
    <t>Boyce_etal202321_1</t>
  </si>
  <si>
    <t>d original extracted from the dataset</t>
  </si>
  <si>
    <t>Child, S., Oakhill, J., &amp; Garnham, A. (2018). You’re the emotional one: the role of perspective for emotion processing in reading comprehension. Language, cognition and neuroscience, 33(7), 878-889.</t>
  </si>
  <si>
    <t>10.1080/23273798.2018.1431397</t>
  </si>
  <si>
    <t>Boyce, V., Mathur, M., &amp; Frank, M. C. (2023). Eleven years of student replication projects provide evidence on the correlates of replicability in psychology. Royal Society Open Science, 10(11), 231240. https://doi.org/10.1098/rsos.231082</t>
  </si>
  <si>
    <t>10.1098/rsos.231082</t>
  </si>
  <si>
    <t>https://osf.io/agxwv</t>
  </si>
  <si>
    <t>effect of perspective</t>
  </si>
  <si>
    <t>reading about self or third person</t>
  </si>
  <si>
    <t>for positive emotions, reading times were faster for passages that were written from a personal perspective (M = 2201, SD = 1284) than from an onlooker perspective (M = 2350, SD = 1351; t(4408) = 3.73, p &lt; .001; see Figure 1).</t>
  </si>
  <si>
    <t>Boyce_etal202321_1_a</t>
  </si>
  <si>
    <t>10.1080--23273798.2018.1431397.pdf</t>
  </si>
  <si>
    <t>Emotion processing</t>
  </si>
  <si>
    <t>Reading; comprehension; emotion; perspective; pronouns</t>
  </si>
  <si>
    <t>Reading times were faster for passages that were written from a personal perspective for positive emotions</t>
  </si>
  <si>
    <t>"For positive emotions, reading times were faster for passages that were written from a personal perspective (M=2201,SD=1284) than from an onlooker perspective (M=2350,SD=1351; t(4408)=3.73,p&lt;.001; see Figure 1)"</t>
  </si>
  <si>
    <t>t(4408) = 3.73</t>
  </si>
  <si>
    <t>t(934) = -0.99</t>
  </si>
  <si>
    <t>https://osf.io/vk2cs</t>
  </si>
  <si>
    <t>Boyce_etal202321_1_b</t>
  </si>
  <si>
    <t>There was a positive effect of perspective on reading times</t>
  </si>
  <si>
    <t>"The analysis revealed an effect of perspective on reading times (see Table 1)"</t>
  </si>
  <si>
    <t>Boyce_etal202321_1_c</t>
  </si>
  <si>
    <t>There was no effect of valence on reading times</t>
  </si>
  <si>
    <t>"The analysis did not reveal a main effect of valence (see Table 1)"</t>
  </si>
  <si>
    <t>Boyce_etal202321_1_d</t>
  </si>
  <si>
    <t>There was a negative effect of valence and perspective interactionon reading times</t>
  </si>
  <si>
    <t>"An interaction of valence and perspective was found (see Table 1)"</t>
  </si>
  <si>
    <t>Boyce_etal202321_1_e</t>
  </si>
  <si>
    <t>There was a marginal positive effect of perspective on emotional self-rating</t>
  </si>
  <si>
    <t>"Self-ratings were only marginally affected by perspective (see Table2)"</t>
  </si>
  <si>
    <t>Boyce_etal202321_1_f</t>
  </si>
  <si>
    <t>There was a negative effect of valence on emotional self-rating</t>
  </si>
  <si>
    <t>"For the self-ratings of emotions, we found differences between negatively and positively valenced texts (see Table 2)"</t>
  </si>
  <si>
    <t>Boyce_etal202321_1_g</t>
  </si>
  <si>
    <t>There was an effect of valence and perspective interaction on emotional self-rating</t>
  </si>
  <si>
    <t>"The analysis revealed an interaction between perspective and valence for self-reported emotions (see Table 2)."</t>
  </si>
  <si>
    <t>Boyce_etal202322_1</t>
  </si>
  <si>
    <t>Boyce_etal202322</t>
  </si>
  <si>
    <t>Replication data: https://rstudio-pubs-static.s3.amazonaws.com/823553_849e56ccdba04f308d3dd2f4a03a249a.html
Original paper added as escholarship.orgucitem39d347bk.pdf</t>
  </si>
  <si>
    <t>Chopra, S., Tessler, M. H., &amp; Goodman, N. D. (2019, July). The first crank of the cultural ratchet: Learning and transmitting concepts through language. In CogSci (pp. 226-232).</t>
  </si>
  <si>
    <t>https://osf.io/jpwd3</t>
  </si>
  <si>
    <t>No replication data available (the report does not contain information)</t>
  </si>
  <si>
    <t>Replication results corrected</t>
  </si>
  <si>
    <t>Boyce, V., Mathur, M., &amp; Frank, M. C. (2023). Eleven years of student replication projects provide evidence on the correlates of replicability in psychology. Royal Society Open Science, 10(11), 231240. https://doi.org/10.1098/rsos.231083</t>
  </si>
  <si>
    <t>10.1098/rsos.231083</t>
  </si>
  <si>
    <t>Learning</t>
  </si>
  <si>
    <t>Concept Learning, Cultural Ratchet, Language Transmission, Generics and Quantifiers, Boolean Concepts</t>
  </si>
  <si>
    <t>Teacher confidence results in stronger alignment between students and teachers</t>
  </si>
  <si>
    <t>"We find a strong relationship: language seems to yield stronger alignment between students and teachers when the teachers are (expected to be) confident in what they have learned (r =−0.75, p &lt; 001)"</t>
  </si>
  <si>
    <t>Boyce_etal202323</t>
  </si>
  <si>
    <t>Boyce_etal202323_1</t>
  </si>
  <si>
    <t>Chou, E. Y., Parmar, B. L., &amp; Galinsky, A. D. (2016). Economic insecurity increases physical pain. Psychological Science, 27(4), 443-454.</t>
  </si>
  <si>
    <t>10.1177/0956797615625640</t>
  </si>
  <si>
    <t>Boyce, V., Mathur, M., &amp; Frank, M. C. (2023). Eleven years of student replication projects provide evidence on the correlates of replicability in psychology. Royal Society Open Science, 10(11), 231240. https://doi.org/10.1098/rsos.231084</t>
  </si>
  <si>
    <t>10.1098/rsos.231084</t>
  </si>
  <si>
    <t>https://osf.io/wj3bm</t>
  </si>
  <si>
    <t xml:space="preserve">Participants in the lack-of-control condition reported more than double the physical pain (M = 13.75, SD = 21.49) reported by participants in the complete-control condition (M = 6.57, SD = 11.62), t(98) = 2.04, p = .04, d = 0.41. </t>
  </si>
  <si>
    <t>10.1177--0956797615625640.pdf</t>
  </si>
  <si>
    <t>Economic Insecurity</t>
  </si>
  <si>
    <t>Economic insecurity, pain, sense of control</t>
  </si>
  <si>
    <t>Lack of control is a proximal mechanism that produces physical pain</t>
  </si>
  <si>
    <t>"Participants in the lack-of-control condition reported more than double the physical pain (M = 13.75, SD = 21.49) reported by participants in the complete-control condition (M = 6.57, SD = 11.62), t(98) = 2.04, p = .04, d = 0.41"</t>
  </si>
  <si>
    <t>p. 449</t>
  </si>
  <si>
    <t>https://osf.io/vmfue</t>
  </si>
  <si>
    <t>let's use journal page numbers, not PDF page numbers (where available)</t>
  </si>
  <si>
    <t>Boyce_etal202324_1</t>
  </si>
  <si>
    <t>Boyce_etal202324</t>
  </si>
  <si>
    <t>1. Authors ensured that their minor changes to the procedure won't afffect the replication</t>
  </si>
  <si>
    <t>Cohen, M. A., Alvarez, G. A., &amp; Nakayama, K. (2011). Natural-scene perception requires attention. Psychological science, 22(9), 1165-1172.</t>
  </si>
  <si>
    <t>10.1177/0956797611419168</t>
  </si>
  <si>
    <t>10.1177--0956797611419168.pdf</t>
  </si>
  <si>
    <t>https://osf.io/7d3ha</t>
  </si>
  <si>
    <t>There is no numerical data in the replication</t>
  </si>
  <si>
    <t>report available</t>
  </si>
  <si>
    <t>Boyce, V., Mathur, M., &amp; Frank, M. C. (2023). Eleven years of student replication projects provide evidence on the correlates of replicability in psychology. Royal Society Open Science, 10(11), 231240. https://doi.org/10.1098/rsos.231085</t>
  </si>
  <si>
    <t>10.1098/rsos.231085</t>
  </si>
  <si>
    <t>experiment 1 inattentional blindness</t>
  </si>
  <si>
    <t>In Experiment 1a, 64% of participants experienced complete inattentional blindness on the critical trial (Fig. 1b). Only 18% of participants detected the scene immediately. However, in the post–inattentional blindness testing, in which participants were explicitly asked to detect and classify the scenes, they did so correctly 96% of the time (Fig. 1b).</t>
  </si>
  <si>
    <t>Boyce_etal202325</t>
  </si>
  <si>
    <t>Boyce_etal202325_1</t>
  </si>
  <si>
    <t>N original in the dataset is stated as 188, while in these specific quesiton the sample was divided in 2 parts, which results in N=94</t>
  </si>
  <si>
    <t>Correll, S. J., Benard, S., &amp; Paik, I. (2007). Getting a job: Is there a motherhood penalty?. American journal of sociology, 112(5), 1297-1338.</t>
  </si>
  <si>
    <t>10.1086/511799</t>
  </si>
  <si>
    <t>Boyce, V., Mathur, M., &amp; Frank, M. C. (2023). Eleven years of student replication projects provide evidence on the correlates of replicability in psychology. Royal Society Open Science, 10(11), 231240. https://doi.org/10.1098/rsos.231086</t>
  </si>
  <si>
    <t>10.1098/rsos.231086</t>
  </si>
  <si>
    <t>As predicted, mothers were judged as significantly less competent and committed than women without children.</t>
  </si>
  <si>
    <t>p. 1316</t>
  </si>
  <si>
    <r>
      <rPr>
        <rFont val="Calibri"/>
        <sz val="11.0"/>
      </rPr>
      <t xml:space="preserve">1. Replication data: </t>
    </r>
    <r>
      <rPr>
        <rFont val="Calibri"/>
        <color rgb="FF1155CC"/>
        <sz val="11.0"/>
        <u/>
      </rPr>
      <t xml:space="preserve">https://rpubs.com/dmetaxak/correll2007
</t>
    </r>
    <r>
      <rPr>
        <rFont val="Calibri"/>
        <sz val="11.0"/>
      </rPr>
      <t>2. Online replication</t>
    </r>
  </si>
  <si>
    <t>1 (laboratory experiment)</t>
  </si>
  <si>
    <t>10.1086--511799.pdf</t>
  </si>
  <si>
    <t>Workplace discrimination</t>
  </si>
  <si>
    <t>Motherhood penalty, workplace discrimination, wage gap, competence bias, hiring bias</t>
  </si>
  <si>
    <t>Mothers were judged as significantly less competent</t>
  </si>
  <si>
    <t>"As predicted, mothers were judged as significantly less competent and committed than women without children."</t>
  </si>
  <si>
    <t>Boyce_etal202325_b</t>
  </si>
  <si>
    <r>
      <rPr>
        <rFont val="Calibri"/>
        <sz val="11.0"/>
      </rPr>
      <t xml:space="preserve">1. Replication data: </t>
    </r>
    <r>
      <rPr>
        <rFont val="Calibri"/>
        <color rgb="FF1155CC"/>
        <sz val="11.0"/>
        <u/>
      </rPr>
      <t xml:space="preserve">https://rpubs.com/dmetaxak/correll2007
</t>
    </r>
    <r>
      <rPr>
        <rFont val="Calibri"/>
        <sz val="11.0"/>
      </rPr>
      <t>2. Online replication</t>
    </r>
  </si>
  <si>
    <t>Mothers, relative to other applicants, are believed to be less suitable for hiring</t>
  </si>
  <si>
    <t>"Mothers are also less likely than other types of applicants to be recommended for management (second column of table 4)"</t>
  </si>
  <si>
    <t>Boyce_etal202325_c</t>
  </si>
  <si>
    <r>
      <rPr>
        <rFont val="Calibri"/>
        <sz val="11.0"/>
      </rPr>
      <t xml:space="preserve">1. Replication data: </t>
    </r>
    <r>
      <rPr>
        <rFont val="Calibri"/>
        <color rgb="FF1155CC"/>
        <sz val="11.0"/>
        <u/>
      </rPr>
      <t xml:space="preserve">https://rpubs.com/dmetaxak/correll2007
</t>
    </r>
    <r>
      <rPr>
        <rFont val="Calibri"/>
        <sz val="11.0"/>
      </rPr>
      <t>2. Online replication</t>
    </r>
  </si>
  <si>
    <t>Female participants, relative to other applicants, are believed to be less suitable for hiring</t>
  </si>
  <si>
    <t>Boyce_etal202326</t>
  </si>
  <si>
    <t>Boyce_etal202326_1</t>
  </si>
  <si>
    <t>Craig, M. A., &amp; Richeson, J. A. (2014). On the precipice of a “majority-minority” America: Perceived status threat from the racial demographic shift affects White Americans’ political ideology. Psychological science, 25(6), 1189-1197.</t>
  </si>
  <si>
    <t>10.1177/0956797614527113</t>
  </si>
  <si>
    <t>Boyce, V., Mathur, M., &amp; Frank, M. C. (2023). Eleven years of student replication projects provide evidence on the correlates of replicability in psychology. Royal Society Open Science, 10(11), 231240. https://doi.org/10.1098/rsos.231087</t>
  </si>
  <si>
    <t>10.1098/rsos.231087</t>
  </si>
  <si>
    <t>Analyses of variance confirmed that participants in the status-threat condition expressed greater perceived group-status threat than did participants in the assuaged-threat or control conditions— Study 3a: F(2, 166) = 7.23, p &lt; .001, ηp2 = .08;</t>
  </si>
  <si>
    <r>
      <rPr>
        <rFont val="Calibri"/>
        <sz val="11.0"/>
      </rPr>
      <t xml:space="preserve">Replication data: </t>
    </r>
    <r>
      <rPr>
        <rFont val="Calibri"/>
        <color rgb="FF1155CC"/>
        <sz val="11.0"/>
        <u/>
      </rPr>
      <t>https://rpubs.com/staciaking/craig2014</t>
    </r>
  </si>
  <si>
    <t>I am not sure that these are matching results`</t>
  </si>
  <si>
    <t>10.1177--0956797614527113.pdf</t>
  </si>
  <si>
    <t>Racial demographic shifts</t>
  </si>
  <si>
    <t>Political conservatism, conservative shift, demographic changes</t>
  </si>
  <si>
    <t>Participants in the status-threat condition supported conservative positions more than did participants in the control condition</t>
  </si>
  <si>
    <t>"Results revealed a main effect of experimental condition on overall policy attitudes, F(2, 161) = 4.92, p = .008, partial eta-square = .06"</t>
  </si>
  <si>
    <t>Boyce_etal202327</t>
  </si>
  <si>
    <t>Boyce_etal202327_1</t>
  </si>
  <si>
    <t>Critcher, C. R., Inbar, Y., &amp; Pizarro, D. A. (2013). How quick decisions illuminate moral character. Social Psychological and Personality Science, 4(3), 308-315.</t>
  </si>
  <si>
    <t>10.1177/1948550612457688</t>
  </si>
  <si>
    <t>Boyce, V., Mathur, M., &amp; Frank, M. C. (2023). Eleven years of student replication projects provide evidence on the correlates of replicability in psychology. Royal Society Open Science, 10(11), 231240. https://doi.org/10.1098/rsos.231088</t>
  </si>
  <si>
    <t>10.1098/rsos.231088</t>
  </si>
  <si>
    <t>Unsurprisingly, we found a main effect of moral decision on the moral character evaluation composite, F(1,117) 1⁄4 127.07, p &lt; .001,</t>
  </si>
  <si>
    <t>p. 309</t>
  </si>
  <si>
    <t>Pattern of interaction in replication matches that in original study</t>
  </si>
  <si>
    <t>10.1177--1948550612457688.pdf</t>
  </si>
  <si>
    <t>https://rpubs.com/isabellamullen/1255746</t>
  </si>
  <si>
    <t>Decision speed, motives, moral judgment, moral character, certainty</t>
  </si>
  <si>
    <t>Returning the wallet was an indicator of moral (vs. immoral) character</t>
  </si>
  <si>
    <t>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</si>
  <si>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F(1,117) = 127.07</t>
  </si>
  <si>
    <t>chisq(1) = 374.43</t>
  </si>
  <si>
    <t>Boyce_etal202328_1</t>
  </si>
  <si>
    <t>Boyce_etal202328</t>
  </si>
  <si>
    <t>1. Online
2. There are a lost results, however replication operates with the term "block" while original study with the term "task". According to replication description it should be different things (blocks - split sessions of the experiment)</t>
  </si>
  <si>
    <t>Daffner, K. R., Scinto, L. F., Calvo, V., Faust, R., Mesulam, M. M., West, W. C., &amp; Holcomb, P. J. (2000). The influence of stimulus deviance on electrophysiologic and behavioral responses to novel events. Journal of Cognitive Neuroscience, 12(3), 393-406.</t>
  </si>
  <si>
    <t>10.1162/089892900562219</t>
  </si>
  <si>
    <t>10.1162--089892900562219.pdf</t>
  </si>
  <si>
    <t>Boyce, V., Mathur, M., &amp; Frank, M. C. (2023). Eleven years of student replication projects provide evidence on the correlates of replicability in psychology. Royal Society Open Science, 10(11), 231240. https://doi.org/10.1098/rsos.231089</t>
  </si>
  <si>
    <t>10.1098/rsos.231089</t>
  </si>
  <si>
    <t>Camereretal2018_18</t>
  </si>
  <si>
    <t>Camereretal2018_18_1</t>
  </si>
  <si>
    <t>Lukas Röseler, Sarah Ashcroft-Jones</t>
  </si>
  <si>
    <t xml:space="preserve">PLEASE CHECK ME FOR MY ACCURACY OF EFFECT SIZE EXTRACTION/REPORTING: 
P value and coef estimate drawn from col 1 of  Table S11 which describes the values of a Tobit regressions with robust standard errors </t>
  </si>
  <si>
    <t>- Estimated original effect size should not be r (this is a converted value from the replication study, not the original paper). The corresponding effect size value in the replication report was r = 0.026.
- It is unclear why coder 2 reported cohens d for effect size on the replication study (perhaps from the post-data collected report?).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--&gt; checked and went with the coded values</t>
  </si>
  <si>
    <t>Rand, D. G., Greene, J. D., &amp; Nowak, M. A. (2012). Spontaneous giving and calculated greed. Nature, 489(7416), 427-430.</t>
  </si>
  <si>
    <t>10.1038/nature11467</t>
  </si>
  <si>
    <t>10.1038--nature11467.pdf</t>
  </si>
  <si>
    <t>Camerer, C. F., Dreber, A., Holzmeister, F., Ho, T. H., Huber, J., Johannesson, M., ... &amp; Wu, H. (2018). Evaluating the replicability of social science experiments in Nature and Science between 2010 and 2015. Nature human behaviour, 2(9), 637-644.</t>
  </si>
  <si>
    <t>10.1038/s41562-018-0399-z</t>
  </si>
  <si>
    <t>https://osf.io/szcuk</t>
  </si>
  <si>
    <t>10.1038--s41562-018-0399-z.pdf</t>
  </si>
  <si>
    <t>Social Science Replication Project, Science, Nature, Human Behavior</t>
  </si>
  <si>
    <t>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</si>
  <si>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 </t>
  </si>
  <si>
    <t>p. S21</t>
  </si>
  <si>
    <t>p. 55</t>
  </si>
  <si>
    <t>https://osf.io/3kpjx</t>
  </si>
  <si>
    <t>Sarah Ashcroft-Jones, LR</t>
  </si>
  <si>
    <t>Rand et al (2012) - Replication Report</t>
  </si>
  <si>
    <t>contributions are significantly higher when subjects are primed to promote intuition relative to reflection</t>
  </si>
  <si>
    <t>=(23.61-22.87)/SQRT(((1058-1)*16.93^2+(1078-1)*17.07^2)/(1058+1078-2)))</t>
  </si>
  <si>
    <t>Sarah Ashcroft-Jones</t>
  </si>
  <si>
    <t>Camereretal2018_4</t>
  </si>
  <si>
    <t>Camereretal2018_4_1</t>
  </si>
  <si>
    <t xml:space="preserve">- The inter-coder discrepancy on the sample sizes arose due to misunderstanding of groups versus observations, as the core statistical test was a chi-squared test the total n based on total observations (not groups) was accepted. 
 - Estimated original effect size should not be r (this is a converted value from the replication study, not the original paper). The corresponding effect size value in the replication report was r = 0.525.
- P-values tails replication and original selected as one tail based on chi-squared analysis.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</si>
  <si>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Derex, M., Beugin, M. P., Godelle, B., &amp; Raymond, M. (2013). Experimental evidence for the influence of group size on cultural complexity. Nature, 503(7476), 389-391.</t>
  </si>
  <si>
    <t>10.1038/nature12774</t>
  </si>
  <si>
    <t>10.1038--nature12774.pdf</t>
  </si>
  <si>
    <t xml:space="preserve">https://osf.io/kchf9 </t>
  </si>
  <si>
    <t>https://osf.io/kchf9</t>
  </si>
  <si>
    <t>infuence of group size on cultural complexity</t>
  </si>
  <si>
    <t>The probability of maintaining cultural diversity (that is, observing both tasks in the group) increased with group size (x2 = 16.3, d.f. = 1, p &lt; 0.0001)</t>
  </si>
  <si>
    <t>p. 389</t>
  </si>
  <si>
    <t>x2 = 16.3, df = 1</t>
  </si>
  <si>
    <t>p. 54</t>
  </si>
  <si>
    <t>https://osf.io/yrbq9</t>
  </si>
  <si>
    <t>Derex et al (2013) - Replication Report.pdf</t>
  </si>
  <si>
    <t>the probability of maintaining cultural diversity (that is, observing both tasks in the group) increased with group size</t>
  </si>
  <si>
    <t>Camereretal2018_8</t>
  </si>
  <si>
    <t xml:space="preserve"> - Estimated original effect size should not be r (this is a converted value from the replication study, not the original paper). The corresponding effect size value in the replication report was r = 0.816
-  Estimated effect size in replication was taken from the replication project instead of the value calculated in R by coder 2 (these values are not discordent just rounded to different levels).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</si>
  <si>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Hauser, O. P., Rand, D. G., Peysakhovich, A., &amp; Nowak, M. A. (2014). Cooperating with the future. Nature, 511(7508), 220-223.</t>
  </si>
  <si>
    <t>10.1038/nature13530</t>
  </si>
  <si>
    <t>10.1038--nature13530.pdf</t>
  </si>
  <si>
    <t xml:space="preserve">https://osf.io/2mtr3 </t>
  </si>
  <si>
    <t>Intergenerational Goods Game</t>
  </si>
  <si>
    <t>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</si>
  <si>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p. S9</t>
  </si>
  <si>
    <t>https://osf.io/kgwf6</t>
  </si>
  <si>
    <t>Camereretal2018_8_1</t>
  </si>
  <si>
    <t>Hauser et al (2014) - Replication Report.pdf</t>
  </si>
  <si>
    <t>https://osf.io/mgjxv</t>
  </si>
  <si>
    <t>the fraction of cooperators was 20% larger under voting than unregulated</t>
  </si>
  <si>
    <t>In R (based on two-tailed z statistic), r &lt;- sqrt(6.7082^2 / (6.7082^2 + 20))</t>
  </si>
  <si>
    <t>Camereretal2018_15</t>
  </si>
  <si>
    <t>Camereretal2018_15_1</t>
  </si>
  <si>
    <t>PLEASE CHECK THIS: Effect size in original is unclear/hard to distringuish. Value taken from the manuscript based on it's correspondence to the Col 5 of the Table 2 in the Supplementary materials (as signposted by the Camerer table to be the OLS regression equation of interest for the replication). The post data collection replication report indicates a related t-test as follows: regression equation (5) in Table S2, p= 0.0044 of at-test of the treatment dummy variable coefficient, t(198) = 2.881.
The corresponding original effect size value in the replication report was r = 0.201</t>
  </si>
  <si>
    <t>- Estimated original effect size should not be r (this is a converted value from the replication study, not the original paper). The corresponding effect size value in the replication report was r = 0.201.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</si>
  <si>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Nishi, A., Shirado, H., Rand, D. G., &amp; Christakis, N. A. (2015). Inequality and visibility of wealth in experimental social networks. Nature, 526(7573), 426-429.</t>
  </si>
  <si>
    <t>10.1038/nature15392</t>
  </si>
  <si>
    <t>10.1038--nature15392.pdf</t>
  </si>
  <si>
    <t>https://osf.io/67mzc</t>
  </si>
  <si>
    <t>social networks, inequality, wealth generation</t>
  </si>
  <si>
    <t>Inequality and visibility of wealth in experimental social networks</t>
  </si>
  <si>
    <t>In the high initial inequality condition, making neighbours’ wealth visible results in significantly higher levels of inequality compared to when neighbours’ wealth is invisible (difference in final round Gini = 0.104, P = 0.004).</t>
  </si>
  <si>
    <t>p. S18</t>
  </si>
  <si>
    <t>https://osf.io/r3dt9</t>
  </si>
  <si>
    <t>Sarah Ashcroft-Jones, LW</t>
  </si>
  <si>
    <t>Nishi et al (2015) - Replication Report</t>
  </si>
  <si>
    <t xml:space="preserve">In the high initial inequality condition, making neighbours’ wealth visible results in significantly higher levels of inequality compared to when neighbours’ wealth is invisible </t>
  </si>
  <si>
    <t>In R, r &lt;- sqrt(2.5543^2 / (2.5543^2 + 478))</t>
  </si>
  <si>
    <t>Camereretal2018_9</t>
  </si>
  <si>
    <t>Supplementary Materials - Table S3b
https://www.science.org/doi/suppl/10.1126/science.1183532/suppl_file/janssen.som.pdf</t>
  </si>
  <si>
    <r>
      <rPr>
        <rFont val="Calibri"/>
        <color rgb="FFFF0000"/>
        <sz val="11.0"/>
      </rPr>
      <t xml:space="preserve">PLEASE CHECK ME: 
- The inter-coder discrepancy on the sample sizes for original study was explored as follows - coder 2 had reported total N for individuals(105), coder 1 reported N of groups from the replication table (63) which was estimated to be accurate for the relevant 2 groups for the effect of interest. This was then clarified during validation in post-data collection report as follows: "The original sample size included 63 group-and-period observations (21 groups of 5 individuals observed in 3 periods) and 105 individuals." Similarly for the discrepancy in the replication sample the post-data collection report indicates the difference is the level of the n " 42 group-and-period observations(70 individuals)". As the n of the groups is relevant to the test it is reported accrodingly.  
</t>
    </r>
    <r>
      <rPr>
        <rFont val="Calibri"/>
        <color theme="1"/>
        <sz val="11.0"/>
      </rPr>
      <t xml:space="preserve"> - Estimated original effect size should not be r (this is a converted value from the replication study, not the original paper). The corresponding effect size value in the replication report was r = 0.631.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r>
  </si>
  <si>
    <t>Janssen, M. A., Holahan, R., Lee, A., &amp; Ostrom, E. (2010). Lab experiments for the study of social-ecological systems. Science, 328(5978), 613-617.</t>
  </si>
  <si>
    <t>10.1126/science.1183532</t>
  </si>
  <si>
    <t>10.1126--science.1183532.pdf</t>
  </si>
  <si>
    <t xml:space="preserve">https://osf.io/knh6y </t>
  </si>
  <si>
    <t>cooperation and public goods</t>
  </si>
  <si>
    <t>costly punishment in ecological systems is used but lacks a gross positive effect on resource harvesting unless combined with communication</t>
  </si>
  <si>
    <t>When participants started with three periods of  "neither communicaiton nor punishment" (NCP), the resource was consistently depleted within about 90 s,. 
When participants started with "communication" (C) periods, the amount of earnings did not drop significantly when participants were no longer able to communicate after period 3. 
Pair-wise two-tailed Mann-Whitney tests on equality of distributions of earnings between different treatments in the first three periods NCP v. C:  U=717 (48,15), p-value = 0.000 (SOM p. 17)</t>
  </si>
  <si>
    <t>p. 615 (key claim) 
p. S17 (key statistic)</t>
  </si>
  <si>
    <t>U=717 (48,15), z=5.761</t>
  </si>
  <si>
    <t>p. S17</t>
  </si>
  <si>
    <t>https://osf.io/srgg5</t>
  </si>
  <si>
    <t>Camereretal2018_9_1</t>
  </si>
  <si>
    <t>Janssen et al (2010) - Replication Report.pdf</t>
  </si>
  <si>
    <t>https://osf.io/knh6y</t>
  </si>
  <si>
    <t>Periods with communication lead on average to a slower harvesting rate and more resource regeneration</t>
  </si>
  <si>
    <t>Camereretal2018_13</t>
  </si>
  <si>
    <t>Camereretal2018_13_1</t>
  </si>
  <si>
    <t>- Estimated original effect size should not be r (this is a converted value from the replication study, not the original paper). The corresponding effect size value in the replication report was r = 0.388.
- P-values tails replication is selected as 1 as ANOVA is main test statistic.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</si>
  <si>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Lee, S. W., &amp; Schwarz, N. (2010). Washing away postdecisional dissonance. Science, 328(5979), 709-709.</t>
  </si>
  <si>
    <t>10.1126/science.1186799</t>
  </si>
  <si>
    <t>10.1126--science.1186799.pdf</t>
  </si>
  <si>
    <t>https://osf.io/jubxw</t>
  </si>
  <si>
    <t>Cognitive Dissonance</t>
  </si>
  <si>
    <t>postdecisional dissonance</t>
  </si>
  <si>
    <t>Hand washing significantly reduced the need to justify one’s choice by increasing the perceived difference between alternatives [F(1, 38) = 6.74, P = 0.01, for the interaction of time and hand-washing 
manipulation].</t>
  </si>
  <si>
    <t>p. 709</t>
  </si>
  <si>
    <t>(2.05-1)/SQRT(((20-1)*0.96^2+(20-1)*1.41^2)/(20+20-2)))</t>
  </si>
  <si>
    <t>https://osf.io/efzv3</t>
  </si>
  <si>
    <t>Lee and Schwarz (2010) - Replication Report.pdf</t>
  </si>
  <si>
    <t>hand washing significantly reduced the need to justify one’s choice by increasing the perceived difference between alternatives</t>
  </si>
  <si>
    <t>=(1.67-1.48)/SQRT(((147-1)*2.4^2+(139-1)*1.67^2)/(147+139-2)))</t>
  </si>
  <si>
    <t>Camereretal2018_1</t>
  </si>
  <si>
    <t>Camereretal2018_1_1</t>
  </si>
  <si>
    <t xml:space="preserve">- Estimated effect size not reproducible (runs on external R code) unless taking Cohen's D value, thus r value computed in R is discarded. The corresponding effect size value in the replication report was r = 0.27
- P-value tails original is selected as 1 as F value from ANOVA is main test statistic. 
- P-values tails replication is selected as 2 as post-completion replication report reports a two-sided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</si>
  <si>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Ackerman, J. M., Nocera, C. C., &amp; Bargh, J. A. (2010). Incidental haptic sensations influence social judgments and decisions. Science, 328(5986), 1712-1715.</t>
  </si>
  <si>
    <t>10.1126/science.1189993</t>
  </si>
  <si>
    <t>10.1126--science.1189993.pdf</t>
  </si>
  <si>
    <t>https://osf.io/9hn4c</t>
  </si>
  <si>
    <t>haptic priming</t>
  </si>
  <si>
    <t>Incidental Haptic Sensations Influence Social Judgments and Decisions</t>
  </si>
  <si>
    <t>Clipboard weight (heavy or light) nonconsciously influenced impressions and decisions formed about unrelated people - specifically for ratings of job candidates (scale = 1 to 7), where higher numbers indicate stronger
evaluations. F(1, 52) = 4.08, p = 0.049.</t>
  </si>
  <si>
    <t>p.1712 - 1713</t>
  </si>
  <si>
    <t>=(5.8-5.38)/SQRT(((26-1)*0.76^2+(28-1)*0.79^2)/(26+28-2)))</t>
  </si>
  <si>
    <t>https://osf.io/bstxp/</t>
  </si>
  <si>
    <t>Ackerman et al (2010) - Replication Report.pdf</t>
  </si>
  <si>
    <t>Participants using heavy clipboards rated the candidate as better overall</t>
  </si>
  <si>
    <t>R, compute.es pkg</t>
  </si>
  <si>
    <t>Camereretal2018_12</t>
  </si>
  <si>
    <t>Camereretal2018_12_1</t>
  </si>
  <si>
    <t>- Estimated original effect size should not be r (this is a converted value from the replication study, not the original paper). The corresponding effect size value in the replication report was r = 0.45
- P-values tails replication is selected as 2 as post-completion replication report reports a two-sided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</si>
  <si>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https://osf.io/jnq7e</t>
  </si>
  <si>
    <t>susceptibility to others’ beliefs in human infants and adults</t>
  </si>
  <si>
    <t>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</si>
  <si>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p. 1832</t>
  </si>
  <si>
    <t>t(23) = 2.42</t>
  </si>
  <si>
    <t>https://osf.io/zpyj3</t>
  </si>
  <si>
    <t>Kovacs et al (2010) - Replication Report.pdf</t>
  </si>
  <si>
    <t>participants were faster than in the baseline condition when only the agent believed the ball to be behind the occluder</t>
  </si>
  <si>
    <t>In R, r &lt;- sqrt(7.0152^2 / (7.0152^2 + 94))</t>
  </si>
  <si>
    <t>Camereretal2018_16</t>
  </si>
  <si>
    <t>Camereretal2018_16_1</t>
  </si>
  <si>
    <t xml:space="preserve">This replication draws upon values direct from the orignal authors that are not published direct in the original manusciprt - t(34) = 2.37 and p-value = 0.02, t-value and p-value from authors. 
Statistical values recorded here are these values in the abscence of other meaningful values in the original paper or supplementary materials. These test statistics are clearly signposted as being from the original authors in the post data collection report "a comparison of mean mediator retrieval between the test-restudy and the restudy treatments within the cmrt reatment, p. 335, t(34) = 2.37 and p-value = 0.02, t-value and p-value from authors)" p. 1 of post-data collection report. </t>
  </si>
  <si>
    <t>- Estimated original effect size should not be r (this is a converted value from the replication study, not the original paper). The corresponding effect size value in the replication report was r = 0.150.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</si>
  <si>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Pyc, M. A., &amp; Rawson, K. A. (2010). Why testing improves memory: Mediator effectiveness hypothesis. Science, 330(6002), 335-335.</t>
  </si>
  <si>
    <t>10.1126/science.1191465</t>
  </si>
  <si>
    <t>10.1126--science.1191465.pdf</t>
  </si>
  <si>
    <t>https://osf.io/zj5n3</t>
  </si>
  <si>
    <t>Mediator Memory Effectiveness</t>
  </si>
  <si>
    <t>testing improves memory</t>
  </si>
  <si>
    <t>Confirming the prediction of increased mediator retrieval, recall of mediators at final test in the CMR group was greater after test-restudy versus restudy practice (51% versus 34%).</t>
  </si>
  <si>
    <t>p. 335</t>
  </si>
  <si>
    <t>t(34) = 2.37</t>
  </si>
  <si>
    <t>p. 50 (of Camerer SMs, Supplementary Table 1), and p.1 of post-data collection report</t>
  </si>
  <si>
    <t>https://osf.io/6h5af</t>
  </si>
  <si>
    <t>Pyc and Rawson (2010) - Replication Report</t>
  </si>
  <si>
    <t>recall of mediators at final test in the CMR group was greater after test-restudy versus restudy practice (51% versus 34%)</t>
  </si>
  <si>
    <t>in R, h &lt;- 2 * (asin(sqrt(0.5353) - asin(sqrt(0.4757)))</t>
  </si>
  <si>
    <t>Camereretal2018_14</t>
  </si>
  <si>
    <t>Camereretal2018_14_1</t>
  </si>
  <si>
    <t xml:space="preserve">PLEASE CHECK THIS: This replication draws upon a a comparison of the 30-repetition treatment and the control treatment in experiment 1; independent samples t-test, t(30) = 2.78, p = 0.0092, provided by the original authors. This is not in the original paper which is based on a pooled analysis and resulting  F value (F(1, 46) = 4.50, p = 0.0393, p. 1531). It is unclear whether to report to O values as were printed in the original study or as those which the replication study purport were provided by the original authors (from what seems to be a a post-hoc t-test?).  Here the n original of 32 is based on that post-hoc test, whereas the paper reports the N of study 1 to be 51 but the FReD database appeared to record the N = 32. </t>
  </si>
  <si>
    <t>- Estimated original effect size should not be r (this is a converted value from the replication study, not the original paper). The corresponding effect size value in the replication report was r = 0.453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</si>
  <si>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Morewedge, C. K., Huh, Y. E., &amp; Vosgerau, J. (2010). Thought for food: Imagined consumption reduces actual consumption. Science, 330(6010), 1530-1533.</t>
  </si>
  <si>
    <t>10.1126/science.1195701</t>
  </si>
  <si>
    <t>10.1126--science.1195701.pdf</t>
  </si>
  <si>
    <t>https://osf.io/k2teb</t>
  </si>
  <si>
    <t>imagined consumption reduces actual consumption</t>
  </si>
  <si>
    <t>Testing if repeatedly imagining the consumption of a food would increase or decrease the amount of that food that people would subsequently consume.
Planned comparisons revealed that participants in the 30-repetition condition ate significantly fewer M&amp;M’s than participants in the control condition, F(1, 46) = 4.50, P &lt; 0.05</t>
  </si>
  <si>
    <t>p. 1531</t>
  </si>
  <si>
    <t>F(1, 46) = 4.50</t>
  </si>
  <si>
    <t>https://osf.io/wh5gb</t>
  </si>
  <si>
    <t>Morewedge et al (2010) - Replication Report</t>
  </si>
  <si>
    <t>the amount of M&amp;M’s eaten by participants was influenced by the imagination induction</t>
  </si>
  <si>
    <t>=(10.3-6.69)/SQRT(((44-1)*5.28^2+(45-1)*4.3^2)/(44+45-2)))</t>
  </si>
  <si>
    <t>Camereretal2018_10</t>
  </si>
  <si>
    <t>Camereretal2018_10_1</t>
  </si>
  <si>
    <t xml:space="preserve">Supplementary Materials - page 4 : post-hoc comparisons showed significant result, (F(1, 38) = 21.63, no exact p value stated. 
https://www.science.org/doi/suppl/10.1126/science.1199327/suppl_file/karpicke_som.pdf 
In the main text, the authors report both cohens d of 1.5 as well as partial eta squared (np2) of 0.36). </t>
  </si>
  <si>
    <t xml:space="preserve">- Estimated effect size should not be r (this is a converted value from the replication study, not the orignnal paper which reports both cohens d and np2). The corresponding effect size value in the replication report was r = 0.602
- P-value tails original is selected as 1 as F value from ANOVA is main test statistic. 
- P-values tails replication is selected as 2 as post-completion replication report reports a two-sided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</si>
  <si>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Karpicke, J. D., &amp; Blunt, J. R. (2011). Retrieval practice produces more learning than elaborative studying with concept mapping. Science, 331(6018), 772-775.</t>
  </si>
  <si>
    <t>10.1126/science.1199327</t>
  </si>
  <si>
    <t>10.1126--science.1199327.pdf</t>
  </si>
  <si>
    <t>memory retrieval</t>
  </si>
  <si>
    <t>Retrieval practice produces more learning than elaborative studying with concept mapping</t>
  </si>
  <si>
    <t>On the final test 1 week later, collapsed across question type (verbatim and inference), the advantage of retrieval practice (M = 0.67) over elaborative studying with concept mapping (M = 0.45) represented about a 50% improvement in long-term retention scores [ F(1,38) = 21.63 ]</t>
  </si>
  <si>
    <t>p. 773</t>
  </si>
  <si>
    <t>p. S4</t>
  </si>
  <si>
    <t>https://osf.io/3cgxv</t>
  </si>
  <si>
    <t>Karpicke and Blunt (2011) - Replication Report.pdf</t>
  </si>
  <si>
    <t>the advantage of retrieval practice (M = 0.67) over elaborative studying with concept mapping (M = 0.45) represented about a 50% improvement in long-term retention scores</t>
  </si>
  <si>
    <t>Camereretal2018_17</t>
  </si>
  <si>
    <t>Camereretal2018_17_1</t>
  </si>
  <si>
    <t>- Estimated original effect size should not be r (this is a converted value from the replication study, not the original paper). The corresponding effect size value in the replication report was r = 0.-0.098.
- It is unclear why coder 2 reported cohens d for effect size on the replication study (perhaps from the post-data collected report?).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</si>
  <si>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Ramirez, G., &amp; Beilock, S. L. (2011). Writing about testing worries boosts exam performance in the classroom. science, 331(6014), 211-213.</t>
  </si>
  <si>
    <t>10.1126/science.1199427</t>
  </si>
  <si>
    <t>10.1126--science.1199427.pdf</t>
  </si>
  <si>
    <t>https://osf.io/j8pbk</t>
  </si>
  <si>
    <t>Writing about testing worries boosts exam performance in the classroom</t>
  </si>
  <si>
    <t>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</si>
  <si>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p. 212</t>
  </si>
  <si>
    <t>F(1,18)=30.53</t>
  </si>
  <si>
    <t>p. S11</t>
  </si>
  <si>
    <t>https://osf.io/jqaac</t>
  </si>
  <si>
    <t>Ramirez and Beilock (2011) - Replication Report</t>
  </si>
  <si>
    <t xml:space="preserve">in the posttest, the expressive writing group performed significantly better than the control group </t>
  </si>
  <si>
    <t>Camereretal2018_20</t>
  </si>
  <si>
    <t>Camereretal2018_20_1</t>
  </si>
  <si>
    <t xml:space="preserve">PLEASE CHECK ME FOR MY REASONING: 
Compared to the supplements of the Camerer replications Table 1, in the original paper the df for the critical t test were 68 (not 45 as listed in Table 1 of Camerer Table 1) thus the N was estimated at 69 (which also aligns with other Camerer tables (e.g. Camerer Supps Table 3 has N = 69 as value). It unclear where the t(45) vlaue in the Camerer supps table came from based on this alone. HOwever, in the post-data collection report the replication project reports a paired t-test, within subject variation; t(45) = 3.26,p= 0.0021, study 1, p. 776, and Fig. 1. It appears this is a value from the original data that was not explicitly reported as relevant to the Fig 1 comparisons. </t>
  </si>
  <si>
    <t>- Estimated original effect size should not be r (this is a converted value from the replication study, not the original paper). The corresponding effect size value in the replication report was r = 0.368
- Estimated replication effect sizes were reported directly in the replication report - the exact value from coder 2 was calculated in R and not reproducible here and therefore discarded.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</si>
  <si>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Sparrow, B., Liu, J., &amp; Wegner, D. M. (2011). Google effects on memory: Cognitive consequences of having information at our fingertips. science, 333(6043), 776-778.</t>
  </si>
  <si>
    <t>10.1126/science.1207745</t>
  </si>
  <si>
    <t>10.1126--science.1207745.pdf</t>
  </si>
  <si>
    <t>https://osf.io/84fyw</t>
  </si>
  <si>
    <t>transactive memory,</t>
  </si>
  <si>
    <t>Google effects on memory: cognitive consequences of having information at our fingertips</t>
  </si>
  <si>
    <t>Computer words were more accessible [color-naming RT mean (M) = 712 ms, SD = 413 ms] than general words (M = 591 ms, SD = 204 ms) after participants had encountered a series of questions to which they did not know the answers, t(68) = 3.26, P &lt; 0.003, two-tailed.</t>
  </si>
  <si>
    <t>p. 776</t>
  </si>
  <si>
    <t>=(712-591)/SQRT((413^2+204^2)/2)</t>
  </si>
  <si>
    <t>https://osf.io/b4ga9</t>
  </si>
  <si>
    <t>Sparrow et al (2011) - Replication Report</t>
  </si>
  <si>
    <t>Although the concept of knowledge in general seems to prime thoughts of computers, even when answers are known, not knowing the answer to general-knowledge questions primes the need to search for the answer, and subsequently computer interference is particularly acute</t>
  </si>
  <si>
    <t>In R, r &lt;- sqrt(0.7579^2 / (0.7579^2 + 233))</t>
  </si>
  <si>
    <t>Camereretal2018_3</t>
  </si>
  <si>
    <t>Camereretal2018_3_1</t>
  </si>
  <si>
    <t xml:space="preserve">- The inter-coder discrepancy on the sample sizes arose due to an error in reporting in the pre-registration of the replication as clarified on p. 4 of the post-data collection report " In the pre-replication version of this report, the standardized effect size of the original study – measured as correlation coefficient r– has been wrongly reported. The figure was falsely determined based on the full sample of 144. However, as the hypothesis test of interest only refers to females, the sample size relevant for calculating the effect size measure is 72 rather than 144. "
 - Estimated original effect size should not be r (this is a converted value from the replication study, not the original paper). The corresponding effect size value in the replication report was r = 0.0.278.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</si>
  <si>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Balafoutas, L., &amp; Sutter, M. (2012). Affirmative action policies promote women and do not harm efficiency in the laboratory. Science, 335(6068), 579-582.</t>
  </si>
  <si>
    <t>10.1126/science.1211180</t>
  </si>
  <si>
    <t>10.1126--science.1211180.pdf</t>
  </si>
  <si>
    <t>https://osf.io/drvhe</t>
  </si>
  <si>
    <t>affirmative action</t>
  </si>
  <si>
    <t>Affirmative action policies promote women and do not harm effciency</t>
  </si>
  <si>
    <t>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</si>
  <si>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p. 580</t>
  </si>
  <si>
    <t>=(0.306/(1-0.306))/(0.583/(1-0.583))</t>
  </si>
  <si>
    <t>https://osf.io/t64fw</t>
  </si>
  <si>
    <t>Balafoutas and Sutter (2012) - Replication Report.pdf</t>
  </si>
  <si>
    <t>Bilateral comparisons with the control treatment CTR reveal that the frequency of competing women is significantly higher in PT1</t>
  </si>
  <si>
    <t>Camereretal2018_6</t>
  </si>
  <si>
    <t>Camereretal2018_6_1</t>
  </si>
  <si>
    <t xml:space="preserve">The key test statistics were described as belonging to a two-tailed test in the Camerer supplements but this is not evidenced directly in the original manuscript. </t>
  </si>
  <si>
    <r>
      <rPr>
        <rFont val="Calibri"/>
        <color rgb="FFFF0000"/>
        <sz val="11.0"/>
      </rPr>
      <t xml:space="preserve">PLEASE CHECK ME: 
- There is a discrepancy in the reported p-value (likely a rounding error but needs to be resolved) - in the Camerer replicaiton Table the p value for the replication is reported at 0.414, in the post-data collection report the value is reported as 0.415. This is either a typo or a rounding discrepancy but it needs resolution. </t>
    </r>
    <r>
      <rPr>
        <rFont val="Calibri"/>
        <color theme="1"/>
        <sz val="11.0"/>
      </rPr>
      <t xml:space="preserve">
 - Estimated original effect size should not be r (this is a converted value from the replication study, not the original paper). The corresponding effect size value in the replication report was r = 0.289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r>
  </si>
  <si>
    <t>Gervais, W. M., &amp; Norenzayan, A. (2012). Analytic thinking promotes religious disbelief. Science, 336(6080), 493-496.</t>
  </si>
  <si>
    <t>10.1126/science.1215647</t>
  </si>
  <si>
    <t>10.1126--science.1215647.pdf</t>
  </si>
  <si>
    <t xml:space="preserve">https://osf.io/r4dve </t>
  </si>
  <si>
    <t>analytic prime</t>
  </si>
  <si>
    <t>Analytic thinking promotes religious disbelief</t>
  </si>
  <si>
    <t>A novel visual prime that triggers analytic thinking (The Thinker) also encouraged disbelief in God, [t(55) = 2.24, P = 0.03].</t>
  </si>
  <si>
    <t>p. 495</t>
  </si>
  <si>
    <t>https://osf.io/g4phs</t>
  </si>
  <si>
    <t>Gervais and Norenzayan (2012) - Replication Report.pdf</t>
  </si>
  <si>
    <t>https://osf.io/r4dve</t>
  </si>
  <si>
    <t>viewing The Thinker significantly promoted religious disbelief</t>
  </si>
  <si>
    <t>Camereretal2018_5</t>
  </si>
  <si>
    <t>Camereretal2018_5_1</t>
  </si>
  <si>
    <t xml:space="preserve">- Study of original is 1b - double checked before selection over study 1 as reported by coder 2. 
 - Estimated original effect size should not be r (this is a converted value from the replication study, not the original paper). The corresponding effect size value in the replication report was r = 0.674
-  Estimated effect size in replication was taken from the replication project instead of the more detailed r value calculated in R by coder 2 (these values are not discordent just rounded to different levels).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</si>
  <si>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Duncan, K., Sadanand, A., &amp; Davachi, L. (2012). Memory’s penumbra: episodic memory decisions induce lingering mnemonic biases. Science, 337(6093), 485-487.</t>
  </si>
  <si>
    <t>10.1126/science.1221936</t>
  </si>
  <si>
    <t>10.1126--science.1221936.pdf</t>
  </si>
  <si>
    <t xml:space="preserve">https://osf.io/s48ht  </t>
  </si>
  <si>
    <t>mneumonic biases</t>
  </si>
  <si>
    <t>episodic memory decisions induce lingering mnemonic biases</t>
  </si>
  <si>
    <t>Similar object trials were more accurately identified as being similar when they were preceded by new object trials than when they were preceded by old ones [ t(14) = 3.41, P &lt; 0.005].</t>
  </si>
  <si>
    <t>p. 486</t>
  </si>
  <si>
    <t>=(0.677/(1-0.677))/(0.617/(1-0.617))</t>
  </si>
  <si>
    <t>https://osf.io/kmqtq</t>
  </si>
  <si>
    <t>Duncan et al (2012) - Replication Report.pdf</t>
  </si>
  <si>
    <t>https://osf.io/s48ht</t>
  </si>
  <si>
    <t>similar trials were more accurately identified as being similar when they were preceded by new trials than when they were preceded by old ones</t>
  </si>
  <si>
    <t>In R, r &lt;- sqrt(4.6276^2 / (4.6276^2 + 91))</t>
  </si>
  <si>
    <t>Camereretal2018_19</t>
  </si>
  <si>
    <t>Camereretal2018_19_1</t>
  </si>
  <si>
    <t xml:space="preserve">Tails on original p-values assumed one-way as ANOVA analysis central to value. </t>
  </si>
  <si>
    <t>- Estimated original effect size should not be r (this is a converted value from the replication study, not the original paper). The corresponding effect size value in the replication report was r = -0.015
- It is unclear why coder 2 reported cohens d for effect size on the replication study (perhaps from the post-data collected report?).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 [LR] changed p-value for O to not reported as per the instructions</t>
  </si>
  <si>
    <t>Shah, A. K., Mullainathan, S., &amp; Shafir, E. (2012). Some consequences of having too little. Science, 338(6107), 682-685.</t>
  </si>
  <si>
    <t>10.1126/science.1222426</t>
  </si>
  <si>
    <t>10.1126--science.1222426.pdf</t>
  </si>
  <si>
    <t>https://osf.io/5uw3j</t>
  </si>
  <si>
    <t>scarcity changes how people allocate attention</t>
  </si>
  <si>
    <t>Poor participants performedworse  than did rich participants  in the attention task (Dots-Mixed Task). 
The poor engage more deeply and could be more fatigued despite spending less time on the WHeel of Fortune task. 
[F(1, 54) = 4.16, P &lt; 0.05]</t>
  </si>
  <si>
    <t>p. 683</t>
  </si>
  <si>
    <t>https://osf.io/qb4f4</t>
  </si>
  <si>
    <t>Shah et al (2012) - Replication Report</t>
  </si>
  <si>
    <t>We measured the total number of correct responses in the attention task. Four participants were removed from the analyses for having zero correct responses. Poor participants performed worse (mean T SD, 45.12 T 15.87) than did rich participants</t>
  </si>
  <si>
    <t>=(44.63-45.07)/SQRT(((321-1)*14.69^2+(298-1)*14.75^2)/(321+298-2)))</t>
  </si>
  <si>
    <t>Camereretal2018_2</t>
  </si>
  <si>
    <t>Camereretal2018_2_1</t>
  </si>
  <si>
    <t>This replication draws upon values that appear to be direct from the orignal authors that are not published direct in the manuscript or the SMs- t(14) = 13.07, p &lt; 0.0001
Values recorded here  are these values in the abscence of other meaningful values in the original paper or supplementary materials. There is an ANOVA reported in the manuscript that relates to this value, and a p value for this post hoc test - but not the specfic T values etc needed for a claim of this specificity. Tehse values are available directly in the osf files relating to this replication - e.g. the post-data collection report: "tests the hypothesis of a higher mean valence rating of winning bodies versus losing bodies in the “body treatment” in Experiment 1; within subjects variation, paired t-test, t(14) = 13.07, p &lt; 0.0001, p. 1226 and Fig. 1c"</t>
  </si>
  <si>
    <t>- Estimated original effect size should not be r (this is a converted value from the replication study, not the original paper). The corresponding effect size value in the replication report was r = 0.961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</si>
  <si>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Aviezer, H., Trope, Y., &amp; Todorov, A. (2012). Body cues, not facial expressions, discriminate between intense positive and negative emotions. Science, 338(6111), 1225-1229.</t>
  </si>
  <si>
    <t>10.1126/science.1224313</t>
  </si>
  <si>
    <t>10.1126--science.1224313.pdf</t>
  </si>
  <si>
    <t>https://osf.io/367yu</t>
  </si>
  <si>
    <t>emotion discrimination</t>
  </si>
  <si>
    <t>Body cues, not facial expressions, discriminate between intense positive and negative emotions</t>
  </si>
  <si>
    <t>Affective valence was higher for winners than losers when ratings were based on the body alone (p&lt; 0.001)</t>
  </si>
  <si>
    <t>p. 1226</t>
  </si>
  <si>
    <t>, t(14) = 13.07</t>
  </si>
  <si>
    <t>p. 48 (of Camerer SMs, Supplementary Table 1), p. 1 of post-data collection report</t>
  </si>
  <si>
    <t>https://osf.io/69xfj</t>
  </si>
  <si>
    <t>Aviezer et al (2012) - Replication Report.pdf</t>
  </si>
  <si>
    <t>participants failed to rate the affective valence of winners as more positive than the affective valence of losers when seeing the face alone, they succeeded when seeing the body alone</t>
  </si>
  <si>
    <t>Camereretal2018_11</t>
  </si>
  <si>
    <t>Camereretal2018_11_1</t>
  </si>
  <si>
    <t>p. 378, Table 1 of original study reports partial omega squared as 0.05</t>
  </si>
  <si>
    <t>- Changed effect_o to test stat as that can be converted, and matches repl report
- P-values tails replication is selected as 2 as post-completion replication report reports a two-sided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</si>
  <si>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Kidd, D. C., &amp; Castano, E. (2013). Reading literary fiction improves theory of mind. Science, 342(6156), 377-380.</t>
  </si>
  <si>
    <t>https://osf.io/s73x6</t>
  </si>
  <si>
    <t>Reading literary fiction improves theory of mind</t>
  </si>
  <si>
    <t>Theory of Mind task scores were higher in the literary fiction than nonfiction condition [F1,82 = 6.40, p =0.01]</t>
  </si>
  <si>
    <t>p. 378</t>
  </si>
  <si>
    <t>F(1, 82) = 6.40</t>
  </si>
  <si>
    <t>https://osf.io/bmnca</t>
  </si>
  <si>
    <t>Kidd and Castano (2013) - Replication Report.pdf</t>
  </si>
  <si>
    <t>Scores for the affective ToM task were higher in the literary fiction than nonfiction condition</t>
  </si>
  <si>
    <t>=(25.85-25.4)/SQRT(((365-1)*5.47^2+(349-1)*5.5^2)/(365+349-2)))</t>
  </si>
  <si>
    <t>Camereretal2018_21</t>
  </si>
  <si>
    <t>Camereretal2018_21_1</t>
  </si>
  <si>
    <t xml:space="preserve">- Estimated original effect size should not be r (this is a converted value from the replication study, not the original paper). The corresponding effect size value in the replication report was r = 0.674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 Coder 2 uses a more precise set of p-values on this row, this is drawn from the post-data collection report but are not inconsistent with the main replicaiton porject manuscript. For consistency across all rows where information is present in teh main project paper these are the values that are used. </t>
  </si>
  <si>
    <t>https://osf.io/qwked</t>
  </si>
  <si>
    <t>participants typically do not enjoy spending 6 to 15 minutes in a room by themselves with nothing to do but think</t>
  </si>
  <si>
    <t>Participants enjoyed the external activities much more than just thinking [t(28) = 4.83, P &lt; 0.001].</t>
  </si>
  <si>
    <t>p. 76</t>
  </si>
  <si>
    <t>=(3.2-6.87)/SQRT(((15-1)*2.23^2+(15-1)*1.91^2)/(15+15-2)))</t>
  </si>
  <si>
    <t>https://osf.io/27cuc</t>
  </si>
  <si>
    <t>Wilson et al (2014) - Replication Report</t>
  </si>
  <si>
    <t>participants enjoyed the external activities much more than just thinking</t>
  </si>
  <si>
    <t>Camereretal2018_7</t>
  </si>
  <si>
    <t xml:space="preserve">The original N is found only in the Camerer Supplemental Table 3, printed as N = 178. However, assuming the total original N  of 449 is divided equally across 5 conditions - two of which are compared for the main claim of interest - the number 178 makes sense. </t>
  </si>
  <si>
    <r>
      <rPr>
        <rFont val="Calibri"/>
        <color rgb="FFFF0000"/>
        <sz val="11.0"/>
      </rPr>
      <t xml:space="preserve">PLEASE CHECK ME: 
- The inter-coder discrepancy on the sample sizes for original study was explored as follows - coder 2 had reported total N, coder 1 reported N from the replication table (178) which was estimated to be accurate for the relevant 2 groups for the effect of interest. This was then clarified during validation in post-data collection report as follows: "the original sample size was 180 observations (2 out of 5 randomly assigned treatment to a subject pool of n= 449)". However - the discrepancy between 178 (in the replication table)  and 180 (in the post-data collection report)  remains unclear and should be resolved centrally. 
</t>
    </r>
    <r>
      <rPr>
        <rFont val="Calibri"/>
        <color theme="1"/>
        <sz val="11.0"/>
      </rPr>
      <t xml:space="preserve"> - Estimated original effect size should not be r (this is a converted value from the replication study, not the original paper). The corresponding effect size value in the replication report was r = 0.223. 
- Estimated replicaiton effected size - the coder 2 calclalted value (cohen's h in R) was discarded in favour of the value from the replication Table.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r>
  </si>
  <si>
    <t>Gneezy, U., Keenan, E. A., &amp; Gneezy, A. (2014). Avoiding overhead aversion in charity. Science, 346(6209), 632-635.</t>
  </si>
  <si>
    <t>10.1126/science.1253932</t>
  </si>
  <si>
    <t>10.1126--science.1253932.pdf</t>
  </si>
  <si>
    <t xml:space="preserve">https://osf.io/7ch92 </t>
  </si>
  <si>
    <t>Avoiding overhead aversion in charity</t>
  </si>
  <si>
    <t xml:space="preserve">When 50% covered overhead, 71.43% of participants donated to charity: water, which  is significantly higher than when  there is a 50% uncovered
overhead, (z = 3.00, P &lt; 0.01). </t>
  </si>
  <si>
    <t>p. 633</t>
  </si>
  <si>
    <t>=(0.493/(1-0.493))/(0.7143/(1-0.7143))</t>
  </si>
  <si>
    <t>https://osf.io/mwzdy</t>
  </si>
  <si>
    <t>Camereretal2018_7_1</t>
  </si>
  <si>
    <t>Gneezy et al (2014) - Replication Report.pdf</t>
  </si>
  <si>
    <t>https://osf.io/7ch92</t>
  </si>
  <si>
    <t>at 50% covered overhead, 71.43% of participants donated to charity: water, which is significantly higher than those in treatment three (50% uncovered overhead</t>
  </si>
  <si>
    <t>in R, h &lt;- 2 * (asin(sqrt(0.7277)) - asin(sqrt(0.5512)))</t>
  </si>
  <si>
    <t>Manylabs2_01</t>
  </si>
  <si>
    <t>Manylabs2_01_1</t>
  </si>
  <si>
    <t>The effect being replicated - namely that disgust sensitivity and perceived intentionality are more strongly related when people consider gay kissing than when they consider kissing in general - is not formally tested in the original paper, but justified with a qualitative comparison of two correlations. Therefore, coded effect size calculated in replication report.</t>
  </si>
  <si>
    <t>Inbar, Y., Pizarro, D. A., Knobe, J., &amp; Bloom, P. (2009). Disgust sensitivity predicts intuitive disapproval of gays. Emotion, 9(3), 435–439. https://doi.org/10.1037/a0015960</t>
  </si>
  <si>
    <t>10.1037/a0015960</t>
  </si>
  <si>
    <t>10.1037--a0015960.pdf</t>
  </si>
  <si>
    <t>Klein, R. A., Vianello, M., Hasselman, F., Adams, B. G., Adams Jr, R. B., Alper, S., ... &amp; Sowden, W. (2018). Many Labs 2: Investigating variation in replicability across samples and settings. Advances in Methods and Practices in Psychological Science, 1(4), 443-490.</t>
  </si>
  <si>
    <t>10.1177/2515245918810225</t>
  </si>
  <si>
    <t>10.1177--2515245918810225.pdf</t>
  </si>
  <si>
    <t>disgust, disgust sensitivity, moral judgment, homosexuality</t>
  </si>
  <si>
    <t>disgust sensitivity is associated with stronger judgments of intentionality</t>
  </si>
  <si>
    <t>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</si>
  <si>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p. 437</t>
  </si>
  <si>
    <t>q</t>
  </si>
  <si>
    <t>from replication report - diff in correlations was not formally tested</t>
  </si>
  <si>
    <t>p. 457</t>
  </si>
  <si>
    <t>https://osf.io/ejcfw</t>
  </si>
  <si>
    <r>
      <rPr>
        <rFont val="Arial"/>
        <sz val="11.0"/>
      </rPr>
      <t xml:space="preserve">Inbar, Y., Pizarro, D. A., Knobe, J., &amp; Bloom, P. (2009). Disgust sensitivity predicts intuitive disapproval of gays. Emotion, 9(3), 435–439. </t>
    </r>
    <r>
      <rPr>
        <rFont val="Arial"/>
        <color rgb="FF1155CC"/>
        <sz val="11.0"/>
        <u/>
      </rPr>
      <t>https://doi.org/10.1037/a0015960</t>
    </r>
  </si>
  <si>
    <t>Encouraging gay kissing than generally encouraging kissing</t>
  </si>
  <si>
    <t>"participants viewed the director’s action as more intentional when he encouraged public gay kissing (M  4.36) than when he encouraged public straight kissing (M  2.91), β =  .41, t(39) = 3.39, p &lt; .01 "," disgust sensitivity predicts implicit moral responses to male-male sexual contact—as measured through intentionality judgments—though it does not predict explicit responses"</t>
  </si>
  <si>
    <t>t(39) = 3.39</t>
  </si>
  <si>
    <t>Manylabs2_01_1_b</t>
  </si>
  <si>
    <r>
      <rPr>
        <rFont val="Arial"/>
        <color rgb="FF1155CC"/>
        <sz val="11.0"/>
        <u/>
      </rPr>
      <t xml:space="preserve">Inbar, Y., Pizarro, D. A., Knobe, J., &amp; Bloom, P. (2009). Disgust sensitivity predicts intuitive disapproval of gays. Emotion, 9(3), 435–439. </t>
    </r>
    <r>
      <rPr>
        <rFont val="Arial"/>
        <color rgb="FF1155CC"/>
        <sz val="11.0"/>
        <u/>
      </rPr>
      <t>https://doi.org/10.1037/a0015960</t>
    </r>
  </si>
  <si>
    <t>"in the gay kissing condition, disgust sensitivity was associated with stronger judgments of intentionality, β =  .79, t(19) = 4.49, p &lt;  .001, "," disgust sensitivity predicts implicit moral responses to male-male sexual contact—as measured through intentionality judgments—though it does not predict explicit responses"</t>
  </si>
  <si>
    <t>t(19) = 4.49</t>
  </si>
  <si>
    <t>Manylabs2_01_1_c</t>
  </si>
  <si>
    <r>
      <rPr>
        <rFont val="Arial"/>
        <sz val="11.0"/>
      </rPr>
      <t xml:space="preserve">Inbar, Y., Pizarro, D. A., Knobe, J., &amp; Bloom, P. (2009). Disgust sensitivity predicts intuitive disapproval of gays. Emotion, 9(3), 435–439. </t>
    </r>
    <r>
      <rPr>
        <rFont val="Arial"/>
        <color rgb="FF1155CC"/>
        <sz val="11.0"/>
        <u/>
      </rPr>
      <t>https://doi.org/10.1037/a0015960</t>
    </r>
  </si>
  <si>
    <t>disgust sensitivity not predicting intentionality judgments (control condition)</t>
  </si>
  <si>
    <t>"while in the control condition, disgust sensitivity did not predict intentionality judgments, β = .20, t(19) = .88, ns (see Figure 1) "," disgust sensitivity predicts implicit moral responses to male-male sexual contact—as measured through intentionality judgments—though it does not predict explicit responses"</t>
  </si>
  <si>
    <t xml:space="preserve"> t(19) = .88</t>
  </si>
  <si>
    <t>Manylabs2_02</t>
  </si>
  <si>
    <t>Manylabs2_02_1</t>
  </si>
  <si>
    <t>The z score for the original difference in correlations analysis was recalculated as a q value in the replication study - stands at q = 0.48 in the  recalcuations as reported in the replication paper</t>
  </si>
  <si>
    <t>This row is chosen (could equally have been the row 02_c from coder 2) as it specifically looks at comparing the difference in correlations between the two studies (original versus replication)</t>
  </si>
  <si>
    <t>Schwarz, N., Strack, F., &amp; Mai, H. P. (1991). Assimilation and contrast effects in part-whole question sequences: A conversational logic analysis. Public Opinion Quarterly, 55, 3–23. doi:10.1086/269239 Study 1</t>
  </si>
  <si>
    <t>10.1086/269239</t>
  </si>
  <si>
    <t>10.1086--269239.pdf</t>
  </si>
  <si>
    <t>Assimilation and Contrast</t>
  </si>
  <si>
    <t>assimilation effects, contrast effects, general question, specific question, judgement</t>
  </si>
  <si>
    <t>Assimilation and contrast effects in question sequences</t>
  </si>
  <si>
    <t>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</si>
  <si>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z = 2.32, N = 100</t>
  </si>
  <si>
    <t>p.  11</t>
  </si>
  <si>
    <t>p. 465</t>
  </si>
  <si>
    <t>further effects - some already single-coded</t>
  </si>
  <si>
    <t>This is not the main replication effect</t>
  </si>
  <si>
    <t>aggregate replication</t>
  </si>
  <si>
    <t>theoretical model</t>
  </si>
  <si>
    <t>Correlation between the responses to the two questions when the specific question is asked first</t>
  </si>
  <si>
    <t>"the correlation between both measures increased from r = .32, in the general-specific condition, to r = .67 "," when the specific question preceded the life-satisfaction question "," indicating that respondents used the previously activated specific information in answering the general question"</t>
  </si>
  <si>
    <t>Manylabs2_02_b</t>
  </si>
  <si>
    <t>Correlation between the responses to the two questions when the specific question is asked second</t>
  </si>
  <si>
    <t>"the correlation between both measures increased from r = .32, in the general-specific condition "," indicating that respondents used the previously activated specific information in answering the general question"</t>
  </si>
  <si>
    <t>Manylabs2_02_c</t>
  </si>
  <si>
    <t>This is the main replication effect (the difference in correlations) but the effect size is not extracted correctly - a test statistic instead of a q value is reported.</t>
  </si>
  <si>
    <t>The difference between the correlations</t>
  </si>
  <si>
    <t>"z = 2.32, p &lt; .01 for the difference in correlations, when the specific question preceded the life-satisfaction question "," indicating that respondents used the previously activated specific information in answering the general question"</t>
  </si>
  <si>
    <t>Manylabs2_03</t>
  </si>
  <si>
    <t>Manylabs2_03_1</t>
  </si>
  <si>
    <t>Contrasted US to WEIRD samples - all other comparisons are not general replications</t>
  </si>
  <si>
    <t>Miyamoto, Y., &amp; Kitayama, S. (2002). Cultural variation in correspondence bias: The critical role of attitude diagnosticity of socially constrained behavior. Journal of Personality and Social Psychology, 83, 1239–1248. doi:10.1037/0022-3514.83.5.1239 Study 1</t>
  </si>
  <si>
    <t>10.1037/0022-3514.83.5.1239</t>
  </si>
  <si>
    <t>10.1037--0022-3514.83.5.1239.pdf</t>
  </si>
  <si>
    <t>Correspondence bias</t>
  </si>
  <si>
    <t>Many Labs 2</t>
  </si>
  <si>
    <t>Correspondence bias (WEIRD samples)</t>
  </si>
  <si>
    <t>[Replication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</si>
  <si>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p. 1242</t>
  </si>
  <si>
    <t>Table 1: =(10.82-3.3)/SQRT((3.47^2+2.62^2)/2)</t>
  </si>
  <si>
    <t>Manylabs2_03_1_b</t>
  </si>
  <si>
    <t>Contrasted Japan to non-weird samples</t>
  </si>
  <si>
    <t>Correspondence bias (less WEIRD samples)</t>
  </si>
  <si>
    <t>=(9.27-7.02)/SQRT((2.88^2+3.06^2)/2)</t>
  </si>
  <si>
    <t>There is a huge discrepancy between the results in the original paper and the replication study for study one and the claim texts are not clear</t>
  </si>
  <si>
    <t>attitude, behaviour, correspondence, bias</t>
  </si>
  <si>
    <t>perceived attitudes of the writer who wrote in favor of capital punishment</t>
  </si>
  <si>
    <t>There is a huge discrepancy between the results in the original paper and the replication study for study one, and the claim texts are not clear</t>
  </si>
  <si>
    <t>perceived attitudes of the writer who wrote against capital punishment</t>
  </si>
  <si>
    <t>Manylabs2_04</t>
  </si>
  <si>
    <t>Manylabs2_04_1</t>
  </si>
  <si>
    <t>Knobe, J. (2003). Intentional action and side effects in ordinary language. Analysis, 63(3), 190-194. Study 1</t>
  </si>
  <si>
    <t>3329308.pdf</t>
  </si>
  <si>
    <t>Perceived intentionality for side effects</t>
  </si>
  <si>
    <t>intentional action, folk psychology, prediction, explanation, control, behaviour</t>
  </si>
  <si>
    <t>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</si>
  <si>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
  </si>
  <si>
    <t>p. 192</t>
  </si>
  <si>
    <t>p. 192: =(0.82/(1-0.82))/(0.23/(1-0.23))</t>
  </si>
  <si>
    <t>2 further effects</t>
  </si>
  <si>
    <t>The paper existing in the replication is for Knobe (2003) which has no statistical values in Study 1 yet the paper for the row is published in 2006</t>
  </si>
  <si>
    <t>Knobe, J. (2006). The concept of intentional action: A case study in the uses of folk psychology. Philosophical Studies, 130, 203–231. doi:10.1007/s11098-004-4510-0 Study 1</t>
  </si>
  <si>
    <t>10.1007/s11098-004-4510-0</t>
  </si>
  <si>
    <t>Manylabs2_05</t>
  </si>
  <si>
    <t>Manylabs2_05_1</t>
  </si>
  <si>
    <t>Dilemma 1 taken to be the comparison between scenario 1 and 2 for the  principle of double effect</t>
  </si>
  <si>
    <t xml:space="preserve">- Replication effect size was reported both as OR (coder 2) and as cohen's d (coder 1) - both are accurate, however cohen's d was chosen as it aligns with Tables of the replication study and with the difference in effect size calculations in the replication project. 
- For study number - there are 2 scenarios under review (scenarios 1 and 2) that are being compared, the scenario numbers are taken as study numbers here. 
- p value was calculated using the spreadsheet formula function to report accurately. </t>
  </si>
  <si>
    <t>Hauser, M. D., Cushman, F. A., Young, L., Jin, R., &amp; Mikhail, J. M. (2007). A dissociation between moral judgments and justifications. Mind &amp; Language, 22, 1–21. doi:10.1111/ j.1468-0017.2006.00297.x Scenarios 1 and 2</t>
  </si>
  <si>
    <t>10.1111/ j.1468-0017.2006.00297.x</t>
  </si>
  <si>
    <t>Scenarios 1 &amp; 2</t>
  </si>
  <si>
    <t>10.1111-- j.1468-0017.2006.00297.x.pdf</t>
  </si>
  <si>
    <t>Trolley Dilemma</t>
  </si>
  <si>
    <t>double effect, moral judgments, justifications, moral dilemma</t>
  </si>
  <si>
    <t>an act that harms other people is seen as more morally permissible if the act is a foreseen side effect rather than the means to the greater good</t>
  </si>
  <si>
    <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</si>
  <si>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p. 7, =(0.89/(1-0.89))/(0.11/(1-0.11))</t>
  </si>
  <si>
    <t>p. 459</t>
  </si>
  <si>
    <t>1 &amp; 2</t>
  </si>
  <si>
    <t>The difference in proportions of permeability judgements</t>
  </si>
  <si>
    <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 Such information might relate to the principle of the double effect, or might also include the fact that Frank makes physical contact with a person, whereas Denise does not, or that Frank introduces a new threat whereas Denise redirects an existing threat."</t>
  </si>
  <si>
    <t>Manylabs2_06</t>
  </si>
  <si>
    <t>Manylabs2_06_1</t>
  </si>
  <si>
    <t xml:space="preserve">The replication paper appears to have a type in the reported F value for the supermarket scenarios.
F = 17.7 in the replication paper is F = 17.27 in the original paper. </t>
  </si>
  <si>
    <t>Ross, L., Greene, D., &amp; House, P. (1977). The “false consensus effect”: An egocentric bias in social perception and attribution processes. Journal of Experimental Social Psychology, 13, 279–301. doi:10.1016/0022-1031(77)90049-X Study 1 - supermarket scenario</t>
  </si>
  <si>
    <t>10.1016/0022-1031(77)90049-X</t>
  </si>
  <si>
    <t>10.1016--0022-1031(77)90049-x.pdf</t>
  </si>
  <si>
    <t>False consensus</t>
  </si>
  <si>
    <t>false consensus, egocentric bias, social perception, attribution processes, choices</t>
  </si>
  <si>
    <t>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</si>
  <si>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 </t>
  </si>
  <si>
    <t>F(1, 78) = 17.27</t>
  </si>
  <si>
    <t>p. 283</t>
  </si>
  <si>
    <t>p. 460</t>
  </si>
  <si>
    <t>Manylabs2_06_1_b</t>
  </si>
  <si>
    <t>Ross, L., Greene, D., &amp; House, P. (1977). The “false consensus effect”: An egocentric bias in social perception and attribution processes. Journal of Experimental Social Psychology, 13, 279–301. doi:10.1016/0022-1031(77)90049-X Study 1 - traffic tickets</t>
  </si>
  <si>
    <t>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</si>
  <si>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 </t>
  </si>
  <si>
    <t>F(1, 78) = 12.8</t>
  </si>
  <si>
    <t>Ross, L., Greene, D., &amp; House, P. (1977). The “false consensus effect”: An egocentric bias in social perception and attribution processes. Journal of Experimental Social Psychology, 13, 279–301. doi:10.1016/0022-1031(77)90049-X Study 1</t>
  </si>
  <si>
    <t>False consensus effect</t>
  </si>
  <si>
    <t>False consensus: supermarket scenario (Slate 1)</t>
  </si>
  <si>
    <t>"For two of the stories (Supermarket Story and Term Paper Story), the effect of Rater’s Own Choice upon the difference in ratings for the two behavioral alternatives was clearly significant, F(1,78) = 17.27, p &lt; .001  "," like perceptions of behavioral consensus, trait inferences are systematically influenced by the rater’s own behavioral choices, although the effect is less consistent for the latter measure than the former"</t>
  </si>
  <si>
    <t>F(1, 78) = 17.7</t>
  </si>
  <si>
    <t>False consensus: traffic-ticket scenario (Slate 2)</t>
  </si>
  <si>
    <t>"For one story (Traffic Ticket Story) the effect was marginally significant, F = 3.18, p &lt; .10, "," like perceptions of behavioral consensus, trait inferences are systematically influenced by the rater’s own behavioral choices, although the effect is less consistent for the latter measure than the former"</t>
  </si>
  <si>
    <t>Manylabs2_07</t>
  </si>
  <si>
    <t>Manylabs2_07_1</t>
  </si>
  <si>
    <t>This row was chosen over the other 07_1 row from coder 2 as it had a more accurate calculation of the p value represented for the replication effect</t>
  </si>
  <si>
    <t>Gray, K., &amp; Wegner, D. M. (2009). Moral typecasting: Divergent perceptions of moral agents and moral patients. Journal of Personality and Social Psychology, 96, 505–520. doi:10.1037/a0013748 Study 1a</t>
  </si>
  <si>
    <t>10.1037/a0013748</t>
  </si>
  <si>
    <t>10.1037--a0013748.pdf</t>
  </si>
  <si>
    <t>Moral typecasting</t>
  </si>
  <si>
    <t>morality, perception, judgment, decision making, reasoning</t>
  </si>
  <si>
    <t>People rated the child as less responsible than the adult, t(68) = 3.32, p &lt; .01.</t>
  </si>
  <si>
    <t>p. 508</t>
  </si>
  <si>
    <t>t(68) =  3.32</t>
  </si>
  <si>
    <t>p. 464</t>
  </si>
  <si>
    <t>This is a main replication effect of interest</t>
  </si>
  <si>
    <t>Degree to which the person who committed the act is responsible</t>
  </si>
  <si>
    <t>"People rated the child as less responsible than the adult, t(68)  3.32, p  .01 "," age of harm-doer and age of victim have complementary effects on perceptions of moral agency and moral patiency the older victim is seen as more responsible, and the younger victim is seen as more harmed"</t>
  </si>
  <si>
    <t>t(68) = 3.32</t>
  </si>
  <si>
    <t>Manylabs2_07_1_b</t>
  </si>
  <si>
    <t>This is not the main replication result - should it be retained?</t>
  </si>
  <si>
    <t xml:space="preserve"> how intentional the act is</t>
  </si>
  <si>
    <t>"People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</si>
  <si>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t(68) = 2.20</t>
  </si>
  <si>
    <t>Manylabs2_07_1_c</t>
  </si>
  <si>
    <t xml:space="preserve"> how much pain is felt by the victim</t>
  </si>
  <si>
    <t>"Relative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</si>
  <si>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t(68)  = 3.49</t>
  </si>
  <si>
    <t>Manylabs2_8</t>
  </si>
  <si>
    <t>Manylabs2_8_1</t>
  </si>
  <si>
    <t xml:space="preserve">The original study reports results for different cultural groups separately to compare them against each other. The replication compared a general sample only - here two of the three subsamples from the original study are compared to the replication sample - it is unclear if this is the right thing to do here. </t>
  </si>
  <si>
    <t>Norenzayan, A., Smith, E. E., Kim, B. J., &amp; Nisbett, R. E. (2002). Cultural preferences for formal versus intuitive reasoning. Cognitive Science, 26, 653–684. doi:10.1207/ s15516709cog2605_4 Study 2</t>
  </si>
  <si>
    <t>10.1207/ s15516709cog2605_4</t>
  </si>
  <si>
    <t>10.1207-- s15516709cog2605_4.pdf</t>
  </si>
  <si>
    <t>cross-cultural analysis, epistemology, reasoning, concepts</t>
  </si>
  <si>
    <t>Preferences for formal versus intuitive Reasoning (european americans)</t>
  </si>
  <si>
    <t>When participants were asked to judge the similarity of the target object to the categories: European Americans gave many more responses based on the unidimensional rule than on family resemblance (M = 69% vs. M = 31%), t(17) = 3.68, p&lt;.005.</t>
  </si>
  <si>
    <t>p. 666</t>
  </si>
  <si>
    <t>t(17) = 3.68</t>
  </si>
  <si>
    <t>p. 463</t>
  </si>
  <si>
    <t>Manylabs2_8_1_b</t>
  </si>
  <si>
    <t xml:space="preserve">Coder 2 did not report any values for this "study" - therefore it has not been double coded </t>
  </si>
  <si>
    <t>Norenzayan, A., Smith, E. E., Kim, B. J., &amp; Nisbett, R. E. (2002). Cultural preferences for formal versus intuitive reasoning. Cognitive Science, 26, 653–684. doi:10.1207/ s15516709cog2605_4 Study 3</t>
  </si>
  <si>
    <t>Preferences for formal versus intuitive Reasoning (east asians)</t>
  </si>
  <si>
    <t>When participants were asked to judge the similarity of the target object to the categories: East Asians gave fewer rule-based responses than family resemblance responses (M =41%vs.M =59%), t(17) = 2.09,p = .05</t>
  </si>
  <si>
    <t>p. 667</t>
  </si>
  <si>
    <t>t(17) = 2.09</t>
  </si>
  <si>
    <t>This task requires validation because of the confusing statistics reported in the original study</t>
  </si>
  <si>
    <t xml:space="preserve">classification whether the mean percentages for the two experimental (judgment condition (decide “which group the target object belongs to”) or “which group the target object is more similar to)”                                                                                                                                                                                                                                                                                                                                                                                                                      </t>
  </si>
  <si>
    <t>"only a main effect of judgment condition emerged, indicating that participants overall were slower when classifying than when judging similarity (in ms: M = 7,516 and SD = 3,160 vs. M = 6,260 and SD = 4,379), F (1, 151) = 4.25, p&lt;.05. There were no main effects of culture, F &lt; 1, or culture by judgment condition interaction, F &lt; 1"</t>
  </si>
  <si>
    <t>F (1, 151) = 4.25</t>
  </si>
  <si>
    <t xml:space="preserve"> There is no information on the "Preferences for formal versus intuitive reasoning: Norenzayan, Smith, Kim, and Nisbett (2002, Study 3) to compare with the original study</t>
  </si>
  <si>
    <t>Manylabs2_9</t>
  </si>
  <si>
    <t>Manylabs2_9_1</t>
  </si>
  <si>
    <t xml:space="preserve">P value reported using spreadsheet formula function for accuracy. </t>
  </si>
  <si>
    <t>Hsee, C. K. (1998). Less is better: When low-value options are valued more highly than high-value options. Journal of Behavioral Decision Making, 11, 107–121. doi:10.1002/(SICI)1099-0771(199806)11:2&lt;107::AIDBDM292&gt;3.0.CO;2-Y Study 1</t>
  </si>
  <si>
    <t>10.1002/(SICI)1099-0771(199806)11:2%3C107::AID-BDM292%3E3.0.CO;2-Y</t>
  </si>
  <si>
    <t>10.1002--(sici)1099-0771(199806)11:2%3c107::aid-bdm292%3e3.0.co;2-y.pdf</t>
  </si>
  <si>
    <t>Less-is-better effect</t>
  </si>
  <si>
    <t>preference reversal, evaluability, dominance violation, joint and separate evaluation, willingness to pay</t>
  </si>
  <si>
    <t>A less expensive gift can be perceived as more generous than a more expensive gift when the less expensive gift is a high-priced item compared with other items in its category, and the more expensive item is a low-priced item compared with other items in its category</t>
  </si>
  <si>
    <t>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</si>
  <si>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p. 109</t>
  </si>
  <si>
    <t>t(82) = 3.13</t>
  </si>
  <si>
    <t>The less-is-better effect, wherein a less expensive gift can be perceived as more generous than a more expensive gift when the less expensive gift is a high-priced item compared with other items in its category, and the more expensive item is a low-priced item compared with other items in its category</t>
  </si>
  <si>
    <t>"Although the $55 coat is certainly more expensive than the $45 scarf, those receiving the scarf considered their gift giver to be significantly more generous than those receiving the coat (M = 5.63 and 5.00, respectively, t = 3:13; p &lt; 0:01) "," If gift givers want their gift recipients to perceive them as generous, it is better for them to give a high-value item from a low-value product category (e.g. a $45 scarf) rather than a low-value item from a high-value product category (e.g. a $55 coat)"</t>
  </si>
  <si>
    <t>t = 3.13</t>
  </si>
  <si>
    <t>Manylabs2_10</t>
  </si>
  <si>
    <t>Manylabs2_10_1</t>
  </si>
  <si>
    <t>N = 180, total sample of both Hong Kong (N=100) and USA participants (N=80), combined samples</t>
  </si>
  <si>
    <t>Chosen for greater accuracy of reporting of pvalues, sample sizes, and test statistics - however, the values are hard to disentangle and could be worth examining in more detail.</t>
  </si>
  <si>
    <t>Huang, Y., Tse, C. S., &amp; Cho, K. W. (2014). Living in the north is not necessarily favorable: Different metaphoric associations between cardinal direction and valence in Hong Kong and in the United States. European Journal of Social Psychology, 44, 360–369. doi:10.1002/ejsp.2013 Study 1a</t>
  </si>
  <si>
    <t>10.1002/ejsp.2013</t>
  </si>
  <si>
    <t>10.1002--ejsp.2013.pdf</t>
  </si>
  <si>
    <t>cardinal direction, valence, preference, cultural differences, metaphoric associations</t>
  </si>
  <si>
    <t>Cardinal direction and socioeconomic status (all participants)</t>
  </si>
  <si>
    <t xml:space="preserve">For the south–north axis, the interaction between SES and population was significant, F(1, 176) = 20.39, MSE = 5.63, p &lt; .001, η2p = 0.10.
</t>
  </si>
  <si>
    <t>p. 44</t>
  </si>
  <si>
    <t>p. 454</t>
  </si>
  <si>
    <t>Manylabs2_10_1_b</t>
  </si>
  <si>
    <t>N = USA sample of 80</t>
  </si>
  <si>
    <t>Cardinal direction and socioeconomic status (western participants)</t>
  </si>
  <si>
    <t xml:space="preserve">US participants considered that high-SES andlow-SES individuals were more likely to live in the northern(+0.98, SD = 1.85), t(39) = 3.34, p &lt; .01, d = 0.53, and southernareas (_x0001_0.69, SD = 2.19), t(39) = 2.00, p = .05, d = 0.32, respectively. </t>
  </si>
  <si>
    <t>Manylabs2_10_1_c</t>
  </si>
  <si>
    <t>N = Hong Kong sample of 100</t>
  </si>
  <si>
    <t>Cardinal direction and socioeconomic status (non-western participants)</t>
  </si>
  <si>
    <t>HK participants considered that high-SESand low-SES individuals were more likely to live in the southern area (0.92, SD = 2.47), t(49) = 2.62, p = .01, d = 0.37, and descriptively but not signiﬁcantly in the northern area (+0.63,SD = 2.75), t(49) = 1.61, p = .11, d = 0.23, respectively.</t>
  </si>
  <si>
    <t>The reported test statistics in the original study are a bit confusing; therefore needs to be validated</t>
  </si>
  <si>
    <t>Interaction between SES (high vs. low) and population (United States vs. Hong Kong)</t>
  </si>
  <si>
    <t xml:space="preserve">"the interaction between SES and population was significant, F(1, 176) = 20.39, MSE = 5.63, p &lt; .001, η2p 1= 0.10 "," participants differing in demographic knowledge about the affluent population distribution have different cardinal direction–valence metaphoric associations" </t>
  </si>
  <si>
    <t>Likelihood of living preference for high-SES and low-SES individuals (US participants)</t>
  </si>
  <si>
    <t>"US participants considered that high-SES and low-SES individuals were more likely to live in the northern (+0.98, SD = 1.85), t(39) = 3.34, p &lt; .01, d = 0.53, and southern areas (0.69, SD = 2.19), t(39) = 2.00, p = .05, d = 0.32, respectively "," participants differing in demographic knowledge about the affluent population distribution have different cardinal direction–valence metaphoric associations"</t>
  </si>
  <si>
    <t>Likelihood of living preference for high-SES and low-SES individuals (Hong Kong participants)</t>
  </si>
  <si>
    <t>"HK participants considered that high-SES and low-SES individuals were more likely to live in the southern area (0.92, SD = 2.47), t(49) = 2.62, p = .01, d = 0.37, and descriptively but not significantly in the northern area (+0.63, SD = 2.75), t(49) = 1.61, p = .11, d = 0.23, respectively "," participants differing in demographic knowledge about the affluent population distribution have different cardinal direction–valence metaphoric associations"</t>
  </si>
  <si>
    <t>Manylabs2_11</t>
  </si>
  <si>
    <t>Manylabs2_11_1</t>
  </si>
  <si>
    <t>NB: The replication paper states teh OR should be OR = 4.96, however, based on the percent success in both frames we calculate at 5.203 (see repro value)</t>
  </si>
  <si>
    <t xml:space="preserve">PLEASE CHECK ME:
- Pvalue for replication calculated using spreadsheet formula function for accuracy. 
- Pvalue for original study was calculated in the replication only (not present in the original paper) - coder 2 chose to report this value, this has been discarded in validation. 
- Similarly - the replication paper states the OR should be OR = 4.96, however, based on the percent success in both frames we calculate at 5.203 (see repro value). the reproducible value is chosen here but the discrepancy is not understood. </t>
  </si>
  <si>
    <t>Tversky, A., &amp; Kahneman, D. (1981). The framing of decisions and the psychology of choice. Science, 211, 453–458. doi:10.1126/science.7455683 Study 10</t>
  </si>
  <si>
    <t>10.1126--science.7455683.pdf</t>
  </si>
  <si>
    <t>Framing</t>
  </si>
  <si>
    <t>decision problems, preference, perception, rational choice</t>
  </si>
  <si>
    <t>Effect of framing on decision making</t>
  </si>
  <si>
    <t>The response to the two versions of problem 10 were markedly different: 68 percent of the respondents were willing to make an extra trip to save $5 on a $15 calculator; only 29 percent were willing to exert the same effort when the price of the calculator was $125.</t>
  </si>
  <si>
    <t>=(0.68/(1-0.68))/(0.29/(1-0.29))</t>
  </si>
  <si>
    <t>There are no test statistics values apart from the percentages reported in the original study; hence, effect sizes calculated in the replication study have been noted</t>
  </si>
  <si>
    <t>"The response to the two versions of problem 10 were markedly different: 68 percent of the respondents were willing to make an extra trip to save $5 on a $15 calculator; only 29 percent were willing to exert the same effort when the price of the calculator was $125. Evidently the respondents do not frame problem 10 in the minimal account, which involves only a benefit of $5 and a cost of some inconvenience. Instead, they evaluate the potential saving in a more inclusive account, which includes the purchase of the calculator but not of the jacket. By the curvature of v, a discount of $5 has a greater impact when the price of the calculator is low than when it is high"</t>
  </si>
  <si>
    <t>Manylabs2_12</t>
  </si>
  <si>
    <t>Manylabs2_12_1</t>
  </si>
  <si>
    <t xml:space="preserve">This is the main replication effect of interest, however the statistics in teh original paper (including the sample size) are opaque at best. Help is needed to validate the number, particualrly as they differ from coder 2. </t>
  </si>
  <si>
    <t>Graham, J., Haidt, J., &amp; Nosek, B. A. (2009). Liberals and conservatives rely on different sets of moral foundations Journal of Personality and Social Psychology, 96, 1029– 1046. doi:10.1037/a0015141 Study 1</t>
  </si>
  <si>
    <t>10.1037/a0015141</t>
  </si>
  <si>
    <t>10.1037--a0015141.pdf</t>
  </si>
  <si>
    <t>moral foundations theory</t>
  </si>
  <si>
    <t>morality, ideology, liberal, conservative</t>
  </si>
  <si>
    <t>Moral foundations of liberals versus conservatives (binding foundations)</t>
  </si>
  <si>
    <t>Including the covariates, political identity still predicted all five foundations in the predicted direction, all ps &lt; .001. Political identity was the key explanatory variable: It was the only consistent significant predictor (average beta =  .25; range .16 to .34) for all five foundations</t>
  </si>
  <si>
    <t>p. 1032</t>
  </si>
  <si>
    <t>p. 1032 + 1033</t>
  </si>
  <si>
    <t>p. 455</t>
  </si>
  <si>
    <t>The statistics reported in the original study are confusing compared to those reported in the replication study; therefore needs validation</t>
  </si>
  <si>
    <t>Secondary replication target - also needs validating on numbers because of the diffculty tracking from the original manuscript across to the replicaiton project. 
NB - it is very unclear why there is a different aggregate sample size for this replication effect than the one prior (an arbitrary N = 4 difference?)</t>
  </si>
  <si>
    <t>Graham, J., Haidt, J., &amp; Nosek, B. A. (2009). Liberals andconservatives rely on different sets of moral foundations Journal of Personality and Social Psychology, 96, 1029– 1046. doi:10.1037/a0015141 Study 1</t>
  </si>
  <si>
    <t>Moral foundations of liberals versus conservatives (individualizing foundations)</t>
  </si>
  <si>
    <t>"the aggregated moral relevance ratings for individualizing foundations were higher than the aggregated ratings for the binding foundations, F(1, 1207) = 1,895.09, p &lt; .001, n2p =   .61 "," The moral thinking of liberals and conservatives may not be a matter of more versus less but of different opinions about what considerations are relevant to moral judgment"</t>
  </si>
  <si>
    <t>P. 14</t>
  </si>
  <si>
    <t>Manylabs2_12_1_b</t>
  </si>
  <si>
    <t>N= 1207+2 = 1209</t>
  </si>
  <si>
    <t>Items that emphasized concerns for the in-group, authority, or purity (binding foundations)</t>
  </si>
  <si>
    <t>"this effect was moderated by politics, F(1, 1207) = 224.34, p &lt;  .001, n2p =  .16, such that the more liberal participants showed a greater difference between the individualizing and binding moral foundations. "," The moral thinking of liberals and conservatives may not be a matter of more versus less but of different opinions about what considerations are relevant to moral judgment"</t>
  </si>
  <si>
    <t>P. 13</t>
  </si>
  <si>
    <t>Manylabs2_13</t>
  </si>
  <si>
    <t>Manylabs2_13_1</t>
  </si>
  <si>
    <t>changed effect size to odds ratio so that it can be auto-converted</t>
  </si>
  <si>
    <t>Hauser, M. D., Cushman, F. A., Young, L., Jin, R., &amp; Mikhail, J. M. (2007). A dissociation between moral judgments and justifications. Mind &amp; Language, 22, 1–21. doi:10.1111/j.1468-0017.2006.00297.x Study 1, Scenarios 3 and 4</t>
  </si>
  <si>
    <t>3 &amp; 4</t>
  </si>
  <si>
    <t>Trolley Dilemma: principle of double effect</t>
  </si>
  <si>
    <t>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</si>
  <si>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p. 8, =(0.72/(1-0.72))/(0.56/(1-0.56))</t>
  </si>
  <si>
    <t>p. 461</t>
  </si>
  <si>
    <t>1 (3 &amp; 4)</t>
  </si>
  <si>
    <t>"In Scenario 3, the intended harm case, 56% of subjects judged the action permissible (p[.53 &lt; μ &lt; .59] = 0.05), whereas in scenario 4, the foreseen harm case, 72% of subjects judged the action permissible (p[.69 &lt; μ &lt; .74] = 0.05). These percentages differ signifi cantly (2 [1, N = 2612] = 72.35, p &lt; 0.001), with an effect size of w = 0.17. This result indicates that, as a group, subjects make use of the principle of the double effect."</t>
  </si>
  <si>
    <t>Manylabs2_14</t>
  </si>
  <si>
    <t>Manylabs2_14_1</t>
  </si>
  <si>
    <t>Risen, J. L., &amp; Gilovich, T. (2008). Why people are reluctant to  tempt fate. Journal of Personality and Social Psychology, 95, 293–307. doi:10.1037/0022-3514.95.2.293 Study 2</t>
  </si>
  <si>
    <t>tempt fate, magical thinking, accessibility, negativity</t>
  </si>
  <si>
    <t>Reluctance to tempt fate</t>
  </si>
  <si>
    <t>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</si>
  <si>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p. 295</t>
  </si>
  <si>
    <t>The p-value of the original study has been recorded incorrectly in the replication study. Therefore, the p-value of the original study has been recorded</t>
  </si>
  <si>
    <t>The likelihood that the protagonist (themselves or Jon) would be called on by the professor</t>
  </si>
  <si>
    <t>"students were more likely to be called on if they had not done the reading (M  3.43, SD  2.34) than if they had (M  2.53, SD 2.24), F(1, 116)  4.60, p &lt; .05, d = 0.39 "," people believe that negative outcomes are more likely following behaviors that tempt fate"</t>
  </si>
  <si>
    <t>Manylabs2_15</t>
  </si>
  <si>
    <t>Manylabs2_15_1</t>
  </si>
  <si>
    <t xml:space="preserve">Table 1 of the original study report d= 0.80, however the replication study reports d= 0.87 for the original study. Looking at the values in Table 1  of the original study our reproducible calculation gives a value of 0.87 which is therefore reported here. Assumed to be a rounding error in the oriignal manuscript. </t>
  </si>
  <si>
    <t>Bauer, M. A., Wilkie, J. E., Kim, J. K., &amp; Bodenhausen, G. V. (2012). Cuing consumerism: Situational materialism undermines personal and social well-being. Psychological Science, 23, 517–523. doi:10.1177/0956797611429579 Study 4</t>
  </si>
  <si>
    <t>10.1177/0956797611429579</t>
  </si>
  <si>
    <t>10.1177--0956797611429579.pdf</t>
  </si>
  <si>
    <t>consumerism, materialism, situationism, social engagement, well-being, personal values</t>
  </si>
  <si>
    <t>Consumerism undermines trust</t>
  </si>
  <si>
    <t>The consumer framing resulted in lower feelings of personal responsibility for dealing with the resource dilemma, markedly lower trust in the other parties, and a significantly lower tendency to view the others as partners in facing the dilemma. t(76) = –3.86 p=.001 d =0.80</t>
  </si>
  <si>
    <t>p. 522 + p. 519 (Table 1)</t>
  </si>
  <si>
    <t>Table 1: =(4.08-5.33)/SQRT((1.56^2+1.3^2)/2)</t>
  </si>
  <si>
    <t>p. 456</t>
  </si>
  <si>
    <t>This is not the main replication effect and it seems that the reported original effect sizes etc are reported only in the replication project - needs double checking before inclusion. Should it be a row we keep?</t>
  </si>
  <si>
    <t>Effects of consumer cues on feelings of responsibility</t>
  </si>
  <si>
    <t>"the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</si>
  <si>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Manylabs2_15_1_b</t>
  </si>
  <si>
    <t>Effects of consumer cues on feelings of obligation</t>
  </si>
  <si>
    <t>"There were no significant effects on participants’ feelings of obligation "," in general, it is clear that the consumer identity did not unite—it divided. Thinking like a consumer again seemed to work against positive, cooperative engagement with other people"</t>
  </si>
  <si>
    <t>Manylabs2_15_1_c</t>
  </si>
  <si>
    <t>This does not accurately record the effect size of interest for the main replication effect</t>
  </si>
  <si>
    <t>Effects of consumer cues on trust in other people</t>
  </si>
  <si>
    <t>"markedly lower trust in the other parties "," in general, it is clear that the consumer identity did not unite—it divided. Thinking like a consumer again seemed to work against positive, cooperative engagement with other people"</t>
  </si>
  <si>
    <t>Manylabs2_15_1_d</t>
  </si>
  <si>
    <t>Effects of consumer cues on viewing other people as partners</t>
  </si>
  <si>
    <t>"a significantly lower tendency to view the others as partners in facing the dilemma "," in general, it is clear that the consumer identity did not unite—it divided. Thinking like a consumer again seemed to work against positive, cooperative engagement with other people"</t>
  </si>
  <si>
    <t>Manylabs2_15_1_e</t>
  </si>
  <si>
    <t>Effects of consumer cues on believing other people should use less water</t>
  </si>
  <si>
    <t>"There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</si>
  <si>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Manylabs2_16</t>
  </si>
  <si>
    <t>Manylabs2_16_1</t>
  </si>
  <si>
    <t>Critcher, C. R., &amp; Gilovich, T. (2008). Incidental environmental anchors. Journal of Behavioral Decision Making, 21, 241–251. doi:10.1002/bdm.586 Study 2</t>
  </si>
  <si>
    <t>10.1002/bdm.586</t>
  </si>
  <si>
    <t>10.1002--bdm.586.pdf</t>
  </si>
  <si>
    <t>basic anchoring, numeric priming, incidental anchoring, accessibility</t>
  </si>
  <si>
    <t>Influence of incidental anchors on judgment</t>
  </si>
  <si>
    <t>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</si>
  <si>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p. 246</t>
  </si>
  <si>
    <t>p. 458</t>
  </si>
  <si>
    <t>"participants making judgments about the P97 estimated that a higher percentage of smartphones (M = 58.1%, SD = 19.6%) would be sold in the United States than did those making estimates about the P17 (M 1= 51.9%, SD = 21.7%), t(197.5) = 2.12, p 1= .03, d = .30. Thus, as in Study 1, participants’ responses were influenced by numbers incidentally associated with the target numbers that should have no bearing on the value being estimated"</t>
  </si>
  <si>
    <t>Manylabs2_17</t>
  </si>
  <si>
    <t>Manylabs2_17_1</t>
  </si>
  <si>
    <t>Giessner, S. R., &amp; Schubert, T. W. (2007). High in the hierarchy: How vertical location and judgments of leaders’ power are interrelated. Organizational Behavior and Human Decision Processes, 104, 30–44. doi:10.1016/j .obhdp.2006.10.001 Study 1a</t>
  </si>
  <si>
    <t>10.1016/j .obhdp.2006.10.001</t>
  </si>
  <si>
    <t>10.1016--j .obhdp.2006.10.001.pdf</t>
  </si>
  <si>
    <t>Vertical position and power</t>
  </si>
  <si>
    <t>The averaged leader power score was submitted to an independent-samples t-test. The analysis yielded the expected significant effect of vertical difference, t(62) = 2.20, p = .03, etasq = .07. 
Participants in the large vertical difference condition perceived the leader as being more powerful (M = 5.01, SD=.60) than participants in the small vertical difference condition (M = 4.62, SD = .81).</t>
  </si>
  <si>
    <t>p.  460</t>
  </si>
  <si>
    <t>changed effect size to (calculated) d for auto-conversion</t>
  </si>
  <si>
    <t>1A</t>
  </si>
  <si>
    <t>leadership, power, person perception, embodiment, metaphor</t>
  </si>
  <si>
    <t>Relating vertical position with power</t>
  </si>
  <si>
    <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</si>
  <si>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p. 33: =(5.01-4.62)/SQRT(((200-1)*0.6^2+(200-1)*0.81^2)/(200+200-2)))</t>
  </si>
  <si>
    <t>Manylabs2_18</t>
  </si>
  <si>
    <t>Manylabs2_18_1</t>
  </si>
  <si>
    <t xml:space="preserve">NB: the replication manuscript suggests the the original n was 144, however, the original manuscript indicates that the n was made up of  two groups of 77 aka 154, (this is verified further by the df of the t-tests in both the original and replication manuscript being 153). </t>
  </si>
  <si>
    <t xml:space="preserve">Coder 2 could not access this paper, therefore it is not double coded. </t>
  </si>
  <si>
    <t>Tversky, A., &amp; Gati, I. (1978). Studies of similarity. Cognition and Categorization, 1, 79–98. Study 2</t>
  </si>
  <si>
    <t>Directionality and similarity</t>
  </si>
  <si>
    <t xml:space="preserve">The average s(q, p) was significantly higher than the average s(p, q) across all subjects and pairs: t = 2.92, df= 20, and p &lt; .01.
The average difference (in similarity rating) (.42) was significantly positive : t = 2 .99, df= 153, p &lt; .01 . </t>
  </si>
  <si>
    <t xml:space="preserve">t(153) = 2 .99, p &lt; .01 . </t>
  </si>
  <si>
    <t>p. 467</t>
  </si>
  <si>
    <t>Manylabs2_18_1_b</t>
  </si>
  <si>
    <t>The foregoing study was repeated with judgments of difference instead of judgments of similarity: t = 2 .72, df = 20, p &lt; .01
The average difference between d(p, q) and d(q, p), computed as previously for each subject (.63), was significantly positive : t = 2.24, df = 45, p &lt; .05</t>
  </si>
  <si>
    <t>t(45) = 2.24</t>
  </si>
  <si>
    <t>There is no PDF attached for this task, and the only search shows it is not freely accessible</t>
  </si>
  <si>
    <t>Manylabs2_19</t>
  </si>
  <si>
    <t>Manylabs2_19_1</t>
  </si>
  <si>
    <t>Zhong, C.-B., &amp; Liljenquist, K. (2006). Washing away your sins: Threatened morality and physical cleansing. Science, 313, 1451–1452. doi:10.1126/science.1130726 Study 2</t>
  </si>
  <si>
    <t>10.1126/science.1130726</t>
  </si>
  <si>
    <t>10.1126--science.1130726.pdf</t>
  </si>
  <si>
    <t>Moral violations and desire for cleansing</t>
  </si>
  <si>
    <t>Copying the unethical story increased the desirability of cleansing products as compared to copying the ethical story F(1,25) = 6.99, P = 0.01</t>
  </si>
  <si>
    <t>p.  1452</t>
  </si>
  <si>
    <t>F(1,25) = 6.99</t>
  </si>
  <si>
    <t>p. 1452</t>
  </si>
  <si>
    <t>Macbeth effect</t>
  </si>
  <si>
    <t>physical cleansing, effect, sins, physical purity, moral purity</t>
  </si>
  <si>
    <t>Moral violations create a desire for cleansing (and thus here a higher valuing of cleaning products)</t>
  </si>
  <si>
    <t>F(1, 25) = 6.99</t>
  </si>
  <si>
    <t>Manylabs2_20</t>
  </si>
  <si>
    <t>Manylabs2_20_1</t>
  </si>
  <si>
    <t>Kay, A. C., Laurin, K., Fitzsimons, G. M., &amp; Landau, M. J. (2014). A functional basis for structure-seeking: Exposure to structure promotes willingness to engage in motivated action. Journal of Experimental Psychology: General, 143, 486–491. doi:10.1037/a0034462 Study 2</t>
  </si>
  <si>
    <t>10.1037/a0034462</t>
  </si>
  <si>
    <t>10.1037--a0034462.pdf</t>
  </si>
  <si>
    <t>Structure promotes goal pursuit</t>
  </si>
  <si>
    <t>Participants in the structure condition reported higher willingness to expend effort and make sacrifices to pursue their goal
compared to participants in the random condition, t(65) = 2.00, p = .05</t>
  </si>
  <si>
    <t>p. 487</t>
  </si>
  <si>
    <t>structure seeking, pattern perception, self-regulation, goal pursuit, compensatory control</t>
  </si>
  <si>
    <t>Participants in the structure condition reported higher willingness to expend effort and make sacrifices to pursue their goal compared to participants in the random condition (Mstructure =5.26, SDstructure = 0.88; Mrandom= 4.72, SDrandom= 1.32), t(65) = 2.00, p = .05, Cohen's d = 0.50)</t>
  </si>
  <si>
    <t>p. 486-487</t>
  </si>
  <si>
    <t>Manylabs2_21</t>
  </si>
  <si>
    <t>Manylabs2_21_1</t>
  </si>
  <si>
    <t xml:space="preserve">- Coder 1 recorded the relevant test statistic to be the interaction effect, coder 2 identified the main effect as the key test statistic for the replication. Neither is a direct one-to-one mapping with the replicaiton value (which is a correlation based on a new continuous IV measure), however the interaction effect pertains to the relationship of interest - sibling number and prosociality: "Planned comparisons of the number of siblings revealed a significant contrast between prosocial people, on the one hand,
and individualists and competitors, on the other, F(1, 535) = 9.14, p = .003". Therefore, this row was accepted and the other row rejected. 
- The closeness was recorded as internal as the lead author of the original paper is part of the authorship of the replication project. </t>
  </si>
  <si>
    <t>Van Lange, P. A. M., Otten, W., De Bruin, E. M. N., &amp; Joireman, J. A. (1997). Development of prosocial, individualistic, and competitive orientations: Theory and preliminary evidence. Journal of Personality and Social Psychology, 73, 733–746. doi:10.1037/0022-3514.73.4.733 Study 3</t>
  </si>
  <si>
    <t>10.1037/0022-3514.73.4.733</t>
  </si>
  <si>
    <t>10.1037--0022-3514.73.4.733.pdf</t>
  </si>
  <si>
    <t>prosocial, individualistic, competitive orientations, social interaction</t>
  </si>
  <si>
    <t>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</si>
  <si>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 </t>
  </si>
  <si>
    <t>p. 739</t>
  </si>
  <si>
    <t>F(1, 535) = 9.14</t>
  </si>
  <si>
    <t>p. 740</t>
  </si>
  <si>
    <t>Investigating the correlation between prosocial orientation and the number of siblings</t>
  </si>
  <si>
    <t>"analysis revealed a significant main effect for social value orientation, F(2, 535) = 4.82, p &lt; .01. Consistent with the sibling-prosocial hypothesis, Panel A "," reveals that the number of siblings is greater for prosocials (A/ = 2.03, SD = 1.56) than for individualists (M = 1.63, SD = 1.00) and competitors (M = 1.71, SD — 1.35)."</t>
  </si>
  <si>
    <t>F(2, 535) = 4.82</t>
  </si>
  <si>
    <t>Manylabs2_22</t>
  </si>
  <si>
    <t>Manylabs2_22_1</t>
  </si>
  <si>
    <t>Relevant original effect (pairwise comparison) not reported in original report - therefore, taken from replication</t>
  </si>
  <si>
    <t>Zaval, L., Keenan, E. A., Johnson, E. J., &amp; Weber, E. U. (2014). How warm days increase belief in global warming. Nature Climate Change, 4, 143–147. doi:10.1038/nclimate2093 Study 3a</t>
  </si>
  <si>
    <t>10.1038/nclimate2093</t>
  </si>
  <si>
    <t>10.1038--nclimate2093.pdf</t>
  </si>
  <si>
    <t>Heat priming</t>
  </si>
  <si>
    <t>climate change, global warming, judgements, belief, temperature</t>
  </si>
  <si>
    <t>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</si>
  <si>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 </t>
  </si>
  <si>
    <t>p. 145</t>
  </si>
  <si>
    <t>replication report</t>
  </si>
  <si>
    <t>The number of participants for the effect of condition on belief in global warming and concern about it were different</t>
  </si>
  <si>
    <t>Effect of condition on concern about global warming</t>
  </si>
  <si>
    <t>"priming individuals with heat-related cognitions increases levels of belief and concern in global warming. The priming manipulation had a direct effect on average ratings of reported belief in and concern about global warming  "," There was a significant main effect of condition on global warming belief, F(2,288) = 3.88, p = 0.02 and concern, F(2,288) = 4.74, p = 0.01"</t>
  </si>
  <si>
    <t>F(2,288) = 4.74</t>
  </si>
  <si>
    <t>Manylabs2_22_1_b</t>
  </si>
  <si>
    <t>Secondary replication - strange difference in N for this group compared with primary group, unexplained n = 8 difference?)</t>
  </si>
  <si>
    <t>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</si>
  <si>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F(2,288) = 3.88</t>
  </si>
  <si>
    <t>Manylabs2_23</t>
  </si>
  <si>
    <t>Manylabs2_23_1</t>
  </si>
  <si>
    <t>Focal comparison with English subsamples.</t>
  </si>
  <si>
    <t>Alter, A. L., Oppenheimer, D. M., Epley, N., &amp; Eyre, R. N. (2007). Overcoming intuition: Metacognitive difficulty activates analytic reasoning. Journal of Experimental Psychology: General, 136, 569–576. doi:10.1037/0096- 3445.136.4.569 Study 4</t>
  </si>
  <si>
    <t>10.1037/0096- 3445.136.4.569</t>
  </si>
  <si>
    <t>10.1037--0096- 3445.136.4.569.pdf</t>
  </si>
  <si>
    <t>Processing fluency depending on font</t>
  </si>
  <si>
    <t>fluency, disfluency, dual-system processing, reasoning, judgment</t>
  </si>
  <si>
    <t>Investigating whether a deliberate, analytic processing style can be activated by incidental disfluency cues that suggest task difficulty</t>
  </si>
  <si>
    <t>Participants in the disfluent condition answered a greater proportion of the questions correctly (M  = 64%) than did participants in the fluent condition (M = 43%), t(39) = 2.01, p  &lt; .05</t>
  </si>
  <si>
    <t>p. 574</t>
  </si>
  <si>
    <t>p. 574: =(2.45-1.9)/SQRT(((20-1)*0.64^2+(20-1)*0.89^2)/(20+20-2)))</t>
  </si>
  <si>
    <t>Where we can calculate d (or OR), let's do it - more useful than ES that are not convertible (omega, eta-sq)</t>
  </si>
  <si>
    <t xml:space="preserve">This row codes for a whole sample result which was only used as a "follow-up" anlysis because of worries about linguistic and font differences in difficulties across languages in the replication sample. </t>
  </si>
  <si>
    <t>"participants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</si>
  <si>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 t(39) = 2.01</t>
  </si>
  <si>
    <t>Manylabs2_24</t>
  </si>
  <si>
    <t>Manylabs2_24_1</t>
  </si>
  <si>
    <t>Anderson, C., Kraus, M. W., Galinsky, A. D., &amp; Keltner, D. (2012). The local-ladder effect: Social status and subjective well-being. Psychological Science, 23, 764–771. doi:10.1177/0956797611434537 Study 3</t>
  </si>
  <si>
    <t>10.1177/0956797611434537</t>
  </si>
  <si>
    <t>10.1177--0956797611434537.pdf</t>
  </si>
  <si>
    <t>Sociometric status and well-being</t>
  </si>
  <si>
    <t xml:space="preserve">Inserting SWB scores to a 2 (level: high, low) × 2 (type of status: sociometric, socioeconomic) between participants ANOVA. There was a main effect of level, F(1, 224) = 5.06, p = .03, but more important, there was also a significant interaction between level and type of status, F(1, 224) = 4.73, p = .03. Individuals in the high-sociometricstatus condition had higher SWB than those in the lowsociometric-status condition, t(115) = 3.05, p = .003.  In contrast, individuals in the high-SES condition did not have higher SWB than those in the low-SES condition, t(109) = 0.06, p = .96. </t>
  </si>
  <si>
    <t>p. 768</t>
  </si>
  <si>
    <t>F(1, 224) = 4.73</t>
  </si>
  <si>
    <t>local-ladder effect</t>
  </si>
  <si>
    <t>social structure, socioeconomic status, well-being</t>
  </si>
  <si>
    <r>
      <rPr>
        <rFont val="Calibri"/>
        <color theme="1"/>
        <sz val="11.0"/>
      </rPr>
      <t xml:space="preserve">The relationships among the high- and low- sociometric status (SMS) conditions </t>
    </r>
    <r>
      <rPr>
        <rFont val="Calibri"/>
        <color rgb="FF00FF00"/>
        <sz val="11.0"/>
      </rPr>
      <t xml:space="preserve">and well-being </t>
    </r>
  </si>
  <si>
    <t>Individuals in the high-sociometric-status condition had higher SWB than those in the low-sociometric-status condition, t(115) = 3.05, p = .003, these findings provide evidence for a causal effect of sociometric status on SWB that is stronger than the effect of SES on SWB.</t>
  </si>
  <si>
    <t>t(115) = 3.05</t>
  </si>
  <si>
    <t>Manylabs2_25</t>
  </si>
  <si>
    <t>Manylabs2_25_1</t>
  </si>
  <si>
    <t>replication effect is in opposite direction</t>
  </si>
  <si>
    <t xml:space="preserve">On review: the calculated OR is not valid in this row, the percentages are not comparable in this way, the test statistic from the other coder is accepted instead. </t>
  </si>
  <si>
    <t>Rottenstreich, Y., &amp; Hsee, C. K. (2001). Money, kisses, and electric shocks: On the affective psychology of risk. Psychological Science, 12, 185–190. doi:10.1111/1467- 9280.00334 Study 1</t>
  </si>
  <si>
    <t>10.1111/1467- 9280.00334</t>
  </si>
  <si>
    <t>10.1111--1467- 9280.00334.pdf</t>
  </si>
  <si>
    <t>Affect and risk</t>
  </si>
  <si>
    <t>In the certainty condition, 70% of participants preferred the cash over the kiss, but in the low-probability condition, 65% of participants preferred the kiss lottery over the cash lottery, x2 (1, N = 40) =4.91, p &lt;.05.</t>
  </si>
  <si>
    <t>p. 187</t>
  </si>
  <si>
    <t>=(0.7/(1-0.7))/(0.65/(1-0.65))</t>
  </si>
  <si>
    <t>calculated OR leads original effect size slightly different from ML - likely due to rounding</t>
  </si>
  <si>
    <t>prospect theory, affective, s-shaped, affect-rich, affect-poor, outcome</t>
  </si>
  <si>
    <t xml:space="preserve"> Whether to prefer an affectively attractive option (a kiss from a favorite movie star) or a financially attractive option ($50) depends on certainty</t>
  </si>
  <si>
    <t>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</si>
  <si>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p. 187: =(0.7/(1-0.7))/(0.35/(1-0.35))</t>
  </si>
  <si>
    <t>Manylabs2_26</t>
  </si>
  <si>
    <t>Manylabs2_26_1</t>
  </si>
  <si>
    <t xml:space="preserve">The two rows are practically identical - however this row has a more accurate record of the replication p value due to it's use of the spreadsheet formula function. </t>
  </si>
  <si>
    <t>Shafir, E. (1993). Choosing versus rejecting: Why some options are both better and worse than others. Memory &amp; Cognition, 21, 546–556. doi:10.3758/BF03197186 Study 1</t>
  </si>
  <si>
    <t>10.3758/BF03197186</t>
  </si>
  <si>
    <t>10.3758--bf03197186.pdf</t>
  </si>
  <si>
    <t>compatibility, choosing, rejecting, enriched option, impoverished option, preference</t>
  </si>
  <si>
    <t>Effect of choosing versus rejecting on relative desirability</t>
  </si>
  <si>
    <t>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</si>
  <si>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p. 549</t>
  </si>
  <si>
    <t>z = 2.48, N = 170</t>
  </si>
  <si>
    <t>Make sure special characters are corrected after copy-pasting from old papers - here Π</t>
  </si>
  <si>
    <t xml:space="preserve"> Effect of choosing versus rejecting on relative desirability</t>
  </si>
  <si>
    <t>"the value of Il, + II, for Parent B (64+55 = 119) is significantly greater than the 100 that we would expect if choosing and rejecting were complementary (z = 2.48, p &lt; .02)"</t>
  </si>
  <si>
    <t>z = 2.48</t>
  </si>
  <si>
    <t>Manylabs2_27</t>
  </si>
  <si>
    <t>Manylabs2_27_1</t>
  </si>
  <si>
    <t>This is the best approximation of the US sample - I think</t>
  </si>
  <si>
    <t>Savani, K., Markus, H. R., Naidu, N. V. R., Kumar, S., &amp; Berlia, N. (2010). What counts as a choice? U.S. Americans are more likely than Indians to construe actions as choices. Psychological Science, 21, 391–398. doi:10 .1177/0956797609359908 Study 5</t>
  </si>
  <si>
    <t>choice, construal, action identification, culture, India</t>
  </si>
  <si>
    <t>Construing actions as choices (Americans)</t>
  </si>
  <si>
    <t>Among Americans, there was no difference between the proportion of personal actions construed as choices (M = .83, SD = .15) and the proportion of interpersonal actions construed as choices (M = .82, SD = .14), t(88) = 0.39, p = .65, d = 0.04</t>
  </si>
  <si>
    <t>p. 396</t>
  </si>
  <si>
    <t>p. 462</t>
  </si>
  <si>
    <t>No p-value reported on construe of choices in the replicated study</t>
  </si>
  <si>
    <t>logistic HLM model with construal of choice as the dependent measure</t>
  </si>
  <si>
    <t>"Indians were less likely than Americans to construe actions as choices, β = –1.07, OR = 0.34, t(101) = 5.70, prep = .99, p &lt; .001 "," Americans were more likely than Indians to construe all actions as choices, and were equally likely to construe personal and interpersonal actions as choices"</t>
  </si>
  <si>
    <t>t(101) = 5.70</t>
  </si>
  <si>
    <t>Manylabs2_27_1_b</t>
  </si>
  <si>
    <t>Both original and replicated studies are indicated as nested</t>
  </si>
  <si>
    <t>It is unclear what this row is addressing and whether it should be kept</t>
  </si>
  <si>
    <t>logistic HLM model with culture and condition as participant-level predictors</t>
  </si>
  <si>
    <t>"We did not find a main effect of condition, β = –0.13, OR = 0.88, t(101) = 0.71, prep = .69, p = .48, "," Americans were more likely than Indians to construe all actions as choices, and were equally likely to construe personal and interpersonal actions as choices"</t>
  </si>
  <si>
    <t>t(101) = 0.71</t>
  </si>
  <si>
    <t>Manylabs2_27_1_c</t>
  </si>
  <si>
    <t>logistic HLM model with importance of decision as a trial-level covariate</t>
  </si>
  <si>
    <t>"but we found a significant Culture × Condition interaction, β = 0.53, OR = 1.70, t(101) = 1.98, prep = .92, p &lt; .05. "," Americans were more likely than Indians to construe all actions as choices, and were equally likely to construe personal and interpersonal actions as choices"</t>
  </si>
  <si>
    <t>t(101) = 1.98</t>
  </si>
  <si>
    <t>Manylabs2_28</t>
  </si>
  <si>
    <t>Manylabs2_28_1</t>
  </si>
  <si>
    <t>This is the only approximation of the US sample but was not double coded by coder 2 - need reviews</t>
  </si>
  <si>
    <t>10 .1177/0956797609359908</t>
  </si>
  <si>
    <t>10 .1177--0956797609359908.pdf</t>
  </si>
  <si>
    <t>Construing actions as choices (indians)</t>
  </si>
  <si>
    <t>Indians were less likely than Americans to construe actions as choices, β = –1.07, OR = 0.34, t(101) = 5.70, prep = .99, p &lt; .001. We did not find a main effect of condition, β = –0.13, OR = 0.88, t(101) = 0.71, prep = .69, p = .48, but we found a significant Culture × Condition interaction, β = 0.53, OR = 1.70, t(101) = 1.98, prep = .92, p &lt; .05.</t>
  </si>
  <si>
    <t>This task is similar to the above task</t>
  </si>
  <si>
    <t>No values coded for Indian sample by coder 2</t>
  </si>
  <si>
    <t>Camereretal2016_9</t>
  </si>
  <si>
    <t xml:space="preserve">Effect size for original study opaque, releavant details recorded - difference between means as effect size? </t>
  </si>
  <si>
    <t>Ericson, K. M. M., &amp; Fuster, A. (2011). Expectations as endowments: Evidence on reference-dependent preferences from exchange and valuation experiments. Quarterly Journal of Economics, 126(4), 1879–1907.</t>
  </si>
  <si>
    <t>10.1093/qje/qjr034</t>
  </si>
  <si>
    <t>Camerer, C. F., Dreber, A., Forsell, E., Ho, T. H., Huber, J., Johannesson, M., ... &amp; Wu, H. (2016). Evaluating replicability of laboratory experiments in economics. Science, 351(6280), 1433-1436.</t>
  </si>
  <si>
    <t>10.1126/science.aaf0935</t>
  </si>
  <si>
    <t>10.1126--science.aaf0918.pdf</t>
  </si>
  <si>
    <t>replicate</t>
  </si>
  <si>
    <t>https://osf.io/b8pwq</t>
  </si>
  <si>
    <t>endowment, expectation, valuation, exchange</t>
  </si>
  <si>
    <t>reference points are influenced by expectations</t>
  </si>
  <si>
    <t>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</si>
  <si>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p. 1896</t>
  </si>
  <si>
    <t>Mean difference</t>
  </si>
  <si>
    <t>=(0.33-0.01)/SQRT((^2+^2)/2)</t>
  </si>
  <si>
    <t>https://osf.io/a3394</t>
  </si>
  <si>
    <t>Lukas Wallrich</t>
  </si>
  <si>
    <t>3 further effects (all n.s. in original study)</t>
  </si>
  <si>
    <t>Supplementary Table S1 of the replication article reports the following values: Original (p = 0.030, effect size 0.21, n =  112), Replication (p = 0.055, effect size = 0.12, N = 262). The OSF report (https://osf.io/b8pwq) stipulates that the replication attempt is directed to the difference between the mh and the ml treatments with the measure of ln(WTA) for the mug minus the ln (WTA) for a pen. These results are reported in the original article in p. 1896: "However, when we consider the subject level difference between ln (WTAmug) and ln (WTApen), we find a mean of 0.33 for subjects in the MH treatment and 0.01 for subjects in the ML treatment. This difference is statistically significant (p = .03, t-test)". Therefore, I provide and effect size based on the coefficients for ln(WTA mug)−ln(WTA pen) as specified in the text.</t>
  </si>
  <si>
    <t xml:space="preserve"> To contribute data about reproducibility in economics, we replicate 18 studies published in the American Economic Review and the Quarterly Journal of Economics in 2011-2014.</t>
  </si>
  <si>
    <t>Willingness to accept (WTA) a mug (effect of expectations on subjects’ monetary valuation of an item).</t>
  </si>
  <si>
    <t xml:space="preserve">Expectations, reference-dependent preferences, exchange experiments, valuation experiments, reference points. </t>
  </si>
  <si>
    <t>"Our second experiment measures the effect of expectations on subjects’ monetary valuation of an item. Subjects are not initially endowed with any item but learn that they will receive a mug for free with either high (80%) or low(10%) probability. All subjects also know that with probability 10%, they instead have a choice between the mug and money. We elicit their mug/money choices for varying amounts of money, which gives a measure of their willingness-to-accept (WTA) for the mug"</t>
  </si>
  <si>
    <t>"However,when we consider the subject level difference between ln (WTAmug) and ln (WTApen), we find a mean of 0.33 for subjects in the MH treatment and 0.01 for subjects in the ML treatment. This difference is statistically significant (p = .03, t-test)."</t>
  </si>
  <si>
    <t>Difference Between Means</t>
  </si>
  <si>
    <t xml:space="preserve">0.33 - 0.01        </t>
  </si>
  <si>
    <t>Camereretal2016_18</t>
  </si>
  <si>
    <t>Kuziemko, I., Buell, R. W., Reich, T., &amp; Norton, M. I. (2014). “Last-place aversion”: Evidence and redistributive implications. Quarterly Journal of Economics, 129(1), 105–149.</t>
  </si>
  <si>
    <t>10.1093/qje/qjt035</t>
  </si>
  <si>
    <t>10.1126/science.aaf0927</t>
  </si>
  <si>
    <t>https://osf.io/nd2fk</t>
  </si>
  <si>
    <t>last place aversion, redistribution</t>
  </si>
  <si>
    <t>Last-place aversion suggests that low-income individuals might oppose redistribution because it could differentially help the group just beneath them.</t>
  </si>
  <si>
    <t>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</si>
  <si>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p. 127-128</t>
  </si>
  <si>
    <t>probit beta (marginal change in odds)</t>
  </si>
  <si>
    <t>p. 129</t>
  </si>
  <si>
    <t>https://osf.io/9z5nv</t>
  </si>
  <si>
    <t>1 additional effect</t>
  </si>
  <si>
    <t xml:space="preserve">Supplementary Table S1 of the replication article reports the following values: Original (p =  0.070, effect size 0.28, n = 42), Replication (p = 0.154, effect size = -0.12, N = 144). The replication OSF report (https://osf.io/nd2fk) stipulated that the replication attempt centered in: "Probit regressions with round fixed effects and clustering on individuals and a dummy for subjects ranked 1st and last (as they don’t have parallel choice sets); the coefficient of “Second from last” in regression (1) of Table II, p. 129". This information is presented as described in the original research article. Therefore, I report a t-statistic for the referred coefficient as effect size. </t>
  </si>
  <si>
    <t xml:space="preserve"> Effects of placement in the second-to-last place endowments in money redistribution. </t>
  </si>
  <si>
    <t>Money redistribution, last-place aversion, gambling</t>
  </si>
  <si>
    <t>Investigation of how positioning in second-to-last place endowments affect the probability to allocate money to the person one rank below them in a choice of distributing $2.</t>
  </si>
  <si>
    <t>"Column (1) shows that the second-to-last-place player is significantly less likely to give to the lower-ranked player relative to other players".</t>
  </si>
  <si>
    <t>p. 128</t>
  </si>
  <si>
    <t>t-statistic</t>
  </si>
  <si>
    <t>-0.116 / 0.064</t>
  </si>
  <si>
    <t>Camereretal2016_1</t>
  </si>
  <si>
    <t>uncertain on the original effect size estimate</t>
  </si>
  <si>
    <t>Abeler, J., Falk, A., Goette, L., &amp; Huffman, D. (2011). Reference points and effort provision. American Economic Review, 101(2), 470–492.</t>
  </si>
  <si>
    <t>10.1257/aer.101.2.470</t>
  </si>
  <si>
    <t>10.1126/science.aaf0918</t>
  </si>
  <si>
    <t>https://osf.io/yjpzs</t>
  </si>
  <si>
    <t>reference points, effort provision</t>
  </si>
  <si>
    <t>If expected earnings are high, subjects work longer and earn more money than if expectations are low</t>
  </si>
  <si>
    <t>Subjects in the HI treatment work significantly more than subjects in the LO treatment. The treatment difference of 1.85 euros is almost half as large as the amount of the treatment manipulation (7 − 3 = 4 euros). [In Table 1]: 1.850**, SE = 0.917, ** p &lt; .05</t>
  </si>
  <si>
    <t>p. 478 &amp; 479</t>
  </si>
  <si>
    <t>p. 479, converted with 1.85/(.917 * sqrt(60*60/120)), as SE can be used to calculate SD from sample size in single predictor regression; matches report in Camerer</t>
  </si>
  <si>
    <t>p. 4, converted with .667/(.474 * sqrt(159*159/318)), as SE can be used to calculate SD from sample size in single predictor regression; matches report in Camerer</t>
  </si>
  <si>
    <t>https://osf.io/v89qn</t>
  </si>
  <si>
    <t>no further effects</t>
  </si>
  <si>
    <t>Supplementary Table S1 of the replication article reports the following values: Original (p = 0.046, effect size 0.18, n = 120), Replication (p = 0.160, effect size = 0.08, N = 318). The OSF report (https://osf.io/yjpzs) indicates that the effect they tried to replicate is the one present in the original article Table 1 (p. 479).  1 if HI treatment = 1.850 (0.917). The original reported p-value is &lt;0.05. Thus, I report accordingly. Based on Table 1 of the original research article, I report the effect size (r) using the following formula: SQRT((1.850/0.917)^2 / ((1.850/0.917)^2 + 118)).</t>
  </si>
  <si>
    <t xml:space="preserve"> Average accumulated earnings </t>
  </si>
  <si>
    <t>effort provision,  average accumulated earnings, real-effort experiment, rational expectations.</t>
  </si>
  <si>
    <t>The accumulated monetary earnings in an experimental card game.</t>
  </si>
  <si>
    <t>"The treatment difference of 1.85 euros is almost half as large as the amount of the treatment manipulation (7 − 3 = 4 euros). The marginal effect compared to effort provision in LO is 25.1 percent. The treatment difference in effort provision is significant in an OLS regression where we compare effort in HI to effort in LO. We regress the accumulated earnings at which a subject stopped on a treatment dummy (see Table 1, column 1)"</t>
  </si>
  <si>
    <t>p .478</t>
  </si>
  <si>
    <t>SQRT((1.850/0.917)^2 / ((1.850/0.917)^2 + 118))</t>
  </si>
  <si>
    <t>Camereretal2016_8</t>
  </si>
  <si>
    <t>Dulleck, U., Kerschbamer, R., &amp; Sutter, M. (2011). The economics of credence goods: An experiment on the role of liability, verifiability, reputation, and competition. American Economic Review, 101(2), 526–555.</t>
  </si>
  <si>
    <t>10.1257/aer.101.2.526</t>
  </si>
  <si>
    <t>10.1126/science.aaf0934</t>
  </si>
  <si>
    <t>https://osf.io/d78na</t>
  </si>
  <si>
    <t>Efficience with credence goods</t>
  </si>
  <si>
    <t>credence goods, liability, verifiability, reputation, competition</t>
  </si>
  <si>
    <t>Liability enables efficiency for credence goods, while verifiability has little effect</t>
  </si>
  <si>
    <t>Efficiency is below 20 percent without liability, but significantly higher and above 80 percent with liability. [Table 3]: Mann-Whitney U-tests for pairwise differences between treatments (with matching groups of 8 subjects as one independent observation): p &lt; .05</t>
  </si>
  <si>
    <t>p. 539</t>
  </si>
  <si>
    <t>p. 540, 0.81 - 0.16</t>
  </si>
  <si>
    <t>https://osf.io/d3h4u</t>
  </si>
  <si>
    <t>Supplementary Table S1 of the replication article reports the following values: Original (p = &lt; 0.0001, effect size 0.72, n =  168), Replication (p = 0.001, effect size = 0.73, N = 128).  Using the information provided in Table S2 of the replication article, I matched the replication attempt to the data reported in point (i) p.539 and Table 3. The p-value of &lt; 0.001 reported by the replication article is not present in the original research.  Therefore, I report the p-value for the comparison between the B/V (no liability/verifiability) and B/LV (liability/ verifiability) for the efficiency parameter (as defined by Table S2 of the replication article).  I confirmed this information with the OSF report (https://osf.io/d78na).</t>
  </si>
  <si>
    <t xml:space="preserve"> Efficiency between the B/LV treatment (liability/verifiability) and the B/V treatment (no liability/verifiability.</t>
  </si>
  <si>
    <t>Credence Goods, liability, verifiability, reputation, competition</t>
  </si>
  <si>
    <t xml:space="preserve">The objective is to evaluate the impact of liability on efficiency in a credence goods market when verifiability is present, comparing the efficiency outcomes between two scenarios: one where both liability and verifiability exist (B/LV treatment) and one where only verifiability exists without liability (B/V treatment). </t>
  </si>
  <si>
    <t>"Efficiency is below 20 percent without liability, but significantly higher and above 80 percent with liability."</t>
  </si>
  <si>
    <t>0.81 - 0.16</t>
  </si>
  <si>
    <t>Camereretal2016_13</t>
  </si>
  <si>
    <t>vague details on the comparison test run - no actual test statistics reported</t>
  </si>
  <si>
    <t>Huck, S., Seltzer, A. J., &amp; Wallace, B. (2011). Deferred compensation in multiperiod labor contracts: An experimental test of Lazear’s model. American Economic Review, 101(2), 819–843.</t>
  </si>
  <si>
    <t>10.1257/aer.101.2.819</t>
  </si>
  <si>
    <t>10.1126/science.aaf0922</t>
  </si>
  <si>
    <t>https://osf.io/p42wa</t>
  </si>
  <si>
    <t>Effect of deferred  compensation  in increasing  effort  and surplus.</t>
  </si>
  <si>
    <t>defered compensation, lazears model, labor contracts</t>
  </si>
  <si>
    <t>If firms can ex ante commit to a wage schedule with deferred compensation, workers should respond by supplying sufficient effort to avoid dismissal.</t>
  </si>
  <si>
    <t>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</si>
  <si>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p. 819 + 838</t>
  </si>
  <si>
    <t>p. 839, 54.74  - 21.31</t>
  </si>
  <si>
    <t>https://osf.io/t974m</t>
  </si>
  <si>
    <t xml:space="preserve">Supplementary Table S1 of the replication article reports the following values: Original (p =  0.004, effect size 0.83, n =  120), Replication (p =  0.142, effect size = 0.37, N = 160). The OSF replication report stated that the replication effort is focused on "The ability to pay future deferred compensation increases worker earnings (w2+w3) more when commitment is enforced (fct) compared to non-enforcement (nct)".  This results is presented in Table 3 (p. 839) of the original research article. Therefore, I report an effect size as the difference between the coefficients of FCT and NCT for the W2 + W3 (pence) row. </t>
  </si>
  <si>
    <t>Deferred Compensation, Lazear’s Model, multiperiod environment, dismissal avoidance,  monetary incentives, social preferences, reciprocity.</t>
  </si>
  <si>
    <t>Is the ability to pay future deferred compensation when commitment is enforced (fct) compared to non-enforcement (nct).</t>
  </si>
  <si>
    <t>"The next two, rows show the mean wage offers. Wage offers declined over the session in each treatment. Interestingly there is little difference between stage 1 offers in the FCT and NCT, with both averaging about 20 overall and 15 in the last 10 rounds. There is, however, a big difference in the actual offer (W2 + W3), with much higher wages in the FCT".</t>
  </si>
  <si>
    <t>p. 838</t>
  </si>
  <si>
    <t>54.74  - 21.31</t>
  </si>
  <si>
    <t>Camereretal2016_17</t>
  </si>
  <si>
    <t>Kogan, S., Kwasnica, A. M., &amp; Weber, R. A. (2011). Coordination in the presence of asset markets. American Economic Review, 101(2), 927–947.</t>
  </si>
  <si>
    <t>10.1257/aer.101.2.927</t>
  </si>
  <si>
    <t>10.1126/science.aaf0926</t>
  </si>
  <si>
    <t>https://osf.io/h3yw6</t>
  </si>
  <si>
    <t>Effects of market communication in a “second-order statistic” coordination game.</t>
  </si>
  <si>
    <t>coordination, asset markets</t>
  </si>
  <si>
    <t>Assess whether markets guide behavior towards more or less efficient equilibria</t>
  </si>
  <si>
    <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</si>
  <si>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p. 940-943</t>
  </si>
  <si>
    <t>ordered probit regression coefficient</t>
  </si>
  <si>
    <t>p. 943</t>
  </si>
  <si>
    <t>https://osf.io/kx5mj</t>
  </si>
  <si>
    <t>Economics papers often use different stars, beware of that (*** = &lt; .01)</t>
  </si>
  <si>
    <t xml:space="preserve">Supplementary Table S1 of the replication article reports the following values: Original (p =  &lt; 0.001, effect size 0.32, n = 126), Replication (p = 0.001, effect size = 0.30, N = 90).  The OSF report (https://osf.io/h3yw6) specified that the replication attempt is centered for the "regression 1 in Table 8, the coefficient for “Market”; ordered probit regression with group random effects and Huber-White standard error". I verified the information in the original research article, and report accordingly a t-statistic for the coefficient for the Market row, column 1 (p. 943). To me, the reported sample size for the original article is nebulous, and I do not understand how it was derived. I report the one stated in the replication report.  </t>
  </si>
  <si>
    <t>"Table 8 reports ordered probit regressions with group random effects, similar to those for Experiment 1. The results show that output in the Market treatment is significantly lower than in the Control treatment in all specifications, and for both Insider and Outsider groups."</t>
  </si>
  <si>
    <t>p. 941</t>
  </si>
  <si>
    <t>−2.739 / 0.651</t>
  </si>
  <si>
    <t>Camereretal2016_4</t>
  </si>
  <si>
    <t>Charness, G., &amp; Dufwenberg, M. (2011). Participation. American Economic Review, 101(4), 1211–1237.</t>
  </si>
  <si>
    <t>10.1257/aer.101.4.1211</t>
  </si>
  <si>
    <t>10.1126/science.aaf0930</t>
  </si>
  <si>
    <t>https://osf.io/rycnp</t>
  </si>
  <si>
    <t>communication, collaboration, participation</t>
  </si>
  <si>
    <t>Whether communication achieves beneficial social outcomes in a hidden-information context depends crucially on whether low-talent agents can participate in a Pareto-improving outcome.</t>
  </si>
  <si>
    <t>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</si>
  <si>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p. 1219 + 1231</t>
  </si>
  <si>
    <t>=(0.78/(1-0.78))/(0.4/(1-0.4))</t>
  </si>
  <si>
    <t>p. 3, =(0.8056/(1-0.8056))/(0.4483/(1-0.4483))</t>
  </si>
  <si>
    <t>https://osf.io/s5qzk</t>
  </si>
  <si>
    <t>1 add. effect</t>
  </si>
  <si>
    <t xml:space="preserve">Supplementary Table S1 of the replication article reports the following values: Original (p = 0.010, effect size 0.38, n = 162), Replication (p = 0.003, effect size = 0.36, N = 264). The replication report (https://osf.io/rycnp) specifies the replication attempt for the difference in proportions, Table 2 ((5,7) treatment.  This is consistent with the results presented in Table 2 (p. 1219) of the original research article. Therefore, I report effect size based on the percentages stipulated in the original research article Table and the formula "based on percentages experiencing "success". </t>
  </si>
  <si>
    <t>Effect of communication</t>
  </si>
  <si>
    <t>Communication, Pareto-improving outcome, cost-of-lying, guilt-fromblame</t>
  </si>
  <si>
    <t>The experimenters introduced a group where communication between players in a game was allowed .</t>
  </si>
  <si>
    <t>"Summarizing the results, the only case in which communication led to a significant increase was for low-talent B’s in the (5, 7)-game, where the Don’t rate nearly doubles, to 78 percent."</t>
  </si>
  <si>
    <t>p. 1219</t>
  </si>
  <si>
    <t>Odds ratios</t>
  </si>
  <si>
    <t>Camereretal2016_5</t>
  </si>
  <si>
    <t>Chen, R., &amp; Chen, Y. (2011). The potential of social identity for equilibrium selection. American Economic Review, 101(6), 2562–2589.</t>
  </si>
  <si>
    <t>10.1257/aer.101.6.2562</t>
  </si>
  <si>
    <t>10.1126/science.aaf0931</t>
  </si>
  <si>
    <t>https://osf.io/pujg2</t>
  </si>
  <si>
    <t>Social identity and coordination</t>
  </si>
  <si>
    <t>social identity, efficiency, coordination games, social preference model, minimum effort game,  high-effort equilibrium.</t>
  </si>
  <si>
    <t>Groups with a salient ingroup identity can develop ingroup coordination to reach the efficient high-effort equilibrium.</t>
  </si>
  <si>
    <t>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</si>
  <si>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p. 2577</t>
  </si>
  <si>
    <t xml:space="preserve">(8.82 + 15.38) - (10.76 - 10.41) </t>
  </si>
  <si>
    <t>https://osf.io/2anqg</t>
  </si>
  <si>
    <t>Supplementary Table S1 of the replication article reports the following values: Original (p = 0.033, effect size 0.84, n = 72), Replication (p = 0.57, effect size = 0.17, N = 168).  The OSF report (https://osf.io/pujg2) indicates that the replication attempt is: "a comparison of the sum of the regression coefficients “Ingroup”and “Ingroup * Enhanced” versus “Outgroup”and “Outgroup * Enhanced” in the first column in Table 2 and on page 2577 (random effects regression, with clustering at the session level)". These coefficients are presented in Table 2 (p. 2576) in the original research article.  I report an effect size based on the coefficients for Ingroup × Enhanced and Outgroup × Enhanced, given my understanding of the matter.</t>
  </si>
  <si>
    <t>Efficiency in coordination games</t>
  </si>
  <si>
    <t>efficiency, coordination games, social preference model, minimum effort game,  high-effort equilibrium.</t>
  </si>
  <si>
    <t>Assessing how much the combined effort under the Ingroup treatment differs from the combined effort under the Outgroup treatment</t>
  </si>
  <si>
    <t>"A test that the sum of the coefficients on the in-group dummy and ingroup-enhanced interaction term is equal to 0 yields p  &lt;0.0001forcolumn 1 andp= 0.0005 for column 2, while a test that the previous sum is equal to the corresponding outgroup sum yieldsp= 0.023 for column 1"</t>
  </si>
  <si>
    <t>Camereretal2016_14</t>
  </si>
  <si>
    <t>Ifcher, J., &amp; Zarghamee, H. (2011). Happiness and time preference: The effect of positive affect in a random-assignment experiment. American Economic Review, 101(7), 3109–3129.</t>
  </si>
  <si>
    <t>10.1257/aer.101.7.3109</t>
  </si>
  <si>
    <t>10.1126/science.aaf0923</t>
  </si>
  <si>
    <t>https://osf.io/xga9p</t>
  </si>
  <si>
    <t>Mood and time preference</t>
  </si>
  <si>
    <t>happiness, positive affect, time preference</t>
  </si>
  <si>
    <t>mild positive affect significantly reduces time preference over money</t>
  </si>
  <si>
    <t>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</si>
  <si>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p. 3121</t>
  </si>
  <si>
    <t>https://osf.io/wcvnu</t>
  </si>
  <si>
    <t>In multi-level models, R2 *can* include ICC - and this value seems far too high to be the experimental manipulation alone</t>
  </si>
  <si>
    <t xml:space="preserve">Supplementary Table S1 of the replication article reports the following values: Original (p = 0.031, effect size 0.28, n = 58), Replication (p = 0.933, effect size = -0.01, N = 131). Based on the replication report (https://osf.io/xga9p), I was able to trace the replication attempt to the coefficient reported in Table 3, column 5, treatment row (p. 3121). Therefore, I report the test statistic for this coefficient as reported in the OSF replication report. The replication states that the original sample size is 58 subjects, which is a value reported in the Cluster row for column 5 of Table 3 (p. 3121). However, I do not understand if this refers to a sample size. I am reporting the sample size reported in the replication attempt, although I have not been able to derive or confirm this sample size myself. </t>
  </si>
  <si>
    <t>Effect  of  a  mood-inducing  film  clip  on  time  preference</t>
  </si>
  <si>
    <t xml:space="preserve">Positive affect,  Random-Assignment Experiment, time preference, effect of happiness on time preference, decision-making, emotions. </t>
  </si>
  <si>
    <t>It investigates if a positive affect impacts time preference, where time preference denotes a preference for present over future utility.</t>
  </si>
  <si>
    <t>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 p &lt; .05</t>
  </si>
  <si>
    <t>2.997/1.352</t>
  </si>
  <si>
    <t>Camereretal2016_11</t>
  </si>
  <si>
    <t>Friedman, D., &amp; Oprea, R. (2012). A continuous dilemma. American Economic Review, 102(1), 337–363.</t>
  </si>
  <si>
    <t>10.1257/aer.102.1.337</t>
  </si>
  <si>
    <t>10.1126/science.aaf0920</t>
  </si>
  <si>
    <t>https://osf.io/mxrnp</t>
  </si>
  <si>
    <t>Cooperation in continuous prisoner's dilemma</t>
  </si>
  <si>
    <t>prisoner dilemma, continuous dilemma, cooperation</t>
  </si>
  <si>
    <t>Capacity to respond rapidly stabilizes cooperation and destabilizes defection in the prisoner’s dilemma.</t>
  </si>
  <si>
    <t>Cooperation prevails in the Continuous treatment, is less than half as common in Grid-8. [Table 2:] median cooperation rate of .893 for continuous and .250 for Grid-8, Mann-Whitney p &lt; .01</t>
  </si>
  <si>
    <t>p. 345</t>
  </si>
  <si>
    <t>median difference</t>
  </si>
  <si>
    <t>p. 345 - note that replication report calculates this as "0.893−0.250 = 0.743", so same formula, different maths</t>
  </si>
  <si>
    <t>https://osf.io/qvc8s</t>
  </si>
  <si>
    <t>4 subgroup effects</t>
  </si>
  <si>
    <t>Supplementary Table S1 of the replication article reports the following values: Original (p = &lt; 0.001, effect size 0.64, n =  78), Replication (p = 0.004, effect size = 0.44, N = 40). The information available in the replication article does not allow me to stipulate which effect (coefficient) they tried to replicate from the original research article, given that the regression has several parameters. However, the explanation available in Table S2 enabled me to track the results to the ones presented in p. 345-346 and Tables 2-3 of the original research article that establishes "Overall, as can be seen in the bottom row, there is a strong increase in cooperation as we move from One-Shot to Grid-8 to Continuous, and pairwise Mann-Whitney tests applied to by-subject median cooperation rates confirm this ordering at the 1 percent level." In principle, this statement is compatible with the p-value that the replication reported (&lt; 0.001).  I then confirmed this first assessment with the OSF report (https://osf.io/mxrnp).  I will report the effect size for the Median Cooperation rates (and bootstrapped standard errors) reported in Table 2, row = All, of the original research article.</t>
  </si>
  <si>
    <t>Cooperation in a continuous prisoner’s dilemma</t>
  </si>
  <si>
    <t>Prisoner's dilemma, mutual cooperation, decision-making.</t>
  </si>
  <si>
    <t xml:space="preserve">Level of cooperation in the prisoner's dilemma comparing the outcome of two treatment groups "Continuous treatment" and "Grid-8 treatment". </t>
  </si>
  <si>
    <t>"Results are striking. For each parameter set, these rates are all zero in One-Shot, but in Continuous they range from 81 percent (in Hard) to over 93 percent (in Easy). The cooperation rates in Grid-8 are far more heterogeneous, ranging from zero (in Hard) to 75 percent (in Easy). Overall, as can be seen in the bottom row, there is a strong increase in cooperation as we move from One-Shot to Grid-8 to Continuous, and pairwise Mann-Whitney tests applied to by-subject median cooperation rates confirm this ordering at the 1 percent level."</t>
  </si>
  <si>
    <t>(0.893-0.25)/SQRT(((38-1)*0.009^2+(40-1)*0.105^2)/(38+40-2)))</t>
  </si>
  <si>
    <t>Camereretal2016_12</t>
  </si>
  <si>
    <t>Fudenberg, D., Rand, D. G., &amp; Dreber, A. (2012). Slow to anger and fast to forgive: Cooperation in an uncertain world. American Economic Review, 102(2), 720–749.</t>
  </si>
  <si>
    <t>10.1257/aer.102.2.720</t>
  </si>
  <si>
    <t>10.1126/science.aaf0921</t>
  </si>
  <si>
    <t>https://osf.io/kr7sm</t>
  </si>
  <si>
    <t>Leniency in Prisoner's Dilemma</t>
  </si>
  <si>
    <t>prisoner's dilemma, cooperation, forgiveness</t>
  </si>
  <si>
    <t>Subjects cooperate more when game has cooperative equilibria - and benefit from being lenient and forgiving to some extent</t>
  </si>
  <si>
    <t>We see that there is markedly less cooperation when b/c = 1.5 [...] overall (1.5 versus 2, p = 0.001; 1.5 versus 2.5, p &lt; 0.001; 1.5 versus 4, p &lt; 0.001). [...] Cooperation [is] more frequent in treatments where there are coop-
erative equilibria.</t>
  </si>
  <si>
    <t>p. 732-733</t>
  </si>
  <si>
    <t>Table 4: =(0.57/(1-0.57))/(0.83/(1-0.83))</t>
  </si>
  <si>
    <t>p. 19 Camerer et al. 2018 - we do not report logistic regression result from replication report as that does not match any value reported in original</t>
  </si>
  <si>
    <t>https://osf.io/nb4wk</t>
  </si>
  <si>
    <t>1 additional effect - depending on whether we code original values only reported in replication (based on reanalyses)</t>
  </si>
  <si>
    <t xml:space="preserve">Supplementary Table S1 of the replication article reports the following values: Original (p =  0.001, effect size 0.30, n =  124), Replication (p =  0.001, effect size = 0.33, N = 128).  Based on the p-value and the information reported in Table S2 of the replication article I matched the replication attempt to the results stipulated in pages 732-733 of the original research article: "We see that there is markedly less cooperation when b/c = 1.5, both in the first round (1.5 versus 2, p = 0.016; 1.5 versus 2.5, p = 0.003; 1.5 versus 4, p = 0.004) and overall (1.5 versus 2, p = 0.001; 1.5 versus 2.5, p &lt; 0.001; 1.5 versus 4, p &lt; 0.001)". Note that the replication attempts is "overall (1.5 versus 2, p = 0.001)" as stipulated in Table S2. After revision, I do not understand how the coefficients reported in Table 1 of the OSF replication report (https://osf.io/kr7sm) for the original research were obtained. I report an effect size based on the coefficients stipulated in Table 3 (p.733) for b/c = 1.5 and b/c = 2 (row ALLD).  </t>
  </si>
  <si>
    <t>We see that there is markedly less cooperation when b/c = 1.5, both in the first round (1.5 versus 2, p = 0.016; 1.5 versus 2.5, p = 0.003; 1.5 versus 4, p = 0.004) and overall (1.5 versus 2, p = 0.001; 1.5 versus 2.5, p &lt; 0.001; 1.5 versus 4, p &lt; 0.001)</t>
  </si>
  <si>
    <t>Prisoner's dilemma, mutual cooperation, decision-making, cooperative equilibria, punishment.</t>
  </si>
  <si>
    <t>The researchers investigate the cost-benefit ratio (b/c) on cooperation levels in repeated interactions.</t>
  </si>
  <si>
    <t>"We see that there is markedly less cooperation when b/c = 1.5, both in the first round (1.5 versus 2, p = 0.016; 1.5 versus 2.5, p = 0.003; 1.5 versus 4, p = 0.004) and overall (1.5 versus 2, p = 0.001; 1.5 versus 2.5, p &lt; 0.001; 1.5 versus 4, p &lt; 0.001)"</t>
  </si>
  <si>
    <t>pp. 732-733</t>
  </si>
  <si>
    <t>=(0.29-0.17)/SQRT(((72-1)*0.06^2+(52-1)*0.06^2)/(72+52-2)))</t>
  </si>
  <si>
    <t>Camereretal2016_3</t>
  </si>
  <si>
    <t>Bartling, B., Fehr, E., &amp; Schmidt, K. M. (2012). Screening, competition, and job design: Economic origins of good jobs. American Economic Review, 102(2), 834–864.</t>
  </si>
  <si>
    <t>10.1257/aer.102.2.834</t>
  </si>
  <si>
    <t>10.1126/science.aaf0929</t>
  </si>
  <si>
    <t>https://osf.io/8esfd</t>
  </si>
  <si>
    <t>Screening, Competition, Job design, High-performance work systems,</t>
  </si>
  <si>
    <t>Screening for work attitude and labor market competition are causal determinants of the viability of high-performance work systems</t>
  </si>
  <si>
    <t>The average per-period total surplus is 58 percent higher in the screening treatment [than the control]—a difference that is highly significant (rank-sum test on matching group averages, p = 0.007).</t>
  </si>
  <si>
    <t>p. 854</t>
  </si>
  <si>
    <t>percentage difference</t>
  </si>
  <si>
    <t>https://osf.io/r9xc6</t>
  </si>
  <si>
    <t>2 subgroup effects</t>
  </si>
  <si>
    <t>Supplementary Table S1 of the replication article reports the following values: Original (p = 0.007, effect size 0.72, n = 216), Replication (p = 0.001, effect size = 0.66, N = 360). The associated replication report (https://osf.io/8esfd) specifies the replication attempt for the difference of the average per period total surplus between base and screening treatment”. This result is stipulated in the original research article p. 854. The replication report indicates an effect of 5.92 for the original article as the difference of average per-period total surplus between the two treatments. Although I could not derive the base and screening treatment values reported in Table 1 of the replication report, this is truly consistent with the   "58 percent higher in the screening treatment" reported in p. 854 of the original research article. Therefore, I report effect size for the original research article based on the estimated effect size in the replication report (values in Table 1 of the replication report).</t>
  </si>
  <si>
    <t>Impact of screening treatment on the employers’ and employees’ average income</t>
  </si>
  <si>
    <t>High-performance work systems, effort productivity, work attitude screening, labor market competition</t>
  </si>
  <si>
    <t>This is how providing employers with information about employees’ past performance influences the wages employers offer, the efforts of employees, and the financial outcomes for both.</t>
  </si>
  <si>
    <t>"Overall, the average per-period total surplus is 58 percent higher in the screening treatment—a difference that is highly significant (rank-sum test on matching group averages, p = 0.007). This increase in the total surplus has two main sources—the higher share of jobs with full discretion and the higher average effort of the employees."</t>
  </si>
  <si>
    <t>Difference of average per-period total surplus between the two treatments.</t>
  </si>
  <si>
    <t>10.25 - 16.17</t>
  </si>
  <si>
    <t>Camereretal2016_16</t>
  </si>
  <si>
    <t xml:space="preserve">Z-values from a Mann-Whitney-U-Test </t>
  </si>
  <si>
    <t>Kirchler, M., Huber, J., &amp; Stöckl, T. (2012). Thar she bursts: Reducing confusion reduces bubbles. American Economic Review, 102(2), 865–883.</t>
  </si>
  <si>
    <t>10.1257/aer.102.2.865</t>
  </si>
  <si>
    <t>10.1126/science.aaf0925</t>
  </si>
  <si>
    <t>https://osf.io/d89fx</t>
  </si>
  <si>
    <t>bubbles, cash–to–asset value ratio, asset market model, overvaluation</t>
  </si>
  <si>
    <t>High mispricing occurs with a declining fundamental value, while overvaluation emerges when coupled with an increasing C/A ratio.</t>
  </si>
  <si>
    <t>We find high mispricing in treatments with declining FVs [fundamental values], z = −2.402 (T1 vs T2)</t>
  </si>
  <si>
    <t>p.  875</t>
  </si>
  <si>
    <t>p. 875 (.414 - .079)</t>
  </si>
  <si>
    <t>https://osf.io/d5t2b</t>
  </si>
  <si>
    <t>z-scores from Mann-Whitney cannot be converted (or are at least not comparable)</t>
  </si>
  <si>
    <t xml:space="preserve">Supplementary Table S1 of the replication article reports the following values: Original (p =  0.016, effect size 0.66, n = 120), Replication (p = 0.010, effect size = 0.53, N = 220).  The OSF report (https://osf.io/d89fx) stipulates that the replication attempt is centered on "Wilcoxon-Mann-Whitney test on mean RAD between the treatments t1 and t2 with RAD measured on the market level, Table 6, middle of the bottom panel on p. 875".  I verified these results in the original research article. I report the coefficient T1( \+) versus T2(— +) in the RAD column as effect size. However, I was not able to derive the sample size of 120 participants that the OSF document reports. Still, I report this value as a sample size. </t>
  </si>
  <si>
    <t>Mispricing effect in  experimental  asset  markets  under  constant  fundamental value with declining fundamental value</t>
  </si>
  <si>
    <t>stock market, Experimental asset market model, value process, cash–to–asset value ratio, overvaluation, fundamental value.</t>
  </si>
  <si>
    <t>They investigated how the effect of a declining fundamental value (FV) increases mispricing in experimental asset markets (a com-parison of the mean relative absolute deviation (RAD) between treatment 1 (t1) and treatment 2(t2)).</t>
  </si>
  <si>
    <t>"While the results for overvaluation look similar on the aggregate level (with a significant difference of 17.1 percentage points), a closer inspection of Table 6 reveals that overvaluation is very strong in T1( \+) compared to T2(— +) and T3( \=)"</t>
  </si>
  <si>
    <t>p. 875</t>
  </si>
  <si>
    <t>mean coefficient</t>
  </si>
  <si>
    <t>Camereretal2016_15</t>
  </si>
  <si>
    <t>Kessler, J. B., &amp; Roth, A. E. (2012). Organ allocation policy and the decision to donate. American Economic Review, 102(5), 2018–2047.</t>
  </si>
  <si>
    <t>10.1257/aer.102.5.2018</t>
  </si>
  <si>
    <t>10.1126/science.aaf0924</t>
  </si>
  <si>
    <t>https://osf.io/7edwb</t>
  </si>
  <si>
    <t>Registration of organ donors: giving waitlist priority</t>
  </si>
  <si>
    <t>organ donation, decision making, organ allocation</t>
  </si>
  <si>
    <t>An organ allocation policy giving priority on waiting lists to those who previously registered as donors has a significant positive impact on registration.</t>
  </si>
  <si>
    <t>Averaging across the first 15 rounds of the game, the priority condition averaged a donation rate of 74.2 percent while control condition averaged a much lower donation rate of 35.9 percent.</t>
  </si>
  <si>
    <t>p. 2027</t>
  </si>
  <si>
    <t>=(0.742/(1-0.742))/(0.359/(1-0.359))</t>
  </si>
  <si>
    <t>p. 19 Camerer et al. 2018 - we do not report results from the replication report as they do not match anything reported in original study</t>
  </si>
  <si>
    <t>https://osf.io/hsrbu</t>
  </si>
  <si>
    <t>Multiple additional effects - depending on whether we code original values only reported in replication (based on reanalyses)</t>
  </si>
  <si>
    <t xml:space="preserve">Supplementary Table S1 of the replication article reports the following values: Original (p = &lt; 0.001, effect size 0.49, n = 288), Replication (p = 0.016, effect size = 0.34, N = 48). The OSF report (https://osf.io/7edwb) stated that the replication attempt is focused on: "regression 2 in Table 3, the coefficient for “priority” (shows the effect for the between subject rounds 1–15; linear probability model with clustering on subject). The replication states that they have reestimated the original model "including only the two treatments of the replication and only rounds 1-15. This resulted in a p-value of p= 1.631e−18(and az-value of 9.413)". Nonetheless, I report a t-statistic for the priority coefficient of model 2 (second column) as an effect size.  Please note that I was not able to derive from the original article a sample size of 288 as the OSF report states. I still report this value. </t>
  </si>
  <si>
    <t>Effects of different organ donation policies on the registration of organ donors</t>
  </si>
  <si>
    <t>Organ Allocation Policy, decision-making, organ donation, experimental game</t>
  </si>
  <si>
    <t>They investigated the decision to register as an organ donor and how changes in the management of organ waiting lists might impact donations (comparison of the fraction of donors choosing to be a donor between the priority condition treatment and the control condition treatment in rounds 1–15).</t>
  </si>
  <si>
    <t>"Using estimates from regression 2, we find that Priority outperforms Discount and Rebate in the first 15 rounds of the experiment but the 3 are indistinguishable in the second half of the experiment".</t>
  </si>
  <si>
    <t>p. 2030</t>
  </si>
  <si>
    <t>0.383 / 0.041</t>
  </si>
  <si>
    <t>Camereretal2016_2</t>
  </si>
  <si>
    <t>Ambrus, A., &amp; Greiner, B. (2012). Imperfect public monitoring with costly punishment: An experimental study. American Economic Review, 102(7), 3317–3332.</t>
  </si>
  <si>
    <t>10.1257/aer.102.7.3317</t>
  </si>
  <si>
    <t>10.1126/science.aaf0928</t>
  </si>
  <si>
    <t>https://osf.io/a8c36</t>
  </si>
  <si>
    <t>Effect of punishment depending on monitoring</t>
  </si>
  <si>
    <t>punishment, public monitoring, public good contribution games, cooperation</t>
  </si>
  <si>
    <t>The effects of a costly punishment option on cooperation and social welfare in long, finitely repeated public good contribution games depends on whether monitoring is perfect or imperfect</t>
  </si>
  <si>
    <t>When there is noise in addition to punishment, net payoffs are significantly reduced. [...] Hypothesis F-tests confirm at the 5 percent level that the joint effect of Regular Punishment and Noise × Regular Punishment is negative.</t>
  </si>
  <si>
    <t>p. 3325</t>
  </si>
  <si>
    <t>p. 3324 (.86-3.77)</t>
  </si>
  <si>
    <t>https://osf.io/tpmnq</t>
  </si>
  <si>
    <t>Many p-values from wrong row - be careful w/ tables</t>
  </si>
  <si>
    <t xml:space="preserve">Supplementary Table S1 of the replication article reports the following values: Original (p = 0.057, effect size 0.31, n = 117), Replication (p = 0.160, effect size = 0.08, N = 318). The replication report (https://osf.io/a8c36) specifies that the replication attempt focus on "The focal effect is the sum of the “regular punishment” coefficient and the “noise * regular punishment” coefficient in the last column in Table 2 (p. 3324), an OLS regression of earnings in each period".  These results are presented in rows 3 and 6 (column 5) of Table 2 in the original research article. Therefore I report on those values. Please note that I report the coefficient from Table 1 in the replicator's ODF report as an effect size, given that I was not able to reproduce an effect size of 0.31 (most likely lack of comprehension of how it was calculated by the replication article). </t>
  </si>
  <si>
    <t>Effect of regular punishment and noise in net earnings.</t>
  </si>
  <si>
    <t>Imperfect Public Monitoring, punishment, cooperation, perfect monitoring, punishment technology</t>
  </si>
  <si>
    <t>Is the effect of regular punishment under conditions of imperfect public monitoring (noise) on net earnings in a sequential goods game.</t>
  </si>
  <si>
    <t>"Hypothesis F-tests confirm at the 5 percent level that the joint effect of Regular Punishment and Noise × Regular Punishment is negative, but cannot reject that the joint effect of Strong Punishment and Noise × Strong Punishment is different from zero (p = 0.133)"</t>
  </si>
  <si>
    <t>Camereretal2016_10</t>
  </si>
  <si>
    <t>Fehr, E., Herz, H., &amp; Wilkening, T. (2013). The lure of authority: Motivation and incentive effects of power. American Economic Review, 103(4), 1325–1359.</t>
  </si>
  <si>
    <t>10.1257/aer.103.4.1325</t>
  </si>
  <si>
    <t>10.1126/science.aaf0919</t>
  </si>
  <si>
    <t>https://osf.io/sw98r</t>
  </si>
  <si>
    <t>Reluctance to delegate authority</t>
  </si>
  <si>
    <t>authority, power, motivation</t>
  </si>
  <si>
    <t>Individuals often retain authority even when its delegation is in their material interest—suggesting that authority has nonpecuniary consequences for utility.</t>
  </si>
  <si>
    <t>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</si>
  <si>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p. 1347</t>
  </si>
  <si>
    <t>=(0.671/(1-0.671))/(0.413/(1-0.413))</t>
  </si>
  <si>
    <t>p.3 - =(0.6747/(1-0.6747))/(0.4311/(1-0.4311))</t>
  </si>
  <si>
    <t>https://osf.io/fsv82</t>
  </si>
  <si>
    <t>Supplementary Table S1 of the replication article reports the following values: Original (p = 0.011, effect size 0.45, n =  60), Replication (p = 0.026, effect size = 0.31, N = 102). I matched the replication attempt with the results presented in p. 1347 of the original research article. No changes were performed after corroborating the entries with the OSF report (https://osf.io/sw98r).</t>
  </si>
  <si>
    <t>It is the tendency to avoid transferring decision-making power to others.</t>
  </si>
  <si>
    <t>"Recall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</si>
  <si>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Odds Ratios</t>
  </si>
  <si>
    <t>(0.671/(1-0.671))/(0.413/(1-0.413))</t>
  </si>
  <si>
    <t>Camereretal2016_6</t>
  </si>
  <si>
    <t>Effect size for original study opaque, releavant details recorded - look to tables indicated to see values that were compared for those mean differences? Table 5a and Table 6a, should take difference value?</t>
  </si>
  <si>
    <t>De Clippel, G., Eliaz, K., &amp; Knight, B. G. (2014). On the selection of arbitrators. American Economic Review, 104(11), 3434–3458.</t>
  </si>
  <si>
    <t>10.1257/aer.104.11.3434</t>
  </si>
  <si>
    <t>10.1126/science.aaf0932</t>
  </si>
  <si>
    <t>https://osf.io/ysqft</t>
  </si>
  <si>
    <t>Selection of arbitrators through shortlisting rather than veto-ranking</t>
  </si>
  <si>
    <t>arbitration, selection, short-listing, veto ranking</t>
  </si>
  <si>
    <t>Arbitrators are usually chosen with a veto-rank method, yet this paper shows that an alternative shortlisting mechanism yields superior outcomes</t>
  </si>
  <si>
    <t>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</si>
  <si>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p. 3448</t>
  </si>
  <si>
    <t xml:space="preserve"> Table 7</t>
  </si>
  <si>
    <t>https://osf.io/vdmz6</t>
  </si>
  <si>
    <t>Supplementary Table S1 of the replication article reports the following values: Original (p = 0.001, effect size 0.12, n = 158), Replication (p = 0.001, effect size = 0.27, N = 156).  Using the description provided in Table S2 of the replication article, I matched the replication attempt to the one reported in Table 7 of the original research article, which reports a "0.001 for Pf2".  No information is reported about the uncertainty in the mean values, therefore I report as an effect size the difference stated in the original research article.</t>
  </si>
  <si>
    <t>Efficiency (average aggregate payoff) difference between veto-rank mechanism (VR) and shortlisting (SL) mechanisms.</t>
  </si>
  <si>
    <t xml:space="preserve">Arbitration, selection of the arbitrator, implementation theory, veto-rank, shortlisting, </t>
  </si>
  <si>
    <t>"In the veto-rank mechanism (VR), two parties receive a list of n (an odd number) potential arbitrators. Each party independently vetoes or removes (n-1)/2 names from the list, and ranks the remaining (n + 1)/2 candidates". shortlisting is proposed as a method that: (i) backwards induction leads to a Pareto efficient outcome, which Pareto dominates both parties’ median choices, and (ii) there are as few stages as possible so that backwards induction is relatively “simple” to execute (see Binmore et. al. 2002).</t>
  </si>
  <si>
    <t>"Finally,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</si>
  <si>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p. 3449</t>
  </si>
  <si>
    <t>mean difference</t>
  </si>
  <si>
    <t>Camereretal2016_7</t>
  </si>
  <si>
    <t xml:space="preserve">Effect size for original : details found in session-level efficiency ratios over all rounds as reported in Table 7 for the money treatment sessions and in the last three columns of Table 12, but unclear if/how to calculate effectively from there. </t>
  </si>
  <si>
    <t>Duffy, J., &amp; Puzzello, D. (2014). Gift exchange versus monetary exchange: Theory and evidence. American Economic Review, 104(6), 1735–1776.</t>
  </si>
  <si>
    <t>10.1257/aer.104.6.1735</t>
  </si>
  <si>
    <t>10.1126/science.aaf0933</t>
  </si>
  <si>
    <t>https://osf.io/rf7zq</t>
  </si>
  <si>
    <t>Lagos-Wright model, monetary exchange, monetary equilibrium, gift exchange</t>
  </si>
  <si>
    <t>avoidance of gift exchange equilibria in favor of the monetary equilibrium.</t>
  </si>
  <si>
    <t>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</si>
  <si>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p. 1764</t>
  </si>
  <si>
    <t>Tables 7 and 12 (.43 - .27)</t>
  </si>
  <si>
    <t>https://osf.io/ypcz5</t>
  </si>
  <si>
    <t>claim should be stats + interpretation (better slightly too long when coding?)</t>
  </si>
  <si>
    <t>Supplementary Table S1 of the replication article reports the following values: Original (p = 0.010, effect size 0.76, n =  54), Replication (p = 0.67, effect size = -0.12, N = 96).  Using the information provided in Table S2 of the replication article, I matched the replication attempt to the data reported (apparently) in Table 12 of the original research article where the reported p-value of 0.10 is present. I report an effect size based on the Table 1 in the replication report (https://osf.io/rf7zq), considering the average ratios.</t>
  </si>
  <si>
    <t>Efficiency in the Lagos-Wright money model.</t>
  </si>
  <si>
    <t xml:space="preserve">Lagos-Wright model, monetary exchange, monetary equilibrium </t>
  </si>
  <si>
    <t>Is the ability of the economy to maximize welfare by facilitating trade and coordination among agents.</t>
  </si>
  <si>
    <t>"Nevertheless, using the session-level efficiency ratios over all rounds as reported in Table 7 for the money treatment sessions and in the last three columns of Table 12 for the no money treatment sessions, a Wilcoxon Mann-Whitney test indicates that we can reject the null hypothesis of no difference in efficiency ratios between (i) the M6 and NM6 treatments and (ii) the M14 and NM14 treatments in favor of the alternative that efficiency ratios are higher in each of the two M treatments relative to the comparable NM treatment ( p = 0.01 for the first test and p = 0.04 for the second test). This is strong evidence that the presence of a money object enables agents to coordinate on a more efficient equilibrium outcome.</t>
  </si>
  <si>
    <t>=(0.43/(1-0.43))/(0.27/(1-0.27))</t>
  </si>
  <si>
    <t xml:space="preserve">Generated link (link_o) leads to a wrong study </t>
  </si>
  <si>
    <t>Bargh, J. A., Chen, M., &amp; Burrows, L. (1996). Automaticity of social behavior: Direct effects of trait construct and stereotype activation on action. Journal of Personality and Social Psychology, 71(2), 230–244. https://doi.org/10.1037/0022-3514.71.2.230. Study 2a</t>
  </si>
  <si>
    <t>self-consciousness, automatic behaviors</t>
  </si>
  <si>
    <t>Occurs when an individual's exposure to a certain stimulus influences their response to a subsequent prompt, without any awareness of the connection.</t>
  </si>
  <si>
    <t>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</si>
  <si>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p.8 t(28) = 2.86,p&lt; .01, as predicted.</t>
  </si>
  <si>
    <t>p. 4 F(1, 27)  = 2.47, p  = 0.13</t>
  </si>
  <si>
    <t>p.4 F(1, 36)  = 6.77, p  = .01</t>
  </si>
  <si>
    <t>Cesario et al. (2007) Study 2 </t>
  </si>
  <si>
    <t>p. 9 F(2, 64)  = 2.93, p =  .06, partial  2  = .08.</t>
  </si>
  <si>
    <t>Fairly Exact Replication</t>
  </si>
  <si>
    <t>t(64) = -.88</t>
  </si>
  <si>
    <t>t(64) = -.88, p=.38.</t>
  </si>
  <si>
    <t>p.3, (F (1, 119) &lt; 1, n2= .01).</t>
  </si>
  <si>
    <t>curatescience53</t>
  </si>
  <si>
    <t>Reolication also calculated d for Experiment 1 in O "The literary fiction versus nonfiction comparison (Kidd and Castano’s
Experiment 1, N   86) has Cohen’s d   .51,"</t>
  </si>
  <si>
    <t>Kidd, D. C., &amp; Castano, E. (2013). Reading literary fiction improves theory of mind. Science, 342(6156), 377-380. Study 1</t>
  </si>
  <si>
    <t>Condition, Literary Fiction Versus Nonfiction</t>
  </si>
  <si>
    <t xml:space="preserve">Scores for the affective ToM task ... were higher in the literary fiction than nonfiction condition (Table 2). </t>
  </si>
  <si>
    <t>p.2, Table 2, F1,82 = 6.40 p = 0.01</t>
  </si>
  <si>
    <t>p. 5, F(1, 167) = 0.08, p  =  .775, d =  0.07.</t>
  </si>
  <si>
    <t>ART (author recognition test), Literary Fiction Versus Nonfiction</t>
  </si>
  <si>
    <t>Reading literature can led to better performance on tests of affective theory of mind and and cognitive theory of mind</t>
  </si>
  <si>
    <t>p.2, Table 2, b = 0.36, p = 0.0003</t>
  </si>
  <si>
    <t>p. 5, F(1, 266)   44.22, p  &lt;  .001, b =  0.19</t>
  </si>
  <si>
    <t>ART - Condition intercation, Literary Fiction Versus Nonfiction</t>
  </si>
  <si>
    <t>No other covariates approached significance... (In this case no interaction effect - Aleksandr P.)</t>
  </si>
  <si>
    <t>p.2, Table 2, F1,82 = 1.06, p = 0.30</t>
  </si>
  <si>
    <t>p.5, F(1, 266) = 0.24, p =  .625</t>
  </si>
  <si>
    <t>Seems to be in German, can't extract the data</t>
  </si>
  <si>
    <t>Dijkstra, K., Verkoeijen, P., van Kuijk, I., Yee Chow, S., Bakker, A., &amp; Zwaan, R. (2015). Leidt het lezen van literaire fictie tot meer empathie? : een replicatiestudie van Kidd en Castano (2013). De Psycholoog, 50(10), 10–21. Retrieved from http://hdl.handle.net/1765/98670</t>
  </si>
  <si>
    <t>I am not sure what exclusion criteria for studies the project has. This one seems to be in German, so I don't know if it's eligible.</t>
  </si>
  <si>
    <t>Condition, literary fiction versus popular fiction condition.</t>
  </si>
  <si>
    <t xml:space="preserve">Experiment 3 (N = 69) aimed to replicate the literary fiction versus popular fiction comparison. Using the same analytical strategy used in experiment 1, it was found that RMET scores were higher in the literary fiction condition than in the popular fiction condition. </t>
  </si>
  <si>
    <t>p. 2,3</t>
  </si>
  <si>
    <t>p.2, Table 2, F1,65 = 4.07 p = 0.04</t>
  </si>
  <si>
    <t>curatescience54_b</t>
  </si>
  <si>
    <t>ART (author recognition test), literary fiction versus popular fiction condition.</t>
  </si>
  <si>
    <t>There were no effects involving the Author Recognition Test</t>
  </si>
  <si>
    <t>p.2, Table 2, b = –0.01 , p = 0.90</t>
  </si>
  <si>
    <t>curatescience54_c</t>
  </si>
  <si>
    <t>ART - Condition intercation, literary fiction versus popular fiction condition.</t>
  </si>
  <si>
    <t>p.2, Table 2, F1,65 = 0.01, p =0.90</t>
  </si>
  <si>
    <t>N for R based on test statistic (F)</t>
  </si>
  <si>
    <t>p.6, F(1, 191) = 0.83, p = .363, d = 0.05.</t>
  </si>
  <si>
    <t>curatescience55_b</t>
  </si>
  <si>
    <t>p.6, F(1, 288)  = 95.16, p &lt;  .001, b  = 0.37</t>
  </si>
  <si>
    <t>curatescience55_c</t>
  </si>
  <si>
    <t>p.6,  F(1, 288) = 0.67, p = .412.</t>
  </si>
  <si>
    <t>N for R is stated to be 370, but I am not quite sure that it's true in all of the cases</t>
  </si>
  <si>
    <t>Condition, Literary Fiction Versus Popular fiction Versus No Reading</t>
  </si>
  <si>
    <t>Results on the RMET were analyzed as in the previous experiments. The effect of condition was significant (see Table 1). Scores were significantly higher in the literary fiction condition than in the popular fiction and no-reading conditions (see Table 2).</t>
  </si>
  <si>
    <t>p.2, Table 2, F2,352 =3.10, p = 0.04</t>
  </si>
  <si>
    <t>F(1, 53.6) = 0.08, p =  .775, d =  0.01.</t>
  </si>
  <si>
    <t>curatescience56_b</t>
  </si>
  <si>
    <t>ART (author recognition test) Literary Fiction Versus Popular fiction Versus No Reading</t>
  </si>
  <si>
    <t>p.2, Table 2, b = 0.28, p &lt;0.001</t>
  </si>
  <si>
    <t>p.6,  F(1, 361)  = 139.37, p &lt;  .001</t>
  </si>
  <si>
    <t>curatescience56_c</t>
  </si>
  <si>
    <t>ART - Condition intercation, Literary Fiction Versus Popular fiction Versus No Reading</t>
  </si>
  <si>
    <t>p.2, Table 2, F2,352 = 1.37, p = 0.25</t>
  </si>
  <si>
    <t>p.6,  F(1, 361)  = 4.06, p =  .045:</t>
  </si>
  <si>
    <t xml:space="preserve">Calculated p value for O myself </t>
  </si>
  <si>
    <t>10.1177/0956797609358096</t>
  </si>
  <si>
    <t>Lange, F., &amp; Eggert, F. (2014). Sweet delusion. Glucose drinks fail to counteract ego depletion. Appetite, 75, 54–63. https://doi.org/10.1016/j.appet.2013.12.020</t>
  </si>
  <si>
    <t>intertemporal choice, future (delay) discounting, blood glucose, Ego depletion, Self-control, Oral glucose sensing</t>
  </si>
  <si>
    <t>Glucose drinks fail to counteract ego depletion</t>
  </si>
  <si>
    <t>As predicted, there was a significant interaction between condition and time (i.e., T1 future discount to T2 future discount), F(1, 59) = 15.61, prep &gt; .999, ηp2 = .21. ... Our results showed that human preferences for future versus current rewards fluctuated from moment to moment based on blood glucose levels.</t>
  </si>
  <si>
    <t>p.4, F(1, 59) = 15.61, prep &gt; .999, ηp2 = .21</t>
  </si>
  <si>
    <t>p.5, F(1,68) = 1.12, p = .29, n2p=09.</t>
  </si>
  <si>
    <t>LR, Corinna Gemmecke</t>
  </si>
  <si>
    <t>The study focuses on the replication of descriptive reports. Mainly, tables and graphs are replicated. For this reason, I have not coded effect sizes or p-values, as no test statistics were reported in any of the studies. Overall, I am not sure how meaningful coding in this table is at all, since the graphs take center stage in the replication.; The sample size describes analyzed 911 calls</t>
  </si>
  <si>
    <r>
      <rPr>
        <rFont val="Calibri"/>
        <color rgb="FF000000"/>
        <sz val="11.0"/>
        <u/>
      </rPr>
      <t xml:space="preserve">Ratcliffe, J. H. (2021). Policing and public health calls for service in Philadelphia. Crime Science, 10(1), 1–6. </t>
    </r>
    <r>
      <rPr>
        <rFont val="Calibri"/>
        <color rgb="FF1155CC"/>
        <sz val="11.0"/>
        <u/>
      </rPr>
      <t>https://doi.org/10.1186/s40163-021-00141-0</t>
    </r>
  </si>
  <si>
    <t>Philadelphia, Police, Public health, Medical, Calls for service, CAD</t>
  </si>
  <si>
    <t>"For more detail, in Fig. 1 box size indicates the time spent on each CAD code type in 2019, based on initial classifcation assigned by the dispatcher and weighted for the number of ofcers in attendance. Te crime category dominates (54.7% of time committed, see Table 1), mainly consisting of domestic incidents, people with weapons, and robberies and thefts in progress. In discussions with CAD supervisors and PPD personnel, four CAD codes were associated with a public health nexus (see footnote 4). A category for reports of people in one of the city’s rivers (144 such incidents in 2019), a ‘sick assist’ call for general assistance, a welfare check (check on well-being), and a large catch-all category for ‘hospital case’. In 2019, Philadelphia did not disaggregate mental health type calls at the CAD entry level (though CAD free-text notes not available to the author might refect this).", "As with criminal activity, and a characteristic not unique to Philadelphia (Koziarski, in press), health-related policing calls are concentrated in space and time. In Philadelphia, public health calls concentrate in the Center City (A in Fig. 2) and Kensington (B) neighborhoods of the city. Both are focal areas for the homeless populations, with the latter recently referred to as “the largest open-air heroin market on the East Coast of the United States” (Johnson et al., 2020: 3). Health-related policing calls are up to four times more frequent in the afternoon and evening compared to the early hours of the morning (Fig. 3) with on average 15 calls per hour on Friday afternoons and early evening.", "The nearly 80% of health-related calls to police that go on to result in a health-related outcome are shown in grey. Blue lines refect the 11.6% of calls that originate as a health-related CAD event but result in a crime or other policing outcome, and red lines indicate the 8.8% of events that originate as non-health related, but on investigation by police result in a health-type disposition."</t>
  </si>
  <si>
    <t>LR,  Corinna Gemmecke</t>
  </si>
  <si>
    <t>Calls for service, police reform, police response, defund, George Floyd</t>
  </si>
  <si>
    <t xml:space="preserve">"A large proportion of calls that police agencies are receiving from citizens do not seem to be for serious crimes or obvious emergencies. Rather, the most common types of calls to which officers were dispatched, on average, were traffic-related events (averaging 16.8% of all calls across the nine agencies), disorders (averaging 16.2%), suspicions (averaging 12.8%),12 follow-ups and service requests (averaging 11.2%), and property crimes (averaging 10.2%). [...] Disorders appear in the top three call categories for all nine agencies, while traffic-related calls appear in the top three call categories for seven of the nine agencies. Although some of these seemingly minor calls for service may escalate into—or mask—serious events, the vast majority of calls for police service are for events that are likely not immediately violent or life-threatening emergencies (a finding confirmed by our later analysis of the outcomes of these calls). Nonetheless, it is important to point out that community members are requesting the police for many minor and non-serious concerns because no other agency exists that they could call (or that a calltaker could divert them towards). [...] Calls related to mental health concerns were only a very small proportion of calls dispatched to the police in each of these nine agencies (approximately 1.3% of calls on average across these nine agencies, and no more than 4% for any specific agency). This does not support the common view that police agencies are handling large amounts of calls for people in mental distress, and therefore provides the first indication that significant defunding of the police would likely not be achieved even if another agency handled these calls.", "As Table 3 shows,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These findings were expected; all three types of calls likely require the response of specialized units (including medical responses), written reports, specific procedural or investigative requirements, the transport of individuals, and perhaps even arrests. Similarly, domestic-related and property crimes also take up more time because of these factors." </t>
  </si>
  <si>
    <t>11-13</t>
  </si>
  <si>
    <t>p. 12-14</t>
  </si>
  <si>
    <t>I am not sure which  statistical test was conducted in the replication study. Therefore, I report all information from the table. The manuscripts states that it was a pre- post test.; The original study reports the results of a regression in a table and I report all values of the table (related to the regression).</t>
  </si>
  <si>
    <t>attitude change after police killings</t>
  </si>
  <si>
    <t>Protest policing, attitudes towards police, George Floyd, ethnicity, replication</t>
  </si>
  <si>
    <t xml:space="preserve">police killings in other contexts play a role in shaping attitudes towards local police </t>
  </si>
  <si>
    <t>"Table 2 presents estimates of the effect of Eric Garner’s killing on the attitudes of black Londoners toward the Metropolitan Police. Consistent with Hypothesis 1, the results suggest that black Londoners’ overall satisfaction of the Metropolitan Police did fall significantly following the killing of Eric Garner in New York. I estimate that overall satisfaction with the police fell by a value of 3.54 following the police killing of Eric Garner",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</si>
  <si>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p. 11, p. 12, p. 13</t>
  </si>
  <si>
    <t>Regression discontinuity estimator = -3.54, robust SE = 1.44, robust CI (-6.37, -0.7)</t>
  </si>
  <si>
    <t>Estimate = -0.31, robust CI = (-1.11, 0.49), robust SE = 0.41</t>
  </si>
  <si>
    <t>Appendix B1</t>
  </si>
  <si>
    <t>https://doi.org/10.17605/OSF.IO/DT24J</t>
  </si>
  <si>
    <t>"Table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</si>
  <si>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Regression discontinuity estimator = -2.44, robust SE = 1.22, robust CI (-4.82, -0.05)</t>
  </si>
  <si>
    <t>Estimate = 0.45, robust CI = (-0.64, 1.54), robust SE = 0.56</t>
  </si>
  <si>
    <t>"Table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</si>
  <si>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Regression discontinuity estimator = -3.16, robust SE = 1.03, robust CI (-5.18, -1.14)</t>
  </si>
  <si>
    <t>Estimate = 0.05, robust CI = (-0.78, 0.88), robust SE = 0.42</t>
  </si>
  <si>
    <r>
      <rPr>
        <rFont val="Calibri"/>
        <color rgb="FF1155CC"/>
        <sz val="11.0"/>
        <u/>
      </rPr>
      <t xml:space="preserve">The authors use the same dataset for Sweden and an updated dataset for the U.S. (thus the dataset is also partly the same) see p. 3 (p. 5 when respecting the whole document: </t>
    </r>
    <r>
      <rPr>
        <rFont val="Calibri"/>
        <color rgb="FF1155CC"/>
        <sz val="11.0"/>
        <u/>
      </rPr>
      <t>https://www.econstor.eu/bitstream/10419/253653/1/JCRE-2022-2.pdf)</t>
    </r>
  </si>
  <si>
    <t>As the recipients were passive and the behavior of the dictator was measures, I excluded recipients from the effective sample; Both studies also include some regression analyses to examine interaction effects. However, the effects that I coded seem to be the main focus of the replication. I calculated all effect sizes using the excel sheet.</t>
  </si>
  <si>
    <t>dictator game, gender differences</t>
  </si>
  <si>
    <t>"Table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</si>
  <si>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4, 7 &amp; 8</t>
  </si>
  <si>
    <t>"Male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</si>
  <si>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</si>
  <si>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</si>
  <si>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-0.005</t>
  </si>
  <si>
    <t>"The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</si>
  <si>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-1.069</t>
  </si>
  <si>
    <t>-0.203</t>
  </si>
  <si>
    <t>It is a reproduction and not a replication</t>
  </si>
  <si>
    <t>Ireland 2005-2010; This replication study contains many tables. I have already written to Sarah and am happy to code all the other tables as well. If you let me know which specific values you need from the tables, I will code them accordingly.</t>
  </si>
  <si>
    <t>Multinational Firms, Wage Spillovers, Worker Mobility</t>
  </si>
  <si>
    <t>"In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</si>
  <si>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 = 35.46</t>
  </si>
  <si>
    <t>extension effect size: Ireland 2011-2016</t>
  </si>
  <si>
    <t>extension effect size: Norway</t>
  </si>
  <si>
    <t>Ireland 2005-2010</t>
  </si>
  <si>
    <t>"In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</si>
  <si>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 = 41.32</t>
  </si>
  <si>
    <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</si>
  <si>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 = 3.37</t>
  </si>
  <si>
    <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</si>
  <si>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 = 4.21</t>
  </si>
  <si>
    <t>Please check again: I think that the replication study uses at least to some extant the same data. The replication adds only more recently obtained data.</t>
  </si>
  <si>
    <t>I relied on the effects from the replication study, which were fully reported in the text. Unfortunately, no effect sizes or statistics were provided that you could directly use. Therefore, I extracted the statistics from the text and table, hoping that you can still work with them. These were multi-level analyses. Since the outcome always referred to the students, I indicated them as the sample size.</t>
  </si>
  <si>
    <t>ECLS-L, teacher certification, teacher qualifications, teacher quality, input output analysis, productivity</t>
  </si>
  <si>
    <t>[reading achievement: teacher reading methods course] Reading course ratio, b06;  -0.001 [Table 3]</t>
  </si>
  <si>
    <t>beta = -0.001</t>
  </si>
  <si>
    <t>gamma = -0.30, CI = -0.58, -0.01</t>
  </si>
  <si>
    <t>[reading achievement: school with greater average SES] Ave. socioeconomic status, g008,  0.075*** [Table 3]</t>
  </si>
  <si>
    <t>gamma = 0.075</t>
  </si>
  <si>
    <t>gamma = 0.03, CI = 0.00, 0.07</t>
  </si>
  <si>
    <t>[reading achievement: students previous achievement] Kindergarten achievement, p5, 0.686*** [Table 3]</t>
  </si>
  <si>
    <t>pi = 0.686</t>
  </si>
  <si>
    <t>beta = 0.74, CI = 0.71, 0.77</t>
  </si>
  <si>
    <t>[reading achievement: time] Elapsed time between testing, p6,  0.061*** [Table 3]</t>
  </si>
  <si>
    <t>pi = 0.061</t>
  </si>
  <si>
    <t>beta = 0.10, CI = 0.07, 0.13</t>
  </si>
  <si>
    <t>[reading achievement: student SES] Socioeconomic status, p4,  0.062*** [Table 3]</t>
  </si>
  <si>
    <t>pi = 0.062</t>
  </si>
  <si>
    <t>beta = 0.04, CI = 0.01, 0.07</t>
  </si>
  <si>
    <t>[reading achievement: gender] Female student, p2, 0.046* [Table 3]</t>
  </si>
  <si>
    <t>pi = 0.046</t>
  </si>
  <si>
    <t>beta = 0.12, CI = 0.07, 0.17</t>
  </si>
  <si>
    <t>[mathematics achievement: time between testing administration] Elapsed time between testing, p6, 0.050*** [Table 3]</t>
  </si>
  <si>
    <t>pi = 0.050</t>
  </si>
  <si>
    <t>beta = 0.06, CI = 0.03, 0.09</t>
  </si>
  <si>
    <t xml:space="preserve">[mathematics achievement: student SES] </t>
  </si>
  <si>
    <t>pi = 0.078</t>
  </si>
  <si>
    <t>beta = 0.05, CI = 0.02, 0.08</t>
  </si>
  <si>
    <t>mathematics achievement: gender] Female student p2, 0.025 [Table 3]</t>
  </si>
  <si>
    <t>pi = 0.025</t>
  </si>
  <si>
    <t>beta = -0.15, CI = -0.10, -0.20</t>
  </si>
  <si>
    <t>It is the same original and replication study as ID resciencex_01_1</t>
  </si>
  <si>
    <t>COUNTA of doi_o</t>
  </si>
  <si>
    <t>COUNTUNIQUE of doi_o</t>
  </si>
  <si>
    <t>Grand Total</t>
  </si>
  <si>
    <t>How to use?</t>
  </si>
  <si>
    <t>Input data from the paper into the yellow fields, then copy the outputs from the green fields into the record</t>
  </si>
  <si>
    <t>M1</t>
  </si>
  <si>
    <t>SD1</t>
  </si>
  <si>
    <t>N1</t>
  </si>
  <si>
    <t>If N for groups are not available, leave blank</t>
  </si>
  <si>
    <t>M2</t>
  </si>
  <si>
    <t>SD2</t>
  </si>
  <si>
    <t>N2</t>
  </si>
  <si>
    <r>
      <rPr>
        <rFont val="Arial"/>
        <b/>
        <color theme="1"/>
      </rPr>
      <t>Formula</t>
    </r>
    <r>
      <rPr>
        <rFont val="Arial"/>
        <color theme="1"/>
      </rPr>
      <t xml:space="preserve"> - for es_repr_ field</t>
    </r>
  </si>
  <si>
    <r>
      <rPr>
        <rFont val="Arial"/>
        <b/>
        <color theme="1"/>
      </rPr>
      <t>Value</t>
    </r>
    <r>
      <rPr>
        <rFont val="Arial"/>
        <color theme="1"/>
      </rPr>
      <t xml:space="preserve"> - for es_value_ field</t>
    </r>
  </si>
  <si>
    <r>
      <rPr>
        <rFont val="Arial"/>
        <b/>
        <color theme="1"/>
      </rPr>
      <t>Odds Ratios</t>
    </r>
    <r>
      <rPr>
        <rFont val="Arial"/>
        <b val="0"/>
        <color theme="1"/>
      </rPr>
      <t xml:space="preserve"> ("Success" should be outcome 1)</t>
    </r>
  </si>
  <si>
    <t>Option 1 - based on 2x2 table</t>
  </si>
  <si>
    <t>Outcome 1</t>
  </si>
  <si>
    <t>Outcome 2</t>
  </si>
  <si>
    <t>Group 1</t>
  </si>
  <si>
    <t>Group 2</t>
  </si>
  <si>
    <t>Formula - paste as value in rep field</t>
  </si>
  <si>
    <t>Value - paste as value in es field</t>
  </si>
  <si>
    <t>Option 2 - based on percentages experiencing "success"</t>
  </si>
  <si>
    <t>es_type</t>
  </si>
  <si>
    <t>p_val_type</t>
  </si>
  <si>
    <t>p_tails</t>
  </si>
  <si>
    <t>disciplines</t>
  </si>
  <si>
    <t>nested</t>
  </si>
  <si>
    <t>closeness</t>
  </si>
  <si>
    <t>single</t>
  </si>
  <si>
    <t>special</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</si>
</sst>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m/yyyy"/>
    <numFmt numFmtId="165" formatCode="dd/mm/yyyy"/>
    <numFmt numFmtId="166" formatCode="D/M/YYYY"/>
    <numFmt numFmtId="167" formatCode="dd/mm/yy"/>
    <numFmt numFmtId="168" formatCode="#,##0.000"/>
    <numFmt numFmtId="169" formatCode="0.000"/>
    <numFmt numFmtId="170" formatCode="d-m"/>
    <numFmt numFmtId="171" formatCode="d/m/yy"/>
    <numFmt numFmtId="172" formatCode="d\,\ m"/>
    <numFmt numFmtId="173" formatCode="dd/MM/yyyy"/>
    <numFmt numFmtId="174" formatCode="dd-mm-yyyy"/>
    <numFmt numFmtId="175" formatCode="d, m"/>
    <numFmt numFmtId="176" formatCode="0.0000000000"/>
    <numFmt numFmtId="177" formatCode="0.000000E+00"/>
    <numFmt numFmtId="178" formatCode="0.0000000000000000000000000000E+00"/>
    <numFmt numFmtId="179" formatCode="#,##0.000000"/>
  </numFmts>
  <fonts count="341">
    <font>
      <sz val="10.0"/>
      <color rgb="FF000000"/>
      <name val="Arial"/>
      <scheme val="minor"/>
    </font>
    <font>
      <b/>
      <sz val="11.0"/>
      <color rgb="FF000000"/>
      <name val="Calibri"/>
    </font>
    <font>
      <b/>
      <sz val="11.0"/>
      <color theme="1"/>
      <name val="Calibri"/>
    </font>
    <font>
      <color theme="1"/>
      <name val="Arial"/>
      <scheme val="minor"/>
    </font>
    <font>
      <sz val="11.0"/>
      <color theme="1"/>
      <name val="Calibri"/>
    </font>
    <font>
      <sz val="11.0"/>
      <color rgb="FF000000"/>
      <name val="Calibri"/>
    </font>
    <font>
      <color theme="1"/>
      <name val="Arial"/>
    </font>
    <font>
      <u/>
      <sz val="11.0"/>
      <color rgb="FF0000FF"/>
      <name val="Calibri"/>
    </font>
    <font>
      <u/>
      <color rgb="FF0000FF"/>
      <name val="Arial"/>
    </font>
    <font>
      <u/>
      <color rgb="FF1155CC"/>
      <name val="Arial"/>
    </font>
    <font>
      <u/>
      <color rgb="FF0000FF"/>
      <name val="Arial"/>
    </font>
    <font>
      <sz val="11.0"/>
      <color rgb="FF38761D"/>
      <name val="Calibri"/>
    </font>
    <font>
      <u/>
      <color rgb="FF0000FF"/>
    </font>
    <font>
      <u/>
      <color rgb="FF1155CC"/>
      <name val="Arial"/>
    </font>
    <font>
      <u/>
      <color rgb="FF0000FF"/>
      <name val="Arial"/>
    </font>
    <font>
      <u/>
      <color rgb="FF1155CC"/>
      <name val="Arial"/>
    </font>
    <font>
      <u/>
      <color rgb="FF0000FF"/>
      <name val="Arial"/>
    </font>
    <font>
      <u/>
      <color rgb="FF0000FF"/>
      <name val="Arial"/>
    </font>
    <font>
      <u/>
      <sz val="11.0"/>
      <color rgb="FF000000"/>
      <name val="Calibri"/>
    </font>
    <font>
      <u/>
      <color rgb="FF0000FF"/>
      <name val="Arial"/>
    </font>
    <font>
      <u/>
      <sz val="11.0"/>
      <color rgb="FF0000FF"/>
      <name val="Calibri"/>
    </font>
    <font>
      <sz val="11.0"/>
      <color theme="7"/>
      <name val="Calibri"/>
    </font>
    <font>
      <u/>
      <color theme="7"/>
      <name val="Arial"/>
    </font>
    <font>
      <u/>
      <sz val="11.0"/>
      <color rgb="FF000000"/>
      <name val="Calibri"/>
    </font>
    <font>
      <sz val="11.0"/>
      <color theme="1"/>
      <name val="Arial"/>
    </font>
    <font>
      <sz val="8.0"/>
      <color rgb="FF242021"/>
      <name val="AdvTTd7835f12"/>
    </font>
    <font>
      <sz val="11.0"/>
      <color theme="1"/>
      <name val="LMRoman10-Regular"/>
    </font>
    <font>
      <u/>
      <sz val="11.0"/>
      <color rgb="FF1155CC"/>
      <name val="Calibri"/>
    </font>
    <font>
      <u/>
      <sz val="11.0"/>
      <color rgb="FF000000"/>
      <name val="Calibri"/>
    </font>
    <font>
      <color rgb="FF38761D"/>
      <name val="Arial"/>
    </font>
    <font>
      <u/>
      <color rgb="FF0000FF"/>
    </font>
    <font>
      <sz val="9.0"/>
      <color rgb="FF1155CC"/>
      <name val="Google Sans Mono"/>
    </font>
    <font>
      <u/>
      <sz val="11.0"/>
      <color rgb="FF1155CC"/>
      <name val="Calibri"/>
    </font>
    <font>
      <u/>
      <sz val="11.0"/>
      <color rgb="FF1155CC"/>
      <name val="Calibri"/>
    </font>
    <font>
      <u/>
      <color rgb="FF0000FF"/>
    </font>
    <font>
      <u/>
      <sz val="11.0"/>
      <color rgb="FF0000FF"/>
      <name val="Calibri"/>
    </font>
    <font>
      <u/>
      <color rgb="FF0000FF"/>
      <name val="Arial"/>
    </font>
    <font>
      <u/>
      <sz val="11.0"/>
      <color rgb="FF0000FF"/>
      <name val="Calibri"/>
    </font>
    <font>
      <u/>
      <color rgb="FF0000FF"/>
      <name val="Arial"/>
    </font>
    <font>
      <u/>
      <sz val="11.0"/>
      <color rgb="FF0000FF"/>
      <name val="Calibri"/>
    </font>
    <font>
      <u/>
      <color rgb="FF1155CC"/>
      <name val="Arial"/>
    </font>
    <font>
      <u/>
      <color rgb="FF0000FF"/>
      <name val="Arial"/>
    </font>
    <font>
      <u/>
      <sz val="11.0"/>
      <color rgb="FF0000FF"/>
      <name val="Calibri"/>
    </font>
    <font>
      <u/>
      <sz val="11.0"/>
      <color rgb="FF0000FF"/>
      <name val="Calibri"/>
    </font>
    <font>
      <u/>
      <color rgb="FF0000FF"/>
      <name val="Arial"/>
    </font>
    <font>
      <u/>
      <color rgb="FF1155CC"/>
      <name val="Arial"/>
    </font>
    <font>
      <u/>
      <color rgb="FF0000FF"/>
      <name val="Arial"/>
    </font>
    <font>
      <u/>
      <sz val="11.0"/>
      <color rgb="FF1155CC"/>
      <name val="Calibri"/>
    </font>
    <font>
      <u/>
      <sz val="11.0"/>
      <color rgb="FF1155CC"/>
      <name val="Calibri"/>
    </font>
    <font>
      <sz val="11.0"/>
      <color rgb="FFFF0000"/>
      <name val="Calibri"/>
    </font>
    <font>
      <sz val="11.0"/>
      <color rgb="FF1F1F1F"/>
      <name val="Calibri"/>
    </font>
    <font>
      <u/>
      <sz val="11.0"/>
      <color rgb="FF000000"/>
      <name val="Calibri"/>
    </font>
    <font>
      <sz val="11.0"/>
      <color rgb="FFCC0000"/>
      <name val="Calibri"/>
    </font>
    <font>
      <sz val="11.0"/>
      <color rgb="FFCC4125"/>
      <name val="Calibri"/>
    </font>
    <font>
      <u/>
      <sz val="11.0"/>
      <color theme="1"/>
      <name val="Calibri"/>
    </font>
    <font>
      <u/>
      <sz val="11.0"/>
      <color rgb="FF0000FF"/>
      <name val="Calibri"/>
    </font>
    <font>
      <u/>
      <sz val="11.0"/>
      <color rgb="FF0000FF"/>
      <name val="Calibri"/>
    </font>
    <font>
      <u/>
      <sz val="11.0"/>
      <color rgb="FF1155CC"/>
      <name val="Calibri"/>
    </font>
    <font>
      <u/>
      <sz val="11.0"/>
      <color rgb="FF0000FF"/>
      <name val="Calibri"/>
    </font>
    <font>
      <u/>
      <sz val="11.0"/>
      <color rgb="FF0000FF"/>
      <name val="Calibri"/>
    </font>
    <font>
      <u/>
      <color rgb="FF1155CC"/>
      <name val="Arial"/>
    </font>
    <font>
      <u/>
      <color rgb="FF0000FF"/>
      <name val="Arial"/>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0000FF"/>
      <name val="Calibri"/>
    </font>
    <font>
      <u/>
      <color rgb="FF1155CC"/>
      <name val="Arial"/>
    </font>
    <font>
      <u/>
      <sz val="11.0"/>
      <color rgb="FF0000FF"/>
      <name val="Calibri"/>
    </font>
    <font>
      <u/>
      <sz val="11.0"/>
      <color rgb="FF1155CC"/>
      <name val="Calibri"/>
    </font>
    <font>
      <u/>
      <sz val="11.0"/>
      <color rgb="FF0000FF"/>
      <name val="Calibri"/>
    </font>
    <font>
      <u/>
      <color rgb="FF222222"/>
      <name val="Arial"/>
    </font>
    <font>
      <u/>
      <color rgb="FF1155CC"/>
      <name val="Arial"/>
    </font>
    <font>
      <u/>
      <color rgb="FF222222"/>
      <name val="Arial"/>
    </font>
    <font>
      <color rgb="FF6AA84F"/>
      <name val="Arial"/>
    </font>
    <font>
      <u/>
      <sz val="11.0"/>
      <color rgb="FF000000"/>
      <name val="Calibri"/>
    </font>
    <font>
      <u/>
      <color rgb="FF1155CC"/>
      <name val="Arial"/>
    </font>
    <font>
      <color rgb="FF222222"/>
      <name val="Arial"/>
    </font>
    <font>
      <u/>
      <color rgb="FF0000FF"/>
      <name val="Arial"/>
    </font>
    <font>
      <u/>
      <sz val="11.0"/>
      <color rgb="FF0000FF"/>
      <name val="Calibri"/>
    </font>
    <font>
      <u/>
      <sz val="11.0"/>
      <color rgb="FF0000FF"/>
      <name val="Calibri"/>
    </font>
    <font>
      <u/>
      <sz val="11.0"/>
      <color rgb="FF1155CC"/>
      <name val="Calibri"/>
    </font>
    <font>
      <color theme="1"/>
      <name val="AdvOT46dcae81"/>
    </font>
    <font>
      <u/>
      <sz val="11.0"/>
      <color rgb="FF000000"/>
      <name val="Calibri"/>
    </font>
    <font>
      <u/>
      <color rgb="FF1155CC"/>
      <name val="Arial"/>
    </font>
    <font>
      <u/>
      <color rgb="FF1155CC"/>
      <name val="Arial"/>
    </font>
    <font>
      <u/>
      <sz val="11.0"/>
      <color rgb="FF0000FF"/>
      <name val="Docs-Calibri"/>
    </font>
    <font>
      <sz val="11.0"/>
      <color theme="1"/>
      <name val="Aptos"/>
    </font>
    <font>
      <u/>
      <sz val="11.0"/>
      <color rgb="FF0000FF"/>
      <name val="Calibri"/>
    </font>
    <font>
      <sz val="8.0"/>
      <color theme="1"/>
      <name val="Aptos"/>
    </font>
    <font>
      <u/>
      <sz val="11.0"/>
      <color rgb="FF0000FF"/>
      <name val="Calibri"/>
    </font>
    <font>
      <u/>
      <color rgb="FF0000FF"/>
      <name val="Arial"/>
    </font>
    <font>
      <u/>
      <sz val="11.0"/>
      <color rgb="FF1155CC"/>
      <name val="Calibri"/>
    </font>
    <font>
      <u/>
      <sz val="11.0"/>
      <color rgb="FF0000FF"/>
      <name val="Calibri"/>
    </font>
    <font>
      <u/>
      <sz val="11.0"/>
      <color theme="1"/>
      <name val="Calibri"/>
    </font>
    <font>
      <u/>
      <sz val="11.0"/>
      <color rgb="FF0000FF"/>
      <name val="Calibri"/>
    </font>
    <font>
      <u/>
      <sz val="11.0"/>
      <color rgb="FF0000FF"/>
      <name val="Calibri"/>
    </font>
    <font>
      <u/>
      <sz val="11.0"/>
      <color rgb="FF0000FF"/>
      <name val="Calibri"/>
    </font>
    <font>
      <u/>
      <sz val="11.0"/>
      <color rgb="FF0000FF"/>
      <name val="Docs-Calibri"/>
    </font>
    <font>
      <u/>
      <sz val="11.0"/>
      <color rgb="FF0000FF"/>
      <name val="Calibri"/>
    </font>
    <font>
      <sz val="11.0"/>
      <color theme="1"/>
      <name val="Docs-Calibri"/>
    </font>
    <font>
      <u/>
      <color rgb="FF0000FF"/>
      <name val="Arial"/>
    </font>
    <font>
      <u/>
      <sz val="11.0"/>
      <color rgb="FF0000FF"/>
      <name val="Calibri"/>
    </font>
    <font>
      <u/>
      <sz val="11.0"/>
      <color rgb="FF0000FF"/>
      <name val="Docs-Calibri"/>
    </font>
    <font>
      <u/>
      <sz val="11.0"/>
      <color rgb="FF0000FF"/>
      <name val="Docs-Calibri"/>
    </font>
    <font>
      <u/>
      <sz val="11.0"/>
      <color rgb="FF1155CC"/>
      <name val="Calibri"/>
    </font>
    <font>
      <u/>
      <sz val="11.0"/>
      <color rgb="FF0000FF"/>
      <name val="Calibri"/>
    </font>
    <font>
      <u/>
      <color rgb="FF1155CC"/>
      <name val="Arial"/>
    </font>
    <font>
      <u/>
      <sz val="11.0"/>
      <color rgb="FF1155CC"/>
      <name val="Calibri"/>
    </font>
    <font>
      <u/>
      <sz val="11.0"/>
      <color rgb="FF0000FF"/>
      <name val="Calibri"/>
    </font>
    <font>
      <u/>
      <color rgb="FF1155CC"/>
      <name val="Arial"/>
    </font>
    <font>
      <u/>
      <sz val="11.0"/>
      <color rgb="FF0000FF"/>
      <name val="Calibri"/>
    </font>
    <font>
      <u/>
      <sz val="11.0"/>
      <color rgb="FF1155CC"/>
      <name val="Calibri"/>
    </font>
    <font>
      <u/>
      <sz val="11.0"/>
      <color rgb="FF0000FF"/>
      <name val="Docs-Calibri"/>
    </font>
    <font>
      <sz val="11.0"/>
      <color theme="1"/>
      <name val="Aptos Narrow"/>
    </font>
    <font>
      <u/>
      <sz val="11.0"/>
      <color rgb="FF1155CC"/>
      <name val="Calibri"/>
    </font>
    <font>
      <color rgb="FF000000"/>
      <name val="Arial"/>
    </font>
    <font>
      <u/>
      <sz val="11.0"/>
      <color rgb="FF0000FF"/>
      <name val="Calibri"/>
    </font>
    <font>
      <u/>
      <sz val="11.0"/>
      <color rgb="FF0000FF"/>
      <name val="Calibri"/>
    </font>
    <font>
      <u/>
      <sz val="11.0"/>
      <color rgb="FF1155CC"/>
      <name val="Calibri"/>
    </font>
    <font>
      <u/>
      <color rgb="FF0000FF"/>
      <name val="Arial"/>
    </font>
    <font>
      <u/>
      <color theme="1"/>
      <name val="Arial"/>
    </font>
    <font>
      <u/>
      <sz val="11.0"/>
      <color rgb="FF0000FF"/>
      <name val="Calibri"/>
    </font>
    <font>
      <u/>
      <color theme="1"/>
      <name val="Arial"/>
    </font>
    <font>
      <color rgb="FFFF0000"/>
      <name val="Arial"/>
    </font>
    <font>
      <u/>
      <sz val="11.0"/>
      <color rgb="FF0000FF"/>
      <name val="Calibri"/>
    </font>
    <font>
      <u/>
      <sz val="11.0"/>
      <color rgb="FF38761D"/>
      <name val="Calibri"/>
    </font>
    <font>
      <u/>
      <sz val="11.0"/>
      <color rgb="FF1155CC"/>
      <name val="Calibri"/>
    </font>
    <font>
      <sz val="11.0"/>
      <color rgb="FF38761D"/>
      <name val="Aptos Narrow"/>
    </font>
    <font>
      <color rgb="FF38761D"/>
      <name val="Arial"/>
      <scheme val="minor"/>
    </font>
    <font>
      <u/>
      <sz val="11.0"/>
      <color rgb="FF1155CC"/>
      <name val="Calibri"/>
    </font>
    <font>
      <u/>
      <sz val="11.0"/>
      <color rgb="FF0000FF"/>
      <name val="Calibri"/>
    </font>
    <font>
      <u/>
      <color rgb="FF0000FF"/>
      <name val="Arial"/>
    </font>
    <font>
      <u/>
      <sz val="11.0"/>
      <color rgb="FF0000FF"/>
      <name val="Calibri"/>
    </font>
    <font>
      <u/>
      <sz val="11.0"/>
      <color rgb="FF000000"/>
      <name val="Calibri"/>
    </font>
    <font>
      <u/>
      <sz val="11.0"/>
      <color rgb="FF000000"/>
      <name val="Calibri"/>
    </font>
    <font>
      <u/>
      <sz val="11.0"/>
      <color rgb="FF38761D"/>
      <name val="Calibri"/>
    </font>
    <font>
      <u/>
      <sz val="11.0"/>
      <color rgb="FF38761D"/>
      <name val="Calibri"/>
    </font>
    <font>
      <u/>
      <sz val="12.0"/>
      <color rgb="FF0000FF"/>
      <name val="Times New Roman"/>
    </font>
    <font>
      <u/>
      <color rgb="FF0000FF"/>
      <name val="Arial"/>
    </font>
    <font>
      <u/>
      <sz val="12.0"/>
      <color rgb="FF0563C1"/>
      <name val="TimesNewRomanPSMT"/>
    </font>
    <font>
      <u/>
      <sz val="12.0"/>
      <color rgb="FF0563C1"/>
      <name val="TimesNewRomanPSMT"/>
    </font>
    <font>
      <u/>
      <sz val="11.0"/>
      <color rgb="FF38761D"/>
      <name val="Calibri"/>
    </font>
    <font>
      <u/>
      <sz val="11.0"/>
      <color rgb="FF1155CC"/>
      <name val="Calibri"/>
    </font>
    <font>
      <u/>
      <sz val="11.0"/>
      <color rgb="FF0000FF"/>
      <name val="Calibri"/>
    </font>
    <font>
      <u/>
      <sz val="11.0"/>
      <color rgb="FF0000FF"/>
      <name val="Calibri"/>
    </font>
    <font>
      <u/>
      <sz val="11.0"/>
      <color rgb="FF000000"/>
      <name val="Calibri"/>
    </font>
    <font>
      <color rgb="FF111111"/>
      <name val="Roboto"/>
    </font>
    <font>
      <u/>
      <sz val="11.0"/>
      <color rgb="FF000000"/>
      <name val="Calibri"/>
    </font>
    <font>
      <u/>
      <color rgb="FF0000FF"/>
    </font>
    <font>
      <u/>
      <sz val="11.0"/>
      <color rgb="FF38761D"/>
      <name val="Calibri"/>
    </font>
    <font>
      <u/>
      <color rgb="FF1155CC"/>
      <name val="Arial"/>
    </font>
    <font>
      <u/>
      <color rgb="FF0000FF"/>
    </font>
    <font>
      <sz val="11.0"/>
      <color theme="1"/>
      <name val="Open Sans"/>
    </font>
    <font>
      <sz val="9.0"/>
      <color rgb="FF1F1F1F"/>
      <name val="Google Sans"/>
    </font>
    <font>
      <sz val="12.0"/>
      <color theme="1"/>
      <name val="Aptos Narrow"/>
    </font>
    <font>
      <u/>
      <color rgb="FF1155CC"/>
      <name val="Arial"/>
    </font>
    <font>
      <u/>
      <sz val="11.0"/>
      <color rgb="FF0000FF"/>
      <name val="Calibri"/>
    </font>
    <font>
      <u/>
      <sz val="11.0"/>
      <color rgb="FF0000FF"/>
      <name val="Calibri"/>
    </font>
    <font>
      <u/>
      <color rgb="FF0000FF"/>
      <name val="Arial"/>
    </font>
    <font>
      <u/>
      <sz val="11.0"/>
      <color rgb="FF0000FF"/>
      <name val="Calibri"/>
    </font>
    <font>
      <u/>
      <sz val="11.0"/>
      <color rgb="FF0000FF"/>
      <name val="Calibri"/>
    </font>
    <font>
      <u/>
      <color rgb="FF1155CC"/>
      <name val="Arial"/>
    </font>
    <font>
      <u/>
      <color rgb="FF0000FF"/>
      <name val="Arial"/>
    </font>
    <font>
      <u/>
      <sz val="11.0"/>
      <color rgb="FF0000FF"/>
      <name val="Calibri"/>
    </font>
    <font>
      <u/>
      <sz val="11.0"/>
      <color rgb="FF0000FF"/>
      <name val="Calibri"/>
    </font>
    <font>
      <u/>
      <color rgb="FF1155CC"/>
      <name val="Arial"/>
    </font>
    <font>
      <u/>
      <color rgb="FF0000FF"/>
      <name val="Arial"/>
    </font>
    <font>
      <u/>
      <sz val="11.0"/>
      <color rgb="FF0000FF"/>
      <name val="Calibri"/>
    </font>
    <font>
      <u/>
      <sz val="11.0"/>
      <color rgb="FF0000FF"/>
      <name val="Calibri"/>
    </font>
    <font>
      <u/>
      <color rgb="FF1155CC"/>
      <name val="Arial"/>
    </font>
    <font>
      <u/>
      <color rgb="FF0000FF"/>
      <name val="Arial"/>
    </font>
    <font>
      <u/>
      <sz val="11.0"/>
      <color rgb="FF0000FF"/>
      <name val="Calibri"/>
    </font>
    <font>
      <u/>
      <sz val="11.0"/>
      <color rgb="FF0000FF"/>
      <name val="Calibri"/>
    </font>
    <font>
      <u/>
      <color rgb="FF1155CC"/>
      <name val="Arial"/>
    </font>
    <font>
      <u/>
      <color rgb="FF0000FF"/>
      <name val="Arial"/>
    </font>
    <font>
      <u/>
      <color rgb="FF1155CC"/>
      <name val="Arial"/>
    </font>
    <font>
      <u/>
      <sz val="11.0"/>
      <color rgb="FF0000FF"/>
      <name val="Calibri"/>
    </font>
    <font>
      <u/>
      <sz val="11.0"/>
      <color rgb="FF0000FF"/>
      <name val="Calibri"/>
    </font>
    <font>
      <u/>
      <color rgb="FF0000FF"/>
      <name val="Arial"/>
    </font>
    <font>
      <u/>
      <color rgb="FF1155CC"/>
      <name val="Arial"/>
    </font>
    <font>
      <u/>
      <sz val="11.0"/>
      <color rgb="FF0000FF"/>
      <name val="Calibri"/>
    </font>
    <font>
      <u/>
      <sz val="11.0"/>
      <color rgb="FF0000FF"/>
      <name val="Calibri"/>
    </font>
    <font>
      <u/>
      <color rgb="FF0000FF"/>
      <name val="Arial"/>
    </font>
    <font>
      <u/>
      <color rgb="FF1155CC"/>
      <name val="Arial"/>
    </font>
    <font>
      <u/>
      <sz val="11.0"/>
      <color rgb="FF0000FF"/>
      <name val="Calibri"/>
    </font>
    <font>
      <u/>
      <color rgb="FF0000FF"/>
      <name val="Arial"/>
    </font>
    <font>
      <u/>
      <sz val="11.0"/>
      <color rgb="FF0000FF"/>
      <name val="Calibri"/>
    </font>
    <font>
      <u/>
      <sz val="11.0"/>
      <color rgb="FF0000FF"/>
      <name val="Calibri"/>
    </font>
    <font>
      <u/>
      <color rgb="FF0000FF"/>
      <name val="Arial"/>
    </font>
    <font>
      <u/>
      <color rgb="FF0000FF"/>
      <name val="Arial"/>
    </font>
    <font>
      <u/>
      <sz val="11.0"/>
      <color rgb="FF0000FF"/>
      <name val="Calibri"/>
    </font>
    <font>
      <sz val="11.0"/>
      <color rgb="FF05103E"/>
      <name val="Calibri"/>
    </font>
    <font>
      <u/>
      <sz val="11.0"/>
      <color rgb="FF0000FF"/>
      <name val="Calibri"/>
    </font>
    <font>
      <u/>
      <sz val="11.0"/>
      <color rgb="FF0000FF"/>
      <name val="Calibri"/>
    </font>
    <font>
      <color rgb="FF000000"/>
      <name val="Arial"/>
      <scheme val="minor"/>
    </font>
    <font>
      <u/>
      <sz val="11.0"/>
      <color rgb="FF0000FF"/>
      <name val="Calibri"/>
    </font>
    <font>
      <u/>
      <sz val="11.0"/>
      <color rgb="FF05103E"/>
      <name val="Calibri"/>
    </font>
    <font>
      <u/>
      <color rgb="FF0000FF"/>
      <name val="Arial"/>
    </font>
    <font>
      <u/>
      <sz val="11.0"/>
      <color rgb="FF0000FF"/>
      <name val="Calibri"/>
    </font>
    <font>
      <color rgb="FF242021"/>
      <name val="GillSans"/>
    </font>
    <font>
      <color rgb="FF242021"/>
      <name val="Arial"/>
    </font>
    <font>
      <u/>
      <sz val="11.0"/>
      <color rgb="FF0000FF"/>
      <name val="Calibri"/>
    </font>
    <font>
      <color rgb="FFFF0000"/>
      <name val="Arial"/>
      <scheme val="minor"/>
    </font>
    <font>
      <u/>
      <sz val="8.0"/>
      <color rgb="FF3A2A97"/>
      <name val="Arial"/>
    </font>
    <font>
      <u/>
      <color rgb="FF0000FF"/>
      <name val="Arial"/>
    </font>
    <font>
      <u/>
      <sz val="11.0"/>
      <color rgb="FF0000FF"/>
      <name val="Calibri"/>
    </font>
    <font>
      <u/>
      <color rgb="FF1155CC"/>
      <name val="Arial"/>
    </font>
    <font>
      <u/>
      <color rgb="FF0000FF"/>
      <name val="Arial"/>
    </font>
    <font>
      <u/>
      <color rgb="FF1155CC"/>
      <name val="Arial"/>
    </font>
    <font>
      <u/>
      <sz val="11.0"/>
      <color rgb="FF0000FF"/>
      <name val="Calibri"/>
    </font>
    <font>
      <u/>
      <sz val="11.0"/>
      <color rgb="FF0000FF"/>
      <name val="Calibri"/>
    </font>
    <font>
      <u/>
      <sz val="11.0"/>
      <color rgb="FF0000FF"/>
      <name val="Calibri"/>
    </font>
    <font>
      <u/>
      <sz val="11.0"/>
      <color rgb="FF0000FF"/>
      <name val="Calibri"/>
    </font>
    <font>
      <color theme="1"/>
      <name val="AdvPS6F00"/>
    </font>
    <font>
      <u/>
      <sz val="11.0"/>
      <color rgb="FF0000FF"/>
      <name val="Calibri"/>
    </font>
    <font>
      <u/>
      <color rgb="FFFF0000"/>
      <name val="Arial"/>
    </font>
    <font>
      <u/>
      <sz val="11.0"/>
      <color rgb="FF0000FF"/>
      <name val="Calibri"/>
    </font>
    <font>
      <u/>
      <sz val="11.0"/>
      <color rgb="FF0000FF"/>
      <name val="Calibri"/>
    </font>
    <font>
      <color theme="1"/>
      <name val="Times New Roman"/>
    </font>
    <font>
      <u/>
      <color rgb="FF0000FF"/>
      <name val="Arial"/>
    </font>
    <font>
      <u/>
      <color rgb="FF1155CC"/>
      <name val="Arial"/>
    </font>
    <font>
      <u/>
      <color rgb="FF0000FF"/>
      <name val="Arial"/>
    </font>
    <font>
      <u/>
      <sz val="11.0"/>
      <color rgb="FF0000FF"/>
      <name val="Calibri"/>
    </font>
    <font>
      <u/>
      <sz val="11.0"/>
      <color rgb="FF0000FF"/>
      <name val="Calibri"/>
    </font>
    <font>
      <u/>
      <sz val="11.0"/>
      <color rgb="FF0000FF"/>
      <name val="Calibri"/>
    </font>
    <font>
      <u/>
      <sz val="11.0"/>
      <color rgb="FF0000FF"/>
      <name val="Calibri"/>
    </font>
    <font>
      <sz val="12.0"/>
      <color theme="1"/>
      <name val="Calibri"/>
    </font>
    <font>
      <color theme="1"/>
      <name val="Calibri"/>
    </font>
    <font>
      <sz val="11.0"/>
      <color theme="1"/>
      <name val="Serif"/>
    </font>
    <font>
      <sz val="11.0"/>
      <color theme="1"/>
      <name val="Sans-serif"/>
    </font>
    <font>
      <u/>
      <sz val="12.0"/>
      <color rgb="FF1155CC"/>
      <name val="Calibri"/>
    </font>
    <font>
      <u/>
      <sz val="12.0"/>
      <color rgb="FF1155CC"/>
      <name val="Calibri"/>
    </font>
    <font>
      <color theme="1"/>
      <name val="Serif"/>
    </font>
    <font>
      <color theme="1"/>
      <name val="Sans-serif"/>
    </font>
    <font>
      <u/>
      <color rgb="FF1155CC"/>
      <name val="Arial"/>
    </font>
    <font>
      <u/>
      <color rgb="FF0000FF"/>
      <name val="Arial"/>
    </font>
    <font>
      <u/>
      <sz val="11.0"/>
      <color rgb="FF0000FF"/>
      <name val="Calibri"/>
    </font>
    <font>
      <u/>
      <sz val="11.0"/>
      <color rgb="FF0000FF"/>
      <name val="Calibri"/>
    </font>
    <font>
      <color theme="1"/>
      <name val="CharterBT"/>
    </font>
    <font>
      <u/>
      <color rgb="FF0000FF"/>
      <name val="Arial"/>
    </font>
    <font>
      <u/>
      <sz val="11.0"/>
      <color rgb="FF0000FF"/>
      <name val="Calibri"/>
    </font>
    <font>
      <sz val="11.0"/>
      <color rgb="FF222222"/>
      <name val="Calibri"/>
    </font>
    <font>
      <u/>
      <sz val="11.0"/>
      <color rgb="FF1155CC"/>
      <name val="Arial"/>
    </font>
    <font>
      <sz val="8.0"/>
      <color theme="1"/>
      <name val="Helvetica Neue"/>
    </font>
    <font>
      <u/>
      <sz val="8.0"/>
      <color rgb="FF0000FF"/>
      <name val="Helvetica Neue"/>
    </font>
    <font>
      <u/>
      <sz val="11.0"/>
      <color rgb="FF0000FF"/>
      <name val="Helvetica Neue"/>
    </font>
    <font>
      <sz val="11.0"/>
      <color theme="1"/>
      <name val="Helvetica Neue"/>
    </font>
    <font>
      <sz val="11.0"/>
      <color rgb="FFB6D7A8"/>
      <name val="Calibri"/>
    </font>
    <font>
      <sz val="11.0"/>
      <color rgb="FF93C47D"/>
      <name val="Calibri"/>
    </font>
    <font>
      <color rgb="FFB6D7A8"/>
      <name val="Arial"/>
    </font>
    <font>
      <sz val="12.0"/>
      <color theme="1"/>
      <name val="Arial"/>
    </font>
    <font>
      <sz val="11.0"/>
      <color rgb="FFD9EAD3"/>
      <name val="Calibri"/>
    </font>
    <font>
      <u/>
      <sz val="11.0"/>
      <color theme="1"/>
      <name val="Calibri"/>
    </font>
    <font>
      <color rgb="FF00FF00"/>
      <name val="Arial"/>
    </font>
    <font>
      <u/>
      <color rgb="FF0000FF"/>
      <name val="Arial"/>
    </font>
    <font>
      <u/>
      <color rgb="FF1155CC"/>
      <name val="Arial"/>
    </font>
    <font>
      <u/>
      <color rgb="FF0000FF"/>
      <name val="Arial"/>
    </font>
    <font>
      <u/>
      <color rgb="FF0000FF"/>
      <name val="Arial"/>
    </font>
    <font>
      <u/>
      <sz val="11.0"/>
      <color rgb="FF1155CC"/>
      <name val="Calibri"/>
    </font>
    <font>
      <u/>
      <sz val="11.0"/>
      <color rgb="FF0000FF"/>
      <name val="Calibri"/>
    </font>
    <font>
      <u/>
      <sz val="11.0"/>
      <color rgb="FF0000FF"/>
      <name val="Calibri"/>
    </font>
    <font>
      <u/>
      <color rgb="FF0000FF"/>
      <name val="Arial"/>
    </font>
    <font>
      <u/>
      <sz val="11.0"/>
      <color rgb="FF0071BC"/>
      <name val="Calibri"/>
    </font>
    <font>
      <u/>
      <sz val="11.0"/>
      <color rgb="FF38761D"/>
      <name val="Calibri"/>
    </font>
    <font>
      <u/>
      <color rgb="FF1155CC"/>
      <name val="Arial"/>
    </font>
    <font>
      <u/>
      <sz val="11.0"/>
      <color rgb="FF0000FF"/>
      <name val="Calibri"/>
    </font>
    <font>
      <sz val="11.0"/>
      <color rgb="FF00FF00"/>
      <name val="Calibri"/>
    </font>
    <font>
      <u/>
      <color rgb="FF0000FF"/>
    </font>
    <font>
      <u/>
      <sz val="11.0"/>
      <color rgb="FFFF0000"/>
      <name val="Calibri"/>
    </font>
    <font>
      <u/>
      <color rgb="FF1155CC"/>
      <name val="Arial"/>
    </font>
    <font>
      <color rgb="FF34A853"/>
      <name val="Arial"/>
    </font>
    <font>
      <sz val="11.0"/>
      <color rgb="FF34A853"/>
      <name val="Calibri"/>
    </font>
    <font>
      <u/>
      <sz val="11.0"/>
      <color rgb="FF0000FF"/>
      <name val="Calibri"/>
    </font>
    <font>
      <u/>
      <color rgb="FF34A853"/>
      <name val="Arial"/>
    </font>
    <font>
      <sz val="11.0"/>
      <color rgb="FFEA4335"/>
      <name val="Calibri"/>
    </font>
    <font>
      <color rgb="FFEA4335"/>
      <name val="Arial"/>
    </font>
    <font>
      <u/>
      <color rgb="FF0000FF"/>
      <name val="Arial"/>
    </font>
    <font>
      <u/>
      <color rgb="FF38761D"/>
      <name val="Arial"/>
    </font>
    <font>
      <u/>
      <color rgb="FF1155CC"/>
      <name val="Arial"/>
    </font>
    <font>
      <u/>
      <color rgb="FF1155CC"/>
      <name val="Arial"/>
    </font>
    <font>
      <u/>
      <sz val="11.0"/>
      <color rgb="FF0000FF"/>
      <name val="Calibri"/>
    </font>
    <font>
      <u/>
      <color rgb="FF1155CC"/>
      <name val="Arial"/>
    </font>
    <font>
      <u/>
      <color rgb="FF0000FF"/>
      <name val="Arial"/>
    </font>
    <font>
      <u/>
      <color rgb="FF38761D"/>
      <name val="Arial"/>
    </font>
    <font>
      <u/>
      <sz val="11.0"/>
      <color rgb="FF0000FF"/>
      <name val="Calibri"/>
    </font>
    <font>
      <u/>
      <color rgb="FF0000FF"/>
      <name val="Arial"/>
    </font>
    <font>
      <u/>
      <sz val="11.0"/>
      <color rgb="FF000000"/>
      <name val="Calibri"/>
    </font>
    <font>
      <u/>
      <sz val="11.0"/>
      <color rgb="FF000000"/>
      <name val="Calibri"/>
    </font>
    <font>
      <u/>
      <sz val="11.0"/>
      <color rgb="FF1155CC"/>
      <name val="Calibri"/>
    </font>
    <font>
      <u/>
      <sz val="11.0"/>
      <color rgb="FF1155CC"/>
      <name val="Calibri"/>
    </font>
    <font>
      <u/>
      <color rgb="FF1155CC"/>
      <name val="Arial"/>
    </font>
    <font>
      <u/>
      <sz val="11.0"/>
      <color rgb="FF38761D"/>
      <name val="Calibri"/>
    </font>
    <font>
      <u/>
      <sz val="11.0"/>
      <color rgb="FF1155CC"/>
      <name val="Calibri"/>
    </font>
    <font>
      <u/>
      <color rgb="FF00FF00"/>
      <name val="Arial"/>
    </font>
    <font>
      <u/>
      <sz val="11.0"/>
      <color rgb="FF0000FF"/>
      <name val="Calibri"/>
    </font>
    <font>
      <sz val="11.0"/>
      <color rgb="FF333333"/>
      <name val="Helvetica Neue"/>
    </font>
    <font>
      <u/>
      <sz val="11.0"/>
      <color rgb="FF00FF00"/>
      <name val="Calibri"/>
    </font>
    <font>
      <color theme="1"/>
      <name val="Monospace"/>
    </font>
    <font>
      <b/>
      <color theme="1"/>
      <name val="Arial"/>
    </font>
    <font>
      <sz val="11.0"/>
      <color rgb="FF444746"/>
      <name val="Google Sans"/>
    </font>
    <font>
      <sz val="11.0"/>
      <color rgb="FF333333"/>
      <name val="Calibri"/>
    </font>
    <font>
      <sz val="12.0"/>
      <color rgb="FF374151"/>
      <name val="Arial"/>
    </font>
    <font>
      <color rgb="FF00FF00"/>
      <name val="Monospace"/>
    </font>
    <font>
      <sz val="11.0"/>
      <color rgb="FF434343"/>
      <name val="Calibri"/>
    </font>
    <font>
      <sz val="11.0"/>
      <color rgb="FF222222"/>
      <name val="Cambria"/>
    </font>
    <font>
      <sz val="11.0"/>
      <color rgb="FF00FF00"/>
      <name val="Helvetica Neue"/>
    </font>
    <font>
      <u/>
      <sz val="11.0"/>
      <color rgb="FF1155CC"/>
      <name val="Calibri"/>
    </font>
    <font>
      <u/>
      <sz val="11.0"/>
      <color rgb="FF0000FF"/>
      <name val="Calibri"/>
    </font>
    <font>
      <u/>
      <sz val="11.0"/>
      <color rgb="FF00FF00"/>
      <name val="Calibri"/>
    </font>
    <font>
      <color rgb="FF242021"/>
      <name val="AdvOT1ef757c0"/>
    </font>
    <font>
      <u/>
      <sz val="11.0"/>
      <color rgb="FFFF0000"/>
      <name val="Calibri"/>
    </font>
    <font>
      <u/>
      <color rgb="FFFF0000"/>
      <name val="Arial"/>
    </font>
    <font>
      <sz val="11.0"/>
      <color rgb="FFFF0000"/>
      <name val="LMRoman10-Regular"/>
    </font>
    <font>
      <sz val="9.0"/>
      <color rgb="FF242021"/>
      <name val="AdvTT3713a231"/>
    </font>
    <font>
      <sz val="9.0"/>
      <color rgb="FF242021"/>
      <name val="Arial"/>
    </font>
    <font>
      <sz val="8.0"/>
      <color rgb="FF242021"/>
      <name val="Arial"/>
    </font>
    <font>
      <u/>
      <sz val="11.0"/>
      <color rgb="FF0000FF"/>
      <name val="Arial"/>
    </font>
    <font>
      <u/>
      <sz val="11.0"/>
      <color theme="1"/>
      <name val="Calibri"/>
    </font>
    <font>
      <i/>
      <color theme="1"/>
      <name val="Arial"/>
      <scheme val="minor"/>
    </font>
    <font>
      <u/>
      <sz val="11.0"/>
      <color rgb="FF0000FF"/>
      <name val="Calibri"/>
    </font>
    <font>
      <u/>
      <sz val="12.0"/>
      <color rgb="FF1155CC"/>
      <name val="Aptos"/>
    </font>
    <font>
      <u/>
      <color rgb="FF0000FF"/>
    </font>
    <font>
      <u/>
      <color rgb="FF1155CC"/>
      <name val="Arial"/>
    </font>
    <font>
      <u/>
      <color rgb="FF0000FF"/>
    </font>
    <font>
      <u/>
      <color rgb="FF1155CC"/>
      <name val="Arial"/>
    </font>
    <font>
      <sz val="11.0"/>
      <color rgb="FF353C3F"/>
      <name val="Calibri"/>
    </font>
    <font>
      <u/>
      <sz val="11.0"/>
      <color theme="1"/>
      <name val="Calibri"/>
    </font>
    <font>
      <u/>
      <sz val="11.0"/>
      <color theme="1"/>
      <name val="Calibri"/>
    </font>
    <font>
      <u/>
      <sz val="11.0"/>
      <color rgb="FF1155CC"/>
      <name val="Calibri"/>
    </font>
    <font>
      <u/>
      <sz val="11.0"/>
      <color rgb="FF1155CC"/>
      <name val="Calibri"/>
    </font>
    <font>
      <u/>
      <color rgb="FF1155CC"/>
      <name val="Arial"/>
    </font>
    <font>
      <u/>
      <sz val="11.0"/>
      <color rgb="FF1155CC"/>
      <name val="Calibri"/>
    </font>
    <font>
      <u/>
      <sz val="11.0"/>
      <color theme="1"/>
      <name val="Calibri"/>
    </font>
    <font>
      <b/>
      <color theme="1"/>
      <name val="Arial"/>
      <scheme val="minor"/>
    </font>
    <font>
      <sz val="12.0"/>
      <color rgb="FF000000"/>
      <name val="Calibri"/>
    </font>
    <font>
      <b/>
      <color rgb="FF980000"/>
      <name val="Arial"/>
      <scheme val="minor"/>
    </font>
    <font>
      <color rgb="FF980000"/>
      <name val="Arial"/>
      <scheme val="minor"/>
    </font>
    <font>
      <b/>
      <i/>
      <color theme="1"/>
      <name val="Arial"/>
      <scheme val="minor"/>
    </font>
    <font>
      <sz val="14.0"/>
      <color theme="1"/>
      <name val="Sans-serif"/>
    </font>
  </fonts>
  <fills count="43">
    <fill>
      <patternFill patternType="none"/>
    </fill>
    <fill>
      <patternFill patternType="lightGray"/>
    </fill>
    <fill>
      <patternFill patternType="solid">
        <fgColor rgb="FF00FFFF"/>
        <bgColor rgb="FF00FFFF"/>
      </patternFill>
    </fill>
    <fill>
      <patternFill patternType="solid">
        <fgColor rgb="FFFF00FF"/>
        <bgColor rgb="FFFF00FF"/>
      </patternFill>
    </fill>
    <fill>
      <patternFill patternType="solid">
        <fgColor rgb="FFFFFF00"/>
        <bgColor rgb="FFFFFF00"/>
      </patternFill>
    </fill>
    <fill>
      <patternFill patternType="solid">
        <fgColor rgb="FFF6B26B"/>
        <bgColor rgb="FFF6B26B"/>
      </patternFill>
    </fill>
    <fill>
      <patternFill patternType="solid">
        <fgColor rgb="FFF1C232"/>
        <bgColor rgb="FFF1C232"/>
      </patternFill>
    </fill>
    <fill>
      <patternFill patternType="solid">
        <fgColor rgb="FF6D9EEB"/>
        <bgColor rgb="FF6D9EEB"/>
      </patternFill>
    </fill>
    <fill>
      <patternFill patternType="solid">
        <fgColor rgb="FFC27BA0"/>
        <bgColor rgb="FFC27BA0"/>
      </patternFill>
    </fill>
    <fill>
      <patternFill patternType="solid">
        <fgColor rgb="FFE69138"/>
        <bgColor rgb="FFE69138"/>
      </patternFill>
    </fill>
    <fill>
      <patternFill patternType="solid">
        <fgColor rgb="FF45818E"/>
        <bgColor rgb="FF45818E"/>
      </patternFill>
    </fill>
    <fill>
      <patternFill patternType="solid">
        <fgColor rgb="FF6FA8DC"/>
        <bgColor rgb="FF6FA8DC"/>
      </patternFill>
    </fill>
    <fill>
      <patternFill patternType="solid">
        <fgColor rgb="FFF9CB9C"/>
        <bgColor rgb="FFF9CB9C"/>
      </patternFill>
    </fill>
    <fill>
      <patternFill patternType="solid">
        <fgColor rgb="FFFFE599"/>
        <bgColor rgb="FFFFE599"/>
      </patternFill>
    </fill>
    <fill>
      <patternFill patternType="solid">
        <fgColor rgb="FFA4C2F4"/>
        <bgColor rgb="FFA4C2F4"/>
      </patternFill>
    </fill>
    <fill>
      <patternFill patternType="solid">
        <fgColor rgb="FFD5A6BD"/>
        <bgColor rgb="FFD5A6BD"/>
      </patternFill>
    </fill>
    <fill>
      <patternFill patternType="solid">
        <fgColor rgb="FFA2C4C9"/>
        <bgColor rgb="FFA2C4C9"/>
      </patternFill>
    </fill>
    <fill>
      <patternFill patternType="solid">
        <fgColor rgb="FF9FC5E8"/>
        <bgColor rgb="FF9FC5E8"/>
      </patternFill>
    </fill>
    <fill>
      <patternFill patternType="solid">
        <fgColor rgb="FFFFFFFF"/>
        <bgColor rgb="FFFFFFFF"/>
      </patternFill>
    </fill>
    <fill>
      <patternFill patternType="solid">
        <fgColor rgb="FFEFEFEF"/>
        <bgColor rgb="FFEFEFEF"/>
      </patternFill>
    </fill>
    <fill>
      <patternFill patternType="solid">
        <fgColor rgb="FFFFF2CC"/>
        <bgColor rgb="FFFFF2CC"/>
      </patternFill>
    </fill>
    <fill>
      <patternFill patternType="solid">
        <fgColor rgb="FFCFE2F3"/>
        <bgColor rgb="FFCFE2F3"/>
      </patternFill>
    </fill>
    <fill>
      <patternFill patternType="solid">
        <fgColor rgb="FFEA9999"/>
        <bgColor rgb="FFEA9999"/>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FD966"/>
        <bgColor rgb="FFFFD966"/>
      </patternFill>
    </fill>
    <fill>
      <patternFill patternType="solid">
        <fgColor rgb="FFC9DAF8"/>
        <bgColor rgb="FFC9DAF8"/>
      </patternFill>
    </fill>
    <fill>
      <patternFill patternType="solid">
        <fgColor rgb="FFD0E0E3"/>
        <bgColor rgb="FFD0E0E3"/>
      </patternFill>
    </fill>
    <fill>
      <patternFill patternType="solid">
        <fgColor rgb="FFD9D2E9"/>
        <bgColor rgb="FFD9D2E9"/>
      </patternFill>
    </fill>
    <fill>
      <patternFill patternType="solid">
        <fgColor rgb="FFFF0000"/>
        <bgColor rgb="FFFF0000"/>
      </patternFill>
    </fill>
    <fill>
      <patternFill patternType="solid">
        <fgColor rgb="FFF3F3F3"/>
        <bgColor rgb="FFF3F3F3"/>
      </patternFill>
    </fill>
    <fill>
      <patternFill patternType="solid">
        <fgColor rgb="FF93C47D"/>
        <bgColor rgb="FF93C47D"/>
      </patternFill>
    </fill>
    <fill>
      <patternFill patternType="solid">
        <fgColor rgb="FFEAD1DC"/>
        <bgColor rgb="FFEAD1DC"/>
      </patternFill>
    </fill>
    <fill>
      <patternFill patternType="solid">
        <fgColor rgb="FFD9D9D9"/>
        <bgColor rgb="FFD9D9D9"/>
      </patternFill>
    </fill>
    <fill>
      <patternFill patternType="solid">
        <fgColor rgb="FFB4A7D6"/>
        <bgColor rgb="FFB4A7D6"/>
      </patternFill>
    </fill>
    <fill>
      <patternFill patternType="solid">
        <fgColor rgb="FFE6B8AF"/>
        <bgColor rgb="FFE6B8AF"/>
      </patternFill>
    </fill>
    <fill>
      <patternFill patternType="solid">
        <fgColor theme="0"/>
        <bgColor theme="0"/>
      </patternFill>
    </fill>
    <fill>
      <patternFill patternType="solid">
        <fgColor rgb="FF6AA84F"/>
        <bgColor rgb="FF6AA84F"/>
      </patternFill>
    </fill>
    <fill>
      <patternFill patternType="solid">
        <fgColor rgb="FF00FF00"/>
        <bgColor rgb="FF00FF00"/>
      </patternFill>
    </fill>
    <fill>
      <patternFill patternType="solid">
        <fgColor rgb="FFEA4335"/>
        <bgColor rgb="FFEA4335"/>
      </patternFill>
    </fill>
    <fill>
      <patternFill patternType="solid">
        <fgColor rgb="FF34A853"/>
        <bgColor rgb="FF34A853"/>
      </patternFill>
    </fill>
  </fills>
  <borders count="14">
    <border/>
    <border>
      <left/>
      <right/>
      <top/>
      <bottom/>
    </border>
    <border>
      <left/>
      <right style="thin">
        <color rgb="FF000000"/>
      </right>
      <top/>
      <bottom/>
    </border>
    <border>
      <left style="thin">
        <color rgb="FF000000"/>
      </left>
      <right style="thin">
        <color rgb="FF000000"/>
      </right>
      <top/>
      <bottom/>
    </border>
    <border>
      <left style="thin">
        <color rgb="FF000000"/>
      </left>
      <right/>
      <top/>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8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0" fontId="1" numFmtId="0" xfId="0" applyAlignment="1" applyBorder="1" applyFont="1">
      <alignment readingOrder="0"/>
    </xf>
    <xf borderId="1" fillId="0" fontId="1" numFmtId="0" xfId="0" applyBorder="1" applyFont="1"/>
    <xf borderId="0" fillId="2" fontId="1" numFmtId="0" xfId="0" applyAlignment="1" applyFill="1" applyFont="1">
      <alignment readingOrder="0"/>
    </xf>
    <xf borderId="0" fillId="2" fontId="1" numFmtId="0" xfId="0" applyAlignment="1" applyFont="1">
      <alignment shrinkToFit="0" wrapText="0"/>
    </xf>
    <xf borderId="1" fillId="2" fontId="1" numFmtId="0" xfId="0" applyAlignment="1" applyBorder="1" applyFont="1">
      <alignment shrinkToFit="0" wrapText="0"/>
    </xf>
    <xf borderId="1" fillId="2" fontId="1" numFmtId="0" xfId="0" applyAlignment="1" applyBorder="1" applyFont="1">
      <alignment readingOrder="0"/>
    </xf>
    <xf borderId="1" fillId="3" fontId="1" numFmtId="0" xfId="0" applyBorder="1" applyFill="1" applyFont="1"/>
    <xf borderId="1" fillId="4" fontId="1" numFmtId="0" xfId="0" applyAlignment="1" applyBorder="1" applyFill="1" applyFont="1">
      <alignment readingOrder="0"/>
    </xf>
    <xf borderId="1" fillId="5" fontId="2" numFmtId="0" xfId="0" applyAlignment="1" applyBorder="1" applyFill="1" applyFont="1">
      <alignment vertical="bottom"/>
    </xf>
    <xf borderId="1" fillId="5" fontId="2" numFmtId="0" xfId="0" applyAlignment="1" applyBorder="1" applyFont="1">
      <alignment readingOrder="0" vertical="bottom"/>
    </xf>
    <xf borderId="0" fillId="6" fontId="1" numFmtId="0" xfId="0" applyAlignment="1" applyFill="1" applyFont="1">
      <alignment readingOrder="0"/>
    </xf>
    <xf borderId="1" fillId="6" fontId="1" numFmtId="0" xfId="0" applyAlignment="1" applyBorder="1" applyFont="1">
      <alignment readingOrder="0"/>
    </xf>
    <xf borderId="1" fillId="7" fontId="1" numFmtId="0" xfId="0" applyAlignment="1" applyBorder="1" applyFill="1" applyFont="1">
      <alignment readingOrder="0"/>
    </xf>
    <xf borderId="1" fillId="7" fontId="1" numFmtId="0" xfId="0" applyBorder="1" applyFont="1"/>
    <xf borderId="2" fillId="8" fontId="1" numFmtId="0" xfId="0" applyAlignment="1" applyBorder="1" applyFill="1" applyFont="1">
      <alignment readingOrder="0"/>
    </xf>
    <xf borderId="2" fillId="8" fontId="2" numFmtId="0" xfId="0" applyAlignment="1" applyBorder="1" applyFont="1">
      <alignment vertical="bottom"/>
    </xf>
    <xf borderId="3" fillId="9" fontId="1" numFmtId="0" xfId="0" applyAlignment="1" applyBorder="1" applyFill="1" applyFont="1">
      <alignment readingOrder="0"/>
    </xf>
    <xf borderId="1" fillId="10" fontId="1" numFmtId="0" xfId="0" applyAlignment="1" applyBorder="1" applyFill="1" applyFont="1">
      <alignment readingOrder="0"/>
    </xf>
    <xf borderId="1" fillId="10" fontId="1" numFmtId="0" xfId="0" applyBorder="1" applyFont="1"/>
    <xf borderId="3" fillId="8" fontId="1" numFmtId="0" xfId="0" applyAlignment="1" applyBorder="1" applyFont="1">
      <alignment readingOrder="0"/>
    </xf>
    <xf borderId="4" fillId="9" fontId="1" numFmtId="0" xfId="0" applyAlignment="1" applyBorder="1" applyFont="1">
      <alignment readingOrder="0"/>
    </xf>
    <xf borderId="0" fillId="11" fontId="2" numFmtId="0" xfId="0" applyAlignment="1" applyFill="1" applyFont="1">
      <alignment vertical="bottom"/>
    </xf>
    <xf borderId="0" fillId="0" fontId="3" numFmtId="0" xfId="0" applyFont="1"/>
    <xf borderId="5" fillId="12" fontId="4" numFmtId="0" xfId="0" applyAlignment="1" applyBorder="1" applyFill="1" applyFont="1">
      <alignment readingOrder="0" shrinkToFit="0" vertical="top" wrapText="1"/>
    </xf>
    <xf borderId="5" fillId="12" fontId="4" numFmtId="0" xfId="0" applyAlignment="1" applyBorder="1" applyFont="1">
      <alignment shrinkToFit="0" vertical="top" wrapText="1"/>
    </xf>
    <xf borderId="0" fillId="13" fontId="5" numFmtId="0" xfId="0" applyAlignment="1" applyFill="1" applyFont="1">
      <alignment readingOrder="0" shrinkToFit="0" vertical="top" wrapText="1"/>
    </xf>
    <xf borderId="5" fillId="13" fontId="5" numFmtId="0" xfId="0" applyAlignment="1" applyBorder="1" applyFont="1">
      <alignment readingOrder="0" shrinkToFit="0" vertical="top" wrapText="1"/>
    </xf>
    <xf borderId="5" fillId="14" fontId="5" numFmtId="0" xfId="0" applyAlignment="1" applyBorder="1" applyFill="1" applyFont="1">
      <alignment readingOrder="0" shrinkToFit="0" vertical="top" wrapText="1"/>
    </xf>
    <xf borderId="6" fillId="15" fontId="5" numFmtId="0" xfId="0" applyAlignment="1" applyBorder="1" applyFill="1" applyFont="1">
      <alignment readingOrder="0" shrinkToFit="0" vertical="top" wrapText="1"/>
    </xf>
    <xf borderId="7" fillId="12" fontId="5" numFmtId="0" xfId="0" applyAlignment="1" applyBorder="1" applyFont="1">
      <alignment readingOrder="0" shrinkToFit="0" vertical="top" wrapText="1"/>
    </xf>
    <xf borderId="5" fillId="16" fontId="5" numFmtId="0" xfId="0" applyAlignment="1" applyBorder="1" applyFill="1" applyFont="1">
      <alignment readingOrder="0" shrinkToFit="0" vertical="top" wrapText="1"/>
    </xf>
    <xf borderId="7" fillId="15" fontId="5" numFmtId="0" xfId="0" applyAlignment="1" applyBorder="1" applyFont="1">
      <alignment readingOrder="0" shrinkToFit="0" vertical="top" wrapText="1"/>
    </xf>
    <xf borderId="8" fillId="12" fontId="5" numFmtId="0" xfId="0" applyAlignment="1" applyBorder="1" applyFont="1">
      <alignment readingOrder="0" shrinkToFit="0" vertical="top" wrapText="1"/>
    </xf>
    <xf borderId="9" fillId="17" fontId="4" numFmtId="0" xfId="0" applyAlignment="1" applyBorder="1" applyFill="1" applyFont="1">
      <alignment vertical="bottom"/>
    </xf>
    <xf borderId="9" fillId="2" fontId="5" numFmtId="0" xfId="0" applyAlignment="1" applyBorder="1" applyFont="1">
      <alignment readingOrder="0" shrinkToFit="0" vertical="top" wrapText="1"/>
    </xf>
    <xf borderId="9" fillId="0" fontId="5" numFmtId="0" xfId="0" applyAlignment="1" applyBorder="1" applyFont="1">
      <alignment readingOrder="0" shrinkToFit="0" vertical="top" wrapText="1"/>
    </xf>
    <xf borderId="0" fillId="0" fontId="5" numFmtId="0" xfId="0" applyAlignment="1" applyFont="1">
      <alignment shrinkToFit="0" vertical="top" wrapText="1"/>
    </xf>
    <xf borderId="0" fillId="0" fontId="5" numFmtId="0" xfId="0" applyAlignment="1" applyFont="1">
      <alignment readingOrder="0"/>
    </xf>
    <xf borderId="0" fillId="0" fontId="3" numFmtId="0" xfId="0" applyAlignment="1" applyFont="1">
      <alignment readingOrder="0"/>
    </xf>
    <xf borderId="0" fillId="18" fontId="6" numFmtId="0" xfId="0" applyAlignment="1" applyFill="1" applyFont="1">
      <alignment vertical="bottom"/>
    </xf>
    <xf borderId="0" fillId="18" fontId="4" numFmtId="0" xfId="0" applyAlignment="1" applyFont="1">
      <alignment vertical="bottom"/>
    </xf>
    <xf borderId="0" fillId="18" fontId="6" numFmtId="164" xfId="0" applyAlignment="1" applyFont="1" applyNumberFormat="1">
      <alignment horizontal="right" vertical="bottom"/>
    </xf>
    <xf borderId="0" fillId="18" fontId="6" numFmtId="0" xfId="0" applyAlignment="1" applyFont="1">
      <alignment vertical="bottom"/>
    </xf>
    <xf borderId="0" fillId="18" fontId="6" numFmtId="0" xfId="0" applyAlignment="1" applyFont="1">
      <alignment horizontal="right" vertical="bottom"/>
    </xf>
    <xf borderId="0" fillId="18" fontId="4" numFmtId="0" xfId="0" applyAlignment="1" applyFont="1">
      <alignment vertical="bottom"/>
    </xf>
    <xf borderId="0" fillId="0" fontId="7" numFmtId="0" xfId="0" applyAlignment="1" applyFont="1">
      <alignment vertical="bottom"/>
    </xf>
    <xf borderId="0" fillId="18" fontId="6" numFmtId="0" xfId="0" applyAlignment="1" applyFont="1">
      <alignment horizontal="right" vertical="bottom"/>
    </xf>
    <xf borderId="0" fillId="18" fontId="8" numFmtId="0" xfId="0" applyAlignment="1" applyFont="1">
      <alignment vertical="bottom"/>
    </xf>
    <xf borderId="0" fillId="18" fontId="6" numFmtId="0" xfId="0" applyAlignment="1" applyFont="1">
      <alignment vertical="bottom"/>
    </xf>
    <xf borderId="0" fillId="0" fontId="4" numFmtId="0" xfId="0" applyAlignment="1" applyFont="1">
      <alignment vertical="bottom"/>
    </xf>
    <xf borderId="0" fillId="18" fontId="9" numFmtId="0" xfId="0" applyAlignment="1" applyFont="1">
      <alignment vertical="bottom"/>
    </xf>
    <xf borderId="0" fillId="18" fontId="10" numFmtId="0" xfId="0" applyAlignment="1" applyFont="1">
      <alignment vertical="bottom"/>
    </xf>
    <xf borderId="0" fillId="0" fontId="6" numFmtId="0" xfId="0" applyAlignment="1" applyFont="1">
      <alignment vertical="bottom"/>
    </xf>
    <xf borderId="0" fillId="0" fontId="5" numFmtId="165" xfId="0" applyAlignment="1" applyFont="1" applyNumberFormat="1">
      <alignment readingOrder="0"/>
    </xf>
    <xf borderId="0" fillId="0" fontId="5" numFmtId="164" xfId="0" applyAlignment="1" applyFont="1" applyNumberFormat="1">
      <alignment readingOrder="0"/>
    </xf>
    <xf borderId="0" fillId="0" fontId="5" numFmtId="0" xfId="0" applyFont="1"/>
    <xf borderId="0" fillId="19" fontId="5" numFmtId="0" xfId="0" applyAlignment="1" applyFill="1" applyFont="1">
      <alignment readingOrder="0"/>
    </xf>
    <xf borderId="0" fillId="0" fontId="6" numFmtId="0" xfId="0" applyAlignment="1" applyFont="1">
      <alignment vertical="bottom"/>
    </xf>
    <xf borderId="0" fillId="20" fontId="5" numFmtId="0" xfId="0" applyAlignment="1" applyFill="1" applyFont="1">
      <alignment readingOrder="0" shrinkToFit="0" vertical="bottom" wrapText="0"/>
    </xf>
    <xf borderId="0" fillId="0" fontId="3" numFmtId="0" xfId="0" applyAlignment="1" applyFont="1">
      <alignment readingOrder="0"/>
    </xf>
    <xf borderId="0" fillId="20" fontId="5" numFmtId="0" xfId="0" applyAlignment="1" applyFont="1">
      <alignment shrinkToFit="0" vertical="bottom" wrapText="0"/>
    </xf>
    <xf borderId="0" fillId="20" fontId="3" numFmtId="0" xfId="0" applyFont="1"/>
    <xf borderId="0" fillId="21" fontId="5" numFmtId="0" xfId="0" applyAlignment="1" applyFill="1" applyFont="1">
      <alignment readingOrder="0"/>
    </xf>
    <xf borderId="0" fillId="21" fontId="5" numFmtId="0" xfId="0" applyFont="1"/>
    <xf borderId="0" fillId="21" fontId="6" numFmtId="0" xfId="0" applyAlignment="1" applyFont="1">
      <alignment shrinkToFit="0" vertical="bottom" wrapText="0"/>
    </xf>
    <xf borderId="0" fillId="21" fontId="4" numFmtId="0" xfId="0" applyAlignment="1" applyFont="1">
      <alignment shrinkToFit="0" vertical="bottom" wrapText="0"/>
    </xf>
    <xf borderId="0" fillId="21" fontId="4" numFmtId="0" xfId="0" applyAlignment="1" applyFont="1">
      <alignment vertical="bottom"/>
    </xf>
    <xf borderId="0" fillId="21" fontId="4" numFmtId="164" xfId="0" applyAlignment="1" applyFont="1" applyNumberFormat="1">
      <alignment horizontal="right" shrinkToFit="0" vertical="bottom" wrapText="0"/>
    </xf>
    <xf borderId="0" fillId="21" fontId="4" numFmtId="164" xfId="0" applyAlignment="1" applyFont="1" applyNumberFormat="1">
      <alignment horizontal="right" readingOrder="0" shrinkToFit="0" vertical="bottom" wrapText="0"/>
    </xf>
    <xf borderId="0" fillId="21" fontId="6" numFmtId="0" xfId="0" applyAlignment="1" applyFont="1">
      <alignment readingOrder="0" vertical="bottom"/>
    </xf>
    <xf borderId="0" fillId="21" fontId="4" numFmtId="0" xfId="0" applyAlignment="1" applyFont="1">
      <alignment horizontal="center" shrinkToFit="0" vertical="bottom" wrapText="0"/>
    </xf>
    <xf borderId="0" fillId="21" fontId="4" numFmtId="0" xfId="0" applyAlignment="1" applyFont="1">
      <alignment shrinkToFit="0" vertical="bottom" wrapText="0"/>
    </xf>
    <xf borderId="0" fillId="21" fontId="6" numFmtId="0" xfId="0" applyAlignment="1" applyFont="1">
      <alignment vertical="bottom"/>
    </xf>
    <xf borderId="0" fillId="21" fontId="4" numFmtId="0" xfId="0" applyAlignment="1" applyFont="1">
      <alignment horizontal="center" shrinkToFit="0" vertical="bottom" wrapText="0"/>
    </xf>
    <xf borderId="0" fillId="21" fontId="4" numFmtId="0" xfId="0" applyAlignment="1" applyFont="1">
      <alignment horizontal="right" shrinkToFit="0" vertical="bottom" wrapText="0"/>
    </xf>
    <xf borderId="0" fillId="21" fontId="4" numFmtId="0" xfId="0" applyAlignment="1" applyFont="1">
      <alignment shrinkToFit="0" vertical="bottom" wrapText="0"/>
    </xf>
    <xf borderId="0" fillId="21" fontId="6" numFmtId="0" xfId="0" applyAlignment="1" applyFont="1">
      <alignment shrinkToFit="0" vertical="bottom" wrapText="0"/>
    </xf>
    <xf borderId="0" fillId="22" fontId="11" numFmtId="0" xfId="0" applyAlignment="1" applyFill="1" applyFont="1">
      <alignment horizontal="right" vertical="bottom"/>
    </xf>
    <xf borderId="0" fillId="0" fontId="12" numFmtId="0" xfId="0" applyAlignment="1" applyFont="1">
      <alignment readingOrder="0"/>
    </xf>
    <xf borderId="0" fillId="21" fontId="13" numFmtId="0" xfId="0" applyAlignment="1" applyFont="1">
      <alignment shrinkToFit="0" vertical="bottom" wrapText="0"/>
    </xf>
    <xf borderId="0" fillId="21" fontId="14" numFmtId="0" xfId="0" applyAlignment="1" applyFont="1">
      <alignment shrinkToFit="0" vertical="bottom" wrapText="0"/>
    </xf>
    <xf borderId="0" fillId="21" fontId="3" numFmtId="0" xfId="0" applyFont="1"/>
    <xf borderId="0" fillId="21" fontId="3" numFmtId="0" xfId="0" applyAlignment="1" applyFont="1">
      <alignment readingOrder="0"/>
    </xf>
    <xf borderId="0" fillId="21" fontId="6" numFmtId="0" xfId="0" applyAlignment="1" applyFont="1">
      <alignment vertical="bottom"/>
    </xf>
    <xf borderId="0" fillId="21" fontId="4" numFmtId="0" xfId="0" applyAlignment="1" applyFont="1">
      <alignment vertical="bottom"/>
    </xf>
    <xf borderId="0" fillId="21" fontId="4" numFmtId="166" xfId="0" applyAlignment="1" applyFont="1" applyNumberFormat="1">
      <alignment horizontal="right" vertical="bottom"/>
    </xf>
    <xf borderId="0" fillId="21" fontId="4" numFmtId="0" xfId="0" applyAlignment="1" applyFont="1">
      <alignment horizontal="right" vertical="bottom"/>
    </xf>
    <xf borderId="0" fillId="21" fontId="4" numFmtId="0" xfId="0" applyAlignment="1" applyFont="1">
      <alignment vertical="bottom"/>
    </xf>
    <xf borderId="0" fillId="22" fontId="4" numFmtId="0" xfId="0" applyAlignment="1" applyFont="1">
      <alignment horizontal="right" vertical="bottom"/>
    </xf>
    <xf borderId="0" fillId="21" fontId="15" numFmtId="0" xfId="0" applyAlignment="1" applyFont="1">
      <alignment vertical="bottom"/>
    </xf>
    <xf borderId="0" fillId="21" fontId="16" numFmtId="0" xfId="0" applyAlignment="1" applyFont="1">
      <alignment vertical="bottom"/>
    </xf>
    <xf borderId="0" fillId="13" fontId="5" numFmtId="0" xfId="0" applyAlignment="1" applyFont="1">
      <alignment readingOrder="0" shrinkToFit="0" vertical="bottom" wrapText="0"/>
    </xf>
    <xf borderId="0" fillId="13" fontId="3" numFmtId="0" xfId="0" applyFont="1"/>
    <xf borderId="0" fillId="20" fontId="5" numFmtId="0" xfId="0" applyAlignment="1" applyFont="1">
      <alignment readingOrder="0"/>
    </xf>
    <xf borderId="0" fillId="20" fontId="5" numFmtId="0" xfId="0" applyFont="1"/>
    <xf borderId="0" fillId="20" fontId="6" numFmtId="0" xfId="0" applyAlignment="1" applyFont="1">
      <alignment vertical="bottom"/>
    </xf>
    <xf borderId="0" fillId="20" fontId="4" numFmtId="0" xfId="0" applyAlignment="1" applyFont="1">
      <alignment vertical="bottom"/>
    </xf>
    <xf borderId="0" fillId="20" fontId="4" numFmtId="164" xfId="0" applyAlignment="1" applyFont="1" applyNumberFormat="1">
      <alignment horizontal="right" vertical="bottom"/>
    </xf>
    <xf borderId="0" fillId="20" fontId="6" numFmtId="0" xfId="0" applyAlignment="1" applyFont="1">
      <alignment vertical="bottom"/>
    </xf>
    <xf borderId="0" fillId="2" fontId="17" numFmtId="0" xfId="0" applyAlignment="1" applyFont="1">
      <alignment readingOrder="0" vertical="bottom"/>
    </xf>
    <xf borderId="0" fillId="20" fontId="4" numFmtId="0" xfId="0" applyAlignment="1" applyFont="1">
      <alignment readingOrder="0" vertical="bottom"/>
    </xf>
    <xf borderId="0" fillId="20" fontId="4" numFmtId="0" xfId="0" applyAlignment="1" applyFont="1">
      <alignment horizontal="right" vertical="bottom"/>
    </xf>
    <xf borderId="0" fillId="19" fontId="18" numFmtId="0" xfId="0" applyAlignment="1" applyFont="1">
      <alignment readingOrder="0"/>
    </xf>
    <xf borderId="0" fillId="20" fontId="6" numFmtId="0" xfId="0" applyAlignment="1" applyFont="1">
      <alignment vertical="bottom"/>
    </xf>
    <xf borderId="0" fillId="20" fontId="4" numFmtId="0" xfId="0" applyAlignment="1" applyFont="1">
      <alignment vertical="bottom"/>
    </xf>
    <xf borderId="0" fillId="20" fontId="4" numFmtId="0" xfId="0" applyAlignment="1" applyFont="1">
      <alignment vertical="bottom"/>
    </xf>
    <xf borderId="0" fillId="0" fontId="19" numFmtId="0" xfId="0" applyAlignment="1" applyFont="1">
      <alignment readingOrder="0" vertical="bottom"/>
    </xf>
    <xf borderId="0" fillId="13" fontId="3" numFmtId="0" xfId="0" applyAlignment="1" applyFont="1">
      <alignment readingOrder="0"/>
    </xf>
    <xf borderId="0" fillId="13" fontId="6" numFmtId="0" xfId="0" applyAlignment="1" applyFont="1">
      <alignment vertical="bottom"/>
    </xf>
    <xf borderId="0" fillId="13" fontId="4" numFmtId="0" xfId="0" applyAlignment="1" applyFont="1">
      <alignment vertical="bottom"/>
    </xf>
    <xf borderId="0" fillId="13" fontId="4" numFmtId="164" xfId="0" applyAlignment="1" applyFont="1" applyNumberFormat="1">
      <alignment horizontal="right" vertical="bottom"/>
    </xf>
    <xf borderId="0" fillId="13" fontId="6" numFmtId="165" xfId="0" applyAlignment="1" applyFont="1" applyNumberFormat="1">
      <alignment readingOrder="0" vertical="bottom"/>
    </xf>
    <xf borderId="0" fillId="0" fontId="6" numFmtId="0" xfId="0" applyAlignment="1" applyFont="1">
      <alignment readingOrder="0" vertical="bottom"/>
    </xf>
    <xf borderId="0" fillId="13" fontId="4" numFmtId="0" xfId="0" applyAlignment="1" applyFont="1">
      <alignment readingOrder="0" vertical="bottom"/>
    </xf>
    <xf borderId="0" fillId="13" fontId="4" numFmtId="0" xfId="0" applyAlignment="1" applyFont="1">
      <alignment horizontal="right" vertical="bottom"/>
    </xf>
    <xf borderId="0" fillId="13" fontId="20" numFmtId="0" xfId="0" applyAlignment="1" applyFont="1">
      <alignment readingOrder="0" vertical="bottom"/>
    </xf>
    <xf borderId="0" fillId="13" fontId="6" numFmtId="0" xfId="0" applyAlignment="1" applyFont="1">
      <alignment vertical="bottom"/>
    </xf>
    <xf borderId="0" fillId="13" fontId="4" numFmtId="0" xfId="0" applyAlignment="1" applyFont="1">
      <alignment horizontal="right" vertical="bottom"/>
    </xf>
    <xf borderId="0" fillId="13" fontId="21" numFmtId="0" xfId="0" applyAlignment="1" applyFont="1">
      <alignment vertical="bottom"/>
    </xf>
    <xf borderId="0" fillId="13" fontId="21" numFmtId="0" xfId="0" applyAlignment="1" applyFont="1">
      <alignment horizontal="right" vertical="bottom"/>
    </xf>
    <xf borderId="0" fillId="13" fontId="21" numFmtId="0" xfId="0" applyAlignment="1" applyFont="1">
      <alignment horizontal="right" readingOrder="0" vertical="bottom"/>
    </xf>
    <xf borderId="0" fillId="20" fontId="21" numFmtId="0" xfId="0" applyAlignment="1" applyFont="1">
      <alignment horizontal="right" vertical="bottom"/>
    </xf>
    <xf borderId="0" fillId="20" fontId="21" numFmtId="0" xfId="0" applyAlignment="1" applyFont="1">
      <alignment vertical="bottom"/>
    </xf>
    <xf borderId="0" fillId="20" fontId="21" numFmtId="0" xfId="0" applyAlignment="1" applyFont="1">
      <alignment vertical="bottom"/>
    </xf>
    <xf borderId="0" fillId="13" fontId="4" numFmtId="0" xfId="0" applyAlignment="1" applyFont="1">
      <alignment vertical="bottom"/>
    </xf>
    <xf borderId="0" fillId="13" fontId="6" numFmtId="0" xfId="0" applyAlignment="1" applyFont="1">
      <alignment readingOrder="0" vertical="bottom"/>
    </xf>
    <xf borderId="0" fillId="13" fontId="22" numFmtId="0" xfId="0" applyAlignment="1" applyFont="1">
      <alignment readingOrder="0" vertical="bottom"/>
    </xf>
    <xf borderId="0" fillId="0" fontId="5" numFmtId="0" xfId="0" applyAlignment="1" applyFont="1">
      <alignment readingOrder="0" shrinkToFit="0" vertical="bottom" wrapText="0"/>
    </xf>
    <xf borderId="0" fillId="20" fontId="5" numFmtId="165" xfId="0" applyAlignment="1" applyFont="1" applyNumberFormat="1">
      <alignment readingOrder="0"/>
    </xf>
    <xf borderId="0" fillId="20" fontId="5" numFmtId="164" xfId="0" applyAlignment="1" applyFont="1" applyNumberFormat="1">
      <alignment readingOrder="0"/>
    </xf>
    <xf borderId="0" fillId="20" fontId="23" numFmtId="0" xfId="0" applyAlignment="1" applyFont="1">
      <alignment readingOrder="0"/>
    </xf>
    <xf borderId="0" fillId="20" fontId="6" numFmtId="0" xfId="0" applyAlignment="1" applyFont="1">
      <alignment readingOrder="0" vertical="bottom"/>
    </xf>
    <xf borderId="0" fillId="23" fontId="5" numFmtId="0" xfId="0" applyAlignment="1" applyFill="1" applyFont="1">
      <alignment readingOrder="0"/>
    </xf>
    <xf borderId="0" fillId="20" fontId="3" numFmtId="0" xfId="0" applyAlignment="1" applyFont="1">
      <alignment readingOrder="0"/>
    </xf>
    <xf borderId="0" fillId="23" fontId="5" numFmtId="0" xfId="0" applyFont="1"/>
    <xf borderId="0" fillId="15" fontId="4" numFmtId="0" xfId="0" applyAlignment="1" applyFont="1">
      <alignment readingOrder="0" vertical="bottom"/>
    </xf>
    <xf borderId="0" fillId="0" fontId="4" numFmtId="0" xfId="0" applyAlignment="1" applyFont="1">
      <alignment readingOrder="0" vertical="bottom"/>
    </xf>
    <xf borderId="0" fillId="0" fontId="4" numFmtId="165" xfId="0" applyAlignment="1" applyFont="1" applyNumberFormat="1">
      <alignment horizontal="right" vertical="bottom"/>
    </xf>
    <xf borderId="0" fillId="0" fontId="4" numFmtId="165" xfId="0" applyAlignment="1" applyFont="1" applyNumberFormat="1">
      <alignment horizontal="right" readingOrder="0" vertical="bottom"/>
    </xf>
    <xf borderId="0" fillId="0" fontId="24" numFmtId="0" xfId="0" applyAlignment="1" applyFont="1">
      <alignment vertical="bottom"/>
    </xf>
    <xf borderId="0" fillId="0" fontId="24" numFmtId="0" xfId="0" applyAlignment="1" applyFont="1">
      <alignment readingOrder="0" vertical="bottom"/>
    </xf>
    <xf borderId="0" fillId="0" fontId="4" numFmtId="0" xfId="0" applyAlignment="1" applyFont="1">
      <alignment horizontal="right" vertical="bottom"/>
    </xf>
    <xf borderId="0" fillId="19" fontId="4" numFmtId="0" xfId="0" applyAlignment="1" applyFont="1">
      <alignment vertical="bottom"/>
    </xf>
    <xf borderId="0" fillId="0" fontId="25" numFmtId="0" xfId="0" applyAlignment="1" applyFont="1">
      <alignment vertical="bottom"/>
    </xf>
    <xf borderId="0" fillId="0" fontId="4" numFmtId="0" xfId="0" applyAlignment="1" applyFont="1">
      <alignment vertical="bottom"/>
    </xf>
    <xf borderId="0" fillId="0" fontId="26" numFmtId="0" xfId="0" applyAlignment="1" applyFont="1">
      <alignment horizontal="right" vertical="bottom"/>
    </xf>
    <xf borderId="0" fillId="0" fontId="4" numFmtId="0" xfId="0" applyAlignment="1" applyFont="1">
      <alignment horizontal="right" readingOrder="0" vertical="bottom"/>
    </xf>
    <xf borderId="0" fillId="0" fontId="26" numFmtId="0" xfId="0" applyAlignment="1" applyFont="1">
      <alignment horizontal="right" vertical="bottom"/>
    </xf>
    <xf borderId="0" fillId="0" fontId="27" numFmtId="0" xfId="0" applyAlignment="1" applyFont="1">
      <alignment readingOrder="0" vertical="bottom"/>
    </xf>
    <xf borderId="0" fillId="24" fontId="3" numFmtId="0" xfId="0" applyFill="1" applyFont="1"/>
    <xf borderId="0" fillId="0" fontId="25" numFmtId="0" xfId="0" applyAlignment="1" applyFont="1">
      <alignment readingOrder="0" vertical="bottom"/>
    </xf>
    <xf borderId="0" fillId="0" fontId="26" numFmtId="0" xfId="0" applyAlignment="1" applyFont="1">
      <alignment horizontal="right" readingOrder="0" vertical="bottom"/>
    </xf>
    <xf borderId="0" fillId="24" fontId="5" numFmtId="0" xfId="0" applyAlignment="1" applyFont="1">
      <alignment readingOrder="0"/>
    </xf>
    <xf borderId="0" fillId="24" fontId="4" numFmtId="0" xfId="0" applyAlignment="1" applyFont="1">
      <alignment readingOrder="0" vertical="bottom"/>
    </xf>
    <xf borderId="0" fillId="24" fontId="3" numFmtId="0" xfId="0" applyAlignment="1" applyFont="1">
      <alignment readingOrder="0"/>
    </xf>
    <xf borderId="0" fillId="24" fontId="5" numFmtId="164" xfId="0" applyAlignment="1" applyFont="1" applyNumberFormat="1">
      <alignment readingOrder="0"/>
    </xf>
    <xf borderId="0" fillId="0" fontId="3" numFmtId="165" xfId="0" applyAlignment="1" applyFont="1" applyNumberFormat="1">
      <alignment readingOrder="0"/>
    </xf>
    <xf borderId="0" fillId="24" fontId="5" numFmtId="0" xfId="0" applyFont="1"/>
    <xf borderId="0" fillId="24" fontId="11" numFmtId="0" xfId="0" applyAlignment="1" applyFont="1">
      <alignment readingOrder="0"/>
    </xf>
    <xf borderId="0" fillId="24" fontId="28" numFmtId="0" xfId="0" applyAlignment="1" applyFont="1">
      <alignment readingOrder="0"/>
    </xf>
    <xf borderId="0" fillId="24" fontId="29" numFmtId="0" xfId="0" applyAlignment="1" applyFont="1">
      <alignment readingOrder="0" vertical="bottom"/>
    </xf>
    <xf borderId="0" fillId="24" fontId="6" numFmtId="0" xfId="0" applyAlignment="1" applyFont="1">
      <alignment readingOrder="0" vertical="bottom"/>
    </xf>
    <xf borderId="0" fillId="24" fontId="30" numFmtId="0" xfId="0" applyAlignment="1" applyFont="1">
      <alignment readingOrder="0"/>
    </xf>
    <xf borderId="0" fillId="24" fontId="31" numFmtId="0" xfId="0" applyAlignment="1" applyFont="1">
      <alignment readingOrder="0"/>
    </xf>
    <xf borderId="0" fillId="24" fontId="24" numFmtId="0" xfId="0" applyAlignment="1" applyFont="1">
      <alignment readingOrder="0" vertical="bottom"/>
    </xf>
    <xf borderId="0" fillId="24" fontId="4" numFmtId="165" xfId="0" applyAlignment="1" applyFont="1" applyNumberFormat="1">
      <alignment horizontal="right" readingOrder="0" vertical="bottom"/>
    </xf>
    <xf borderId="0" fillId="24" fontId="6" numFmtId="0" xfId="0" applyAlignment="1" applyFont="1">
      <alignment vertical="bottom"/>
    </xf>
    <xf borderId="0" fillId="24" fontId="11" numFmtId="0" xfId="0" applyAlignment="1" applyFont="1">
      <alignment horizontal="right" readingOrder="0" vertical="bottom"/>
    </xf>
    <xf borderId="0" fillId="24" fontId="25" numFmtId="0" xfId="0" applyAlignment="1" applyFont="1">
      <alignment readingOrder="0" vertical="bottom"/>
    </xf>
    <xf borderId="0" fillId="24" fontId="4" numFmtId="0" xfId="0" applyAlignment="1" applyFont="1">
      <alignment horizontal="right" vertical="bottom"/>
    </xf>
    <xf borderId="0" fillId="24" fontId="4" numFmtId="0" xfId="0" applyAlignment="1" applyFont="1">
      <alignment horizontal="right" readingOrder="0" vertical="bottom"/>
    </xf>
    <xf borderId="0" fillId="24" fontId="26" numFmtId="0" xfId="0" applyAlignment="1" applyFont="1">
      <alignment horizontal="right" readingOrder="0" vertical="bottom"/>
    </xf>
    <xf borderId="0" fillId="24" fontId="4" numFmtId="0" xfId="0" applyAlignment="1" applyFont="1">
      <alignment vertical="bottom"/>
    </xf>
    <xf borderId="0" fillId="24" fontId="32" numFmtId="0" xfId="0" applyAlignment="1" applyFont="1">
      <alignment readingOrder="0" vertical="bottom"/>
    </xf>
    <xf borderId="0" fillId="25" fontId="3" numFmtId="0" xfId="0" applyAlignment="1" applyFill="1" applyFont="1">
      <alignment readingOrder="0"/>
    </xf>
    <xf borderId="0" fillId="25" fontId="3" numFmtId="0" xfId="0" applyFont="1"/>
    <xf borderId="0" fillId="25" fontId="6" numFmtId="0" xfId="0" applyAlignment="1" applyFont="1">
      <alignment vertical="bottom"/>
    </xf>
    <xf borderId="0" fillId="25" fontId="4" numFmtId="0" xfId="0" applyAlignment="1" applyFont="1">
      <alignment vertical="bottom"/>
    </xf>
    <xf borderId="0" fillId="25" fontId="4" numFmtId="165" xfId="0" applyAlignment="1" applyFont="1" applyNumberFormat="1">
      <alignment horizontal="right" vertical="bottom"/>
    </xf>
    <xf borderId="0" fillId="25" fontId="4" numFmtId="0" xfId="0" applyAlignment="1" applyFont="1">
      <alignment shrinkToFit="0" vertical="bottom" wrapText="0"/>
    </xf>
    <xf borderId="0" fillId="25" fontId="6" numFmtId="0" xfId="0" applyAlignment="1" applyFont="1">
      <alignment vertical="bottom"/>
    </xf>
    <xf borderId="0" fillId="25" fontId="4" numFmtId="0" xfId="0" applyAlignment="1" applyFont="1">
      <alignment vertical="bottom"/>
    </xf>
    <xf borderId="0" fillId="25" fontId="6" numFmtId="0" xfId="0" applyAlignment="1" applyFont="1">
      <alignment vertical="bottom"/>
    </xf>
    <xf borderId="0" fillId="25" fontId="11" numFmtId="0" xfId="0" applyAlignment="1" applyFont="1">
      <alignment readingOrder="0" vertical="bottom"/>
    </xf>
    <xf borderId="0" fillId="25" fontId="4" numFmtId="0" xfId="0" applyAlignment="1" applyFont="1">
      <alignment horizontal="right" vertical="bottom"/>
    </xf>
    <xf borderId="0" fillId="25" fontId="4" numFmtId="0" xfId="0" applyAlignment="1" applyFont="1">
      <alignment vertical="bottom"/>
    </xf>
    <xf borderId="0" fillId="26" fontId="3" numFmtId="0" xfId="0" applyAlignment="1" applyFill="1" applyFont="1">
      <alignment readingOrder="0"/>
    </xf>
    <xf borderId="0" fillId="26" fontId="3" numFmtId="0" xfId="0" applyFont="1"/>
    <xf borderId="0" fillId="26" fontId="4" numFmtId="0" xfId="0" applyAlignment="1" applyFont="1">
      <alignment vertical="bottom"/>
    </xf>
    <xf borderId="0" fillId="26" fontId="4" numFmtId="0" xfId="0" applyAlignment="1" applyFont="1">
      <alignment vertical="bottom"/>
    </xf>
    <xf borderId="0" fillId="26" fontId="4" numFmtId="165" xfId="0" applyAlignment="1" applyFont="1" applyNumberFormat="1">
      <alignment horizontal="right" vertical="bottom"/>
    </xf>
    <xf borderId="0" fillId="26" fontId="6" numFmtId="0" xfId="0" applyAlignment="1" applyFont="1">
      <alignment vertical="bottom"/>
    </xf>
    <xf borderId="0" fillId="26" fontId="6" numFmtId="0" xfId="0" applyAlignment="1" applyFont="1">
      <alignment readingOrder="0" vertical="bottom"/>
    </xf>
    <xf borderId="0" fillId="26" fontId="4" numFmtId="0" xfId="0" applyAlignment="1" applyFont="1">
      <alignment readingOrder="0" vertical="bottom"/>
    </xf>
    <xf borderId="0" fillId="26" fontId="4" numFmtId="0" xfId="0" applyAlignment="1" applyFont="1">
      <alignment horizontal="right" readingOrder="0" vertical="bottom"/>
    </xf>
    <xf borderId="0" fillId="26" fontId="4" numFmtId="0" xfId="0" applyAlignment="1" applyFont="1">
      <alignment horizontal="right" vertical="bottom"/>
    </xf>
    <xf borderId="0" fillId="26" fontId="4" numFmtId="0" xfId="0" applyAlignment="1" applyFont="1">
      <alignment horizontal="right" vertical="bottom"/>
    </xf>
    <xf borderId="0" fillId="20" fontId="4" numFmtId="0" xfId="0" applyAlignment="1" applyFont="1">
      <alignment shrinkToFit="0" vertical="bottom" wrapText="0"/>
    </xf>
    <xf borderId="0" fillId="20" fontId="4" numFmtId="164" xfId="0" applyAlignment="1" applyFont="1" applyNumberFormat="1">
      <alignment horizontal="right" shrinkToFit="0" vertical="bottom" wrapText="0"/>
    </xf>
    <xf borderId="0" fillId="2" fontId="6" numFmtId="0" xfId="0" applyAlignment="1" applyFont="1">
      <alignment readingOrder="0" vertical="bottom"/>
    </xf>
    <xf borderId="0" fillId="27" fontId="4" numFmtId="0" xfId="0" applyAlignment="1" applyFill="1" applyFont="1">
      <alignment shrinkToFit="0" vertical="bottom" wrapText="0"/>
    </xf>
    <xf borderId="0" fillId="20" fontId="4" numFmtId="0" xfId="0" applyAlignment="1" applyFont="1">
      <alignment shrinkToFit="0" vertical="bottom" wrapText="0"/>
    </xf>
    <xf borderId="0" fillId="27" fontId="33" numFmtId="0" xfId="0" applyAlignment="1" applyFont="1">
      <alignment shrinkToFit="0" vertical="bottom" wrapText="0"/>
    </xf>
    <xf borderId="0" fillId="20" fontId="4" numFmtId="0" xfId="0" applyAlignment="1" applyFont="1">
      <alignment readingOrder="0" shrinkToFit="0" vertical="bottom" wrapText="0"/>
    </xf>
    <xf borderId="0" fillId="20" fontId="4" numFmtId="0" xfId="0" applyAlignment="1" applyFont="1">
      <alignment horizontal="right" shrinkToFit="0" vertical="bottom" wrapText="0"/>
    </xf>
    <xf borderId="0" fillId="20" fontId="4" numFmtId="0" xfId="0" applyAlignment="1" applyFont="1">
      <alignment shrinkToFit="0" vertical="bottom" wrapText="0"/>
    </xf>
    <xf borderId="0" fillId="28" fontId="3" numFmtId="0" xfId="0" applyFill="1" applyFont="1"/>
    <xf borderId="0" fillId="13" fontId="4" numFmtId="165" xfId="0" applyAlignment="1" applyFont="1" applyNumberFormat="1">
      <alignment horizontal="right" readingOrder="0" vertical="bottom"/>
    </xf>
    <xf borderId="0" fillId="13" fontId="4" numFmtId="0" xfId="0" applyAlignment="1" applyFont="1">
      <alignment shrinkToFit="0" vertical="bottom" wrapText="0"/>
    </xf>
    <xf borderId="0" fillId="13" fontId="4" numFmtId="0" xfId="0" applyAlignment="1" applyFont="1">
      <alignment vertical="bottom"/>
    </xf>
    <xf borderId="0" fillId="20" fontId="4" numFmtId="0" xfId="0" applyAlignment="1" applyFont="1">
      <alignment horizontal="right" readingOrder="0" shrinkToFit="0" vertical="bottom" wrapText="0"/>
    </xf>
    <xf borderId="0" fillId="13" fontId="4" numFmtId="0" xfId="0" applyAlignment="1" applyFont="1">
      <alignment horizontal="right" readingOrder="0" vertical="bottom"/>
    </xf>
    <xf borderId="0" fillId="29" fontId="3" numFmtId="0" xfId="0" applyFill="1" applyFont="1"/>
    <xf borderId="0" fillId="27" fontId="3" numFmtId="0" xfId="0" applyAlignment="1" applyFont="1">
      <alignment readingOrder="0"/>
    </xf>
    <xf borderId="0" fillId="27" fontId="3" numFmtId="0" xfId="0" applyFont="1"/>
    <xf borderId="0" fillId="27" fontId="4" numFmtId="0" xfId="0" applyAlignment="1" applyFont="1">
      <alignment vertical="bottom"/>
    </xf>
    <xf borderId="0" fillId="27" fontId="4" numFmtId="165" xfId="0" applyAlignment="1" applyFont="1" applyNumberFormat="1">
      <alignment horizontal="right" vertical="bottom"/>
    </xf>
    <xf borderId="0" fillId="27" fontId="6" numFmtId="0" xfId="0" applyAlignment="1" applyFont="1">
      <alignment vertical="bottom"/>
    </xf>
    <xf borderId="0" fillId="27" fontId="4" numFmtId="0" xfId="0" applyAlignment="1" applyFont="1">
      <alignment horizontal="right" vertical="bottom"/>
    </xf>
    <xf borderId="0" fillId="27" fontId="4" numFmtId="0" xfId="0" applyAlignment="1" applyFont="1">
      <alignment vertical="bottom"/>
    </xf>
    <xf borderId="0" fillId="27" fontId="4" numFmtId="0" xfId="0" applyAlignment="1" applyFont="1">
      <alignment readingOrder="0" vertical="bottom"/>
    </xf>
    <xf borderId="0" fillId="27" fontId="4" numFmtId="0" xfId="0" applyAlignment="1" applyFont="1">
      <alignment vertical="bottom"/>
    </xf>
    <xf borderId="0" fillId="27" fontId="4" numFmtId="0" xfId="0" applyAlignment="1" applyFont="1">
      <alignment shrinkToFit="0" vertical="bottom" wrapText="0"/>
    </xf>
    <xf borderId="0" fillId="27" fontId="6" numFmtId="0" xfId="0" applyAlignment="1" applyFont="1">
      <alignment vertical="bottom"/>
    </xf>
    <xf borderId="0" fillId="27" fontId="5" numFmtId="0" xfId="0" applyAlignment="1" applyFont="1">
      <alignment readingOrder="0"/>
    </xf>
    <xf borderId="0" fillId="27" fontId="4" numFmtId="164" xfId="0" applyAlignment="1" applyFont="1" applyNumberFormat="1">
      <alignment horizontal="right" shrinkToFit="0" vertical="bottom" wrapText="0"/>
    </xf>
    <xf borderId="0" fillId="27" fontId="4" numFmtId="0" xfId="0" applyAlignment="1" applyFont="1">
      <alignment shrinkToFit="0" vertical="bottom" wrapText="0"/>
    </xf>
    <xf borderId="0" fillId="27" fontId="4" numFmtId="0" xfId="0" applyAlignment="1" applyFont="1">
      <alignment readingOrder="0" shrinkToFit="0" vertical="bottom" wrapText="0"/>
    </xf>
    <xf borderId="0" fillId="27" fontId="4" numFmtId="0" xfId="0" applyAlignment="1" applyFont="1">
      <alignment horizontal="right" shrinkToFit="0" vertical="bottom" wrapText="0"/>
    </xf>
    <xf borderId="0" fillId="29" fontId="4" numFmtId="0" xfId="0" applyAlignment="1" applyFont="1">
      <alignment vertical="bottom"/>
    </xf>
    <xf borderId="0" fillId="15" fontId="3" numFmtId="0" xfId="0" applyAlignment="1" applyFont="1">
      <alignment readingOrder="0"/>
    </xf>
    <xf borderId="0" fillId="15" fontId="3" numFmtId="0" xfId="0" applyFont="1"/>
    <xf borderId="0" fillId="8" fontId="4" numFmtId="164" xfId="0" applyAlignment="1" applyFont="1" applyNumberFormat="1">
      <alignment horizontal="right" shrinkToFit="0" vertical="bottom" wrapText="0"/>
    </xf>
    <xf borderId="0" fillId="15" fontId="3" numFmtId="167" xfId="0" applyAlignment="1" applyFont="1" applyNumberFormat="1">
      <alignment readingOrder="0"/>
    </xf>
    <xf borderId="0" fillId="15" fontId="34" numFmtId="0" xfId="0" applyFont="1"/>
    <xf quotePrefix="1" borderId="0" fillId="15" fontId="3" numFmtId="0" xfId="0" applyFont="1"/>
    <xf borderId="0" fillId="8" fontId="4" numFmtId="164" xfId="0" applyAlignment="1" applyFont="1" applyNumberFormat="1">
      <alignment horizontal="right" readingOrder="0" shrinkToFit="0" vertical="bottom" wrapText="0"/>
    </xf>
    <xf borderId="0" fillId="8" fontId="3" numFmtId="0" xfId="0" applyAlignment="1" applyFont="1">
      <alignment readingOrder="0"/>
    </xf>
    <xf borderId="0" fillId="8" fontId="3" numFmtId="0" xfId="0" applyFont="1"/>
    <xf borderId="0" fillId="8" fontId="4" numFmtId="0" xfId="0" applyAlignment="1" applyFont="1">
      <alignment vertical="bottom"/>
    </xf>
    <xf borderId="0" fillId="8" fontId="4" numFmtId="0" xfId="0" applyAlignment="1" applyFont="1">
      <alignment vertical="bottom"/>
    </xf>
    <xf borderId="0" fillId="8" fontId="4" numFmtId="165" xfId="0" applyAlignment="1" applyFont="1" applyNumberFormat="1">
      <alignment horizontal="right" vertical="bottom"/>
    </xf>
    <xf borderId="0" fillId="8" fontId="6" numFmtId="165" xfId="0" applyAlignment="1" applyFont="1" applyNumberFormat="1">
      <alignment readingOrder="0" vertical="bottom"/>
    </xf>
    <xf borderId="0" fillId="8" fontId="6" numFmtId="0" xfId="0" applyAlignment="1" applyFont="1">
      <alignment readingOrder="0" vertical="bottom"/>
    </xf>
    <xf borderId="0" fillId="8" fontId="4" numFmtId="0" xfId="0" applyAlignment="1" applyFont="1">
      <alignment horizontal="right" vertical="bottom"/>
    </xf>
    <xf borderId="0" fillId="8" fontId="35" numFmtId="0" xfId="0" applyAlignment="1" applyFont="1">
      <alignment vertical="bottom"/>
    </xf>
    <xf borderId="0" fillId="8" fontId="6" numFmtId="0" xfId="0" applyAlignment="1" applyFont="1">
      <alignment vertical="bottom"/>
    </xf>
    <xf borderId="0" fillId="8" fontId="11" numFmtId="0" xfId="0" applyAlignment="1" applyFont="1">
      <alignment readingOrder="0" vertical="bottom"/>
    </xf>
    <xf borderId="0" fillId="8" fontId="36" numFmtId="0" xfId="0" applyAlignment="1" applyFont="1">
      <alignment vertical="bottom"/>
    </xf>
    <xf borderId="0" fillId="8" fontId="6" numFmtId="0" xfId="0" applyAlignment="1" applyFont="1">
      <alignment vertical="bottom"/>
    </xf>
    <xf borderId="0" fillId="8" fontId="6" numFmtId="0" xfId="0" applyAlignment="1" applyFont="1">
      <alignment vertical="bottom"/>
    </xf>
    <xf borderId="0" fillId="8" fontId="4" numFmtId="0" xfId="0" applyAlignment="1" applyFont="1">
      <alignment horizontal="right" readingOrder="0" vertical="bottom"/>
    </xf>
    <xf borderId="0" fillId="15" fontId="4" numFmtId="0" xfId="0" applyAlignment="1" applyFont="1">
      <alignment vertical="bottom"/>
    </xf>
    <xf borderId="0" fillId="15" fontId="4" numFmtId="0" xfId="0" applyAlignment="1" applyFont="1">
      <alignment vertical="bottom"/>
    </xf>
    <xf borderId="0" fillId="15" fontId="4" numFmtId="165" xfId="0" applyAlignment="1" applyFont="1" applyNumberFormat="1">
      <alignment horizontal="right" vertical="bottom"/>
    </xf>
    <xf borderId="0" fillId="15" fontId="6" numFmtId="165" xfId="0" applyAlignment="1" applyFont="1" applyNumberFormat="1">
      <alignment readingOrder="0" vertical="bottom"/>
    </xf>
    <xf borderId="0" fillId="15" fontId="6" numFmtId="0" xfId="0" applyAlignment="1" applyFont="1">
      <alignment vertical="bottom"/>
    </xf>
    <xf borderId="0" fillId="15" fontId="4" numFmtId="0" xfId="0" applyAlignment="1" applyFont="1">
      <alignment horizontal="right" vertical="bottom"/>
    </xf>
    <xf borderId="0" fillId="15" fontId="37" numFmtId="0" xfId="0" applyAlignment="1" applyFont="1">
      <alignment vertical="bottom"/>
    </xf>
    <xf borderId="0" fillId="15" fontId="11" numFmtId="0" xfId="0" applyAlignment="1" applyFont="1">
      <alignment readingOrder="0" vertical="bottom"/>
    </xf>
    <xf borderId="0" fillId="15" fontId="38" numFmtId="0" xfId="0" applyAlignment="1" applyFont="1">
      <alignment vertical="bottom"/>
    </xf>
    <xf borderId="0" fillId="15" fontId="6" numFmtId="0" xfId="0" applyAlignment="1" applyFont="1">
      <alignment vertical="bottom"/>
    </xf>
    <xf borderId="0" fillId="15" fontId="6" numFmtId="0" xfId="0" applyAlignment="1" applyFont="1">
      <alignment vertical="bottom"/>
    </xf>
    <xf borderId="0" fillId="8" fontId="5" numFmtId="0" xfId="0" applyAlignment="1" applyFont="1">
      <alignment readingOrder="0"/>
    </xf>
    <xf borderId="0" fillId="8" fontId="5" numFmtId="0" xfId="0" applyFont="1"/>
    <xf borderId="0" fillId="8" fontId="4" numFmtId="164" xfId="0" applyAlignment="1" applyFont="1" applyNumberFormat="1">
      <alignment horizontal="right" vertical="bottom"/>
    </xf>
    <xf borderId="0" fillId="8" fontId="39" numFmtId="0" xfId="0" applyAlignment="1" applyFont="1">
      <alignment shrinkToFit="0" vertical="bottom" wrapText="0"/>
    </xf>
    <xf borderId="0" fillId="8" fontId="4" numFmtId="0" xfId="0" applyAlignment="1" applyFont="1">
      <alignment horizontal="center" vertical="bottom"/>
    </xf>
    <xf borderId="0" fillId="8" fontId="4" numFmtId="0" xfId="0" applyAlignment="1" applyFont="1">
      <alignment vertical="bottom"/>
    </xf>
    <xf borderId="0" fillId="8" fontId="4" numFmtId="0" xfId="0" applyAlignment="1" applyFont="1">
      <alignment horizontal="center" vertical="bottom"/>
    </xf>
    <xf borderId="0" fillId="8" fontId="4" numFmtId="0" xfId="0" applyAlignment="1" applyFont="1">
      <alignment shrinkToFit="0" vertical="bottom" wrapText="0"/>
    </xf>
    <xf borderId="0" fillId="8" fontId="4" numFmtId="0" xfId="0" applyAlignment="1" applyFont="1">
      <alignment horizontal="right" vertical="bottom"/>
    </xf>
    <xf borderId="0" fillId="8" fontId="11" numFmtId="0" xfId="0" applyAlignment="1" applyFont="1">
      <alignment shrinkToFit="0" vertical="bottom" wrapText="0"/>
    </xf>
    <xf borderId="0" fillId="8" fontId="40" numFmtId="0" xfId="0" applyAlignment="1" applyFont="1">
      <alignment vertical="bottom"/>
    </xf>
    <xf borderId="0" fillId="8" fontId="41" numFmtId="0" xfId="0" applyAlignment="1" applyFont="1">
      <alignment vertical="bottom"/>
    </xf>
    <xf quotePrefix="1" borderId="0" fillId="8" fontId="6" numFmtId="0" xfId="0" applyAlignment="1" applyFont="1">
      <alignment readingOrder="0" vertical="bottom"/>
    </xf>
    <xf borderId="0" fillId="3" fontId="3" numFmtId="0" xfId="0" applyAlignment="1" applyFont="1">
      <alignment readingOrder="0"/>
    </xf>
    <xf borderId="0" fillId="3" fontId="5" numFmtId="0" xfId="0" applyAlignment="1" applyFont="1">
      <alignment readingOrder="0"/>
    </xf>
    <xf borderId="0" fillId="3" fontId="5" numFmtId="0" xfId="0" applyFont="1"/>
    <xf borderId="0" fillId="3" fontId="4" numFmtId="0" xfId="0" applyAlignment="1" applyFont="1">
      <alignment vertical="bottom"/>
    </xf>
    <xf borderId="0" fillId="3" fontId="4" numFmtId="0" xfId="0" applyAlignment="1" applyFont="1">
      <alignment vertical="bottom"/>
    </xf>
    <xf borderId="0" fillId="3" fontId="4" numFmtId="164" xfId="0" applyAlignment="1" applyFont="1" applyNumberFormat="1">
      <alignment horizontal="right" vertical="bottom"/>
    </xf>
    <xf borderId="0" fillId="3" fontId="6" numFmtId="165" xfId="0" applyAlignment="1" applyFont="1" applyNumberFormat="1">
      <alignment readingOrder="0" vertical="bottom"/>
    </xf>
    <xf borderId="0" fillId="3" fontId="42" numFmtId="0" xfId="0" applyAlignment="1" applyFont="1">
      <alignment shrinkToFit="0" vertical="bottom" wrapText="0"/>
    </xf>
    <xf borderId="0" fillId="3" fontId="6" numFmtId="0" xfId="0" applyAlignment="1" applyFont="1">
      <alignment readingOrder="0" vertical="bottom"/>
    </xf>
    <xf borderId="0" fillId="3" fontId="43" numFmtId="0" xfId="0" applyAlignment="1" applyFont="1">
      <alignment vertical="bottom"/>
    </xf>
    <xf borderId="0" fillId="3" fontId="4" numFmtId="0" xfId="0" applyAlignment="1" applyFont="1">
      <alignment horizontal="center" vertical="bottom"/>
    </xf>
    <xf borderId="0" fillId="3" fontId="4" numFmtId="0" xfId="0" applyAlignment="1" applyFont="1">
      <alignment vertical="bottom"/>
    </xf>
    <xf borderId="0" fillId="3" fontId="6" numFmtId="0" xfId="0" applyAlignment="1" applyFont="1">
      <alignment vertical="bottom"/>
    </xf>
    <xf borderId="0" fillId="3" fontId="4" numFmtId="0" xfId="0" applyAlignment="1" applyFont="1">
      <alignment horizontal="center" vertical="bottom"/>
    </xf>
    <xf borderId="0" fillId="3" fontId="44" numFmtId="0" xfId="0" applyAlignment="1" applyFont="1">
      <alignment vertical="bottom"/>
    </xf>
    <xf borderId="0" fillId="3" fontId="4" numFmtId="0" xfId="0" applyAlignment="1" applyFont="1">
      <alignment shrinkToFit="0" vertical="bottom" wrapText="0"/>
    </xf>
    <xf borderId="0" fillId="3" fontId="4" numFmtId="0" xfId="0" applyAlignment="1" applyFont="1">
      <alignment horizontal="right" vertical="bottom"/>
    </xf>
    <xf borderId="0" fillId="3" fontId="4" numFmtId="0" xfId="0" applyAlignment="1" applyFont="1">
      <alignment readingOrder="0" vertical="bottom"/>
    </xf>
    <xf borderId="0" fillId="3" fontId="11" numFmtId="0" xfId="0" applyAlignment="1" applyFont="1">
      <alignment shrinkToFit="0" vertical="bottom" wrapText="0"/>
    </xf>
    <xf borderId="0" fillId="3" fontId="6" numFmtId="0" xfId="0" applyAlignment="1" applyFont="1">
      <alignment vertical="bottom"/>
    </xf>
    <xf borderId="0" fillId="3" fontId="45" numFmtId="0" xfId="0" applyAlignment="1" applyFont="1">
      <alignment vertical="bottom"/>
    </xf>
    <xf borderId="0" fillId="3" fontId="46" numFmtId="0" xfId="0" applyAlignment="1" applyFont="1">
      <alignment vertical="bottom"/>
    </xf>
    <xf borderId="0" fillId="3" fontId="3" numFmtId="0" xfId="0" applyFont="1"/>
    <xf borderId="0" fillId="19" fontId="4" numFmtId="0" xfId="0" applyAlignment="1" applyFont="1">
      <alignment readingOrder="0" vertical="bottom"/>
    </xf>
    <xf borderId="0" fillId="0" fontId="47" numFmtId="0" xfId="0" applyAlignment="1" applyFont="1">
      <alignment vertical="bottom"/>
    </xf>
    <xf borderId="0" fillId="20" fontId="6" numFmtId="165" xfId="0" applyAlignment="1" applyFont="1" applyNumberFormat="1">
      <alignment readingOrder="0" vertical="bottom"/>
    </xf>
    <xf borderId="0" fillId="20" fontId="48" numFmtId="0" xfId="0" applyAlignment="1" applyFont="1">
      <alignment shrinkToFit="0" vertical="bottom" wrapText="0"/>
    </xf>
    <xf borderId="0" fillId="13" fontId="11" numFmtId="0" xfId="0" applyAlignment="1" applyFont="1">
      <alignment vertical="bottom"/>
    </xf>
    <xf borderId="0" fillId="20" fontId="49" numFmtId="0" xfId="0" applyAlignment="1" applyFont="1">
      <alignment shrinkToFit="0" vertical="bottom" wrapText="0"/>
    </xf>
    <xf borderId="0" fillId="20" fontId="11" numFmtId="0" xfId="0" applyAlignment="1" applyFont="1">
      <alignment horizontal="right" shrinkToFit="0" vertical="bottom" wrapText="0"/>
    </xf>
    <xf borderId="0" fillId="20" fontId="50" numFmtId="0" xfId="0" applyAlignment="1" applyFont="1">
      <alignment horizontal="right" shrinkToFit="0" vertical="bottom" wrapText="0"/>
    </xf>
    <xf borderId="0" fillId="13" fontId="4" numFmtId="165" xfId="0" applyAlignment="1" applyFont="1" applyNumberFormat="1">
      <alignment horizontal="right" vertical="bottom"/>
    </xf>
    <xf borderId="0" fillId="13" fontId="6" numFmtId="0" xfId="0" applyAlignment="1" applyFont="1">
      <alignment vertical="bottom"/>
    </xf>
    <xf borderId="0" fillId="13" fontId="11" numFmtId="0" xfId="0" applyAlignment="1" applyFont="1">
      <alignment horizontal="right" vertical="bottom"/>
    </xf>
    <xf borderId="0" fillId="13" fontId="6" numFmtId="0" xfId="0" applyAlignment="1" applyFont="1">
      <alignment horizontal="right" vertical="bottom"/>
    </xf>
    <xf borderId="0" fillId="29" fontId="5" numFmtId="0" xfId="0" applyAlignment="1" applyFont="1">
      <alignment readingOrder="0"/>
    </xf>
    <xf borderId="0" fillId="29" fontId="4" numFmtId="0" xfId="0" applyAlignment="1" applyFont="1">
      <alignment readingOrder="0" vertical="bottom"/>
    </xf>
    <xf borderId="0" fillId="29" fontId="3" numFmtId="0" xfId="0" applyAlignment="1" applyFont="1">
      <alignment readingOrder="0"/>
    </xf>
    <xf borderId="0" fillId="29" fontId="5" numFmtId="165" xfId="0" applyAlignment="1" applyFont="1" applyNumberFormat="1">
      <alignment readingOrder="0"/>
    </xf>
    <xf borderId="0" fillId="29" fontId="5" numFmtId="164" xfId="0" applyAlignment="1" applyFont="1" applyNumberFormat="1">
      <alignment readingOrder="0"/>
    </xf>
    <xf borderId="0" fillId="29" fontId="5" numFmtId="0" xfId="0" applyFont="1"/>
    <xf borderId="0" fillId="29" fontId="51" numFmtId="0" xfId="0" applyAlignment="1" applyFont="1">
      <alignment readingOrder="0"/>
    </xf>
    <xf borderId="0" fillId="29" fontId="6" numFmtId="0" xfId="0" applyAlignment="1" applyFont="1">
      <alignment readingOrder="0" vertical="bottom"/>
    </xf>
    <xf borderId="0" fillId="29" fontId="6" numFmtId="0" xfId="0" applyAlignment="1" applyFont="1">
      <alignment vertical="bottom"/>
    </xf>
    <xf borderId="0" fillId="29" fontId="24" numFmtId="0" xfId="0" applyAlignment="1" applyFont="1">
      <alignment readingOrder="0" vertical="bottom"/>
    </xf>
    <xf borderId="0" fillId="29" fontId="4" numFmtId="165" xfId="0" applyAlignment="1" applyFont="1" applyNumberFormat="1">
      <alignment horizontal="right" readingOrder="0" vertical="bottom"/>
    </xf>
    <xf borderId="0" fillId="29" fontId="4" numFmtId="0" xfId="0" applyAlignment="1" applyFont="1">
      <alignment horizontal="right" vertical="bottom"/>
    </xf>
    <xf borderId="0" fillId="29" fontId="29" numFmtId="0" xfId="0" applyAlignment="1" applyFont="1">
      <alignment readingOrder="0" vertical="bottom"/>
    </xf>
    <xf borderId="0" fillId="0" fontId="6" numFmtId="0" xfId="0" applyAlignment="1" applyFont="1">
      <alignment horizontal="right" vertical="bottom"/>
    </xf>
    <xf borderId="0" fillId="0" fontId="6" numFmtId="0" xfId="0" applyAlignment="1" applyFont="1">
      <alignment horizontal="right" vertical="bottom"/>
    </xf>
    <xf borderId="0" fillId="0" fontId="6" numFmtId="0" xfId="0" applyAlignment="1" applyFont="1">
      <alignment vertical="bottom"/>
    </xf>
    <xf borderId="0" fillId="0" fontId="4" numFmtId="0" xfId="0" applyAlignment="1" applyFont="1">
      <alignment vertical="bottom"/>
    </xf>
    <xf borderId="0" fillId="30" fontId="5" numFmtId="0" xfId="0" applyAlignment="1" applyFill="1" applyFont="1">
      <alignment readingOrder="0"/>
    </xf>
    <xf borderId="0" fillId="30" fontId="3" numFmtId="0" xfId="0" applyAlignment="1" applyFont="1">
      <alignment readingOrder="0"/>
    </xf>
    <xf borderId="0" fillId="30" fontId="3" numFmtId="0" xfId="0" applyFont="1"/>
    <xf borderId="0" fillId="30" fontId="4" numFmtId="0" xfId="0" applyAlignment="1" applyFont="1">
      <alignment readingOrder="0" vertical="bottom"/>
    </xf>
    <xf borderId="0" fillId="30" fontId="5" numFmtId="0" xfId="0" applyFont="1"/>
    <xf borderId="0" fillId="2" fontId="5" numFmtId="0" xfId="0" applyAlignment="1" applyFont="1">
      <alignment readingOrder="0"/>
    </xf>
    <xf borderId="0" fillId="20" fontId="52" numFmtId="0" xfId="0" applyAlignment="1" applyFont="1">
      <alignment readingOrder="0" vertical="bottom"/>
    </xf>
    <xf borderId="0" fillId="20" fontId="53" numFmtId="0" xfId="0" applyAlignment="1" applyFont="1">
      <alignment readingOrder="0" vertical="bottom"/>
    </xf>
    <xf borderId="0" fillId="23" fontId="4" numFmtId="0" xfId="0" applyAlignment="1" applyFont="1">
      <alignment readingOrder="0"/>
    </xf>
    <xf borderId="0" fillId="23" fontId="3" numFmtId="0" xfId="0" applyFont="1"/>
    <xf borderId="0" fillId="23" fontId="4" numFmtId="0" xfId="0" applyFont="1"/>
    <xf borderId="0" fillId="20" fontId="4" numFmtId="0" xfId="0" applyAlignment="1" applyFont="1">
      <alignment horizontal="right" vertical="bottom"/>
    </xf>
    <xf borderId="0" fillId="20" fontId="54" numFmtId="0" xfId="0" applyAlignment="1" applyFont="1">
      <alignment vertical="bottom"/>
    </xf>
    <xf borderId="0" fillId="25" fontId="5" numFmtId="0" xfId="0" applyAlignment="1" applyFont="1">
      <alignment readingOrder="0"/>
    </xf>
    <xf borderId="0" fillId="25" fontId="4" numFmtId="0" xfId="0" applyAlignment="1" applyFont="1">
      <alignment shrinkToFit="0" vertical="bottom" wrapText="0"/>
    </xf>
    <xf borderId="0" fillId="25" fontId="4" numFmtId="165" xfId="0" applyAlignment="1" applyFont="1" applyNumberFormat="1">
      <alignment horizontal="right" shrinkToFit="0" vertical="bottom" wrapText="0"/>
    </xf>
    <xf borderId="0" fillId="31" fontId="6" numFmtId="0" xfId="0" applyAlignment="1" applyFill="1" applyFont="1">
      <alignment readingOrder="0" vertical="bottom"/>
    </xf>
    <xf borderId="0" fillId="25" fontId="4" numFmtId="0" xfId="0" applyAlignment="1" applyFont="1">
      <alignment shrinkToFit="0" vertical="bottom" wrapText="0"/>
    </xf>
    <xf borderId="0" fillId="25" fontId="55" numFmtId="0" xfId="0" applyAlignment="1" applyFont="1">
      <alignment shrinkToFit="0" vertical="bottom" wrapText="0"/>
    </xf>
    <xf borderId="0" fillId="25" fontId="6" numFmtId="0" xfId="0" applyAlignment="1" applyFont="1">
      <alignment readingOrder="0" vertical="bottom"/>
    </xf>
    <xf borderId="0" fillId="25" fontId="56" numFmtId="0" xfId="0" applyAlignment="1" applyFont="1">
      <alignment vertical="bottom"/>
    </xf>
    <xf borderId="0" fillId="0" fontId="4" numFmtId="0" xfId="0" applyAlignment="1" applyFont="1">
      <alignment shrinkToFit="0" vertical="bottom" wrapText="0"/>
    </xf>
    <xf borderId="0" fillId="19" fontId="4" numFmtId="0" xfId="0" applyAlignment="1" applyFont="1">
      <alignment vertical="bottom"/>
    </xf>
    <xf borderId="0" fillId="19" fontId="4" numFmtId="0" xfId="0" applyAlignment="1" applyFont="1">
      <alignment vertical="bottom"/>
    </xf>
    <xf borderId="0" fillId="0" fontId="4" numFmtId="0" xfId="0" applyAlignment="1" applyFont="1">
      <alignment horizontal="right" vertical="bottom"/>
    </xf>
    <xf borderId="0" fillId="18" fontId="4" numFmtId="0" xfId="0" applyAlignment="1" applyFont="1">
      <alignment vertical="bottom"/>
    </xf>
    <xf borderId="0" fillId="18" fontId="4" numFmtId="165" xfId="0" applyAlignment="1" applyFont="1" applyNumberFormat="1">
      <alignment horizontal="right" vertical="bottom"/>
    </xf>
    <xf borderId="0" fillId="18" fontId="6" numFmtId="0" xfId="0" applyAlignment="1" applyFont="1">
      <alignment horizontal="right" vertical="bottom"/>
    </xf>
    <xf borderId="0" fillId="18" fontId="4" numFmtId="0" xfId="0" applyAlignment="1" applyFont="1">
      <alignment horizontal="right" vertical="bottom"/>
    </xf>
    <xf borderId="0" fillId="18" fontId="4" numFmtId="0" xfId="0" applyAlignment="1" applyFont="1">
      <alignment horizontal="right" vertical="bottom"/>
    </xf>
    <xf borderId="0" fillId="29" fontId="4" numFmtId="0" xfId="0" applyAlignment="1" applyFont="1">
      <alignment shrinkToFit="0" vertical="bottom" wrapText="0"/>
    </xf>
    <xf borderId="0" fillId="29" fontId="4" numFmtId="0" xfId="0" applyAlignment="1" applyFont="1">
      <alignment shrinkToFit="0" vertical="bottom" wrapText="0"/>
    </xf>
    <xf borderId="0" fillId="29" fontId="4" numFmtId="165" xfId="0" applyAlignment="1" applyFont="1" applyNumberFormat="1">
      <alignment horizontal="right" shrinkToFit="0" vertical="bottom" wrapText="0"/>
    </xf>
    <xf borderId="0" fillId="29" fontId="6" numFmtId="0" xfId="0" applyAlignment="1" applyFont="1">
      <alignment vertical="bottom"/>
    </xf>
    <xf borderId="0" fillId="29" fontId="4" numFmtId="0" xfId="0" applyAlignment="1" applyFont="1">
      <alignment shrinkToFit="0" vertical="bottom" wrapText="0"/>
    </xf>
    <xf borderId="0" fillId="29" fontId="4" numFmtId="0" xfId="0" applyAlignment="1" applyFont="1">
      <alignment readingOrder="0" shrinkToFit="0" vertical="bottom" wrapText="0"/>
    </xf>
    <xf borderId="0" fillId="29" fontId="4" numFmtId="0" xfId="0" applyAlignment="1" applyFont="1">
      <alignment horizontal="right" shrinkToFit="0" vertical="bottom" wrapText="0"/>
    </xf>
    <xf borderId="0" fillId="29" fontId="4" numFmtId="0" xfId="0" applyAlignment="1" applyFont="1">
      <alignment horizontal="right" vertical="bottom"/>
    </xf>
    <xf borderId="0" fillId="29" fontId="57" numFmtId="0" xfId="0" applyAlignment="1" applyFont="1">
      <alignment shrinkToFit="0" vertical="bottom" wrapText="0"/>
    </xf>
    <xf borderId="0" fillId="29" fontId="58" numFmtId="0" xfId="0" applyAlignment="1" applyFont="1">
      <alignment shrinkToFit="0" vertical="bottom" wrapText="0"/>
    </xf>
    <xf borderId="0" fillId="28" fontId="3" numFmtId="0" xfId="0" applyAlignment="1" applyFont="1">
      <alignment readingOrder="0"/>
    </xf>
    <xf borderId="0" fillId="28" fontId="6" numFmtId="0" xfId="0" applyAlignment="1" applyFont="1">
      <alignment vertical="bottom"/>
    </xf>
    <xf borderId="0" fillId="28" fontId="4" numFmtId="0" xfId="0" applyAlignment="1" applyFont="1">
      <alignment vertical="bottom"/>
    </xf>
    <xf borderId="0" fillId="28" fontId="4" numFmtId="165" xfId="0" applyAlignment="1" applyFont="1" applyNumberFormat="1">
      <alignment horizontal="right" vertical="bottom"/>
    </xf>
    <xf borderId="0" fillId="28" fontId="4" numFmtId="0" xfId="0" applyAlignment="1" applyFont="1">
      <alignment shrinkToFit="0" vertical="bottom" wrapText="0"/>
    </xf>
    <xf borderId="0" fillId="28" fontId="6" numFmtId="0" xfId="0" applyAlignment="1" applyFont="1">
      <alignment vertical="bottom"/>
    </xf>
    <xf borderId="0" fillId="28" fontId="4" numFmtId="0" xfId="0" applyAlignment="1" applyFont="1">
      <alignment vertical="bottom"/>
    </xf>
    <xf borderId="0" fillId="28" fontId="59" numFmtId="0" xfId="0" applyAlignment="1" applyFont="1">
      <alignment vertical="bottom"/>
    </xf>
    <xf borderId="0" fillId="28" fontId="6" numFmtId="0" xfId="0" applyAlignment="1" applyFont="1">
      <alignment vertical="bottom"/>
    </xf>
    <xf borderId="0" fillId="28" fontId="4" numFmtId="0" xfId="0" applyAlignment="1" applyFont="1">
      <alignment horizontal="right" vertical="bottom"/>
    </xf>
    <xf borderId="0" fillId="28" fontId="4" numFmtId="0" xfId="0" applyAlignment="1" applyFont="1">
      <alignment vertical="bottom"/>
    </xf>
    <xf borderId="0" fillId="28" fontId="6" numFmtId="0" xfId="0" applyAlignment="1" applyFont="1">
      <alignment horizontal="right" vertical="bottom"/>
    </xf>
    <xf borderId="0" fillId="28" fontId="60" numFmtId="0" xfId="0" applyAlignment="1" applyFont="1">
      <alignment vertical="bottom"/>
    </xf>
    <xf borderId="0" fillId="28" fontId="61" numFmtId="0" xfId="0" applyAlignment="1" applyFont="1">
      <alignment vertical="bottom"/>
    </xf>
    <xf borderId="0" fillId="29" fontId="62" numFmtId="0" xfId="0" applyAlignment="1" applyFont="1">
      <alignment vertical="bottom"/>
    </xf>
    <xf borderId="0" fillId="29" fontId="4" numFmtId="0" xfId="0" applyAlignment="1" applyFont="1">
      <alignment vertical="bottom"/>
    </xf>
    <xf borderId="0" fillId="32" fontId="4" numFmtId="0" xfId="0" applyAlignment="1" applyFill="1" applyFont="1">
      <alignment readingOrder="0" vertical="bottom"/>
    </xf>
    <xf borderId="0" fillId="0" fontId="5" numFmtId="3" xfId="0" applyAlignment="1" applyFont="1" applyNumberFormat="1">
      <alignment readingOrder="0"/>
    </xf>
    <xf borderId="0" fillId="20" fontId="4" numFmtId="165" xfId="0" applyAlignment="1" applyFont="1" applyNumberFormat="1">
      <alignment horizontal="right" shrinkToFit="0" vertical="bottom" wrapText="0"/>
    </xf>
    <xf borderId="0" fillId="20" fontId="21" numFmtId="0" xfId="0" applyAlignment="1" applyFont="1">
      <alignment readingOrder="0" shrinkToFit="0" vertical="bottom" wrapText="0"/>
    </xf>
    <xf borderId="0" fillId="20" fontId="4" numFmtId="165" xfId="0" applyAlignment="1" applyFont="1" applyNumberFormat="1">
      <alignment horizontal="right" vertical="bottom"/>
    </xf>
    <xf borderId="0" fillId="20" fontId="63" numFmtId="0" xfId="0" applyAlignment="1" applyFont="1">
      <alignment vertical="bottom"/>
    </xf>
    <xf borderId="0" fillId="31" fontId="4" numFmtId="0" xfId="0" applyAlignment="1" applyFont="1">
      <alignment shrinkToFit="0" vertical="bottom" wrapText="0"/>
    </xf>
    <xf borderId="0" fillId="20" fontId="64" numFmtId="0" xfId="0" applyAlignment="1" applyFont="1">
      <alignment horizontal="right" vertical="bottom"/>
    </xf>
    <xf borderId="0" fillId="20" fontId="65" numFmtId="0" xfId="0" applyAlignment="1" applyFont="1">
      <alignment vertical="bottom"/>
    </xf>
    <xf borderId="0" fillId="23" fontId="3" numFmtId="0" xfId="0" applyAlignment="1" applyFont="1">
      <alignment readingOrder="0"/>
    </xf>
    <xf borderId="0" fillId="23" fontId="4" numFmtId="0" xfId="0" applyAlignment="1" applyFont="1">
      <alignment shrinkToFit="0" vertical="bottom" wrapText="0"/>
    </xf>
    <xf borderId="0" fillId="23" fontId="4" numFmtId="0" xfId="0" applyAlignment="1" applyFont="1">
      <alignment shrinkToFit="0" vertical="bottom" wrapText="0"/>
    </xf>
    <xf borderId="0" fillId="23" fontId="4" numFmtId="165" xfId="0" applyAlignment="1" applyFont="1" applyNumberFormat="1">
      <alignment horizontal="right" shrinkToFit="0" vertical="bottom" wrapText="0"/>
    </xf>
    <xf borderId="0" fillId="23" fontId="6" numFmtId="164" xfId="0" applyAlignment="1" applyFont="1" applyNumberFormat="1">
      <alignment readingOrder="0" vertical="bottom"/>
    </xf>
    <xf borderId="0" fillId="23" fontId="6" numFmtId="0" xfId="0" applyAlignment="1" applyFont="1">
      <alignment vertical="bottom"/>
    </xf>
    <xf borderId="0" fillId="23" fontId="4" numFmtId="0" xfId="0" applyAlignment="1" applyFont="1">
      <alignment shrinkToFit="0" vertical="bottom" wrapText="0"/>
    </xf>
    <xf borderId="0" fillId="23" fontId="6" numFmtId="0" xfId="0" applyAlignment="1" applyFont="1">
      <alignment vertical="bottom"/>
    </xf>
    <xf borderId="0" fillId="23" fontId="4" numFmtId="0" xfId="0" applyAlignment="1" applyFont="1">
      <alignment horizontal="right" shrinkToFit="0" vertical="bottom" wrapText="0"/>
    </xf>
    <xf borderId="0" fillId="23" fontId="4" numFmtId="0" xfId="0" applyAlignment="1" applyFont="1">
      <alignment vertical="bottom"/>
    </xf>
    <xf borderId="0" fillId="23" fontId="4" numFmtId="0" xfId="0" applyAlignment="1" applyFont="1">
      <alignment horizontal="right" vertical="bottom"/>
    </xf>
    <xf borderId="0" fillId="23" fontId="66" numFmtId="0" xfId="0" applyAlignment="1" applyFont="1">
      <alignment shrinkToFit="0" vertical="bottom" wrapText="0"/>
    </xf>
    <xf borderId="0" fillId="23" fontId="67" numFmtId="0" xfId="0" applyAlignment="1" applyFont="1">
      <alignment shrinkToFit="0" vertical="bottom" wrapText="0"/>
    </xf>
    <xf borderId="0" fillId="0" fontId="4" numFmtId="164" xfId="0" applyAlignment="1" applyFont="1" applyNumberFormat="1">
      <alignment horizontal="right" vertical="bottom"/>
    </xf>
    <xf borderId="0" fillId="0" fontId="68" numFmtId="0" xfId="0" applyAlignment="1" applyFont="1">
      <alignment vertical="bottom"/>
    </xf>
    <xf borderId="0" fillId="23" fontId="6" numFmtId="0" xfId="0" applyAlignment="1" applyFont="1">
      <alignment vertical="bottom"/>
    </xf>
    <xf borderId="0" fillId="0" fontId="4" numFmtId="0" xfId="0" applyAlignment="1" applyFont="1">
      <alignment shrinkToFit="0" vertical="bottom" wrapText="0"/>
    </xf>
    <xf borderId="0" fillId="0" fontId="4" numFmtId="165" xfId="0" applyAlignment="1" applyFont="1" applyNumberFormat="1">
      <alignment horizontal="right" shrinkToFit="0" vertical="bottom" wrapText="0"/>
    </xf>
    <xf borderId="0" fillId="19" fontId="4" numFmtId="0" xfId="0" applyAlignment="1" applyFont="1">
      <alignment shrinkToFit="0" vertical="bottom" wrapText="0"/>
    </xf>
    <xf borderId="0" fillId="19" fontId="4" numFmtId="0" xfId="0" applyAlignment="1" applyFont="1">
      <alignment shrinkToFit="0" vertical="bottom" wrapText="0"/>
    </xf>
    <xf borderId="0" fillId="23" fontId="69" numFmtId="0" xfId="0" applyAlignment="1" applyFont="1">
      <alignment shrinkToFit="0" vertical="bottom" wrapText="0"/>
    </xf>
    <xf borderId="0" fillId="23" fontId="50" numFmtId="0" xfId="0" applyAlignment="1" applyFont="1">
      <alignment vertical="bottom"/>
    </xf>
    <xf borderId="0" fillId="23" fontId="70" numFmtId="0" xfId="0" applyAlignment="1" applyFont="1">
      <alignment vertical="bottom"/>
    </xf>
    <xf borderId="0" fillId="0" fontId="71" numFmtId="0" xfId="0" applyAlignment="1" applyFont="1">
      <alignment vertical="bottom"/>
    </xf>
    <xf borderId="0" fillId="23" fontId="50" numFmtId="0" xfId="0" applyAlignment="1" applyFont="1">
      <alignment horizontal="right" vertical="top"/>
    </xf>
    <xf borderId="0" fillId="23" fontId="50" numFmtId="0" xfId="0" applyAlignment="1" applyFont="1">
      <alignment vertical="top"/>
    </xf>
    <xf borderId="0" fillId="23" fontId="50" numFmtId="0" xfId="0" applyAlignment="1" applyFont="1">
      <alignment shrinkToFit="0" vertical="bottom" wrapText="0"/>
    </xf>
    <xf borderId="0" fillId="23" fontId="50" numFmtId="0" xfId="0" applyAlignment="1" applyFont="1">
      <alignment horizontal="right" vertical="bottom"/>
    </xf>
    <xf borderId="0" fillId="26" fontId="5" numFmtId="0" xfId="0" applyAlignment="1" applyFont="1">
      <alignment readingOrder="0"/>
    </xf>
    <xf borderId="0" fillId="26" fontId="5" numFmtId="0" xfId="0" applyFont="1"/>
    <xf borderId="0" fillId="26" fontId="5" numFmtId="165" xfId="0" applyAlignment="1" applyFont="1" applyNumberFormat="1">
      <alignment readingOrder="0"/>
    </xf>
    <xf borderId="0" fillId="20" fontId="72" numFmtId="0" xfId="0" applyAlignment="1" applyFont="1">
      <alignment readingOrder="0" vertical="bottom"/>
    </xf>
    <xf borderId="0" fillId="26" fontId="6" numFmtId="0" xfId="0" applyAlignment="1" applyFont="1">
      <alignment vertical="bottom"/>
    </xf>
    <xf borderId="0" fillId="26" fontId="6" numFmtId="164" xfId="0" applyAlignment="1" applyFont="1" applyNumberFormat="1">
      <alignment horizontal="right" vertical="bottom"/>
    </xf>
    <xf borderId="0" fillId="25" fontId="73" numFmtId="0" xfId="0" applyAlignment="1" applyFont="1">
      <alignment vertical="bottom"/>
    </xf>
    <xf borderId="0" fillId="25" fontId="74" numFmtId="0" xfId="0" applyAlignment="1" applyFont="1">
      <alignment readingOrder="0" vertical="bottom"/>
    </xf>
    <xf borderId="0" fillId="20" fontId="29" numFmtId="0" xfId="0" applyAlignment="1" applyFont="1">
      <alignment readingOrder="0" vertical="bottom"/>
    </xf>
    <xf borderId="0" fillId="20" fontId="6" numFmtId="0" xfId="0" applyAlignment="1" applyFont="1">
      <alignment horizontal="right" vertical="bottom"/>
    </xf>
    <xf borderId="0" fillId="20" fontId="75" numFmtId="168" xfId="0" applyAlignment="1" applyFont="1" applyNumberFormat="1">
      <alignment horizontal="right" readingOrder="0" vertical="bottom"/>
    </xf>
    <xf borderId="0" fillId="20" fontId="75" numFmtId="0" xfId="0" applyAlignment="1" applyFont="1">
      <alignment readingOrder="0" vertical="bottom"/>
    </xf>
    <xf borderId="0" fillId="31" fontId="6" numFmtId="0" xfId="0" applyAlignment="1" applyFont="1">
      <alignment vertical="bottom"/>
    </xf>
    <xf borderId="0" fillId="33" fontId="6" numFmtId="0" xfId="0" applyAlignment="1" applyFill="1" applyFont="1">
      <alignment horizontal="right" vertical="bottom"/>
    </xf>
    <xf borderId="0" fillId="33" fontId="29" numFmtId="0" xfId="0" applyAlignment="1" applyFont="1">
      <alignment horizontal="right" readingOrder="0" vertical="bottom"/>
    </xf>
    <xf borderId="0" fillId="33" fontId="29" numFmtId="0" xfId="0" applyAlignment="1" applyFont="1">
      <alignment readingOrder="0" vertical="bottom"/>
    </xf>
    <xf borderId="0" fillId="26" fontId="6" numFmtId="0" xfId="0" applyAlignment="1" applyFont="1">
      <alignment horizontal="right" vertical="bottom"/>
    </xf>
    <xf borderId="0" fillId="13" fontId="5" numFmtId="0" xfId="0" applyAlignment="1" applyFont="1">
      <alignment readingOrder="0"/>
    </xf>
    <xf borderId="0" fillId="13" fontId="5" numFmtId="0" xfId="0" applyFont="1"/>
    <xf borderId="0" fillId="13" fontId="5" numFmtId="165" xfId="0" applyAlignment="1" applyFont="1" applyNumberFormat="1">
      <alignment readingOrder="0"/>
    </xf>
    <xf borderId="0" fillId="13" fontId="76" numFmtId="0" xfId="0" applyAlignment="1" applyFont="1">
      <alignment readingOrder="0"/>
    </xf>
    <xf borderId="0" fillId="20" fontId="29" numFmtId="0" xfId="0" applyAlignment="1" applyFont="1">
      <alignment vertical="bottom"/>
    </xf>
    <xf borderId="0" fillId="20" fontId="6" numFmtId="164" xfId="0" applyAlignment="1" applyFont="1" applyNumberFormat="1">
      <alignment horizontal="right" vertical="bottom"/>
    </xf>
    <xf borderId="0" fillId="20" fontId="77" numFmtId="0" xfId="0" applyAlignment="1" applyFont="1">
      <alignment vertical="bottom"/>
    </xf>
    <xf borderId="0" fillId="20" fontId="78" numFmtId="0" xfId="0" applyAlignment="1" applyFont="1">
      <alignment vertical="bottom"/>
    </xf>
    <xf borderId="0" fillId="13" fontId="11" numFmtId="0" xfId="0" applyAlignment="1" applyFont="1">
      <alignment readingOrder="0"/>
    </xf>
    <xf borderId="0" fillId="20" fontId="79" numFmtId="0" xfId="0" applyAlignment="1" applyFont="1">
      <alignment vertical="bottom"/>
    </xf>
    <xf borderId="0" fillId="0" fontId="4" numFmtId="0" xfId="0" applyAlignment="1" applyFont="1">
      <alignment horizontal="right" shrinkToFit="0" vertical="bottom" wrapText="0"/>
    </xf>
    <xf borderId="0" fillId="0" fontId="4" numFmtId="0" xfId="0" applyAlignment="1" applyFont="1">
      <alignment shrinkToFit="0" vertical="bottom" wrapText="0"/>
    </xf>
    <xf borderId="0" fillId="0" fontId="80" numFmtId="0" xfId="0" applyAlignment="1" applyFont="1">
      <alignment vertical="bottom"/>
    </xf>
    <xf borderId="0" fillId="0" fontId="81" numFmtId="0" xfId="0" applyAlignment="1" applyFont="1">
      <alignment shrinkToFit="0" vertical="bottom" wrapText="0"/>
    </xf>
    <xf borderId="0" fillId="0" fontId="4" numFmtId="164" xfId="0" applyAlignment="1" applyFont="1" applyNumberFormat="1">
      <alignment horizontal="right" shrinkToFit="0" vertical="bottom" wrapText="0"/>
    </xf>
    <xf borderId="1" fillId="19" fontId="4" numFmtId="0" xfId="0" applyAlignment="1" applyBorder="1" applyFont="1">
      <alignment shrinkToFit="0" vertical="bottom" wrapText="0"/>
    </xf>
    <xf borderId="1" fillId="19" fontId="4" numFmtId="0" xfId="0" applyAlignment="1" applyBorder="1" applyFont="1">
      <alignment shrinkToFit="0" vertical="bottom" wrapText="0"/>
    </xf>
    <xf borderId="0" fillId="0" fontId="82" numFmtId="0" xfId="0" applyAlignment="1" applyFont="1">
      <alignment shrinkToFit="0" vertical="bottom" wrapText="0"/>
    </xf>
    <xf borderId="1" fillId="19" fontId="4" numFmtId="0" xfId="0" applyAlignment="1" applyBorder="1" applyFont="1">
      <alignment vertical="bottom"/>
    </xf>
    <xf borderId="0" fillId="0" fontId="83" numFmtId="0" xfId="0" applyAlignment="1" applyFont="1">
      <alignment horizontal="right" vertical="bottom"/>
    </xf>
    <xf borderId="0" fillId="0" fontId="83" numFmtId="0" xfId="0" applyAlignment="1" applyFont="1">
      <alignment vertical="bottom"/>
    </xf>
    <xf borderId="1" fillId="19" fontId="84" numFmtId="0" xfId="0" applyAlignment="1" applyBorder="1" applyFont="1">
      <alignment readingOrder="0"/>
    </xf>
    <xf borderId="1" fillId="19" fontId="5" numFmtId="0" xfId="0" applyAlignment="1" applyBorder="1" applyFont="1">
      <alignment readingOrder="0"/>
    </xf>
    <xf borderId="1" fillId="0" fontId="6" numFmtId="0" xfId="0" applyAlignment="1" applyBorder="1" applyFont="1">
      <alignment vertical="bottom"/>
    </xf>
    <xf borderId="1" fillId="0" fontId="6" numFmtId="165" xfId="0" applyAlignment="1" applyBorder="1" applyFont="1" applyNumberFormat="1">
      <alignment horizontal="right" vertical="bottom"/>
    </xf>
    <xf borderId="1" fillId="0" fontId="6" numFmtId="164" xfId="0" applyAlignment="1" applyBorder="1" applyFont="1" applyNumberFormat="1">
      <alignment horizontal="right" vertical="bottom"/>
    </xf>
    <xf borderId="1" fillId="19" fontId="85" numFmtId="0" xfId="0" applyAlignment="1" applyBorder="1" applyFont="1">
      <alignment vertical="bottom"/>
    </xf>
    <xf borderId="1" fillId="18" fontId="78" numFmtId="0" xfId="0" applyAlignment="1" applyBorder="1" applyFont="1">
      <alignment vertical="bottom"/>
    </xf>
    <xf borderId="1" fillId="0" fontId="6" numFmtId="0" xfId="0" applyAlignment="1" applyBorder="1" applyFont="1">
      <alignment vertical="bottom"/>
    </xf>
    <xf borderId="1" fillId="0" fontId="6" numFmtId="0" xfId="0" applyAlignment="1" applyBorder="1" applyFont="1">
      <alignment vertical="bottom"/>
    </xf>
    <xf borderId="1" fillId="19" fontId="4" numFmtId="0" xfId="0" applyAlignment="1" applyBorder="1" applyFont="1">
      <alignment readingOrder="0" vertical="bottom"/>
    </xf>
    <xf borderId="0" fillId="0" fontId="6" numFmtId="165" xfId="0" applyAlignment="1" applyFont="1" applyNumberFormat="1">
      <alignment horizontal="right" vertical="bottom"/>
    </xf>
    <xf borderId="0" fillId="0" fontId="6" numFmtId="164" xfId="0" applyAlignment="1" applyFont="1" applyNumberFormat="1">
      <alignment horizontal="right" vertical="bottom"/>
    </xf>
    <xf borderId="0" fillId="18" fontId="78" numFmtId="0" xfId="0" applyAlignment="1" applyFont="1">
      <alignment vertical="bottom"/>
    </xf>
    <xf borderId="0" fillId="31" fontId="3" numFmtId="0" xfId="0" applyAlignment="1" applyFont="1">
      <alignment readingOrder="0"/>
    </xf>
    <xf borderId="0" fillId="31" fontId="3" numFmtId="0" xfId="0" applyFont="1"/>
    <xf borderId="0" fillId="26" fontId="4" numFmtId="164" xfId="0" applyAlignment="1" applyFont="1" applyNumberFormat="1">
      <alignment horizontal="right" vertical="bottom"/>
    </xf>
    <xf borderId="0" fillId="26" fontId="4" numFmtId="164" xfId="0" applyAlignment="1" applyFont="1" applyNumberFormat="1">
      <alignment horizontal="right" readingOrder="0" vertical="bottom"/>
    </xf>
    <xf borderId="1" fillId="20" fontId="4" numFmtId="0" xfId="0" applyAlignment="1" applyBorder="1" applyFont="1">
      <alignment vertical="bottom"/>
    </xf>
    <xf borderId="1" fillId="20" fontId="4" numFmtId="0" xfId="0" applyAlignment="1" applyBorder="1" applyFont="1">
      <alignment vertical="bottom"/>
    </xf>
    <xf borderId="1" fillId="20" fontId="4" numFmtId="0" xfId="0" applyAlignment="1" applyBorder="1" applyFont="1">
      <alignment vertical="bottom"/>
    </xf>
    <xf borderId="0" fillId="20" fontId="4" numFmtId="0" xfId="0" applyAlignment="1" applyFont="1">
      <alignment horizontal="right" vertical="bottom"/>
    </xf>
    <xf borderId="0" fillId="34" fontId="3" numFmtId="0" xfId="0" applyAlignment="1" applyFill="1" applyFont="1">
      <alignment readingOrder="0"/>
    </xf>
    <xf borderId="0" fillId="34" fontId="3" numFmtId="0" xfId="0" applyFont="1"/>
    <xf borderId="1" fillId="15" fontId="4" numFmtId="0" xfId="0" applyAlignment="1" applyBorder="1" applyFont="1">
      <alignment readingOrder="0" vertical="bottom"/>
    </xf>
    <xf borderId="1" fillId="0" fontId="4" numFmtId="0" xfId="0" applyAlignment="1" applyBorder="1" applyFont="1">
      <alignment readingOrder="0" vertical="bottom"/>
    </xf>
    <xf borderId="1" fillId="0" fontId="4" numFmtId="165" xfId="0" applyAlignment="1" applyBorder="1" applyFont="1" applyNumberFormat="1">
      <alignment horizontal="right" vertical="bottom"/>
    </xf>
    <xf borderId="1" fillId="0" fontId="6" numFmtId="0" xfId="0" applyAlignment="1" applyBorder="1" applyFont="1">
      <alignment readingOrder="0" vertical="bottom"/>
    </xf>
    <xf borderId="1" fillId="0" fontId="24" numFmtId="0" xfId="0" applyAlignment="1" applyBorder="1" applyFont="1">
      <alignment readingOrder="0" vertical="bottom"/>
    </xf>
    <xf borderId="1" fillId="0" fontId="4" numFmtId="0" xfId="0" applyAlignment="1" applyBorder="1" applyFont="1">
      <alignment horizontal="right" vertical="bottom"/>
    </xf>
    <xf borderId="1" fillId="0" fontId="3" numFmtId="0" xfId="0" applyBorder="1" applyFont="1"/>
    <xf borderId="1" fillId="0" fontId="25" numFmtId="0" xfId="0" applyAlignment="1" applyBorder="1" applyFont="1">
      <alignment readingOrder="0" vertical="bottom"/>
    </xf>
    <xf borderId="1" fillId="0" fontId="4" numFmtId="0" xfId="0" applyAlignment="1" applyBorder="1" applyFont="1">
      <alignment horizontal="right" readingOrder="0" vertical="bottom"/>
    </xf>
    <xf borderId="1" fillId="0" fontId="26" numFmtId="0" xfId="0" applyAlignment="1" applyBorder="1" applyFont="1">
      <alignment horizontal="right" readingOrder="0" vertical="bottom"/>
    </xf>
    <xf borderId="0" fillId="34" fontId="5" numFmtId="0" xfId="0" applyAlignment="1" applyFont="1">
      <alignment readingOrder="0"/>
    </xf>
    <xf borderId="0" fillId="34" fontId="5" numFmtId="0" xfId="0" applyFont="1"/>
    <xf borderId="1" fillId="0" fontId="3" numFmtId="0" xfId="0" applyAlignment="1" applyBorder="1" applyFont="1">
      <alignment readingOrder="0"/>
    </xf>
    <xf borderId="0" fillId="0" fontId="6" numFmtId="0" xfId="0" applyAlignment="1" applyFont="1">
      <alignment horizontal="right" vertical="bottom"/>
    </xf>
    <xf borderId="0" fillId="0" fontId="6" numFmtId="168" xfId="0" applyAlignment="1" applyFont="1" applyNumberFormat="1">
      <alignment horizontal="right" vertical="bottom"/>
    </xf>
    <xf borderId="0" fillId="19" fontId="86" numFmtId="0" xfId="0" applyAlignment="1" applyFont="1">
      <alignment vertical="bottom"/>
    </xf>
    <xf borderId="0" fillId="0" fontId="6" numFmtId="169" xfId="0" applyAlignment="1" applyFont="1" applyNumberFormat="1">
      <alignment horizontal="right" vertical="bottom"/>
    </xf>
    <xf borderId="0" fillId="13" fontId="4" numFmtId="166" xfId="0" applyAlignment="1" applyFont="1" applyNumberFormat="1">
      <alignment horizontal="right" vertical="bottom"/>
    </xf>
    <xf borderId="0" fillId="13" fontId="4" numFmtId="166" xfId="0" applyAlignment="1" applyFont="1" applyNumberFormat="1">
      <alignment horizontal="right" readingOrder="0" vertical="bottom"/>
    </xf>
    <xf borderId="0" fillId="19" fontId="6" numFmtId="0" xfId="0" applyAlignment="1" applyFont="1">
      <alignment vertical="bottom"/>
    </xf>
    <xf borderId="0" fillId="19" fontId="4" numFmtId="0" xfId="0" applyAlignment="1" applyFont="1">
      <alignment horizontal="right" vertical="bottom"/>
    </xf>
    <xf borderId="0" fillId="19" fontId="6" numFmtId="0" xfId="0" applyAlignment="1" applyFont="1">
      <alignment vertical="bottom"/>
    </xf>
    <xf borderId="0" fillId="20" fontId="4" numFmtId="166" xfId="0" applyAlignment="1" applyFont="1" applyNumberFormat="1">
      <alignment horizontal="right" readingOrder="0" vertical="bottom"/>
    </xf>
    <xf borderId="0" fillId="25" fontId="4" numFmtId="0" xfId="0" applyAlignment="1" applyFont="1">
      <alignment readingOrder="0" vertical="bottom"/>
    </xf>
    <xf borderId="0" fillId="25" fontId="24" numFmtId="0" xfId="0" applyAlignment="1" applyFont="1">
      <alignment vertical="bottom"/>
    </xf>
    <xf borderId="0" fillId="26" fontId="4" numFmtId="0" xfId="0" applyAlignment="1" applyFont="1">
      <alignment vertical="bottom"/>
    </xf>
    <xf borderId="0" fillId="31" fontId="6" numFmtId="0" xfId="0" applyAlignment="1" applyFont="1">
      <alignment vertical="bottom"/>
    </xf>
    <xf borderId="0" fillId="26" fontId="4" numFmtId="0" xfId="0" applyAlignment="1" applyFont="1">
      <alignment horizontal="right" vertical="bottom"/>
    </xf>
    <xf borderId="0" fillId="32" fontId="4" numFmtId="0" xfId="0" applyAlignment="1" applyFont="1">
      <alignment vertical="bottom"/>
    </xf>
    <xf borderId="0" fillId="32" fontId="4" numFmtId="0" xfId="0" applyAlignment="1" applyFont="1">
      <alignment vertical="bottom"/>
    </xf>
    <xf borderId="0" fillId="32" fontId="6" numFmtId="0" xfId="0" applyAlignment="1" applyFont="1">
      <alignment vertical="bottom"/>
    </xf>
    <xf borderId="0" fillId="32" fontId="4" numFmtId="0" xfId="0" applyAlignment="1" applyFont="1">
      <alignment horizontal="right" vertical="bottom"/>
    </xf>
    <xf borderId="0" fillId="32" fontId="6" numFmtId="0" xfId="0" applyAlignment="1" applyFont="1">
      <alignment vertical="bottom"/>
    </xf>
    <xf borderId="0" fillId="20" fontId="87" numFmtId="0" xfId="0" applyAlignment="1" applyFont="1">
      <alignment vertical="bottom"/>
    </xf>
    <xf borderId="0" fillId="26" fontId="88" numFmtId="0" xfId="0" applyAlignment="1" applyFont="1">
      <alignment vertical="bottom"/>
    </xf>
    <xf borderId="0" fillId="13" fontId="4" numFmtId="0" xfId="0" applyAlignment="1" applyFont="1">
      <alignment shrinkToFit="0" vertical="bottom" wrapText="0"/>
    </xf>
    <xf borderId="0" fillId="20" fontId="4" numFmtId="166" xfId="0" applyAlignment="1" applyFont="1" applyNumberFormat="1">
      <alignment horizontal="right" vertical="bottom"/>
    </xf>
    <xf borderId="0" fillId="13" fontId="89" numFmtId="0" xfId="0" applyAlignment="1" applyFont="1">
      <alignment vertical="bottom"/>
    </xf>
    <xf borderId="0" fillId="20" fontId="4" numFmtId="0" xfId="0" applyAlignment="1" applyFont="1">
      <alignment shrinkToFit="0" vertical="bottom" wrapText="0"/>
    </xf>
    <xf borderId="0" fillId="20" fontId="90" numFmtId="0" xfId="0" applyAlignment="1" applyFont="1">
      <alignment vertical="bottom"/>
    </xf>
    <xf borderId="0" fillId="31" fontId="4" numFmtId="0" xfId="0" applyAlignment="1" applyFont="1">
      <alignment vertical="bottom"/>
    </xf>
    <xf borderId="0" fillId="31" fontId="4" numFmtId="0" xfId="0" applyAlignment="1" applyFont="1">
      <alignment vertical="bottom"/>
    </xf>
    <xf borderId="0" fillId="31" fontId="4" numFmtId="166" xfId="0" applyAlignment="1" applyFont="1" applyNumberFormat="1">
      <alignment horizontal="right" vertical="bottom"/>
    </xf>
    <xf borderId="0" fillId="31" fontId="4" numFmtId="0" xfId="0" applyAlignment="1" applyFont="1">
      <alignment vertical="bottom"/>
    </xf>
    <xf borderId="0" fillId="31" fontId="6" numFmtId="0" xfId="0" applyAlignment="1" applyFont="1">
      <alignment vertical="bottom"/>
    </xf>
    <xf borderId="0" fillId="31" fontId="91" numFmtId="0" xfId="0" applyAlignment="1" applyFont="1">
      <alignment vertical="bottom"/>
    </xf>
    <xf borderId="0" fillId="0" fontId="92" numFmtId="0" xfId="0" applyAlignment="1" applyFont="1">
      <alignment vertical="bottom"/>
    </xf>
    <xf borderId="0" fillId="18" fontId="93" numFmtId="0" xfId="0" applyAlignment="1" applyFont="1">
      <alignment vertical="bottom"/>
    </xf>
    <xf borderId="0" fillId="18" fontId="94" numFmtId="0" xfId="0" applyAlignment="1" applyFont="1">
      <alignment vertical="bottom"/>
    </xf>
    <xf borderId="0" fillId="18" fontId="4" numFmtId="0" xfId="0" applyAlignment="1" applyFont="1">
      <alignment readingOrder="0" vertical="bottom"/>
    </xf>
    <xf borderId="0" fillId="13" fontId="3" numFmtId="0" xfId="0" applyAlignment="1" applyFont="1">
      <alignment readingOrder="0" shrinkToFit="0" wrapText="0"/>
    </xf>
    <xf borderId="0" fillId="13" fontId="3" numFmtId="0" xfId="0" applyAlignment="1" applyFont="1">
      <alignment shrinkToFit="0" wrapText="0"/>
    </xf>
    <xf borderId="0" fillId="13" fontId="6" numFmtId="0" xfId="0" applyAlignment="1" applyFont="1">
      <alignment shrinkToFit="0" vertical="bottom" wrapText="0"/>
    </xf>
    <xf borderId="0" fillId="13" fontId="4" numFmtId="164" xfId="0" applyAlignment="1" applyFont="1" applyNumberFormat="1">
      <alignment horizontal="right" shrinkToFit="0" vertical="bottom" wrapText="0"/>
    </xf>
    <xf borderId="0" fillId="13" fontId="4" numFmtId="164" xfId="0" applyAlignment="1" applyFont="1" applyNumberFormat="1">
      <alignment horizontal="right" readingOrder="0" shrinkToFit="0" vertical="bottom" wrapText="0"/>
    </xf>
    <xf borderId="0" fillId="13" fontId="6" numFmtId="0" xfId="0" applyAlignment="1" applyFont="1">
      <alignment shrinkToFit="0" vertical="bottom" wrapText="0"/>
    </xf>
    <xf borderId="0" fillId="2" fontId="6" numFmtId="0" xfId="0" applyAlignment="1" applyFont="1">
      <alignment readingOrder="0" shrinkToFit="0" vertical="bottom" wrapText="0"/>
    </xf>
    <xf borderId="0" fillId="13" fontId="4" numFmtId="0" xfId="0" applyAlignment="1" applyFont="1">
      <alignment horizontal="right" shrinkToFit="0" vertical="bottom" wrapText="0"/>
    </xf>
    <xf borderId="0" fillId="13" fontId="4" numFmtId="0" xfId="0" applyAlignment="1" applyFont="1">
      <alignment shrinkToFit="0" vertical="bottom" wrapText="0"/>
    </xf>
    <xf borderId="0" fillId="0" fontId="95" numFmtId="0" xfId="0" applyAlignment="1" applyFont="1">
      <alignment vertical="bottom"/>
    </xf>
    <xf borderId="0" fillId="13" fontId="96" numFmtId="0" xfId="0" applyAlignment="1" applyFont="1">
      <alignment shrinkToFit="0" vertical="bottom" wrapText="0"/>
    </xf>
    <xf borderId="0" fillId="13" fontId="97" numFmtId="0" xfId="0" applyAlignment="1" applyFont="1">
      <alignment horizontal="right" shrinkToFit="0" vertical="bottom" wrapText="0"/>
    </xf>
    <xf borderId="0" fillId="13" fontId="6" numFmtId="0" xfId="0" applyAlignment="1" applyFont="1">
      <alignment shrinkToFit="0" vertical="bottom" wrapText="0"/>
    </xf>
    <xf borderId="0" fillId="0" fontId="6" numFmtId="0" xfId="0" applyAlignment="1" applyFont="1">
      <alignment readingOrder="0" shrinkToFit="0" vertical="bottom" wrapText="0"/>
    </xf>
    <xf borderId="0" fillId="20" fontId="3" numFmtId="0" xfId="0" applyAlignment="1" applyFont="1">
      <alignment readingOrder="0" shrinkToFit="0" wrapText="0"/>
    </xf>
    <xf borderId="0" fillId="20" fontId="3" numFmtId="0" xfId="0" applyAlignment="1" applyFont="1">
      <alignment shrinkToFit="0" wrapText="0"/>
    </xf>
    <xf borderId="0" fillId="20" fontId="4" numFmtId="0" xfId="0" applyAlignment="1" applyFont="1">
      <alignment shrinkToFit="0" vertical="bottom" wrapText="0"/>
    </xf>
    <xf borderId="0" fillId="20" fontId="4" numFmtId="165" xfId="0" applyAlignment="1" applyFont="1" applyNumberFormat="1">
      <alignment horizontal="right" readingOrder="0" shrinkToFit="0" vertical="bottom" wrapText="0"/>
    </xf>
    <xf borderId="0" fillId="20" fontId="6" numFmtId="0" xfId="0" applyAlignment="1" applyFont="1">
      <alignment readingOrder="0" shrinkToFit="0" vertical="bottom" wrapText="0"/>
    </xf>
    <xf borderId="0" fillId="20" fontId="98" numFmtId="0" xfId="0" applyAlignment="1" applyFont="1">
      <alignment shrinkToFit="0" vertical="bottom" wrapText="0"/>
    </xf>
    <xf borderId="0" fillId="20" fontId="6" numFmtId="0" xfId="0" applyAlignment="1" applyFont="1">
      <alignment shrinkToFit="0" vertical="bottom" wrapText="0"/>
    </xf>
    <xf borderId="0" fillId="20" fontId="99" numFmtId="0" xfId="0" applyAlignment="1" applyFont="1">
      <alignment shrinkToFit="0" vertical="bottom" wrapText="0"/>
    </xf>
    <xf borderId="0" fillId="20" fontId="4" numFmtId="0" xfId="0" applyAlignment="1" applyFont="1">
      <alignment readingOrder="0" shrinkToFit="0" vertical="bottom" wrapText="0"/>
    </xf>
    <xf borderId="0" fillId="20" fontId="4" numFmtId="0" xfId="0" applyAlignment="1" applyFont="1">
      <alignment horizontal="right" shrinkToFit="0" vertical="bottom" wrapText="0"/>
    </xf>
    <xf borderId="0" fillId="20" fontId="4" numFmtId="0" xfId="0" applyAlignment="1" applyFont="1">
      <alignment horizontal="right" readingOrder="0" shrinkToFit="0" vertical="bottom" wrapText="0"/>
    </xf>
    <xf borderId="0" fillId="13" fontId="6" numFmtId="0" xfId="0" applyAlignment="1" applyFont="1">
      <alignment readingOrder="0" shrinkToFit="0" vertical="bottom" wrapText="0"/>
    </xf>
    <xf borderId="0" fillId="20" fontId="4" numFmtId="165" xfId="0" applyAlignment="1" applyFont="1" applyNumberFormat="1">
      <alignment horizontal="right" shrinkToFit="0" vertical="bottom" wrapText="0"/>
    </xf>
    <xf borderId="0" fillId="20" fontId="4" numFmtId="0" xfId="0" applyAlignment="1" applyFont="1">
      <alignment shrinkToFit="0" vertical="bottom" wrapText="0"/>
    </xf>
    <xf borderId="0" fillId="20" fontId="4" numFmtId="0" xfId="0" applyAlignment="1" applyFont="1">
      <alignment horizontal="right" shrinkToFit="0" vertical="bottom" wrapText="0"/>
    </xf>
    <xf borderId="0" fillId="20" fontId="4" numFmtId="3" xfId="0" applyAlignment="1" applyFont="1" applyNumberFormat="1">
      <alignment horizontal="right" shrinkToFit="0" vertical="bottom" wrapText="0"/>
    </xf>
    <xf borderId="0" fillId="20" fontId="11" numFmtId="0" xfId="0" applyAlignment="1" applyFont="1">
      <alignment horizontal="right" readingOrder="0" shrinkToFit="0" vertical="bottom" wrapText="0"/>
    </xf>
    <xf borderId="0" fillId="21" fontId="4" numFmtId="164" xfId="0" applyAlignment="1" applyFont="1" applyNumberFormat="1">
      <alignment horizontal="right" vertical="bottom"/>
    </xf>
    <xf borderId="0" fillId="21" fontId="4" numFmtId="166" xfId="0" applyAlignment="1" applyFont="1" applyNumberFormat="1">
      <alignment horizontal="right" readingOrder="0" vertical="bottom"/>
    </xf>
    <xf borderId="0" fillId="28" fontId="6" numFmtId="0" xfId="0" applyAlignment="1" applyFont="1">
      <alignment readingOrder="0" vertical="bottom"/>
    </xf>
    <xf borderId="0" fillId="21" fontId="100" numFmtId="0" xfId="0" applyAlignment="1" applyFont="1">
      <alignment vertical="bottom"/>
    </xf>
    <xf borderId="0" fillId="21" fontId="4" numFmtId="0" xfId="0" applyAlignment="1" applyFont="1">
      <alignment readingOrder="0" vertical="bottom"/>
    </xf>
    <xf borderId="0" fillId="21" fontId="4" numFmtId="0" xfId="0" applyAlignment="1" applyFont="1">
      <alignment horizontal="right" vertical="bottom"/>
    </xf>
    <xf borderId="0" fillId="21" fontId="4" numFmtId="170" xfId="0" applyAlignment="1" applyFont="1" applyNumberFormat="1">
      <alignment horizontal="right" vertical="bottom"/>
    </xf>
    <xf borderId="0" fillId="21" fontId="4" numFmtId="0" xfId="0" applyAlignment="1" applyFont="1">
      <alignment horizontal="right" vertical="bottom"/>
    </xf>
    <xf borderId="0" fillId="21" fontId="6" numFmtId="0" xfId="0" applyAlignment="1" applyFont="1">
      <alignment vertical="bottom"/>
    </xf>
    <xf borderId="0" fillId="21" fontId="101" numFmtId="0" xfId="0" applyAlignment="1" applyFont="1">
      <alignment vertical="bottom"/>
    </xf>
    <xf borderId="0" fillId="28" fontId="102" numFmtId="0" xfId="0" applyAlignment="1" applyFont="1">
      <alignment readingOrder="0" vertical="bottom"/>
    </xf>
    <xf borderId="0" fillId="28" fontId="5" numFmtId="0" xfId="0" applyAlignment="1" applyFont="1">
      <alignment readingOrder="0"/>
    </xf>
    <xf borderId="0" fillId="28" fontId="5" numFmtId="0" xfId="0" applyFont="1"/>
    <xf borderId="0" fillId="28" fontId="4" numFmtId="0" xfId="0" applyAlignment="1" applyFont="1">
      <alignment readingOrder="0" vertical="bottom"/>
    </xf>
    <xf borderId="0" fillId="28" fontId="4" numFmtId="166" xfId="0" applyAlignment="1" applyFont="1" applyNumberFormat="1">
      <alignment horizontal="right" vertical="bottom"/>
    </xf>
    <xf borderId="0" fillId="28" fontId="4" numFmtId="166" xfId="0" applyAlignment="1" applyFont="1" applyNumberFormat="1">
      <alignment horizontal="right" readingOrder="0" vertical="bottom"/>
    </xf>
    <xf borderId="0" fillId="35" fontId="4" numFmtId="0" xfId="0" applyAlignment="1" applyFill="1" applyFont="1">
      <alignment horizontal="right" vertical="bottom"/>
    </xf>
    <xf borderId="0" fillId="28" fontId="4" numFmtId="0" xfId="0" applyAlignment="1" applyFont="1">
      <alignment horizontal="right" readingOrder="0" vertical="bottom"/>
    </xf>
    <xf borderId="0" fillId="28" fontId="6" numFmtId="0" xfId="0" applyAlignment="1" applyFont="1">
      <alignment horizontal="right" readingOrder="0" vertical="bottom"/>
    </xf>
    <xf borderId="0" fillId="28" fontId="103" numFmtId="0" xfId="0" applyAlignment="1" applyFont="1">
      <alignment vertical="bottom"/>
    </xf>
    <xf borderId="0" fillId="21" fontId="101" numFmtId="164" xfId="0" applyAlignment="1" applyFont="1" applyNumberFormat="1">
      <alignment horizontal="right" vertical="bottom"/>
    </xf>
    <xf borderId="0" fillId="21" fontId="101" numFmtId="0" xfId="0" applyAlignment="1" applyFont="1">
      <alignment vertical="bottom"/>
    </xf>
    <xf borderId="0" fillId="21" fontId="104" numFmtId="0" xfId="0" applyAlignment="1" applyFont="1">
      <alignment vertical="bottom"/>
    </xf>
    <xf borderId="0" fillId="21" fontId="101" numFmtId="0" xfId="0" applyAlignment="1" applyFont="1">
      <alignment horizontal="right" vertical="bottom"/>
    </xf>
    <xf borderId="0" fillId="36" fontId="4" numFmtId="0" xfId="0" applyAlignment="1" applyFill="1" applyFont="1">
      <alignment horizontal="right" vertical="bottom"/>
    </xf>
    <xf borderId="0" fillId="21" fontId="105" numFmtId="0" xfId="0" applyAlignment="1" applyFont="1">
      <alignment vertical="bottom"/>
    </xf>
    <xf borderId="0" fillId="12" fontId="4" numFmtId="0" xfId="0" applyAlignment="1" applyFont="1">
      <alignment horizontal="right" vertical="bottom"/>
    </xf>
    <xf borderId="0" fillId="20" fontId="106" numFmtId="0" xfId="0" applyAlignment="1" applyFont="1">
      <alignment vertical="bottom"/>
    </xf>
    <xf borderId="0" fillId="20" fontId="107" numFmtId="0" xfId="0" applyAlignment="1" applyFont="1">
      <alignment horizontal="right" vertical="bottom"/>
    </xf>
    <xf borderId="0" fillId="20" fontId="108" numFmtId="0" xfId="0" applyAlignment="1" applyFont="1">
      <alignment vertical="bottom"/>
    </xf>
    <xf borderId="0" fillId="20" fontId="6" numFmtId="3" xfId="0" applyAlignment="1" applyFont="1" applyNumberFormat="1">
      <alignment vertical="bottom"/>
    </xf>
    <xf borderId="0" fillId="29" fontId="4" numFmtId="165" xfId="0" applyAlignment="1" applyFont="1" applyNumberFormat="1">
      <alignment horizontal="right" vertical="bottom"/>
    </xf>
    <xf borderId="0" fillId="29" fontId="4" numFmtId="164" xfId="0" applyAlignment="1" applyFont="1" applyNumberFormat="1">
      <alignment horizontal="right" vertical="bottom"/>
    </xf>
    <xf borderId="0" fillId="29" fontId="4" numFmtId="0" xfId="0" applyAlignment="1" applyFont="1">
      <alignment vertical="bottom"/>
    </xf>
    <xf borderId="0" fillId="29" fontId="6" numFmtId="0" xfId="0" applyAlignment="1" applyFont="1">
      <alignment vertical="bottom"/>
    </xf>
    <xf borderId="0" fillId="29" fontId="6" numFmtId="165" xfId="0" applyAlignment="1" applyFont="1" applyNumberFormat="1">
      <alignment vertical="bottom"/>
    </xf>
    <xf borderId="0" fillId="29" fontId="6" numFmtId="164" xfId="0" applyAlignment="1" applyFont="1" applyNumberFormat="1">
      <alignment vertical="bottom"/>
    </xf>
    <xf borderId="0" fillId="29" fontId="109" numFmtId="0" xfId="0" applyAlignment="1" applyFont="1">
      <alignment vertical="bottom"/>
    </xf>
    <xf borderId="0" fillId="29" fontId="110" numFmtId="0" xfId="0" applyAlignment="1" applyFont="1">
      <alignment horizontal="right" vertical="bottom"/>
    </xf>
    <xf borderId="0" fillId="13" fontId="111" numFmtId="0" xfId="0" applyAlignment="1" applyFont="1">
      <alignment vertical="bottom"/>
    </xf>
    <xf borderId="0" fillId="13" fontId="112" numFmtId="0" xfId="0" applyAlignment="1" applyFont="1">
      <alignment vertical="bottom"/>
    </xf>
    <xf borderId="0" fillId="20" fontId="4" numFmtId="170" xfId="0" applyAlignment="1" applyFont="1" applyNumberFormat="1">
      <alignment horizontal="right" vertical="bottom"/>
    </xf>
    <xf borderId="0" fillId="20" fontId="113" numFmtId="0" xfId="0" applyAlignment="1" applyFont="1">
      <alignment vertical="bottom"/>
    </xf>
    <xf borderId="0" fillId="20" fontId="114" numFmtId="0" xfId="0" applyAlignment="1" applyFont="1">
      <alignment vertical="bottom"/>
    </xf>
    <xf borderId="0" fillId="20" fontId="101" numFmtId="164" xfId="0" applyAlignment="1" applyFont="1" applyNumberFormat="1">
      <alignment horizontal="right" vertical="bottom"/>
    </xf>
    <xf borderId="0" fillId="20" fontId="24" numFmtId="0" xfId="0" applyAlignment="1" applyFont="1">
      <alignment vertical="bottom"/>
    </xf>
    <xf borderId="0" fillId="20" fontId="101" numFmtId="0" xfId="0" applyAlignment="1" applyFont="1">
      <alignment vertical="bottom"/>
    </xf>
    <xf borderId="0" fillId="0" fontId="115" numFmtId="0" xfId="0" applyAlignment="1" applyFont="1">
      <alignment vertical="bottom"/>
    </xf>
    <xf borderId="0" fillId="0" fontId="115" numFmtId="0" xfId="0" applyAlignment="1" applyFont="1">
      <alignment vertical="bottom"/>
    </xf>
    <xf borderId="0" fillId="0" fontId="116" numFmtId="0" xfId="0" applyAlignment="1" applyFont="1">
      <alignment vertical="bottom"/>
    </xf>
    <xf borderId="0" fillId="25" fontId="4" numFmtId="166" xfId="0" applyAlignment="1" applyFont="1" applyNumberFormat="1">
      <alignment horizontal="right" vertical="bottom"/>
    </xf>
    <xf borderId="0" fillId="25" fontId="4" numFmtId="164" xfId="0" applyAlignment="1" applyFont="1" applyNumberFormat="1">
      <alignment horizontal="right" readingOrder="0" vertical="bottom"/>
    </xf>
    <xf borderId="0" fillId="20" fontId="4" numFmtId="0" xfId="0" applyAlignment="1" applyFont="1">
      <alignment horizontal="right" readingOrder="0" vertical="bottom"/>
    </xf>
    <xf borderId="0" fillId="28" fontId="117" numFmtId="0" xfId="0" applyAlignment="1" applyFont="1">
      <alignment readingOrder="0" vertical="bottom"/>
    </xf>
    <xf borderId="0" fillId="25" fontId="4" numFmtId="164" xfId="0" applyAlignment="1" applyFont="1" applyNumberFormat="1">
      <alignment horizontal="right" vertical="bottom"/>
    </xf>
    <xf borderId="0" fillId="13" fontId="4" numFmtId="170" xfId="0" applyAlignment="1" applyFont="1" applyNumberFormat="1">
      <alignment horizontal="right" vertical="bottom"/>
    </xf>
    <xf borderId="0" fillId="13" fontId="115" numFmtId="0" xfId="0" applyAlignment="1" applyFont="1">
      <alignment vertical="bottom"/>
    </xf>
    <xf borderId="0" fillId="13" fontId="115" numFmtId="0" xfId="0" applyAlignment="1" applyFont="1">
      <alignment vertical="bottom"/>
    </xf>
    <xf borderId="0" fillId="25" fontId="5" numFmtId="0" xfId="0" applyFont="1"/>
    <xf borderId="0" fillId="0" fontId="118" numFmtId="0" xfId="0" applyAlignment="1" applyFont="1">
      <alignment readingOrder="0" vertical="bottom"/>
    </xf>
    <xf borderId="0" fillId="20" fontId="6" numFmtId="171" xfId="0" applyAlignment="1" applyFont="1" applyNumberFormat="1">
      <alignment readingOrder="0" vertical="bottom"/>
    </xf>
    <xf borderId="0" fillId="27" fontId="6" numFmtId="171" xfId="0" applyAlignment="1" applyFont="1" applyNumberFormat="1">
      <alignment readingOrder="0" vertical="bottom"/>
    </xf>
    <xf borderId="0" fillId="27" fontId="119" numFmtId="0" xfId="0" applyAlignment="1" applyFont="1">
      <alignment vertical="bottom"/>
    </xf>
    <xf borderId="0" fillId="27" fontId="6" numFmtId="0" xfId="0" applyAlignment="1" applyFont="1">
      <alignment readingOrder="0" vertical="bottom"/>
    </xf>
    <xf borderId="0" fillId="27" fontId="120" numFmtId="0" xfId="0" applyAlignment="1" applyFont="1">
      <alignment vertical="bottom"/>
    </xf>
    <xf borderId="0" fillId="27" fontId="4" numFmtId="0" xfId="0" applyAlignment="1" applyFont="1">
      <alignment horizontal="right" vertical="bottom"/>
    </xf>
    <xf borderId="0" fillId="14" fontId="3" numFmtId="0" xfId="0" applyFont="1"/>
    <xf borderId="0" fillId="27" fontId="6" numFmtId="0" xfId="0" applyAlignment="1" applyFont="1">
      <alignment vertical="bottom"/>
    </xf>
    <xf borderId="0" fillId="27" fontId="4" numFmtId="0" xfId="0" applyAlignment="1" applyFont="1">
      <alignment horizontal="right" readingOrder="0" vertical="bottom"/>
    </xf>
    <xf borderId="0" fillId="31" fontId="5" numFmtId="0" xfId="0" applyAlignment="1" applyFont="1">
      <alignment readingOrder="0"/>
    </xf>
    <xf borderId="0" fillId="31" fontId="5" numFmtId="0" xfId="0" applyFont="1"/>
    <xf borderId="0" fillId="0" fontId="6" numFmtId="165" xfId="0" applyAlignment="1" applyFont="1" applyNumberFormat="1">
      <alignment readingOrder="0" vertical="bottom"/>
    </xf>
    <xf borderId="0" fillId="0" fontId="121" numFmtId="0" xfId="0" applyAlignment="1" applyFont="1">
      <alignment readingOrder="0" vertical="bottom"/>
    </xf>
    <xf borderId="0" fillId="0" fontId="4" numFmtId="167" xfId="0" applyAlignment="1" applyFont="1" applyNumberFormat="1">
      <alignment horizontal="right" vertical="bottom"/>
    </xf>
    <xf borderId="0" fillId="18" fontId="4" numFmtId="0" xfId="0" applyAlignment="1" applyFont="1">
      <alignment horizontal="right" vertical="bottom"/>
    </xf>
    <xf borderId="0" fillId="32" fontId="4" numFmtId="0" xfId="0" applyAlignment="1" applyFont="1">
      <alignment vertical="bottom"/>
    </xf>
    <xf borderId="0" fillId="4" fontId="4" numFmtId="0" xfId="0" applyAlignment="1" applyFont="1">
      <alignment vertical="bottom"/>
    </xf>
    <xf borderId="0" fillId="2" fontId="122" numFmtId="0" xfId="0" applyAlignment="1" applyFont="1">
      <alignment readingOrder="0" vertical="bottom"/>
    </xf>
    <xf borderId="0" fillId="31" fontId="123" numFmtId="0" xfId="0" applyAlignment="1" applyFont="1">
      <alignment readingOrder="0" vertical="bottom"/>
    </xf>
    <xf borderId="0" fillId="0" fontId="124" numFmtId="0" xfId="0" applyAlignment="1" applyFont="1">
      <alignment readingOrder="0" vertical="bottom"/>
    </xf>
    <xf borderId="0" fillId="0" fontId="4" numFmtId="0" xfId="0" applyAlignment="1" applyFont="1">
      <alignment horizontal="right" vertical="bottom"/>
    </xf>
    <xf borderId="0" fillId="36" fontId="3" numFmtId="0" xfId="0" applyFont="1"/>
    <xf borderId="0" fillId="20" fontId="11" numFmtId="0" xfId="0" applyAlignment="1" applyFont="1">
      <alignment vertical="bottom"/>
    </xf>
    <xf borderId="0" fillId="20" fontId="115" numFmtId="0" xfId="0" applyAlignment="1" applyFont="1">
      <alignment vertical="bottom"/>
    </xf>
    <xf borderId="0" fillId="23" fontId="49" numFmtId="0" xfId="0" applyAlignment="1" applyFont="1">
      <alignment vertical="bottom"/>
    </xf>
    <xf borderId="0" fillId="20" fontId="115" numFmtId="0" xfId="0" applyAlignment="1" applyFont="1">
      <alignment vertical="bottom"/>
    </xf>
    <xf borderId="0" fillId="13" fontId="49" numFmtId="0" xfId="0" applyAlignment="1" applyFont="1">
      <alignment horizontal="right" readingOrder="0" vertical="bottom"/>
    </xf>
    <xf borderId="0" fillId="13" fontId="125" numFmtId="0" xfId="0" applyAlignment="1" applyFont="1">
      <alignment vertical="bottom"/>
    </xf>
    <xf borderId="0" fillId="14" fontId="3" numFmtId="0" xfId="0" applyAlignment="1" applyFont="1">
      <alignment readingOrder="0"/>
    </xf>
    <xf borderId="0" fillId="14" fontId="4" numFmtId="0" xfId="0" applyAlignment="1" applyFont="1">
      <alignment vertical="bottom"/>
    </xf>
    <xf borderId="0" fillId="14" fontId="4" numFmtId="0" xfId="0" applyAlignment="1" applyFont="1">
      <alignment vertical="bottom"/>
    </xf>
    <xf borderId="0" fillId="14" fontId="4" numFmtId="164" xfId="0" applyAlignment="1" applyFont="1" applyNumberFormat="1">
      <alignment horizontal="right" vertical="bottom"/>
    </xf>
    <xf borderId="0" fillId="14" fontId="6" numFmtId="0" xfId="0" applyAlignment="1" applyFont="1">
      <alignment readingOrder="0" vertical="bottom"/>
    </xf>
    <xf borderId="0" fillId="14" fontId="4" numFmtId="0" xfId="0" applyAlignment="1" applyFont="1">
      <alignment vertical="bottom"/>
    </xf>
    <xf borderId="0" fillId="14" fontId="6" numFmtId="0" xfId="0" applyAlignment="1" applyFont="1">
      <alignment vertical="bottom"/>
    </xf>
    <xf borderId="0" fillId="14" fontId="4" numFmtId="0" xfId="0" applyAlignment="1" applyFont="1">
      <alignment horizontal="right" vertical="bottom"/>
    </xf>
    <xf borderId="0" fillId="14" fontId="24" numFmtId="0" xfId="0" applyAlignment="1" applyFont="1">
      <alignment readingOrder="0" vertical="bottom"/>
    </xf>
    <xf borderId="0" fillId="14" fontId="115" numFmtId="0" xfId="0" applyAlignment="1" applyFont="1">
      <alignment vertical="bottom"/>
    </xf>
    <xf borderId="0" fillId="28" fontId="4" numFmtId="164" xfId="0" applyAlignment="1" applyFont="1" applyNumberFormat="1">
      <alignment horizontal="right" vertical="bottom"/>
    </xf>
    <xf borderId="0" fillId="28" fontId="4" numFmtId="0" xfId="0" applyAlignment="1" applyFont="1">
      <alignment horizontal="right" vertical="bottom"/>
    </xf>
    <xf borderId="0" fillId="28" fontId="4" numFmtId="170" xfId="0" applyAlignment="1" applyFont="1" applyNumberFormat="1">
      <alignment horizontal="right" vertical="bottom"/>
    </xf>
    <xf borderId="0" fillId="14" fontId="4" numFmtId="0" xfId="0" applyAlignment="1" applyFont="1">
      <alignment readingOrder="0" vertical="bottom"/>
    </xf>
    <xf borderId="0" fillId="28" fontId="101" numFmtId="0" xfId="0" applyAlignment="1" applyFont="1">
      <alignment vertical="bottom"/>
    </xf>
    <xf borderId="0" fillId="24" fontId="4" numFmtId="0" xfId="0" applyAlignment="1" applyFont="1">
      <alignment vertical="bottom"/>
    </xf>
    <xf borderId="0" fillId="24" fontId="4" numFmtId="165" xfId="0" applyAlignment="1" applyFont="1" applyNumberFormat="1">
      <alignment horizontal="right" vertical="bottom"/>
    </xf>
    <xf borderId="0" fillId="24" fontId="4" numFmtId="164" xfId="0" applyAlignment="1" applyFont="1" applyNumberFormat="1">
      <alignment horizontal="right" vertical="bottom"/>
    </xf>
    <xf borderId="0" fillId="24" fontId="4" numFmtId="0" xfId="0" applyAlignment="1" applyFont="1">
      <alignment horizontal="right" vertical="bottom"/>
    </xf>
    <xf borderId="0" fillId="24" fontId="4" numFmtId="0" xfId="0" applyAlignment="1" applyFont="1">
      <alignment vertical="bottom"/>
    </xf>
    <xf borderId="0" fillId="24" fontId="6" numFmtId="0" xfId="0" applyAlignment="1" applyFont="1">
      <alignment vertical="bottom"/>
    </xf>
    <xf borderId="0" fillId="37" fontId="4" numFmtId="0" xfId="0" applyAlignment="1" applyFill="1" applyFont="1">
      <alignment vertical="bottom"/>
    </xf>
    <xf borderId="0" fillId="37" fontId="4" numFmtId="0" xfId="0" applyAlignment="1" applyFont="1">
      <alignment readingOrder="0" vertical="bottom"/>
    </xf>
    <xf borderId="0" fillId="24" fontId="6" numFmtId="0" xfId="0" applyAlignment="1" applyFont="1">
      <alignment vertical="bottom"/>
    </xf>
    <xf borderId="0" fillId="24" fontId="101" numFmtId="0" xfId="0" applyAlignment="1" applyFont="1">
      <alignment vertical="bottom"/>
    </xf>
    <xf borderId="0" fillId="37" fontId="3" numFmtId="0" xfId="0" applyAlignment="1" applyFont="1">
      <alignment readingOrder="0"/>
    </xf>
    <xf borderId="0" fillId="37" fontId="3" numFmtId="0" xfId="0" applyFont="1"/>
    <xf borderId="0" fillId="37" fontId="4" numFmtId="0" xfId="0" applyAlignment="1" applyFont="1">
      <alignment vertical="bottom"/>
    </xf>
    <xf borderId="0" fillId="37" fontId="4" numFmtId="165" xfId="0" applyAlignment="1" applyFont="1" applyNumberFormat="1">
      <alignment horizontal="right" vertical="bottom"/>
    </xf>
    <xf borderId="0" fillId="37" fontId="6" numFmtId="0" xfId="0" applyAlignment="1" applyFont="1">
      <alignment vertical="bottom"/>
    </xf>
    <xf borderId="0" fillId="37" fontId="4" numFmtId="0" xfId="0" applyAlignment="1" applyFont="1">
      <alignment horizontal="right" vertical="bottom"/>
    </xf>
    <xf borderId="0" fillId="37" fontId="6" numFmtId="0" xfId="0" applyAlignment="1" applyFont="1">
      <alignment vertical="bottom"/>
    </xf>
    <xf borderId="0" fillId="37" fontId="4" numFmtId="0" xfId="0" applyAlignment="1" applyFont="1">
      <alignment horizontal="right" vertical="bottom"/>
    </xf>
    <xf borderId="0" fillId="25" fontId="6" numFmtId="0" xfId="0" applyAlignment="1" applyFont="1">
      <alignment horizontal="right" vertical="bottom"/>
    </xf>
    <xf borderId="0" fillId="37" fontId="6" numFmtId="0" xfId="0" applyAlignment="1" applyFont="1">
      <alignment horizontal="right" vertical="bottom"/>
    </xf>
    <xf borderId="0" fillId="24" fontId="101" numFmtId="0" xfId="0" applyAlignment="1" applyFont="1">
      <alignment vertical="bottom"/>
    </xf>
    <xf borderId="0" fillId="24" fontId="101" numFmtId="0" xfId="0" applyAlignment="1" applyFont="1">
      <alignment vertical="bottom"/>
    </xf>
    <xf borderId="0" fillId="17" fontId="3" numFmtId="0" xfId="0" applyFont="1"/>
    <xf borderId="0" fillId="37" fontId="6" numFmtId="165" xfId="0" applyAlignment="1" applyFont="1" applyNumberFormat="1">
      <alignment vertical="bottom"/>
    </xf>
    <xf borderId="0" fillId="37" fontId="4" numFmtId="0" xfId="0" applyAlignment="1" applyFont="1">
      <alignment vertical="bottom"/>
    </xf>
    <xf borderId="0" fillId="30" fontId="6" numFmtId="0" xfId="0" applyAlignment="1" applyFont="1">
      <alignment horizontal="right" vertical="bottom"/>
    </xf>
    <xf borderId="0" fillId="25" fontId="4" numFmtId="0" xfId="0" applyAlignment="1" applyFont="1">
      <alignment horizontal="right" vertical="bottom"/>
    </xf>
    <xf borderId="0" fillId="26" fontId="6" numFmtId="0" xfId="0" applyAlignment="1" applyFont="1">
      <alignment horizontal="right" vertical="bottom"/>
    </xf>
    <xf borderId="0" fillId="37" fontId="6" numFmtId="0" xfId="0" applyAlignment="1" applyFont="1">
      <alignment horizontal="right" vertical="bottom"/>
    </xf>
    <xf borderId="0" fillId="13" fontId="49" numFmtId="0" xfId="0" applyAlignment="1" applyFont="1">
      <alignment vertical="bottom"/>
    </xf>
    <xf borderId="0" fillId="20" fontId="101" numFmtId="0" xfId="0" applyAlignment="1" applyFont="1">
      <alignment vertical="bottom"/>
    </xf>
    <xf borderId="0" fillId="14" fontId="4" numFmtId="164" xfId="0" applyAlignment="1" applyFont="1" applyNumberFormat="1">
      <alignment horizontal="right" readingOrder="0" vertical="bottom"/>
    </xf>
    <xf borderId="0" fillId="14" fontId="126" numFmtId="0" xfId="0" applyAlignment="1" applyFont="1">
      <alignment vertical="bottom"/>
    </xf>
    <xf borderId="0" fillId="14" fontId="127" numFmtId="0" xfId="0" applyAlignment="1" applyFont="1">
      <alignment readingOrder="0" vertical="bottom"/>
    </xf>
    <xf borderId="0" fillId="14" fontId="6" numFmtId="0" xfId="0" applyAlignment="1" applyFont="1">
      <alignment vertical="bottom"/>
    </xf>
    <xf borderId="0" fillId="14" fontId="115" numFmtId="0" xfId="0" applyAlignment="1" applyFont="1">
      <alignment vertical="bottom"/>
    </xf>
    <xf borderId="0" fillId="14" fontId="11" numFmtId="0" xfId="0" applyAlignment="1" applyFont="1">
      <alignment vertical="bottom"/>
    </xf>
    <xf borderId="0" fillId="28" fontId="11" numFmtId="0" xfId="0" applyAlignment="1" applyFont="1">
      <alignment vertical="bottom"/>
    </xf>
    <xf borderId="0" fillId="28" fontId="6" numFmtId="0" xfId="0" applyAlignment="1" applyFont="1">
      <alignment horizontal="right" vertical="bottom"/>
    </xf>
    <xf borderId="0" fillId="28" fontId="128" numFmtId="0" xfId="0" applyAlignment="1" applyFont="1">
      <alignment vertical="bottom"/>
    </xf>
    <xf borderId="0" fillId="31" fontId="4" numFmtId="0" xfId="0" applyAlignment="1" applyFont="1">
      <alignment horizontal="right" vertical="bottom"/>
    </xf>
    <xf borderId="0" fillId="0" fontId="6" numFmtId="164" xfId="0" applyAlignment="1" applyFont="1" applyNumberFormat="1">
      <alignment vertical="bottom"/>
    </xf>
    <xf borderId="0" fillId="29" fontId="115" numFmtId="0" xfId="0" applyAlignment="1" applyFont="1">
      <alignment vertical="bottom"/>
    </xf>
    <xf borderId="0" fillId="29" fontId="115" numFmtId="0" xfId="0" applyAlignment="1" applyFont="1">
      <alignment vertical="bottom"/>
    </xf>
    <xf borderId="0" fillId="29" fontId="129" numFmtId="0" xfId="0" applyAlignment="1" applyFont="1">
      <alignment vertical="bottom"/>
    </xf>
    <xf borderId="0" fillId="29" fontId="129" numFmtId="0" xfId="0" applyAlignment="1" applyFont="1">
      <alignment vertical="bottom"/>
    </xf>
    <xf borderId="0" fillId="0" fontId="130" numFmtId="0" xfId="0" applyAlignment="1" applyFont="1">
      <alignment readingOrder="0"/>
    </xf>
    <xf borderId="0" fillId="31" fontId="4" numFmtId="0" xfId="0" applyAlignment="1" applyFont="1">
      <alignment readingOrder="0" vertical="bottom"/>
    </xf>
    <xf borderId="0" fillId="20" fontId="6" numFmtId="164" xfId="0" applyAlignment="1" applyFont="1" applyNumberFormat="1">
      <alignment vertical="bottom"/>
    </xf>
    <xf borderId="0" fillId="20" fontId="49" numFmtId="0" xfId="0" applyAlignment="1" applyFont="1">
      <alignment vertical="bottom"/>
    </xf>
    <xf borderId="0" fillId="13" fontId="131" numFmtId="0" xfId="0" applyAlignment="1" applyFont="1">
      <alignment vertical="bottom"/>
    </xf>
    <xf borderId="0" fillId="13" fontId="4" numFmtId="0" xfId="0" applyAlignment="1" applyFont="1">
      <alignment horizontal="right" vertical="bottom"/>
    </xf>
    <xf borderId="0" fillId="13" fontId="6" numFmtId="164" xfId="0" applyAlignment="1" applyFont="1" applyNumberFormat="1">
      <alignment vertical="bottom"/>
    </xf>
    <xf borderId="0" fillId="36" fontId="3" numFmtId="0" xfId="0" applyAlignment="1" applyFont="1">
      <alignment readingOrder="0"/>
    </xf>
    <xf borderId="0" fillId="36" fontId="4" numFmtId="0" xfId="0" applyAlignment="1" applyFont="1">
      <alignment vertical="bottom"/>
    </xf>
    <xf borderId="0" fillId="36" fontId="4" numFmtId="0" xfId="0" applyAlignment="1" applyFont="1">
      <alignment vertical="bottom"/>
    </xf>
    <xf borderId="0" fillId="36" fontId="4" numFmtId="164" xfId="0" applyAlignment="1" applyFont="1" applyNumberFormat="1">
      <alignment horizontal="right" vertical="bottom"/>
    </xf>
    <xf borderId="0" fillId="36" fontId="4" numFmtId="164" xfId="0" applyAlignment="1" applyFont="1" applyNumberFormat="1">
      <alignment horizontal="right" readingOrder="0" vertical="bottom"/>
    </xf>
    <xf borderId="0" fillId="30" fontId="6" numFmtId="0" xfId="0" applyAlignment="1" applyFont="1">
      <alignment readingOrder="0" vertical="bottom"/>
    </xf>
    <xf borderId="0" fillId="36" fontId="6" numFmtId="0" xfId="0" applyAlignment="1" applyFont="1">
      <alignment vertical="bottom"/>
    </xf>
    <xf borderId="0" fillId="36" fontId="4" numFmtId="0" xfId="0" applyAlignment="1" applyFont="1">
      <alignment vertical="bottom"/>
    </xf>
    <xf borderId="0" fillId="36" fontId="132" numFmtId="0" xfId="0" applyAlignment="1" applyFont="1">
      <alignment vertical="bottom"/>
    </xf>
    <xf borderId="0" fillId="36" fontId="6" numFmtId="0" xfId="0" applyAlignment="1" applyFont="1">
      <alignment vertical="bottom"/>
    </xf>
    <xf borderId="0" fillId="36" fontId="4" numFmtId="0" xfId="0" applyAlignment="1" applyFont="1">
      <alignment readingOrder="0" vertical="bottom"/>
    </xf>
    <xf borderId="0" fillId="36" fontId="6" numFmtId="0" xfId="0" applyAlignment="1" applyFont="1">
      <alignment vertical="bottom"/>
    </xf>
    <xf borderId="0" fillId="30" fontId="4" numFmtId="0" xfId="0" applyAlignment="1" applyFont="1">
      <alignment vertical="bottom"/>
    </xf>
    <xf borderId="0" fillId="36" fontId="6" numFmtId="0" xfId="0" applyAlignment="1" applyFont="1">
      <alignment readingOrder="0" vertical="bottom"/>
    </xf>
    <xf borderId="0" fillId="30" fontId="4" numFmtId="0" xfId="0" applyAlignment="1" applyFont="1">
      <alignment vertical="bottom"/>
    </xf>
    <xf borderId="0" fillId="30" fontId="4" numFmtId="165" xfId="0" applyAlignment="1" applyFont="1" applyNumberFormat="1">
      <alignment horizontal="right" vertical="bottom"/>
    </xf>
    <xf borderId="0" fillId="30" fontId="6" numFmtId="0" xfId="0" applyAlignment="1" applyFont="1">
      <alignment vertical="bottom"/>
    </xf>
    <xf borderId="0" fillId="30" fontId="4" numFmtId="0" xfId="0" applyAlignment="1" applyFont="1">
      <alignment horizontal="right" vertical="bottom"/>
    </xf>
    <xf borderId="0" fillId="30" fontId="6" numFmtId="0" xfId="0" applyAlignment="1" applyFont="1">
      <alignment vertical="bottom"/>
    </xf>
    <xf borderId="0" fillId="30" fontId="6" numFmtId="0" xfId="0" applyAlignment="1" applyFont="1">
      <alignment vertical="bottom"/>
    </xf>
    <xf borderId="0" fillId="0" fontId="4" numFmtId="171" xfId="0" applyAlignment="1" applyFont="1" applyNumberFormat="1">
      <alignment horizontal="right" vertical="bottom"/>
    </xf>
    <xf borderId="0" fillId="30" fontId="4" numFmtId="0" xfId="0" applyAlignment="1" applyFont="1">
      <alignment horizontal="right" readingOrder="0" vertical="bottom"/>
    </xf>
    <xf borderId="0" fillId="30" fontId="4" numFmtId="0" xfId="0" applyAlignment="1" applyFont="1">
      <alignment horizontal="right" vertical="bottom"/>
    </xf>
    <xf borderId="0" fillId="25" fontId="4" numFmtId="171" xfId="0" applyAlignment="1" applyFont="1" applyNumberFormat="1">
      <alignment horizontal="right" vertical="bottom"/>
    </xf>
    <xf borderId="0" fillId="25" fontId="133" numFmtId="0" xfId="0" applyAlignment="1" applyFont="1">
      <alignment readingOrder="0" vertical="bottom"/>
    </xf>
    <xf borderId="0" fillId="25" fontId="4" numFmtId="0" xfId="0" applyAlignment="1" applyFont="1">
      <alignment horizontal="right" readingOrder="0" vertical="bottom"/>
    </xf>
    <xf borderId="0" fillId="25" fontId="6" numFmtId="165" xfId="0" applyAlignment="1" applyFont="1" applyNumberFormat="1">
      <alignment vertical="bottom"/>
    </xf>
    <xf borderId="0" fillId="18" fontId="134" numFmtId="0" xfId="0" applyAlignment="1" applyFont="1">
      <alignment vertical="bottom"/>
    </xf>
    <xf borderId="0" fillId="18" fontId="49" numFmtId="0" xfId="0" applyAlignment="1" applyFont="1">
      <alignment horizontal="right" vertical="bottom"/>
    </xf>
    <xf borderId="0" fillId="18" fontId="49" numFmtId="0" xfId="0" applyAlignment="1" applyFont="1">
      <alignment vertical="bottom"/>
    </xf>
    <xf borderId="0" fillId="18" fontId="49" numFmtId="0" xfId="0" applyAlignment="1" applyFont="1">
      <alignment vertical="bottom"/>
    </xf>
    <xf borderId="0" fillId="18" fontId="49" numFmtId="0" xfId="0" applyAlignment="1" applyFont="1">
      <alignment vertical="bottom"/>
    </xf>
    <xf borderId="0" fillId="18" fontId="125" numFmtId="0" xfId="0" applyAlignment="1" applyFont="1">
      <alignment vertical="bottom"/>
    </xf>
    <xf borderId="0" fillId="30" fontId="5" numFmtId="164" xfId="0" applyAlignment="1" applyFont="1" applyNumberFormat="1">
      <alignment readingOrder="0"/>
    </xf>
    <xf borderId="0" fillId="30" fontId="11" numFmtId="0" xfId="0" applyAlignment="1" applyFont="1">
      <alignment readingOrder="0"/>
    </xf>
    <xf borderId="0" fillId="30" fontId="135" numFmtId="0" xfId="0" applyAlignment="1" applyFont="1">
      <alignment readingOrder="0"/>
    </xf>
    <xf borderId="0" fillId="36" fontId="5" numFmtId="0" xfId="0" applyAlignment="1" applyFont="1">
      <alignment readingOrder="0"/>
    </xf>
    <xf borderId="0" fillId="36" fontId="5" numFmtId="0" xfId="0" applyFont="1"/>
    <xf borderId="0" fillId="36" fontId="5" numFmtId="164" xfId="0" applyAlignment="1" applyFont="1" applyNumberFormat="1">
      <alignment readingOrder="0"/>
    </xf>
    <xf borderId="0" fillId="36" fontId="136" numFmtId="0" xfId="0" applyAlignment="1" applyFont="1">
      <alignment readingOrder="0"/>
    </xf>
    <xf borderId="0" fillId="36" fontId="11" numFmtId="0" xfId="0" applyAlignment="1" applyFont="1">
      <alignment readingOrder="0"/>
    </xf>
    <xf borderId="0" fillId="16" fontId="3" numFmtId="0" xfId="0" applyFont="1"/>
    <xf borderId="0" fillId="13" fontId="137" numFmtId="0" xfId="0" applyAlignment="1" applyFont="1">
      <alignment readingOrder="0" vertical="bottom"/>
    </xf>
    <xf borderId="0" fillId="13" fontId="11" numFmtId="0" xfId="0" applyAlignment="1" applyFont="1">
      <alignment readingOrder="0" vertical="bottom"/>
    </xf>
    <xf borderId="0" fillId="20" fontId="138" numFmtId="0" xfId="0" applyAlignment="1" applyFont="1">
      <alignment readingOrder="0" vertical="bottom"/>
    </xf>
    <xf borderId="0" fillId="20" fontId="11" numFmtId="0" xfId="0" applyAlignment="1" applyFont="1">
      <alignment readingOrder="0" vertical="bottom"/>
    </xf>
    <xf borderId="0" fillId="13" fontId="4" numFmtId="164" xfId="0" applyAlignment="1" applyFont="1" applyNumberFormat="1">
      <alignment horizontal="right" readingOrder="0" vertical="bottom"/>
    </xf>
    <xf borderId="0" fillId="13" fontId="4" numFmtId="0" xfId="0" applyAlignment="1" applyFont="1">
      <alignment shrinkToFit="0" vertical="bottom" wrapText="0"/>
    </xf>
    <xf borderId="0" fillId="13" fontId="4" numFmtId="0" xfId="0" applyAlignment="1" applyFont="1">
      <alignment horizontal="right" shrinkToFit="0" vertical="bottom" wrapText="0"/>
    </xf>
    <xf borderId="0" fillId="13" fontId="6" numFmtId="49" xfId="0" applyAlignment="1" applyFont="1" applyNumberFormat="1">
      <alignment shrinkToFit="0" vertical="bottom" wrapText="0"/>
    </xf>
    <xf borderId="0" fillId="13" fontId="4" numFmtId="49" xfId="0" applyAlignment="1" applyFont="1" applyNumberFormat="1">
      <alignment shrinkToFit="0" vertical="bottom" wrapText="0"/>
    </xf>
    <xf borderId="0" fillId="13" fontId="4" numFmtId="0" xfId="0" applyAlignment="1" applyFont="1">
      <alignment horizontal="right" shrinkToFit="0" vertical="bottom" wrapText="0"/>
    </xf>
    <xf borderId="0" fillId="13" fontId="6" numFmtId="0" xfId="0" applyAlignment="1" applyFont="1">
      <alignment shrinkToFit="0" vertical="bottom" wrapText="0"/>
    </xf>
    <xf borderId="0" fillId="0" fontId="2" numFmtId="0" xfId="0" applyAlignment="1" applyFont="1">
      <alignment horizontal="right" vertical="bottom"/>
    </xf>
    <xf borderId="0" fillId="0" fontId="2" numFmtId="0" xfId="0" applyAlignment="1" applyFont="1">
      <alignment shrinkToFit="0" vertical="bottom" wrapText="0"/>
    </xf>
    <xf borderId="0" fillId="0" fontId="4" numFmtId="0" xfId="0" applyAlignment="1" applyFont="1">
      <alignment horizontal="right" shrinkToFit="0" vertical="bottom" wrapText="0"/>
    </xf>
    <xf borderId="0" fillId="0" fontId="6" numFmtId="49" xfId="0" applyAlignment="1" applyFont="1" applyNumberFormat="1">
      <alignment shrinkToFit="0" vertical="bottom" wrapText="0"/>
    </xf>
    <xf borderId="0" fillId="0" fontId="4" numFmtId="49" xfId="0" applyAlignment="1" applyFont="1" applyNumberFormat="1">
      <alignment shrinkToFit="0" vertical="bottom" wrapText="0"/>
    </xf>
    <xf borderId="0" fillId="0" fontId="6" numFmtId="0" xfId="0" applyAlignment="1" applyFont="1">
      <alignment shrinkToFit="0" vertical="bottom" wrapText="0"/>
    </xf>
    <xf borderId="0" fillId="20" fontId="139" numFmtId="0" xfId="0" applyAlignment="1" applyFont="1">
      <alignment vertical="bottom"/>
    </xf>
    <xf borderId="0" fillId="20" fontId="140" numFmtId="0" xfId="0" applyAlignment="1" applyFont="1">
      <alignment horizontal="right" vertical="bottom"/>
    </xf>
    <xf borderId="0" fillId="20" fontId="141" numFmtId="0" xfId="0" applyAlignment="1" applyFont="1">
      <alignment vertical="bottom"/>
    </xf>
    <xf borderId="0" fillId="17" fontId="3" numFmtId="0" xfId="0" applyAlignment="1" applyFont="1">
      <alignment readingOrder="0"/>
    </xf>
    <xf borderId="0" fillId="17" fontId="4" numFmtId="0" xfId="0" applyAlignment="1" applyFont="1">
      <alignment vertical="bottom"/>
    </xf>
    <xf borderId="0" fillId="17" fontId="4" numFmtId="0" xfId="0" applyAlignment="1" applyFont="1">
      <alignment vertical="bottom"/>
    </xf>
    <xf borderId="0" fillId="17" fontId="4" numFmtId="164" xfId="0" applyAlignment="1" applyFont="1" applyNumberFormat="1">
      <alignment horizontal="right" vertical="bottom"/>
    </xf>
    <xf borderId="0" fillId="17" fontId="6" numFmtId="0" xfId="0" applyAlignment="1" applyFont="1">
      <alignment vertical="bottom"/>
    </xf>
    <xf borderId="0" fillId="17" fontId="4" numFmtId="0" xfId="0" applyAlignment="1" applyFont="1">
      <alignment horizontal="right" vertical="bottom"/>
    </xf>
    <xf borderId="0" fillId="17" fontId="4" numFmtId="0" xfId="0" applyAlignment="1" applyFont="1">
      <alignment vertical="bottom"/>
    </xf>
    <xf borderId="0" fillId="17" fontId="52" numFmtId="0" xfId="0" applyAlignment="1" applyFont="1">
      <alignment horizontal="right" vertical="bottom"/>
    </xf>
    <xf borderId="0" fillId="17" fontId="11" numFmtId="0" xfId="0" applyAlignment="1" applyFont="1">
      <alignment readingOrder="0" vertical="bottom"/>
    </xf>
    <xf borderId="0" fillId="21" fontId="11" numFmtId="0" xfId="0" applyAlignment="1" applyFont="1">
      <alignment vertical="bottom"/>
    </xf>
    <xf borderId="0" fillId="17" fontId="4" numFmtId="3" xfId="0" applyAlignment="1" applyFont="1" applyNumberFormat="1">
      <alignment horizontal="right" vertical="bottom"/>
    </xf>
    <xf borderId="0" fillId="17" fontId="6" numFmtId="0" xfId="0" applyAlignment="1" applyFont="1">
      <alignment vertical="bottom"/>
    </xf>
    <xf borderId="0" fillId="17" fontId="6" numFmtId="0" xfId="0" applyAlignment="1" applyFont="1">
      <alignment vertical="bottom"/>
    </xf>
    <xf borderId="0" fillId="17" fontId="142" numFmtId="0" xfId="0" applyAlignment="1" applyFont="1">
      <alignment vertical="bottom"/>
    </xf>
    <xf borderId="0" fillId="21" fontId="4" numFmtId="165" xfId="0" applyAlignment="1" applyFont="1" applyNumberFormat="1">
      <alignment horizontal="right" vertical="bottom"/>
    </xf>
    <xf borderId="0" fillId="21" fontId="143" numFmtId="0" xfId="0" applyAlignment="1" applyFont="1">
      <alignment readingOrder="0" vertical="bottom"/>
    </xf>
    <xf borderId="0" fillId="17" fontId="11" numFmtId="0" xfId="0" applyAlignment="1" applyFont="1">
      <alignment horizontal="right" vertical="bottom"/>
    </xf>
    <xf borderId="0" fillId="21" fontId="29" numFmtId="0" xfId="0" applyAlignment="1" applyFont="1">
      <alignment readingOrder="0" vertical="bottom"/>
    </xf>
    <xf borderId="0" fillId="21" fontId="144" numFmtId="0" xfId="0" applyAlignment="1" applyFont="1">
      <alignment vertical="bottom"/>
    </xf>
    <xf borderId="0" fillId="21" fontId="145" numFmtId="0" xfId="0" applyAlignment="1" applyFont="1">
      <alignment horizontal="right" vertical="bottom"/>
    </xf>
    <xf borderId="0" fillId="17" fontId="6" numFmtId="165" xfId="0" applyAlignment="1" applyFont="1" applyNumberFormat="1">
      <alignment vertical="bottom"/>
    </xf>
    <xf borderId="0" fillId="17" fontId="4" numFmtId="0" xfId="0" applyAlignment="1" applyFont="1">
      <alignment horizontal="right" vertical="bottom"/>
    </xf>
    <xf borderId="0" fillId="0" fontId="6" numFmtId="165" xfId="0" applyAlignment="1" applyFont="1" applyNumberFormat="1">
      <alignment vertical="bottom"/>
    </xf>
    <xf borderId="0" fillId="0" fontId="146" numFmtId="0" xfId="0" applyAlignment="1" applyFont="1">
      <alignment horizontal="right" vertical="bottom"/>
    </xf>
    <xf borderId="0" fillId="0" fontId="4" numFmtId="3" xfId="0" applyAlignment="1" applyFont="1" applyNumberFormat="1">
      <alignment horizontal="right" vertical="bottom"/>
    </xf>
    <xf borderId="0" fillId="16" fontId="5" numFmtId="0" xfId="0" applyAlignment="1" applyFont="1">
      <alignment readingOrder="0"/>
    </xf>
    <xf borderId="0" fillId="16" fontId="5" numFmtId="0" xfId="0" applyFont="1"/>
    <xf borderId="0" fillId="16" fontId="3" numFmtId="0" xfId="0" applyAlignment="1" applyFont="1">
      <alignment readingOrder="0"/>
    </xf>
    <xf borderId="0" fillId="16" fontId="5" numFmtId="165" xfId="0" applyAlignment="1" applyFont="1" applyNumberFormat="1">
      <alignment readingOrder="0"/>
    </xf>
    <xf borderId="0" fillId="16" fontId="5" numFmtId="164" xfId="0" applyAlignment="1" applyFont="1" applyNumberFormat="1">
      <alignment readingOrder="0"/>
    </xf>
    <xf borderId="0" fillId="16" fontId="147" numFmtId="0" xfId="0" applyAlignment="1" applyFont="1">
      <alignment readingOrder="0"/>
    </xf>
    <xf borderId="0" fillId="16" fontId="6" numFmtId="0" xfId="0" applyAlignment="1" applyFont="1">
      <alignment readingOrder="0" vertical="bottom"/>
    </xf>
    <xf borderId="0" fillId="29" fontId="148" numFmtId="0" xfId="0" applyAlignment="1" applyFont="1">
      <alignment vertical="bottom"/>
    </xf>
    <xf borderId="0" fillId="29" fontId="6" numFmtId="0" xfId="0" applyAlignment="1" applyFont="1">
      <alignment horizontal="right" vertical="bottom"/>
    </xf>
    <xf borderId="0" fillId="29" fontId="4" numFmtId="0" xfId="0" applyAlignment="1" applyFont="1">
      <alignment horizontal="right" vertical="bottom"/>
    </xf>
    <xf borderId="0" fillId="29" fontId="6" numFmtId="0" xfId="0" applyAlignment="1" applyFont="1">
      <alignment horizontal="right" vertical="bottom"/>
    </xf>
    <xf borderId="0" fillId="30" fontId="5" numFmtId="165" xfId="0" applyAlignment="1" applyFont="1" applyNumberFormat="1">
      <alignment readingOrder="0"/>
    </xf>
    <xf borderId="0" fillId="30" fontId="4" numFmtId="0" xfId="0" applyAlignment="1" applyFont="1">
      <alignment shrinkToFit="0" vertical="bottom" wrapText="0"/>
    </xf>
    <xf borderId="0" fillId="25" fontId="5" numFmtId="165" xfId="0" applyAlignment="1" applyFont="1" applyNumberFormat="1">
      <alignment readingOrder="0"/>
    </xf>
    <xf borderId="0" fillId="25" fontId="11" numFmtId="0" xfId="0" applyAlignment="1" applyFont="1">
      <alignment vertical="bottom"/>
    </xf>
    <xf borderId="0" fillId="25" fontId="149" numFmtId="0" xfId="0" applyAlignment="1" applyFont="1">
      <alignment readingOrder="0"/>
    </xf>
    <xf borderId="0" fillId="25" fontId="150" numFmtId="0" xfId="0" applyAlignment="1" applyFont="1">
      <alignment readingOrder="0"/>
    </xf>
    <xf borderId="0" fillId="25" fontId="11" numFmtId="0" xfId="0" applyAlignment="1" applyFont="1">
      <alignment readingOrder="0"/>
    </xf>
    <xf borderId="0" fillId="25" fontId="4" numFmtId="0" xfId="0" applyAlignment="1" applyFont="1">
      <alignment horizontal="right" vertical="bottom"/>
    </xf>
    <xf borderId="0" fillId="25" fontId="151" numFmtId="0" xfId="0" applyAlignment="1" applyFont="1">
      <alignment readingOrder="0"/>
    </xf>
    <xf borderId="0" fillId="25" fontId="152" numFmtId="0" xfId="0" applyAlignment="1" applyFont="1">
      <alignment vertical="bottom"/>
    </xf>
    <xf borderId="0" fillId="21" fontId="5" numFmtId="165" xfId="0" applyAlignment="1" applyFont="1" applyNumberFormat="1">
      <alignment readingOrder="0"/>
    </xf>
    <xf borderId="0" fillId="21" fontId="153" numFmtId="0" xfId="0" applyAlignment="1" applyFont="1">
      <alignment readingOrder="0"/>
    </xf>
    <xf borderId="0" fillId="21" fontId="154" numFmtId="0" xfId="0" applyAlignment="1" applyFont="1">
      <alignment vertical="bottom"/>
    </xf>
    <xf borderId="0" fillId="21" fontId="6" numFmtId="0" xfId="0" applyAlignment="1" applyFont="1">
      <alignment horizontal="right" vertical="bottom"/>
    </xf>
    <xf borderId="0" fillId="24" fontId="5" numFmtId="165" xfId="0" applyAlignment="1" applyFont="1" applyNumberFormat="1">
      <alignment readingOrder="0"/>
    </xf>
    <xf borderId="0" fillId="24" fontId="6" numFmtId="0" xfId="0" applyAlignment="1" applyFont="1">
      <alignment horizontal="right" vertical="bottom"/>
    </xf>
    <xf quotePrefix="1" borderId="0" fillId="30" fontId="5" numFmtId="0" xfId="0" applyAlignment="1" applyFont="1">
      <alignment readingOrder="0"/>
    </xf>
    <xf borderId="0" fillId="30" fontId="49" numFmtId="0" xfId="0" applyAlignment="1" applyFont="1">
      <alignment horizontal="right" vertical="bottom"/>
    </xf>
    <xf borderId="0" fillId="30" fontId="4" numFmtId="0" xfId="0" applyAlignment="1" applyFont="1">
      <alignment horizontal="right" vertical="bottom"/>
    </xf>
    <xf quotePrefix="1" borderId="0" fillId="30" fontId="3" numFmtId="0" xfId="0" applyAlignment="1" applyFont="1">
      <alignment readingOrder="0"/>
    </xf>
    <xf borderId="0" fillId="18" fontId="155" numFmtId="0" xfId="0" applyAlignment="1" applyFont="1">
      <alignment horizontal="right" vertical="bottom"/>
    </xf>
    <xf borderId="0" fillId="20" fontId="101" numFmtId="165" xfId="0" applyAlignment="1" applyFont="1" applyNumberFormat="1">
      <alignment horizontal="right" vertical="bottom"/>
    </xf>
    <xf borderId="1" fillId="19" fontId="4" numFmtId="0" xfId="0" applyAlignment="1" applyBorder="1" applyFont="1">
      <alignment vertical="bottom"/>
    </xf>
    <xf borderId="1" fillId="19" fontId="4" numFmtId="0" xfId="0" applyAlignment="1" applyBorder="1" applyFont="1">
      <alignment vertical="bottom"/>
    </xf>
    <xf borderId="0" fillId="0" fontId="156" numFmtId="0" xfId="0" applyAlignment="1" applyFont="1">
      <alignment vertical="bottom"/>
    </xf>
    <xf borderId="1" fillId="0" fontId="156" numFmtId="0" xfId="0" applyAlignment="1" applyBorder="1" applyFont="1">
      <alignment vertical="bottom"/>
    </xf>
    <xf borderId="1" fillId="0" fontId="4" numFmtId="164" xfId="0" applyAlignment="1" applyBorder="1" applyFont="1" applyNumberFormat="1">
      <alignment horizontal="right" vertical="bottom"/>
    </xf>
    <xf borderId="1" fillId="0" fontId="4"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horizontal="right" vertical="bottom"/>
    </xf>
    <xf borderId="1" fillId="0" fontId="4" numFmtId="0" xfId="0" applyAlignment="1" applyBorder="1" applyFont="1">
      <alignment vertical="bottom"/>
    </xf>
    <xf borderId="0" fillId="17" fontId="4" numFmtId="165" xfId="0" applyAlignment="1" applyFont="1" applyNumberFormat="1">
      <alignment horizontal="right" vertical="bottom"/>
    </xf>
    <xf borderId="0" fillId="17" fontId="6" numFmtId="165" xfId="0" applyAlignment="1" applyFont="1" applyNumberFormat="1">
      <alignment readingOrder="0" vertical="bottom"/>
    </xf>
    <xf borderId="0" fillId="17" fontId="4" numFmtId="0" xfId="0" applyAlignment="1" applyFont="1">
      <alignment horizontal="center" vertical="bottom"/>
    </xf>
    <xf borderId="1" fillId="17" fontId="4" numFmtId="0" xfId="0" applyAlignment="1" applyBorder="1" applyFont="1">
      <alignment vertical="bottom"/>
    </xf>
    <xf borderId="0" fillId="17" fontId="4" numFmtId="0" xfId="0" applyAlignment="1" applyFont="1">
      <alignment shrinkToFit="0" vertical="bottom" wrapText="1"/>
    </xf>
    <xf borderId="0" fillId="17" fontId="4" numFmtId="0" xfId="0" applyAlignment="1" applyFont="1">
      <alignment horizontal="right" vertical="bottom"/>
    </xf>
    <xf borderId="0" fillId="17" fontId="4" numFmtId="0" xfId="0" applyAlignment="1" applyFont="1">
      <alignment readingOrder="0" vertical="bottom"/>
    </xf>
    <xf borderId="0" fillId="17" fontId="157" numFmtId="0" xfId="0" applyAlignment="1" applyFont="1">
      <alignment vertical="bottom"/>
    </xf>
    <xf borderId="0" fillId="17" fontId="158" numFmtId="0" xfId="0" applyAlignment="1" applyFont="1">
      <alignment horizontal="right" vertical="bottom"/>
    </xf>
    <xf borderId="0" fillId="17" fontId="159" numFmtId="0" xfId="0" applyAlignment="1" applyFont="1">
      <alignment vertical="bottom"/>
    </xf>
    <xf borderId="0" fillId="17" fontId="160" numFmtId="0" xfId="0" applyAlignment="1" applyFont="1">
      <alignment vertical="bottom"/>
    </xf>
    <xf borderId="0" fillId="21" fontId="4" numFmtId="0" xfId="0" applyAlignment="1" applyFont="1">
      <alignment horizontal="center" vertical="bottom"/>
    </xf>
    <xf borderId="1" fillId="21" fontId="4" numFmtId="0" xfId="0" applyAlignment="1" applyBorder="1" applyFont="1">
      <alignment vertical="bottom"/>
    </xf>
    <xf borderId="0" fillId="21" fontId="4" numFmtId="0" xfId="0" applyAlignment="1" applyFont="1">
      <alignment horizontal="center" vertical="bottom"/>
    </xf>
    <xf borderId="1" fillId="21" fontId="4" numFmtId="0" xfId="0" applyAlignment="1" applyBorder="1" applyFont="1">
      <alignment vertical="bottom"/>
    </xf>
    <xf borderId="1" fillId="30" fontId="4" numFmtId="0" xfId="0" applyAlignment="1" applyBorder="1" applyFont="1">
      <alignment vertical="bottom"/>
    </xf>
    <xf borderId="1" fillId="30" fontId="4" numFmtId="0" xfId="0" applyAlignment="1" applyBorder="1" applyFont="1">
      <alignment vertical="bottom"/>
    </xf>
    <xf borderId="1" fillId="30" fontId="4" numFmtId="164" xfId="0" applyAlignment="1" applyBorder="1" applyFont="1" applyNumberFormat="1">
      <alignment horizontal="right" vertical="bottom"/>
    </xf>
    <xf borderId="1" fillId="30" fontId="6" numFmtId="165" xfId="0" applyAlignment="1" applyBorder="1" applyFont="1" applyNumberFormat="1">
      <alignment readingOrder="0" vertical="bottom"/>
    </xf>
    <xf borderId="1" fillId="30" fontId="4" numFmtId="0" xfId="0" applyAlignment="1" applyBorder="1" applyFont="1">
      <alignment shrinkToFit="0" vertical="bottom" wrapText="0"/>
    </xf>
    <xf borderId="1" fillId="30" fontId="6" numFmtId="0" xfId="0" applyAlignment="1" applyBorder="1" applyFont="1">
      <alignment vertical="bottom"/>
    </xf>
    <xf borderId="1" fillId="30" fontId="4" numFmtId="0" xfId="0" applyAlignment="1" applyBorder="1" applyFont="1">
      <alignment horizontal="center" vertical="bottom"/>
    </xf>
    <xf borderId="1" fillId="30" fontId="4" numFmtId="0" xfId="0" applyAlignment="1" applyBorder="1" applyFont="1">
      <alignment vertical="bottom"/>
    </xf>
    <xf borderId="1" fillId="30" fontId="4" numFmtId="0" xfId="0" applyAlignment="1" applyBorder="1" applyFont="1">
      <alignment horizontal="center" vertical="bottom"/>
    </xf>
    <xf borderId="1" fillId="30" fontId="4" numFmtId="0" xfId="0" applyAlignment="1" applyBorder="1" applyFont="1">
      <alignment horizontal="right" vertical="bottom"/>
    </xf>
    <xf borderId="1" fillId="17" fontId="4" numFmtId="0" xfId="0" applyAlignment="1" applyBorder="1" applyFont="1">
      <alignment vertical="bottom"/>
    </xf>
    <xf borderId="1" fillId="30" fontId="161" numFmtId="0" xfId="0" applyAlignment="1" applyBorder="1" applyFont="1">
      <alignment vertical="bottom"/>
    </xf>
    <xf borderId="1" fillId="30" fontId="162" numFmtId="0" xfId="0" applyAlignment="1" applyBorder="1" applyFont="1">
      <alignment horizontal="right" vertical="bottom"/>
    </xf>
    <xf borderId="1" fillId="30" fontId="6" numFmtId="0" xfId="0" applyAlignment="1" applyBorder="1" applyFont="1">
      <alignment vertical="bottom"/>
    </xf>
    <xf borderId="1" fillId="30" fontId="163" numFmtId="0" xfId="0" applyAlignment="1" applyBorder="1" applyFont="1">
      <alignment vertical="bottom"/>
    </xf>
    <xf borderId="1" fillId="30" fontId="164" numFmtId="0" xfId="0" applyAlignment="1" applyBorder="1" applyFont="1">
      <alignment vertical="bottom"/>
    </xf>
    <xf borderId="1" fillId="34" fontId="4" numFmtId="0" xfId="0" applyAlignment="1" applyBorder="1" applyFont="1">
      <alignment vertical="bottom"/>
    </xf>
    <xf borderId="1" fillId="34" fontId="4" numFmtId="0" xfId="0" applyAlignment="1" applyBorder="1" applyFont="1">
      <alignment vertical="bottom"/>
    </xf>
    <xf borderId="1" fillId="34" fontId="4" numFmtId="164" xfId="0" applyAlignment="1" applyBorder="1" applyFont="1" applyNumberFormat="1">
      <alignment horizontal="right" vertical="bottom"/>
    </xf>
    <xf borderId="1" fillId="34" fontId="6" numFmtId="165" xfId="0" applyAlignment="1" applyBorder="1" applyFont="1" applyNumberFormat="1">
      <alignment readingOrder="0" vertical="bottom"/>
    </xf>
    <xf borderId="1" fillId="34" fontId="4" numFmtId="0" xfId="0" applyAlignment="1" applyBorder="1" applyFont="1">
      <alignment shrinkToFit="0" vertical="bottom" wrapText="0"/>
    </xf>
    <xf borderId="1" fillId="34" fontId="6" numFmtId="0" xfId="0" applyAlignment="1" applyBorder="1" applyFont="1">
      <alignment vertical="bottom"/>
    </xf>
    <xf borderId="1" fillId="34" fontId="4" numFmtId="0" xfId="0" applyAlignment="1" applyBorder="1" applyFont="1">
      <alignment horizontal="center" vertical="bottom"/>
    </xf>
    <xf borderId="1" fillId="34" fontId="4" numFmtId="0" xfId="0" applyAlignment="1" applyBorder="1" applyFont="1">
      <alignment vertical="bottom"/>
    </xf>
    <xf borderId="1" fillId="34" fontId="4" numFmtId="0" xfId="0" applyAlignment="1" applyBorder="1" applyFont="1">
      <alignment horizontal="center" vertical="bottom"/>
    </xf>
    <xf borderId="0" fillId="34" fontId="4" numFmtId="0" xfId="0" applyAlignment="1" applyFont="1">
      <alignment vertical="bottom"/>
    </xf>
    <xf borderId="1" fillId="34" fontId="4" numFmtId="0" xfId="0" applyAlignment="1" applyBorder="1" applyFont="1">
      <alignment horizontal="right" vertical="bottom"/>
    </xf>
    <xf borderId="1" fillId="34" fontId="6" numFmtId="0" xfId="0" applyAlignment="1" applyBorder="1" applyFont="1">
      <alignment horizontal="right" vertical="bottom"/>
    </xf>
    <xf borderId="1" fillId="34" fontId="165" numFmtId="0" xfId="0" applyAlignment="1" applyBorder="1" applyFont="1">
      <alignment vertical="bottom"/>
    </xf>
    <xf borderId="1" fillId="34" fontId="166" numFmtId="0" xfId="0" applyAlignment="1" applyBorder="1" applyFont="1">
      <alignment horizontal="right" vertical="bottom"/>
    </xf>
    <xf borderId="1" fillId="34" fontId="6" numFmtId="0" xfId="0" applyAlignment="1" applyBorder="1" applyFont="1">
      <alignment vertical="bottom"/>
    </xf>
    <xf borderId="1" fillId="34" fontId="167" numFmtId="0" xfId="0" applyAlignment="1" applyBorder="1" applyFont="1">
      <alignment vertical="bottom"/>
    </xf>
    <xf borderId="1" fillId="34" fontId="168" numFmtId="0" xfId="0" applyAlignment="1" applyBorder="1" applyFont="1">
      <alignment vertical="bottom"/>
    </xf>
    <xf borderId="1" fillId="29" fontId="4" numFmtId="0" xfId="0" applyAlignment="1" applyBorder="1" applyFont="1">
      <alignment vertical="bottom"/>
    </xf>
    <xf borderId="1" fillId="29" fontId="4" numFmtId="0" xfId="0" applyAlignment="1" applyBorder="1" applyFont="1">
      <alignment vertical="bottom"/>
    </xf>
    <xf borderId="1" fillId="29" fontId="4" numFmtId="164" xfId="0" applyAlignment="1" applyBorder="1" applyFont="1" applyNumberFormat="1">
      <alignment horizontal="right" vertical="bottom"/>
    </xf>
    <xf borderId="1" fillId="29" fontId="6" numFmtId="165" xfId="0" applyAlignment="1" applyBorder="1" applyFont="1" applyNumberFormat="1">
      <alignment readingOrder="0" vertical="bottom"/>
    </xf>
    <xf borderId="1" fillId="29" fontId="4" numFmtId="0" xfId="0" applyAlignment="1" applyBorder="1" applyFont="1">
      <alignment shrinkToFit="0" vertical="bottom" wrapText="0"/>
    </xf>
    <xf borderId="1" fillId="29" fontId="6" numFmtId="0" xfId="0" applyAlignment="1" applyBorder="1" applyFont="1">
      <alignment vertical="bottom"/>
    </xf>
    <xf borderId="1" fillId="29" fontId="4" numFmtId="0" xfId="0" applyAlignment="1" applyBorder="1" applyFont="1">
      <alignment horizontal="center" vertical="bottom"/>
    </xf>
    <xf borderId="1" fillId="29" fontId="4" numFmtId="0" xfId="0" applyAlignment="1" applyBorder="1" applyFont="1">
      <alignment vertical="bottom"/>
    </xf>
    <xf borderId="1" fillId="29" fontId="4" numFmtId="0" xfId="0" applyAlignment="1" applyBorder="1" applyFont="1">
      <alignment horizontal="center" vertical="bottom"/>
    </xf>
    <xf borderId="1" fillId="29" fontId="4" numFmtId="0" xfId="0" applyAlignment="1" applyBorder="1" applyFont="1">
      <alignment horizontal="right" vertical="bottom"/>
    </xf>
    <xf borderId="1" fillId="29" fontId="169" numFmtId="0" xfId="0" applyAlignment="1" applyBorder="1" applyFont="1">
      <alignment vertical="bottom"/>
    </xf>
    <xf borderId="1" fillId="29" fontId="170" numFmtId="0" xfId="0" applyAlignment="1" applyBorder="1" applyFont="1">
      <alignment horizontal="right" vertical="bottom"/>
    </xf>
    <xf borderId="1" fillId="29" fontId="6" numFmtId="0" xfId="0" applyAlignment="1" applyBorder="1" applyFont="1">
      <alignment vertical="bottom"/>
    </xf>
    <xf borderId="1" fillId="29" fontId="171" numFmtId="0" xfId="0" applyAlignment="1" applyBorder="1" applyFont="1">
      <alignment vertical="bottom"/>
    </xf>
    <xf borderId="1" fillId="29" fontId="172" numFmtId="0" xfId="0" applyAlignment="1" applyBorder="1" applyFont="1">
      <alignment vertical="bottom"/>
    </xf>
    <xf borderId="1" fillId="21" fontId="4" numFmtId="0" xfId="0" applyAlignment="1" applyBorder="1" applyFont="1">
      <alignment vertical="bottom"/>
    </xf>
    <xf borderId="1" fillId="21" fontId="4" numFmtId="164" xfId="0" applyAlignment="1" applyBorder="1" applyFont="1" applyNumberFormat="1">
      <alignment horizontal="right" vertical="bottom"/>
    </xf>
    <xf borderId="1" fillId="17" fontId="6" numFmtId="165" xfId="0" applyAlignment="1" applyBorder="1" applyFont="1" applyNumberFormat="1">
      <alignment readingOrder="0" vertical="bottom"/>
    </xf>
    <xf borderId="1" fillId="21" fontId="4" numFmtId="0" xfId="0" applyAlignment="1" applyBorder="1" applyFont="1">
      <alignment shrinkToFit="0" vertical="bottom" wrapText="0"/>
    </xf>
    <xf borderId="1" fillId="21" fontId="6" numFmtId="0" xfId="0" applyAlignment="1" applyBorder="1" applyFont="1">
      <alignment vertical="bottom"/>
    </xf>
    <xf borderId="1" fillId="21" fontId="4" numFmtId="0" xfId="0" applyAlignment="1" applyBorder="1" applyFont="1">
      <alignment horizontal="center" vertical="bottom"/>
    </xf>
    <xf borderId="1" fillId="21" fontId="4" numFmtId="0" xfId="0" applyAlignment="1" applyBorder="1" applyFont="1">
      <alignment horizontal="center" vertical="bottom"/>
    </xf>
    <xf borderId="1" fillId="21" fontId="4" numFmtId="0" xfId="0" applyAlignment="1" applyBorder="1" applyFont="1">
      <alignment horizontal="right" vertical="bottom"/>
    </xf>
    <xf borderId="1" fillId="21" fontId="173" numFmtId="0" xfId="0" applyAlignment="1" applyBorder="1" applyFont="1">
      <alignment vertical="bottom"/>
    </xf>
    <xf borderId="1" fillId="21" fontId="174" numFmtId="0" xfId="0" applyAlignment="1" applyBorder="1" applyFont="1">
      <alignment horizontal="right" vertical="bottom"/>
    </xf>
    <xf borderId="1" fillId="21" fontId="6" numFmtId="0" xfId="0" applyAlignment="1" applyBorder="1" applyFont="1">
      <alignment vertical="bottom"/>
    </xf>
    <xf borderId="1" fillId="21" fontId="175" numFmtId="0" xfId="0" applyAlignment="1" applyBorder="1" applyFont="1">
      <alignment vertical="bottom"/>
    </xf>
    <xf borderId="1" fillId="21" fontId="176" numFmtId="0" xfId="0" applyAlignment="1" applyBorder="1" applyFont="1">
      <alignment vertical="bottom"/>
    </xf>
    <xf borderId="1" fillId="21" fontId="101" numFmtId="0" xfId="0" applyAlignment="1" applyBorder="1" applyFont="1">
      <alignment vertical="bottom"/>
    </xf>
    <xf borderId="0" fillId="30" fontId="4" numFmtId="0" xfId="0" applyAlignment="1" applyFont="1">
      <alignment horizontal="center" vertical="bottom"/>
    </xf>
    <xf borderId="0" fillId="30" fontId="4" numFmtId="0" xfId="0" applyAlignment="1" applyFont="1">
      <alignment vertical="bottom"/>
    </xf>
    <xf borderId="0" fillId="30" fontId="177" numFmtId="0" xfId="0" applyAlignment="1" applyFont="1">
      <alignment vertical="bottom"/>
    </xf>
    <xf borderId="0" fillId="30" fontId="178" numFmtId="0" xfId="0" applyAlignment="1" applyFont="1">
      <alignment horizontal="right" vertical="bottom"/>
    </xf>
    <xf borderId="0" fillId="30" fontId="179" numFmtId="0" xfId="0" applyAlignment="1" applyFont="1">
      <alignment vertical="bottom"/>
    </xf>
    <xf borderId="0" fillId="30" fontId="180" numFmtId="0" xfId="0" applyAlignment="1" applyFont="1">
      <alignment vertical="bottom"/>
    </xf>
    <xf borderId="0" fillId="34" fontId="4" numFmtId="0" xfId="0" applyAlignment="1" applyFont="1">
      <alignment vertical="bottom"/>
    </xf>
    <xf borderId="0" fillId="34" fontId="4" numFmtId="165" xfId="0" applyAlignment="1" applyFont="1" applyNumberFormat="1">
      <alignment horizontal="right" vertical="bottom"/>
    </xf>
    <xf borderId="0" fillId="34" fontId="6" numFmtId="0" xfId="0" applyAlignment="1" applyFont="1">
      <alignment vertical="bottom"/>
    </xf>
    <xf borderId="0" fillId="34" fontId="4" numFmtId="0" xfId="0" applyAlignment="1" applyFont="1">
      <alignment horizontal="center" vertical="bottom"/>
    </xf>
    <xf borderId="0" fillId="34" fontId="4" numFmtId="0" xfId="0" applyAlignment="1" applyFont="1">
      <alignment horizontal="right" vertical="bottom"/>
    </xf>
    <xf borderId="0" fillId="34" fontId="4" numFmtId="0" xfId="0" applyAlignment="1" applyFont="1">
      <alignment vertical="bottom"/>
    </xf>
    <xf borderId="0" fillId="34" fontId="181" numFmtId="0" xfId="0" applyAlignment="1" applyFont="1">
      <alignment vertical="bottom"/>
    </xf>
    <xf borderId="0" fillId="34" fontId="182" numFmtId="0" xfId="0" applyAlignment="1" applyFont="1">
      <alignment horizontal="right" vertical="bottom"/>
    </xf>
    <xf borderId="0" fillId="34" fontId="183" numFmtId="0" xfId="0" applyAlignment="1" applyFont="1">
      <alignment vertical="bottom"/>
    </xf>
    <xf borderId="0" fillId="34" fontId="184" numFmtId="0" xfId="0" applyAlignment="1" applyFont="1">
      <alignment vertical="bottom"/>
    </xf>
    <xf borderId="0" fillId="29" fontId="4" numFmtId="0" xfId="0" applyAlignment="1" applyFont="1">
      <alignment horizontal="center" vertical="bottom"/>
    </xf>
    <xf borderId="0" fillId="29" fontId="185" numFmtId="0" xfId="0" applyAlignment="1" applyFont="1">
      <alignment vertical="bottom"/>
    </xf>
    <xf borderId="0" fillId="29" fontId="186" numFmtId="0" xfId="0" applyAlignment="1" applyFont="1">
      <alignment horizontal="right" vertical="bottom"/>
    </xf>
    <xf borderId="0" fillId="29" fontId="187" numFmtId="0" xfId="0" applyAlignment="1" applyFont="1">
      <alignment vertical="bottom"/>
    </xf>
    <xf borderId="0" fillId="28" fontId="4" numFmtId="0" xfId="0" applyAlignment="1" applyFont="1">
      <alignment horizontal="center" vertical="bottom"/>
    </xf>
    <xf borderId="1" fillId="28" fontId="4" numFmtId="0" xfId="0" applyAlignment="1" applyBorder="1" applyFont="1">
      <alignment vertical="bottom"/>
    </xf>
    <xf borderId="0" fillId="28" fontId="188" numFmtId="0" xfId="0" applyAlignment="1" applyFont="1">
      <alignment horizontal="right" vertical="bottom"/>
    </xf>
    <xf borderId="1" fillId="18" fontId="4" numFmtId="0" xfId="0" applyAlignment="1" applyBorder="1" applyFont="1">
      <alignment vertical="bottom"/>
    </xf>
    <xf borderId="1" fillId="18" fontId="189" numFmtId="0" xfId="0" applyAlignment="1" applyBorder="1" applyFont="1">
      <alignment readingOrder="0" vertical="bottom"/>
    </xf>
    <xf borderId="1" fillId="18" fontId="4" numFmtId="0" xfId="0" applyAlignment="1" applyBorder="1" applyFont="1">
      <alignment vertical="bottom"/>
    </xf>
    <xf borderId="0" fillId="18" fontId="6" numFmtId="0" xfId="0" applyAlignment="1" applyFont="1">
      <alignment readingOrder="0" vertical="bottom"/>
    </xf>
    <xf borderId="0" fillId="18" fontId="6" numFmtId="0" xfId="0" applyAlignment="1" applyFont="1">
      <alignment horizontal="right" readingOrder="0" vertical="bottom"/>
    </xf>
    <xf borderId="1" fillId="0" fontId="5" numFmtId="0" xfId="0" applyAlignment="1" applyBorder="1" applyFont="1">
      <alignment readingOrder="0"/>
    </xf>
    <xf borderId="0" fillId="29" fontId="6" numFmtId="0" xfId="0" applyAlignment="1" applyFont="1">
      <alignment horizontal="right" vertical="bottom"/>
    </xf>
    <xf borderId="0" fillId="29" fontId="6" numFmtId="0" xfId="0" applyAlignment="1" applyFont="1">
      <alignment horizontal="right" readingOrder="0" vertical="bottom"/>
    </xf>
    <xf borderId="0" fillId="18" fontId="190" numFmtId="0" xfId="0" applyAlignment="1" applyFont="1">
      <alignment readingOrder="0" vertical="bottom"/>
    </xf>
    <xf borderId="0" fillId="20" fontId="4" numFmtId="164" xfId="0" applyAlignment="1" applyFont="1" applyNumberFormat="1">
      <alignment horizontal="right" readingOrder="0" vertical="bottom"/>
    </xf>
    <xf borderId="0" fillId="2" fontId="4" numFmtId="0" xfId="0" applyAlignment="1" applyFont="1">
      <alignment readingOrder="0" vertical="bottom"/>
    </xf>
    <xf borderId="0" fillId="20" fontId="4" numFmtId="0" xfId="0" applyAlignment="1" applyFont="1">
      <alignment horizontal="right" shrinkToFit="0" vertical="bottom" wrapText="0"/>
    </xf>
    <xf borderId="0" fillId="20" fontId="4" numFmtId="49" xfId="0" applyAlignment="1" applyFont="1" applyNumberFormat="1">
      <alignment shrinkToFit="0" vertical="bottom" wrapText="0"/>
    </xf>
    <xf borderId="0" fillId="20" fontId="6" numFmtId="0" xfId="0" applyAlignment="1" applyFont="1">
      <alignment shrinkToFit="0" vertical="bottom" wrapText="0"/>
    </xf>
    <xf borderId="0" fillId="14" fontId="6" numFmtId="0" xfId="0" applyAlignment="1" applyFont="1">
      <alignment vertical="bottom"/>
    </xf>
    <xf borderId="0" fillId="14" fontId="4" numFmtId="0" xfId="0" applyAlignment="1" applyFont="1">
      <alignment shrinkToFit="0" vertical="bottom" wrapText="0"/>
    </xf>
    <xf borderId="0" fillId="14" fontId="4" numFmtId="0" xfId="0" applyAlignment="1" applyFont="1">
      <alignment horizontal="right" vertical="bottom"/>
    </xf>
    <xf borderId="0" fillId="14" fontId="4" numFmtId="0" xfId="0" applyAlignment="1" applyFont="1">
      <alignment horizontal="right" shrinkToFit="0" vertical="bottom" wrapText="0"/>
    </xf>
    <xf borderId="0" fillId="14" fontId="4" numFmtId="49" xfId="0" applyAlignment="1" applyFont="1" applyNumberFormat="1">
      <alignment shrinkToFit="0" vertical="bottom" wrapText="0"/>
    </xf>
    <xf borderId="0" fillId="14" fontId="4" numFmtId="0" xfId="0" applyAlignment="1" applyFont="1">
      <alignment shrinkToFit="0" vertical="bottom" wrapText="0"/>
    </xf>
    <xf borderId="0" fillId="14" fontId="4" numFmtId="0" xfId="0" applyAlignment="1" applyFont="1">
      <alignment horizontal="right" shrinkToFit="0" vertical="bottom" wrapText="0"/>
    </xf>
    <xf borderId="0" fillId="14" fontId="6" numFmtId="0" xfId="0" applyAlignment="1" applyFont="1">
      <alignment shrinkToFit="0" vertical="bottom" wrapText="0"/>
    </xf>
    <xf borderId="0" fillId="28" fontId="4" numFmtId="164" xfId="0" applyAlignment="1" applyFont="1" applyNumberFormat="1">
      <alignment horizontal="right" readingOrder="0" vertical="bottom"/>
    </xf>
    <xf borderId="0" fillId="28" fontId="4" numFmtId="172" xfId="0" applyAlignment="1" applyFont="1" applyNumberFormat="1">
      <alignment horizontal="right" vertical="bottom"/>
    </xf>
    <xf borderId="1" fillId="13" fontId="4" numFmtId="0" xfId="0" applyAlignment="1" applyBorder="1" applyFont="1">
      <alignment vertical="bottom"/>
    </xf>
    <xf borderId="0" fillId="13" fontId="6" numFmtId="49" xfId="0" applyAlignment="1" applyFont="1" applyNumberFormat="1">
      <alignment vertical="bottom"/>
    </xf>
    <xf borderId="0" fillId="20" fontId="4" numFmtId="172" xfId="0" applyAlignment="1" applyFont="1" applyNumberFormat="1">
      <alignment horizontal="right" vertical="bottom"/>
    </xf>
    <xf borderId="0" fillId="20" fontId="191" numFmtId="0" xfId="0" applyAlignment="1" applyFont="1">
      <alignment readingOrder="0" vertical="bottom"/>
    </xf>
    <xf borderId="0" fillId="29" fontId="6" numFmtId="164" xfId="0" applyAlignment="1" applyFont="1" applyNumberFormat="1">
      <alignment horizontal="right" vertical="bottom"/>
    </xf>
    <xf borderId="0" fillId="29" fontId="192" numFmtId="0" xfId="0" applyAlignment="1" applyFont="1">
      <alignment vertical="bottom"/>
    </xf>
    <xf borderId="0" fillId="29" fontId="29" numFmtId="0" xfId="0" applyAlignment="1" applyFont="1">
      <alignment vertical="bottom"/>
    </xf>
    <xf borderId="1" fillId="16" fontId="5" numFmtId="0" xfId="0" applyAlignment="1" applyBorder="1" applyFont="1">
      <alignment readingOrder="0"/>
    </xf>
    <xf borderId="0" fillId="16" fontId="6" numFmtId="0" xfId="0" applyAlignment="1" applyFont="1">
      <alignment vertical="bottom"/>
    </xf>
    <xf borderId="0" fillId="12" fontId="4" numFmtId="0" xfId="0" applyAlignment="1" applyFont="1">
      <alignment shrinkToFit="0" vertical="bottom" wrapText="0"/>
    </xf>
    <xf borderId="0" fillId="18" fontId="193" numFmtId="0" xfId="0" applyAlignment="1" applyFont="1">
      <alignment readingOrder="0" shrinkToFit="0" vertical="bottom" wrapText="0"/>
    </xf>
    <xf borderId="1" fillId="19" fontId="4" numFmtId="0" xfId="0" applyAlignment="1" applyBorder="1" applyFont="1">
      <alignment shrinkToFit="0" vertical="bottom" wrapText="0"/>
    </xf>
    <xf borderId="0" fillId="0" fontId="4" numFmtId="3" xfId="0" applyAlignment="1" applyFont="1" applyNumberFormat="1">
      <alignment horizontal="right" shrinkToFit="0" vertical="bottom" wrapText="0"/>
    </xf>
    <xf borderId="0" fillId="12" fontId="4" numFmtId="0" xfId="0" applyAlignment="1" applyFont="1">
      <alignment vertical="bottom"/>
    </xf>
    <xf borderId="0" fillId="18" fontId="193" numFmtId="0" xfId="0" applyAlignment="1" applyFont="1">
      <alignment readingOrder="0" vertical="bottom"/>
    </xf>
    <xf borderId="1" fillId="19" fontId="6" numFmtId="0" xfId="0" applyAlignment="1" applyBorder="1" applyFont="1">
      <alignment vertical="bottom"/>
    </xf>
    <xf borderId="0" fillId="18" fontId="4" numFmtId="164" xfId="0" applyAlignment="1" applyFont="1" applyNumberFormat="1">
      <alignment horizontal="right" vertical="bottom"/>
    </xf>
    <xf borderId="1" fillId="18" fontId="4" numFmtId="0" xfId="0" applyAlignment="1" applyBorder="1" applyFont="1">
      <alignment vertical="bottom"/>
    </xf>
    <xf borderId="0" fillId="20" fontId="4" numFmtId="165" xfId="0" applyAlignment="1" applyFont="1" applyNumberFormat="1">
      <alignment horizontal="right" readingOrder="0" shrinkToFit="0" vertical="bottom" wrapText="0"/>
    </xf>
    <xf borderId="0" fillId="20" fontId="193" numFmtId="0" xfId="0" applyAlignment="1" applyFont="1">
      <alignment readingOrder="0" shrinkToFit="0" vertical="bottom" wrapText="0"/>
    </xf>
    <xf borderId="1" fillId="20" fontId="4" numFmtId="0" xfId="0" applyAlignment="1" applyBorder="1" applyFont="1">
      <alignment shrinkToFit="0" vertical="bottom" wrapText="0"/>
    </xf>
    <xf borderId="0" fillId="20" fontId="194" numFmtId="0" xfId="0" applyAlignment="1" applyFont="1">
      <alignment shrinkToFit="0" vertical="bottom" wrapText="0"/>
    </xf>
    <xf borderId="0" fillId="20" fontId="195" numFmtId="0" xfId="0" applyAlignment="1" applyFont="1">
      <alignment readingOrder="0" shrinkToFit="0" vertical="bottom" wrapText="0"/>
    </xf>
    <xf borderId="0" fillId="20" fontId="11" numFmtId="0" xfId="0" applyAlignment="1" applyFont="1">
      <alignment horizontal="right" readingOrder="0" shrinkToFit="0" vertical="bottom" wrapText="0"/>
    </xf>
    <xf borderId="0" fillId="20" fontId="6" numFmtId="0" xfId="0" applyAlignment="1" applyFont="1">
      <alignment horizontal="right" readingOrder="0" vertical="bottom"/>
    </xf>
    <xf borderId="0" fillId="20" fontId="11" numFmtId="3" xfId="0" applyAlignment="1" applyFont="1" applyNumberFormat="1">
      <alignment horizontal="right" readingOrder="0" shrinkToFit="0" vertical="bottom" wrapText="0"/>
    </xf>
    <xf borderId="0" fillId="18" fontId="11" numFmtId="0" xfId="0" applyAlignment="1" applyFont="1">
      <alignment vertical="bottom"/>
    </xf>
    <xf borderId="0" fillId="20" fontId="11" numFmtId="0" xfId="0" applyAlignment="1" applyFont="1">
      <alignment readingOrder="0" shrinkToFit="0" vertical="bottom" wrapText="0"/>
    </xf>
    <xf borderId="0" fillId="20" fontId="6" numFmtId="0" xfId="0" applyAlignment="1" applyFont="1">
      <alignment readingOrder="0" shrinkToFit="0" vertical="bottom" wrapText="0"/>
    </xf>
    <xf borderId="0" fillId="20" fontId="196" numFmtId="0" xfId="0" applyAlignment="1" applyFont="1">
      <alignment readingOrder="0"/>
    </xf>
    <xf borderId="0" fillId="20" fontId="193" numFmtId="0" xfId="0" applyAlignment="1" applyFont="1">
      <alignment readingOrder="0" vertical="bottom"/>
    </xf>
    <xf borderId="1" fillId="20" fontId="6" numFmtId="0" xfId="0" applyAlignment="1" applyBorder="1" applyFont="1">
      <alignment vertical="bottom"/>
    </xf>
    <xf borderId="0" fillId="30" fontId="4" numFmtId="0" xfId="0" applyAlignment="1" applyFont="1">
      <alignment shrinkToFit="0" vertical="bottom" wrapText="0"/>
    </xf>
    <xf borderId="0" fillId="30" fontId="4" numFmtId="165" xfId="0" applyAlignment="1" applyFont="1" applyNumberFormat="1">
      <alignment horizontal="right" shrinkToFit="0" vertical="bottom" wrapText="0"/>
    </xf>
    <xf borderId="0" fillId="30" fontId="193" numFmtId="0" xfId="0" applyAlignment="1" applyFont="1">
      <alignment readingOrder="0" shrinkToFit="0" vertical="bottom" wrapText="0"/>
    </xf>
    <xf borderId="1" fillId="30" fontId="4" numFmtId="0" xfId="0" applyAlignment="1" applyBorder="1" applyFont="1">
      <alignment shrinkToFit="0" vertical="bottom" wrapText="0"/>
    </xf>
    <xf borderId="0" fillId="30" fontId="197" numFmtId="0" xfId="0" applyAlignment="1" applyFont="1">
      <alignment shrinkToFit="0" vertical="bottom" wrapText="0"/>
    </xf>
    <xf borderId="0" fillId="30" fontId="4" numFmtId="3" xfId="0" applyAlignment="1" applyFont="1" applyNumberFormat="1">
      <alignment horizontal="right" shrinkToFit="0" vertical="bottom" wrapText="0"/>
    </xf>
    <xf borderId="0" fillId="30" fontId="4" numFmtId="0" xfId="0" applyAlignment="1" applyFont="1">
      <alignment horizontal="right" shrinkToFit="0" vertical="bottom" wrapText="0"/>
    </xf>
    <xf borderId="0" fillId="30" fontId="6" numFmtId="0" xfId="0" applyAlignment="1" applyFont="1">
      <alignment horizontal="right" readingOrder="0" vertical="bottom"/>
    </xf>
    <xf borderId="0" fillId="30" fontId="6" numFmtId="0" xfId="0" applyAlignment="1" applyFont="1">
      <alignment shrinkToFit="0" vertical="bottom" wrapText="0"/>
    </xf>
    <xf borderId="0" fillId="30" fontId="4" numFmtId="0" xfId="0" applyAlignment="1" applyFont="1">
      <alignment readingOrder="0" shrinkToFit="0" vertical="bottom" wrapText="0"/>
    </xf>
    <xf borderId="0" fillId="30" fontId="198" numFmtId="0" xfId="0" applyAlignment="1" applyFont="1">
      <alignment readingOrder="0" vertical="bottom"/>
    </xf>
    <xf borderId="1" fillId="30" fontId="49" numFmtId="0" xfId="0" applyAlignment="1" applyBorder="1" applyFont="1">
      <alignment vertical="bottom"/>
    </xf>
    <xf borderId="0" fillId="30" fontId="199" numFmtId="0" xfId="0" applyAlignment="1" applyFont="1">
      <alignment readingOrder="0" vertical="bottom"/>
    </xf>
    <xf borderId="0" fillId="25" fontId="193" numFmtId="0" xfId="0" applyAlignment="1" applyFont="1">
      <alignment readingOrder="0" shrinkToFit="0" vertical="bottom" wrapText="0"/>
    </xf>
    <xf borderId="0" fillId="25" fontId="200" numFmtId="0" xfId="0" applyAlignment="1" applyFont="1">
      <alignment shrinkToFit="0" vertical="bottom" wrapText="0"/>
    </xf>
    <xf borderId="0" fillId="25" fontId="4" numFmtId="0" xfId="0" applyAlignment="1" applyFont="1">
      <alignment horizontal="right" shrinkToFit="0" vertical="bottom" wrapText="0"/>
    </xf>
    <xf borderId="0" fillId="25" fontId="6" numFmtId="0" xfId="0" applyAlignment="1" applyFont="1">
      <alignment shrinkToFit="0" vertical="bottom" wrapText="0"/>
    </xf>
    <xf borderId="0" fillId="25" fontId="4" numFmtId="3" xfId="0" applyAlignment="1" applyFont="1" applyNumberFormat="1">
      <alignment horizontal="right" shrinkToFit="0" vertical="bottom" wrapText="0"/>
    </xf>
    <xf borderId="0" fillId="25" fontId="4" numFmtId="0" xfId="0" applyAlignment="1" applyFont="1">
      <alignment horizontal="right" shrinkToFit="0" vertical="bottom" wrapText="0"/>
    </xf>
    <xf borderId="0" fillId="19" fontId="4" numFmtId="0" xfId="0" applyAlignment="1" applyFont="1">
      <alignment shrinkToFit="0" vertical="bottom" wrapText="0"/>
    </xf>
    <xf borderId="0" fillId="0" fontId="4" numFmtId="0" xfId="0" applyAlignment="1" applyFont="1">
      <alignment horizontal="right" shrinkToFit="0" vertical="bottom" wrapText="0"/>
    </xf>
    <xf borderId="0" fillId="20" fontId="4" numFmtId="0" xfId="0" applyAlignment="1" applyFont="1">
      <alignment horizontal="right" shrinkToFit="0" vertical="bottom" wrapText="0"/>
    </xf>
    <xf borderId="0" fillId="20" fontId="4" numFmtId="3" xfId="0" applyAlignment="1" applyFont="1" applyNumberFormat="1">
      <alignment horizontal="right" shrinkToFit="0" vertical="bottom" wrapText="0"/>
    </xf>
    <xf borderId="0" fillId="20" fontId="29" numFmtId="0" xfId="0" applyAlignment="1" applyFont="1">
      <alignment horizontal="right" readingOrder="0" vertical="bottom"/>
    </xf>
    <xf borderId="0" fillId="20" fontId="201" numFmtId="0" xfId="0" applyAlignment="1" applyFont="1">
      <alignment vertical="bottom"/>
    </xf>
    <xf borderId="0" fillId="20" fontId="202" numFmtId="0" xfId="0" applyAlignment="1" applyFont="1">
      <alignment horizontal="right" readingOrder="0" vertical="bottom"/>
    </xf>
    <xf borderId="0" fillId="16" fontId="4" numFmtId="0" xfId="0" applyAlignment="1" applyFont="1">
      <alignment shrinkToFit="0" vertical="bottom" wrapText="0"/>
    </xf>
    <xf borderId="0" fillId="20" fontId="6" numFmtId="0" xfId="0" applyAlignment="1" applyFont="1">
      <alignment horizontal="right" vertical="bottom"/>
    </xf>
    <xf borderId="0" fillId="16" fontId="4" numFmtId="0" xfId="0" applyAlignment="1" applyFont="1">
      <alignment shrinkToFit="0" vertical="bottom" wrapText="0"/>
    </xf>
    <xf borderId="0" fillId="16" fontId="4" numFmtId="165" xfId="0" applyAlignment="1" applyFont="1" applyNumberFormat="1">
      <alignment horizontal="right" shrinkToFit="0" vertical="bottom" wrapText="0"/>
    </xf>
    <xf borderId="0" fillId="16" fontId="193" numFmtId="0" xfId="0" applyAlignment="1" applyFont="1">
      <alignment shrinkToFit="0" vertical="bottom" wrapText="0"/>
    </xf>
    <xf borderId="0" fillId="16" fontId="203" numFmtId="0" xfId="0" applyAlignment="1" applyFont="1">
      <alignment shrinkToFit="0" vertical="bottom" wrapText="0"/>
    </xf>
    <xf borderId="0" fillId="16" fontId="4" numFmtId="0" xfId="0" applyAlignment="1" applyFont="1">
      <alignment readingOrder="0" shrinkToFit="0" vertical="bottom" wrapText="0"/>
    </xf>
    <xf borderId="0" fillId="16" fontId="4" numFmtId="0" xfId="0" applyAlignment="1" applyFont="1">
      <alignment horizontal="right" shrinkToFit="0" vertical="bottom" wrapText="0"/>
    </xf>
    <xf borderId="0" fillId="16" fontId="6" numFmtId="0" xfId="0" applyAlignment="1" applyFont="1">
      <alignment horizontal="right" vertical="bottom"/>
    </xf>
    <xf borderId="0" fillId="16" fontId="6" numFmtId="0" xfId="0" applyAlignment="1" applyFont="1">
      <alignment shrinkToFit="0" vertical="bottom" wrapText="0"/>
    </xf>
    <xf borderId="0" fillId="16" fontId="4" numFmtId="3" xfId="0" applyAlignment="1" applyFont="1" applyNumberFormat="1">
      <alignment horizontal="right" shrinkToFit="0" vertical="bottom" wrapText="0"/>
    </xf>
    <xf borderId="0" fillId="13" fontId="3" numFmtId="165" xfId="0" applyAlignment="1" applyFont="1" applyNumberFormat="1">
      <alignment readingOrder="0"/>
    </xf>
    <xf borderId="0" fillId="29" fontId="193" numFmtId="0" xfId="0" applyAlignment="1" applyFont="1">
      <alignment vertical="bottom"/>
    </xf>
    <xf borderId="0" fillId="29" fontId="4" numFmtId="0" xfId="0" applyAlignment="1" applyFont="1">
      <alignment horizontal="right" readingOrder="0" vertical="bottom"/>
    </xf>
    <xf borderId="0" fillId="29" fontId="11" numFmtId="0" xfId="0" applyAlignment="1" applyFont="1">
      <alignment horizontal="right" readingOrder="0" vertical="bottom"/>
    </xf>
    <xf borderId="0" fillId="20" fontId="204" numFmtId="0" xfId="0" applyAlignment="1" applyFont="1">
      <alignment readingOrder="0"/>
    </xf>
    <xf borderId="0" fillId="20" fontId="204" numFmtId="0" xfId="0" applyFont="1"/>
    <xf borderId="0" fillId="20" fontId="125" numFmtId="0" xfId="0" applyAlignment="1" applyFont="1">
      <alignment vertical="bottom"/>
    </xf>
    <xf borderId="0" fillId="20" fontId="49" numFmtId="0" xfId="0" applyAlignment="1" applyFont="1">
      <alignment vertical="bottom"/>
    </xf>
    <xf borderId="0" fillId="20" fontId="49" numFmtId="164" xfId="0" applyAlignment="1" applyFont="1" applyNumberFormat="1">
      <alignment horizontal="right" vertical="bottom"/>
    </xf>
    <xf borderId="0" fillId="13" fontId="4" numFmtId="172" xfId="0" applyAlignment="1" applyFont="1" applyNumberFormat="1">
      <alignment horizontal="right" vertical="bottom"/>
    </xf>
    <xf borderId="0" fillId="13" fontId="205" numFmtId="0" xfId="0" applyAlignment="1" applyFont="1">
      <alignment vertical="bottom"/>
    </xf>
    <xf borderId="0" fillId="13" fontId="206" numFmtId="0" xfId="0" applyAlignment="1" applyFont="1">
      <alignment vertical="bottom"/>
    </xf>
    <xf borderId="0" fillId="20" fontId="125" numFmtId="0" xfId="0" applyAlignment="1" applyFont="1">
      <alignment readingOrder="0" vertical="bottom"/>
    </xf>
    <xf borderId="0" fillId="21" fontId="207" numFmtId="0" xfId="0" applyAlignment="1" applyFont="1">
      <alignment readingOrder="0" vertical="bottom"/>
    </xf>
    <xf borderId="0" fillId="25" fontId="6" numFmtId="3" xfId="0" applyAlignment="1" applyFont="1" applyNumberFormat="1">
      <alignment horizontal="right" vertical="bottom"/>
    </xf>
    <xf borderId="0" fillId="29" fontId="193" numFmtId="0" xfId="0" applyAlignment="1" applyFont="1">
      <alignment readingOrder="0" shrinkToFit="0" vertical="bottom" wrapText="0"/>
    </xf>
    <xf borderId="0" fillId="29" fontId="4" numFmtId="0" xfId="0" applyAlignment="1" applyFont="1">
      <alignment horizontal="right" shrinkToFit="0" vertical="bottom" wrapText="0"/>
    </xf>
    <xf borderId="0" fillId="29" fontId="4" numFmtId="0" xfId="0" applyAlignment="1" applyFont="1">
      <alignment horizontal="right" shrinkToFit="0" vertical="bottom" wrapText="0"/>
    </xf>
    <xf borderId="0" fillId="29" fontId="6" numFmtId="0" xfId="0" applyAlignment="1" applyFont="1">
      <alignment shrinkToFit="0" vertical="bottom" wrapText="0"/>
    </xf>
    <xf borderId="0" fillId="29" fontId="4" numFmtId="3" xfId="0" applyAlignment="1" applyFont="1" applyNumberFormat="1">
      <alignment horizontal="right" shrinkToFit="0" vertical="bottom" wrapText="0"/>
    </xf>
    <xf borderId="0" fillId="0" fontId="4" numFmtId="173" xfId="0" applyAlignment="1" applyFont="1" applyNumberFormat="1">
      <alignment horizontal="right" vertical="bottom"/>
    </xf>
    <xf borderId="0" fillId="0" fontId="208" numFmtId="0" xfId="0" applyAlignment="1" applyFont="1">
      <alignment shrinkToFit="0" vertical="bottom" wrapText="0"/>
    </xf>
    <xf borderId="0" fillId="0" fontId="209" numFmtId="0" xfId="0" applyAlignment="1" applyFont="1">
      <alignment shrinkToFit="0" vertical="bottom" wrapText="0"/>
    </xf>
    <xf borderId="0" fillId="33" fontId="6" numFmtId="0" xfId="0" applyAlignment="1" applyFont="1">
      <alignment vertical="bottom"/>
    </xf>
    <xf borderId="0" fillId="33" fontId="4" numFmtId="0" xfId="0" applyAlignment="1" applyFont="1">
      <alignment vertical="bottom"/>
    </xf>
    <xf borderId="0" fillId="33" fontId="4" numFmtId="0" xfId="0" applyAlignment="1" applyFont="1">
      <alignment vertical="bottom"/>
    </xf>
    <xf borderId="0" fillId="33" fontId="4" numFmtId="173" xfId="0" applyAlignment="1" applyFont="1" applyNumberFormat="1">
      <alignment vertical="bottom"/>
    </xf>
    <xf borderId="0" fillId="33" fontId="4" numFmtId="165" xfId="0" applyAlignment="1" applyFont="1" applyNumberFormat="1">
      <alignment horizontal="right" vertical="bottom"/>
    </xf>
    <xf borderId="0" fillId="33" fontId="4" numFmtId="0" xfId="0" applyAlignment="1" applyFont="1">
      <alignment vertical="bottom"/>
    </xf>
    <xf borderId="0" fillId="33" fontId="4" numFmtId="0" xfId="0" applyAlignment="1" applyFont="1">
      <alignment horizontal="right" vertical="bottom"/>
    </xf>
    <xf borderId="0" fillId="33" fontId="4" numFmtId="49" xfId="0" applyAlignment="1" applyFont="1" applyNumberFormat="1">
      <alignment vertical="bottom"/>
    </xf>
    <xf borderId="0" fillId="33" fontId="4" numFmtId="0" xfId="0" applyAlignment="1" applyFont="1">
      <alignment horizontal="right" vertical="bottom"/>
    </xf>
    <xf borderId="0" fillId="33" fontId="210" numFmtId="0" xfId="0" applyAlignment="1" applyFont="1">
      <alignment vertical="bottom"/>
    </xf>
    <xf borderId="0" fillId="33" fontId="6" numFmtId="173" xfId="0" applyAlignment="1" applyFont="1" applyNumberFormat="1">
      <alignment vertical="bottom"/>
    </xf>
    <xf borderId="0" fillId="24" fontId="4" numFmtId="0" xfId="0" applyAlignment="1" applyFont="1">
      <alignment shrinkToFit="0" vertical="bottom" wrapText="0"/>
    </xf>
    <xf borderId="0" fillId="24" fontId="4" numFmtId="0" xfId="0" applyAlignment="1" applyFont="1">
      <alignment shrinkToFit="0" vertical="bottom" wrapText="0"/>
    </xf>
    <xf borderId="0" fillId="24" fontId="4" numFmtId="165" xfId="0" applyAlignment="1" applyFont="1" applyNumberFormat="1">
      <alignment horizontal="right" shrinkToFit="0" vertical="bottom" wrapText="0"/>
    </xf>
    <xf borderId="0" fillId="24" fontId="193" numFmtId="0" xfId="0" applyAlignment="1" applyFont="1">
      <alignment readingOrder="0" shrinkToFit="0" vertical="bottom" wrapText="0"/>
    </xf>
    <xf borderId="0" fillId="24" fontId="211" numFmtId="0" xfId="0" applyAlignment="1" applyFont="1">
      <alignment shrinkToFit="0" vertical="bottom" wrapText="0"/>
    </xf>
    <xf borderId="0" fillId="24" fontId="4" numFmtId="0" xfId="0" applyAlignment="1" applyFont="1">
      <alignment horizontal="right" shrinkToFit="0" vertical="bottom" wrapText="0"/>
    </xf>
    <xf borderId="0" fillId="24" fontId="4" numFmtId="0" xfId="0" applyAlignment="1" applyFont="1">
      <alignment horizontal="right" shrinkToFit="0" vertical="bottom" wrapText="0"/>
    </xf>
    <xf borderId="0" fillId="24" fontId="6" numFmtId="0" xfId="0" applyAlignment="1" applyFont="1">
      <alignment shrinkToFit="0" vertical="bottom" wrapText="0"/>
    </xf>
    <xf borderId="0" fillId="24" fontId="4" numFmtId="3" xfId="0" applyAlignment="1" applyFont="1" applyNumberFormat="1">
      <alignment horizontal="right" shrinkToFit="0" vertical="bottom" wrapText="0"/>
    </xf>
    <xf borderId="0" fillId="24" fontId="4" numFmtId="0" xfId="0" applyAlignment="1" applyFont="1">
      <alignment horizontal="right" vertical="bottom"/>
    </xf>
    <xf borderId="0" fillId="0" fontId="4" numFmtId="173" xfId="0" applyAlignment="1" applyFont="1" applyNumberFormat="1">
      <alignment vertical="bottom"/>
    </xf>
    <xf borderId="0" fillId="0" fontId="6" numFmtId="49" xfId="0" applyAlignment="1" applyFont="1" applyNumberFormat="1">
      <alignment vertical="bottom"/>
    </xf>
    <xf borderId="0" fillId="0" fontId="4" numFmtId="2" xfId="0" applyAlignment="1" applyFont="1" applyNumberFormat="1">
      <alignment horizontal="right" shrinkToFit="0" vertical="bottom" wrapText="0"/>
    </xf>
    <xf borderId="0" fillId="38" fontId="3" numFmtId="0" xfId="0" applyAlignment="1" applyFill="1" applyFont="1">
      <alignment readingOrder="0"/>
    </xf>
    <xf borderId="0" fillId="38" fontId="3" numFmtId="0" xfId="0" applyFont="1"/>
    <xf borderId="0" fillId="38" fontId="6" numFmtId="0" xfId="0" applyAlignment="1" applyFont="1">
      <alignment vertical="bottom"/>
    </xf>
    <xf borderId="0" fillId="38" fontId="4" numFmtId="0" xfId="0" applyAlignment="1" applyFont="1">
      <alignment vertical="bottom"/>
    </xf>
    <xf borderId="0" fillId="38" fontId="4" numFmtId="0" xfId="0" applyAlignment="1" applyFont="1">
      <alignment vertical="bottom"/>
    </xf>
    <xf borderId="0" fillId="38" fontId="4" numFmtId="173" xfId="0" applyAlignment="1" applyFont="1" applyNumberFormat="1">
      <alignment vertical="bottom"/>
    </xf>
    <xf borderId="0" fillId="38" fontId="4" numFmtId="174" xfId="0" applyAlignment="1" applyFont="1" applyNumberFormat="1">
      <alignment horizontal="right" vertical="bottom"/>
    </xf>
    <xf borderId="0" fillId="38" fontId="4" numFmtId="0" xfId="0" applyAlignment="1" applyFont="1">
      <alignment vertical="bottom"/>
    </xf>
    <xf borderId="0" fillId="38" fontId="4" numFmtId="0" xfId="0" applyAlignment="1" applyFont="1">
      <alignment horizontal="right" vertical="bottom"/>
    </xf>
    <xf borderId="0" fillId="38" fontId="212" numFmtId="0" xfId="0" applyAlignment="1" applyFont="1">
      <alignment vertical="bottom"/>
    </xf>
    <xf borderId="0" fillId="38" fontId="213" numFmtId="0" xfId="0" applyAlignment="1" applyFont="1">
      <alignment vertical="bottom"/>
    </xf>
    <xf borderId="7" fillId="38" fontId="4" numFmtId="0" xfId="0" applyAlignment="1" applyBorder="1" applyFont="1">
      <alignment shrinkToFit="0" vertical="top" wrapText="1"/>
    </xf>
    <xf borderId="0" fillId="38" fontId="4" numFmtId="49" xfId="0" applyAlignment="1" applyFont="1" applyNumberFormat="1">
      <alignment vertical="bottom"/>
    </xf>
    <xf borderId="0" fillId="38" fontId="4" numFmtId="0" xfId="0" applyAlignment="1" applyFont="1">
      <alignment horizontal="right" vertical="bottom"/>
    </xf>
    <xf borderId="0" fillId="38" fontId="4" numFmtId="2" xfId="0" applyAlignment="1" applyFont="1" applyNumberFormat="1">
      <alignment horizontal="right" vertical="bottom"/>
    </xf>
    <xf borderId="10" fillId="18" fontId="3" numFmtId="0" xfId="0" applyAlignment="1" applyBorder="1" applyFont="1">
      <alignment readingOrder="0"/>
    </xf>
    <xf borderId="0" fillId="18" fontId="3" numFmtId="0" xfId="0" applyAlignment="1" applyFont="1">
      <alignment readingOrder="0"/>
    </xf>
    <xf borderId="0" fillId="18" fontId="3" numFmtId="0" xfId="0" applyFont="1"/>
    <xf borderId="0" fillId="18" fontId="4" numFmtId="0" xfId="0" applyAlignment="1" applyFont="1">
      <alignment shrinkToFit="0" vertical="bottom" wrapText="0"/>
    </xf>
    <xf borderId="0" fillId="18" fontId="4" numFmtId="0" xfId="0" applyAlignment="1" applyFont="1">
      <alignment shrinkToFit="0" vertical="bottom" wrapText="0"/>
    </xf>
    <xf borderId="0" fillId="18" fontId="4" numFmtId="165" xfId="0" applyAlignment="1" applyFont="1" applyNumberFormat="1">
      <alignment horizontal="right" shrinkToFit="0" vertical="bottom" wrapText="0"/>
    </xf>
    <xf borderId="0" fillId="18" fontId="214" numFmtId="0" xfId="0" applyAlignment="1" applyFont="1">
      <alignment shrinkToFit="0" vertical="bottom" wrapText="0"/>
    </xf>
    <xf borderId="0" fillId="18" fontId="4" numFmtId="0" xfId="0" applyAlignment="1" applyFont="1">
      <alignment readingOrder="0" shrinkToFit="0" vertical="bottom" wrapText="0"/>
    </xf>
    <xf borderId="0" fillId="18" fontId="4" numFmtId="0" xfId="0" applyAlignment="1" applyFont="1">
      <alignment horizontal="right" readingOrder="0" shrinkToFit="0" vertical="bottom" wrapText="0"/>
    </xf>
    <xf borderId="0" fillId="18" fontId="4" numFmtId="0" xfId="0" applyAlignment="1" applyFont="1">
      <alignment horizontal="right" shrinkToFit="0" vertical="bottom" wrapText="0"/>
    </xf>
    <xf borderId="0" fillId="18" fontId="4" numFmtId="0" xfId="0" applyAlignment="1" applyFont="1">
      <alignment horizontal="right" shrinkToFit="0" vertical="bottom" wrapText="0"/>
    </xf>
    <xf borderId="0" fillId="18" fontId="4" numFmtId="0" xfId="0" applyAlignment="1" applyFont="1">
      <alignment horizontal="right" shrinkToFit="0" vertical="bottom" wrapText="0"/>
    </xf>
    <xf borderId="0" fillId="18" fontId="4" numFmtId="3" xfId="0" applyAlignment="1" applyFont="1" applyNumberFormat="1">
      <alignment horizontal="right" readingOrder="0" shrinkToFit="0" vertical="bottom" wrapText="0"/>
    </xf>
    <xf borderId="0" fillId="18" fontId="6" numFmtId="0" xfId="0" applyAlignment="1" applyFont="1">
      <alignment shrinkToFit="0" vertical="bottom" wrapText="0"/>
    </xf>
    <xf borderId="11" fillId="18" fontId="3" numFmtId="0" xfId="0" applyAlignment="1" applyBorder="1" applyFont="1">
      <alignment readingOrder="0"/>
    </xf>
    <xf borderId="0" fillId="18" fontId="4" numFmtId="3" xfId="0" applyAlignment="1" applyFont="1" applyNumberFormat="1">
      <alignment horizontal="right" shrinkToFit="0" vertical="bottom" wrapText="0"/>
    </xf>
    <xf borderId="0" fillId="28" fontId="4" numFmtId="0" xfId="0" applyAlignment="1" applyFont="1">
      <alignment shrinkToFit="0" vertical="bottom" wrapText="0"/>
    </xf>
    <xf borderId="0" fillId="18" fontId="215" numFmtId="0" xfId="0" applyAlignment="1" applyFont="1">
      <alignment vertical="bottom"/>
    </xf>
    <xf borderId="11" fillId="28" fontId="3" numFmtId="0" xfId="0" applyAlignment="1" applyBorder="1" applyFont="1">
      <alignment readingOrder="0"/>
    </xf>
    <xf borderId="0" fillId="28" fontId="4" numFmtId="165" xfId="0" applyAlignment="1" applyFont="1" applyNumberFormat="1">
      <alignment horizontal="right" shrinkToFit="0" vertical="bottom" wrapText="0"/>
    </xf>
    <xf borderId="0" fillId="28" fontId="193" numFmtId="0" xfId="0" applyAlignment="1" applyFont="1">
      <alignment readingOrder="0" shrinkToFit="0" vertical="bottom" wrapText="0"/>
    </xf>
    <xf borderId="0" fillId="28" fontId="216" numFmtId="0" xfId="0" applyAlignment="1" applyFont="1">
      <alignment shrinkToFit="0" vertical="bottom" wrapText="0"/>
    </xf>
    <xf borderId="0" fillId="28" fontId="4" numFmtId="0" xfId="0" applyAlignment="1" applyFont="1">
      <alignment horizontal="right" shrinkToFit="0" vertical="bottom" wrapText="0"/>
    </xf>
    <xf borderId="0" fillId="28" fontId="4" numFmtId="0" xfId="0" applyAlignment="1" applyFont="1">
      <alignment horizontal="right" shrinkToFit="0" vertical="bottom" wrapText="0"/>
    </xf>
    <xf borderId="0" fillId="28" fontId="6" numFmtId="0" xfId="0" applyAlignment="1" applyFont="1">
      <alignment shrinkToFit="0" vertical="bottom" wrapText="0"/>
    </xf>
    <xf borderId="0" fillId="28" fontId="4" numFmtId="3" xfId="0" applyAlignment="1" applyFont="1" applyNumberFormat="1">
      <alignment horizontal="right" shrinkToFit="0" vertical="bottom" wrapText="0"/>
    </xf>
    <xf borderId="0" fillId="31" fontId="4" numFmtId="0" xfId="0" applyAlignment="1" applyFont="1">
      <alignment shrinkToFit="0" vertical="bottom" wrapText="0"/>
    </xf>
    <xf borderId="12" fillId="28" fontId="3" numFmtId="0" xfId="0" applyAlignment="1" applyBorder="1" applyFont="1">
      <alignment readingOrder="0"/>
    </xf>
    <xf borderId="0" fillId="28" fontId="4" numFmtId="0" xfId="0" applyAlignment="1" applyFont="1">
      <alignment horizontal="right" vertical="bottom"/>
    </xf>
    <xf borderId="0" fillId="29" fontId="4" numFmtId="164" xfId="0" applyAlignment="1" applyFont="1" applyNumberFormat="1">
      <alignment horizontal="right" readingOrder="0" vertical="bottom"/>
    </xf>
    <xf borderId="0" fillId="29" fontId="4" numFmtId="0" xfId="0" applyAlignment="1" applyFont="1">
      <alignment horizontal="center" vertical="bottom"/>
    </xf>
    <xf borderId="0" fillId="29" fontId="4" numFmtId="0" xfId="0" applyAlignment="1" applyFont="1">
      <alignment horizontal="center" vertical="bottom"/>
    </xf>
    <xf borderId="0" fillId="16" fontId="4" numFmtId="0" xfId="0" applyAlignment="1" applyFont="1">
      <alignment vertical="bottom"/>
    </xf>
    <xf borderId="0" fillId="16" fontId="4" numFmtId="0" xfId="0" applyAlignment="1" applyFont="1">
      <alignment vertical="bottom"/>
    </xf>
    <xf borderId="0" fillId="16" fontId="4" numFmtId="166" xfId="0" applyAlignment="1" applyFont="1" applyNumberFormat="1">
      <alignment horizontal="right" vertical="bottom"/>
    </xf>
    <xf borderId="0" fillId="16" fontId="4" numFmtId="0" xfId="0" applyAlignment="1" applyFont="1">
      <alignment readingOrder="0" vertical="bottom"/>
    </xf>
    <xf borderId="0" fillId="16" fontId="4" numFmtId="0" xfId="0" applyAlignment="1" applyFont="1">
      <alignment horizontal="right" vertical="bottom"/>
    </xf>
    <xf borderId="0" fillId="16" fontId="4" numFmtId="0" xfId="0" applyAlignment="1" applyFont="1">
      <alignment vertical="bottom"/>
    </xf>
    <xf borderId="0" fillId="29" fontId="29" numFmtId="0" xfId="0" applyAlignment="1" applyFont="1">
      <alignment vertical="bottom"/>
    </xf>
    <xf borderId="0" fillId="16" fontId="217" numFmtId="0" xfId="0" applyAlignment="1" applyFont="1">
      <alignment vertical="bottom"/>
    </xf>
    <xf borderId="0" fillId="16" fontId="2" numFmtId="0" xfId="0" applyAlignment="1" applyFont="1">
      <alignment vertical="bottom"/>
    </xf>
    <xf borderId="0" fillId="29" fontId="4" numFmtId="0" xfId="0" applyAlignment="1" applyFont="1">
      <alignment horizontal="center" readingOrder="0" vertical="bottom"/>
    </xf>
    <xf borderId="0" fillId="21" fontId="4" numFmtId="165" xfId="0" applyAlignment="1" applyFont="1" applyNumberFormat="1">
      <alignment horizontal="right" shrinkToFit="0" vertical="bottom" wrapText="0"/>
    </xf>
    <xf borderId="0" fillId="21" fontId="193" numFmtId="0" xfId="0" applyAlignment="1" applyFont="1">
      <alignment readingOrder="0" shrinkToFit="0" vertical="bottom" wrapText="0"/>
    </xf>
    <xf borderId="0" fillId="21" fontId="218" numFmtId="0" xfId="0" applyAlignment="1" applyFont="1">
      <alignment shrinkToFit="0" vertical="bottom" wrapText="0"/>
    </xf>
    <xf borderId="0" fillId="21" fontId="4" numFmtId="0" xfId="0" applyAlignment="1" applyFont="1">
      <alignment horizontal="right" shrinkToFit="0" vertical="bottom" wrapText="0"/>
    </xf>
    <xf borderId="0" fillId="21" fontId="4" numFmtId="2" xfId="0" applyAlignment="1" applyFont="1" applyNumberFormat="1">
      <alignment horizontal="right" shrinkToFit="0" vertical="bottom" wrapText="0"/>
    </xf>
    <xf borderId="0" fillId="21" fontId="4" numFmtId="0" xfId="0" applyAlignment="1" applyFont="1">
      <alignment horizontal="right" shrinkToFit="0" vertical="bottom" wrapText="0"/>
    </xf>
    <xf borderId="0" fillId="21" fontId="4" numFmtId="3" xfId="0" applyAlignment="1" applyFont="1" applyNumberFormat="1">
      <alignment horizontal="right" shrinkToFit="0" vertical="bottom" wrapText="0"/>
    </xf>
    <xf borderId="0" fillId="21" fontId="193" numFmtId="0" xfId="0" applyAlignment="1" applyFont="1">
      <alignment readingOrder="0" vertical="bottom"/>
    </xf>
    <xf borderId="0" fillId="21" fontId="4" numFmtId="3" xfId="0" applyAlignment="1" applyFont="1" applyNumberFormat="1">
      <alignment horizontal="right" vertical="bottom"/>
    </xf>
    <xf borderId="0" fillId="34" fontId="4" numFmtId="0" xfId="0" applyAlignment="1" applyFont="1">
      <alignment shrinkToFit="0" vertical="bottom" wrapText="0"/>
    </xf>
    <xf borderId="0" fillId="34" fontId="4" numFmtId="0" xfId="0" applyAlignment="1" applyFont="1">
      <alignment shrinkToFit="0" vertical="bottom" wrapText="0"/>
    </xf>
    <xf borderId="0" fillId="34" fontId="4" numFmtId="165" xfId="0" applyAlignment="1" applyFont="1" applyNumberFormat="1">
      <alignment horizontal="right" shrinkToFit="0" vertical="bottom" wrapText="0"/>
    </xf>
    <xf borderId="0" fillId="34" fontId="193" numFmtId="0" xfId="0" applyAlignment="1" applyFont="1">
      <alignment readingOrder="0" shrinkToFit="0" vertical="bottom" wrapText="0"/>
    </xf>
    <xf borderId="0" fillId="34" fontId="219" numFmtId="0" xfId="0" applyAlignment="1" applyFont="1">
      <alignment shrinkToFit="0" vertical="bottom" wrapText="0"/>
    </xf>
    <xf borderId="0" fillId="34" fontId="4" numFmtId="0" xfId="0" applyAlignment="1" applyFont="1">
      <alignment horizontal="right" shrinkToFit="0" vertical="bottom" wrapText="0"/>
    </xf>
    <xf borderId="0" fillId="34" fontId="4" numFmtId="0" xfId="0" applyAlignment="1" applyFont="1">
      <alignment horizontal="right" shrinkToFit="0" vertical="bottom" wrapText="0"/>
    </xf>
    <xf borderId="0" fillId="34" fontId="6" numFmtId="0" xfId="0" applyAlignment="1" applyFont="1">
      <alignment shrinkToFit="0" vertical="bottom" wrapText="0"/>
    </xf>
    <xf borderId="0" fillId="34" fontId="4" numFmtId="3" xfId="0" applyAlignment="1" applyFont="1" applyNumberFormat="1">
      <alignment horizontal="right" shrinkToFit="0" vertical="bottom" wrapText="0"/>
    </xf>
    <xf borderId="0" fillId="34" fontId="193" numFmtId="0" xfId="0" applyAlignment="1" applyFont="1">
      <alignment readingOrder="0" vertical="bottom"/>
    </xf>
    <xf borderId="0" fillId="34" fontId="4" numFmtId="0" xfId="0" applyAlignment="1" applyFont="1">
      <alignment horizontal="right" vertical="bottom"/>
    </xf>
    <xf borderId="0" fillId="34" fontId="6" numFmtId="0" xfId="0" applyAlignment="1" applyFont="1">
      <alignment vertical="bottom"/>
    </xf>
    <xf borderId="0" fillId="13" fontId="4" numFmtId="0" xfId="0" applyAlignment="1" applyFont="1">
      <alignment horizontal="center" vertical="bottom"/>
    </xf>
    <xf borderId="0" fillId="13" fontId="4" numFmtId="0" xfId="0" applyAlignment="1" applyFont="1">
      <alignment horizontal="center" vertical="bottom"/>
    </xf>
    <xf borderId="0" fillId="20" fontId="220" numFmtId="0" xfId="0" applyAlignment="1" applyFont="1">
      <alignment vertical="bottom"/>
    </xf>
    <xf borderId="0" fillId="20" fontId="2" numFmtId="0" xfId="0" applyAlignment="1" applyFont="1">
      <alignment vertical="bottom"/>
    </xf>
    <xf borderId="0" fillId="25" fontId="193" numFmtId="0" xfId="0" applyAlignment="1" applyFont="1">
      <alignment readingOrder="0" vertical="bottom"/>
    </xf>
    <xf borderId="0" fillId="14" fontId="5" numFmtId="0" xfId="0" applyAlignment="1" applyFont="1">
      <alignment readingOrder="0"/>
    </xf>
    <xf borderId="0" fillId="14" fontId="6" numFmtId="164" xfId="0" applyAlignment="1" applyFont="1" applyNumberFormat="1">
      <alignment horizontal="right" vertical="bottom"/>
    </xf>
    <xf borderId="0" fillId="14" fontId="6" numFmtId="0" xfId="0" applyAlignment="1" applyFont="1">
      <alignment horizontal="right" vertical="bottom"/>
    </xf>
    <xf borderId="0" fillId="14" fontId="6" numFmtId="0" xfId="0" applyAlignment="1" applyFont="1">
      <alignment horizontal="right" vertical="bottom"/>
    </xf>
    <xf borderId="0" fillId="14" fontId="221" numFmtId="0" xfId="0" applyAlignment="1" applyFont="1">
      <alignment readingOrder="0" vertical="bottom"/>
    </xf>
    <xf borderId="0" fillId="14" fontId="222" numFmtId="0" xfId="0" applyAlignment="1" applyFont="1">
      <alignment vertical="bottom"/>
    </xf>
    <xf borderId="0" fillId="14" fontId="223" numFmtId="0" xfId="0" applyAlignment="1" applyFont="1">
      <alignment vertical="bottom"/>
    </xf>
    <xf borderId="0" fillId="21" fontId="5" numFmtId="164" xfId="0" applyAlignment="1" applyFont="1" applyNumberFormat="1">
      <alignment readingOrder="0"/>
    </xf>
    <xf borderId="0" fillId="14" fontId="11" numFmtId="0" xfId="0" applyAlignment="1" applyFont="1">
      <alignment readingOrder="0" vertical="bottom"/>
    </xf>
    <xf borderId="0" fillId="14" fontId="6" numFmtId="0" xfId="0" applyAlignment="1" applyFont="1">
      <alignment horizontal="right" readingOrder="0" vertical="bottom"/>
    </xf>
    <xf borderId="0" fillId="20" fontId="4" numFmtId="0" xfId="0" applyAlignment="1" applyFont="1">
      <alignment horizontal="center" vertical="bottom"/>
    </xf>
    <xf borderId="0" fillId="20" fontId="4" numFmtId="0" xfId="0" applyAlignment="1" applyFont="1">
      <alignment horizontal="center" vertical="bottom"/>
    </xf>
    <xf borderId="0" fillId="29" fontId="4" numFmtId="166" xfId="0" applyAlignment="1" applyFont="1" applyNumberFormat="1">
      <alignment horizontal="right" vertical="bottom"/>
    </xf>
    <xf borderId="0" fillId="29" fontId="3" numFmtId="165" xfId="0" applyAlignment="1" applyFont="1" applyNumberFormat="1">
      <alignment readingOrder="0"/>
    </xf>
    <xf borderId="0" fillId="16" fontId="11" numFmtId="0" xfId="0" applyAlignment="1" applyFont="1">
      <alignment vertical="bottom"/>
    </xf>
    <xf borderId="0" fillId="16" fontId="4" numFmtId="164" xfId="0" applyAlignment="1" applyFont="1" applyNumberFormat="1">
      <alignment horizontal="right" vertical="bottom"/>
    </xf>
    <xf borderId="0" fillId="16" fontId="3" numFmtId="165" xfId="0" applyAlignment="1" applyFont="1" applyNumberFormat="1">
      <alignment readingOrder="0"/>
    </xf>
    <xf borderId="0" fillId="16" fontId="6" numFmtId="0" xfId="0" applyAlignment="1" applyFont="1">
      <alignment vertical="bottom"/>
    </xf>
    <xf borderId="0" fillId="16" fontId="29" numFmtId="0" xfId="0" applyAlignment="1" applyFont="1">
      <alignment readingOrder="0" vertical="bottom"/>
    </xf>
    <xf borderId="0" fillId="29" fontId="11" numFmtId="0" xfId="0" applyAlignment="1" applyFont="1">
      <alignment vertical="bottom"/>
    </xf>
    <xf borderId="0" fillId="16" fontId="4" numFmtId="0" xfId="0" applyAlignment="1" applyFont="1">
      <alignment horizontal="right" vertical="bottom"/>
    </xf>
    <xf borderId="0" fillId="16" fontId="115" numFmtId="0" xfId="0" applyAlignment="1" applyFont="1">
      <alignment vertical="bottom"/>
    </xf>
    <xf borderId="0" fillId="16" fontId="49" numFmtId="0" xfId="0" applyAlignment="1" applyFont="1">
      <alignment horizontal="right" vertical="bottom"/>
    </xf>
    <xf borderId="0" fillId="16" fontId="224" numFmtId="0" xfId="0" applyAlignment="1" applyFont="1">
      <alignment vertical="bottom"/>
    </xf>
    <xf borderId="0" fillId="16" fontId="225" numFmtId="0" xfId="0" applyAlignment="1" applyFont="1">
      <alignment horizontal="right" vertical="bottom"/>
    </xf>
    <xf borderId="0" fillId="16" fontId="226" numFmtId="0" xfId="0" applyAlignment="1" applyFont="1">
      <alignment vertical="bottom"/>
    </xf>
    <xf borderId="0" fillId="16" fontId="115" numFmtId="0" xfId="0" applyAlignment="1" applyFont="1">
      <alignment vertical="bottom"/>
    </xf>
    <xf borderId="0" fillId="25" fontId="4" numFmtId="165" xfId="0" applyAlignment="1" applyFont="1" applyNumberFormat="1">
      <alignment horizontal="right" readingOrder="0" vertical="bottom"/>
    </xf>
    <xf borderId="0" fillId="25" fontId="227" numFmtId="0" xfId="0" applyAlignment="1" applyFont="1">
      <alignment vertical="bottom"/>
    </xf>
    <xf borderId="0" fillId="25" fontId="228" numFmtId="0" xfId="0" applyAlignment="1" applyFont="1">
      <alignment vertical="bottom"/>
    </xf>
    <xf borderId="0" fillId="0" fontId="228" numFmtId="0" xfId="0" applyAlignment="1" applyFont="1">
      <alignment vertical="bottom"/>
    </xf>
    <xf quotePrefix="1" borderId="0" fillId="0" fontId="3" numFmtId="0" xfId="0" applyAlignment="1" applyFont="1">
      <alignment readingOrder="0"/>
    </xf>
    <xf borderId="0" fillId="0" fontId="229" numFmtId="0" xfId="0" applyAlignment="1" applyFont="1">
      <alignment vertical="bottom"/>
    </xf>
    <xf borderId="0" fillId="0" fontId="229" numFmtId="0" xfId="0" applyAlignment="1" applyFont="1">
      <alignment horizontal="right" vertical="bottom"/>
    </xf>
    <xf borderId="0" fillId="25" fontId="230" numFmtId="0" xfId="0" applyAlignment="1" applyFont="1">
      <alignment horizontal="right" vertical="bottom"/>
    </xf>
    <xf borderId="0" fillId="25" fontId="24" numFmtId="0" xfId="0" applyAlignment="1" applyFont="1">
      <alignment horizontal="right" vertical="bottom"/>
    </xf>
    <xf borderId="0" fillId="0" fontId="11" numFmtId="0" xfId="0" applyAlignment="1" applyFont="1">
      <alignment horizontal="right" vertical="bottom"/>
    </xf>
    <xf borderId="0" fillId="0" fontId="11" numFmtId="0" xfId="0" applyAlignment="1" applyFont="1">
      <alignment readingOrder="0" vertical="bottom"/>
    </xf>
    <xf borderId="0" fillId="0" fontId="11" numFmtId="0" xfId="0" applyAlignment="1" applyFont="1">
      <alignment vertical="bottom"/>
    </xf>
    <xf borderId="0" fillId="25" fontId="4" numFmtId="175" xfId="0" applyAlignment="1" applyFont="1" applyNumberFormat="1">
      <alignment horizontal="right" vertical="bottom"/>
    </xf>
    <xf borderId="0" fillId="25" fontId="231" numFmtId="0" xfId="0" applyAlignment="1" applyFont="1">
      <alignment horizontal="right" vertical="bottom"/>
    </xf>
    <xf borderId="0" fillId="25" fontId="232" numFmtId="0" xfId="0" applyAlignment="1" applyFont="1">
      <alignment vertical="bottom"/>
    </xf>
    <xf borderId="0" fillId="0" fontId="233" numFmtId="0" xfId="0" applyAlignment="1" applyFont="1">
      <alignment vertical="bottom"/>
    </xf>
    <xf borderId="0" fillId="25" fontId="234" numFmtId="0" xfId="0" applyAlignment="1" applyFont="1">
      <alignment vertical="bottom"/>
    </xf>
    <xf borderId="0" fillId="25" fontId="235" numFmtId="0" xfId="0" applyAlignment="1" applyFont="1">
      <alignment horizontal="right" vertical="bottom"/>
    </xf>
    <xf borderId="0" fillId="0" fontId="4" numFmtId="166" xfId="0" applyAlignment="1" applyFont="1" applyNumberFormat="1">
      <alignment horizontal="right" vertical="bottom"/>
    </xf>
    <xf borderId="0" fillId="36" fontId="4" numFmtId="166" xfId="0" applyAlignment="1" applyFont="1" applyNumberFormat="1">
      <alignment horizontal="right" vertical="bottom"/>
    </xf>
    <xf borderId="0" fillId="36" fontId="4" numFmtId="0" xfId="0" applyAlignment="1" applyFont="1">
      <alignment horizontal="right" vertical="bottom"/>
    </xf>
    <xf borderId="0" fillId="36" fontId="236" numFmtId="0" xfId="0" applyAlignment="1" applyFont="1">
      <alignment vertical="bottom"/>
    </xf>
    <xf borderId="0" fillId="36" fontId="237" numFmtId="0" xfId="0" applyAlignment="1" applyFont="1">
      <alignment vertical="bottom"/>
    </xf>
    <xf borderId="0" fillId="30" fontId="4" numFmtId="164" xfId="0" applyAlignment="1" applyFont="1" applyNumberFormat="1">
      <alignment horizontal="right" vertical="bottom"/>
    </xf>
    <xf borderId="0" fillId="30" fontId="238" numFmtId="0" xfId="0" applyAlignment="1" applyFont="1">
      <alignment shrinkToFit="0" vertical="bottom" wrapText="0"/>
    </xf>
    <xf borderId="0" fillId="30" fontId="4" numFmtId="0" xfId="0" applyAlignment="1" applyFont="1">
      <alignment horizontal="center" vertical="bottom"/>
    </xf>
    <xf borderId="0" fillId="30" fontId="239" numFmtId="0" xfId="0" applyAlignment="1" applyFont="1">
      <alignment vertical="bottom"/>
    </xf>
    <xf borderId="0" fillId="30" fontId="4" numFmtId="0" xfId="0" applyAlignment="1" applyFont="1">
      <alignment horizontal="center" vertical="bottom"/>
    </xf>
    <xf borderId="0" fillId="30" fontId="6" numFmtId="0" xfId="0" applyAlignment="1" applyFont="1">
      <alignment shrinkToFit="0" vertical="bottom" wrapText="0"/>
    </xf>
    <xf borderId="0" fillId="30" fontId="6" numFmtId="0" xfId="0" applyAlignment="1" applyFont="1">
      <alignment horizontal="right" vertical="bottom"/>
    </xf>
    <xf borderId="0" fillId="4" fontId="6" numFmtId="0" xfId="0" applyAlignment="1" applyFont="1">
      <alignment vertical="bottom"/>
    </xf>
    <xf borderId="0" fillId="17" fontId="5" numFmtId="0" xfId="0" applyAlignment="1" applyFont="1">
      <alignment readingOrder="0"/>
    </xf>
    <xf borderId="0" fillId="21" fontId="6" numFmtId="0" xfId="0" applyAlignment="1" applyFont="1">
      <alignment horizontal="right" vertical="bottom"/>
    </xf>
    <xf borderId="0" fillId="21" fontId="240" numFmtId="0" xfId="0" applyAlignment="1" applyFont="1">
      <alignment horizontal="right" vertical="bottom"/>
    </xf>
    <xf borderId="0" fillId="21" fontId="6" numFmtId="165" xfId="0" applyAlignment="1" applyFont="1" applyNumberFormat="1">
      <alignment vertical="bottom"/>
    </xf>
    <xf borderId="0" fillId="21" fontId="234" numFmtId="0" xfId="0" applyAlignment="1" applyFont="1">
      <alignment horizontal="right" vertical="bottom"/>
    </xf>
    <xf borderId="13" fillId="21" fontId="6" numFmtId="0" xfId="0" applyAlignment="1" applyBorder="1" applyFont="1">
      <alignment vertical="bottom"/>
    </xf>
    <xf borderId="0" fillId="25" fontId="4" numFmtId="0" xfId="0" applyAlignment="1" applyFont="1">
      <alignment horizontal="center" vertical="bottom"/>
    </xf>
    <xf borderId="0" fillId="25" fontId="4" numFmtId="0" xfId="0" applyAlignment="1" applyFont="1">
      <alignment horizontal="center" vertical="bottom"/>
    </xf>
    <xf borderId="0" fillId="25" fontId="6" numFmtId="0" xfId="0" applyAlignment="1" applyFont="1">
      <alignment horizontal="right" vertical="bottom"/>
    </xf>
    <xf borderId="0" fillId="25" fontId="241" numFmtId="0" xfId="0" applyAlignment="1" applyFont="1">
      <alignment vertical="bottom"/>
    </xf>
    <xf borderId="0" fillId="25" fontId="11" numFmtId="0" xfId="0" applyAlignment="1" applyFont="1">
      <alignment vertical="bottom"/>
    </xf>
    <xf borderId="0" fillId="29" fontId="242" numFmtId="0" xfId="0" applyAlignment="1" applyFont="1">
      <alignment readingOrder="0" vertical="bottom"/>
    </xf>
    <xf borderId="0" fillId="29" fontId="49" numFmtId="0" xfId="0" applyAlignment="1" applyFont="1">
      <alignment vertical="bottom"/>
    </xf>
    <xf borderId="0" fillId="30" fontId="4" numFmtId="166" xfId="0" applyAlignment="1" applyFont="1" applyNumberFormat="1">
      <alignment horizontal="right" vertical="bottom"/>
    </xf>
    <xf borderId="0" fillId="0" fontId="24" numFmtId="0" xfId="0" applyAlignment="1" applyFont="1">
      <alignment vertical="bottom"/>
    </xf>
    <xf borderId="0" fillId="0" fontId="4" numFmtId="165" xfId="0" applyAlignment="1" applyFont="1" applyNumberFormat="1">
      <alignment vertical="bottom"/>
    </xf>
    <xf borderId="0" fillId="0" fontId="24" numFmtId="165" xfId="0" applyAlignment="1" applyFont="1" applyNumberFormat="1">
      <alignment horizontal="right" vertical="bottom"/>
    </xf>
    <xf borderId="1" fillId="0" fontId="243" numFmtId="0" xfId="0" applyAlignment="1" applyBorder="1" applyFont="1">
      <alignment vertical="bottom"/>
    </xf>
    <xf borderId="7" fillId="0" fontId="4" numFmtId="0" xfId="0" applyAlignment="1" applyBorder="1" applyFont="1">
      <alignment vertical="bottom"/>
    </xf>
    <xf borderId="0" fillId="0" fontId="4" numFmtId="2" xfId="0" applyAlignment="1" applyFont="1" applyNumberFormat="1">
      <alignment horizontal="right" vertical="bottom"/>
    </xf>
    <xf borderId="1" fillId="0" fontId="24" numFmtId="0" xfId="0" applyAlignment="1" applyBorder="1" applyFont="1">
      <alignment vertical="bottom"/>
    </xf>
    <xf borderId="0" fillId="0" fontId="4" numFmtId="0" xfId="0" applyAlignment="1" applyFont="1">
      <alignment shrinkToFit="0" vertical="top" wrapText="1"/>
    </xf>
    <xf borderId="0" fillId="0" fontId="24" numFmtId="0" xfId="0" applyAlignment="1" applyFont="1">
      <alignment horizontal="right" vertical="bottom"/>
    </xf>
    <xf borderId="0" fillId="0" fontId="24" numFmtId="0" xfId="0" applyAlignment="1" applyFont="1">
      <alignment horizontal="right" vertical="bottom"/>
    </xf>
    <xf borderId="0" fillId="0" fontId="244" numFmtId="0" xfId="0" applyAlignment="1" applyFont="1">
      <alignment vertical="bottom"/>
    </xf>
    <xf borderId="0" fillId="0" fontId="24" numFmtId="0" xfId="0" applyAlignment="1" applyFont="1">
      <alignment vertical="bottom"/>
    </xf>
    <xf borderId="0" fillId="0" fontId="245" numFmtId="0" xfId="0" applyAlignment="1" applyFont="1">
      <alignment vertical="bottom"/>
    </xf>
    <xf borderId="13" fillId="0" fontId="245" numFmtId="0" xfId="0" applyAlignment="1" applyBorder="1" applyFont="1">
      <alignment horizontal="right" vertical="top"/>
    </xf>
    <xf borderId="13" fillId="0" fontId="245" numFmtId="0" xfId="0" applyAlignment="1" applyBorder="1" applyFont="1">
      <alignment vertical="top"/>
    </xf>
    <xf borderId="0" fillId="0" fontId="246" numFmtId="0" xfId="0" applyAlignment="1" applyFont="1">
      <alignment vertical="bottom"/>
    </xf>
    <xf borderId="0" fillId="0" fontId="4" numFmtId="0" xfId="0" applyAlignment="1" applyFont="1">
      <alignment shrinkToFit="0" vertical="bottom" wrapText="1"/>
    </xf>
    <xf borderId="0" fillId="0" fontId="247" numFmtId="0" xfId="0" applyAlignment="1" applyFont="1">
      <alignment vertical="bottom"/>
    </xf>
    <xf borderId="0" fillId="0" fontId="4" numFmtId="0" xfId="0" applyAlignment="1" applyFont="1">
      <alignment horizontal="right" shrinkToFit="0" vertical="bottom" wrapText="1"/>
    </xf>
    <xf borderId="0" fillId="0" fontId="49" numFmtId="0" xfId="0" applyAlignment="1" applyFont="1">
      <alignment horizontal="right" vertical="bottom"/>
    </xf>
    <xf borderId="0" fillId="0" fontId="4" numFmtId="2" xfId="0" applyAlignment="1" applyFont="1" applyNumberFormat="1">
      <alignment vertical="bottom"/>
    </xf>
    <xf borderId="0" fillId="0" fontId="49" numFmtId="2" xfId="0" applyAlignment="1" applyFont="1" applyNumberFormat="1">
      <alignment horizontal="right" vertical="bottom"/>
    </xf>
    <xf borderId="0" fillId="0" fontId="49" numFmtId="0" xfId="0" applyAlignment="1" applyFont="1">
      <alignment vertical="bottom"/>
    </xf>
    <xf borderId="0" fillId="0" fontId="248" numFmtId="0" xfId="0" applyAlignment="1" applyFont="1">
      <alignment horizontal="right" vertical="bottom"/>
    </xf>
    <xf borderId="0" fillId="31" fontId="24" numFmtId="0" xfId="0" applyAlignment="1" applyFont="1">
      <alignment vertical="bottom"/>
    </xf>
    <xf borderId="0" fillId="0" fontId="6" numFmtId="2" xfId="0" applyAlignment="1" applyFont="1" applyNumberFormat="1">
      <alignment vertical="bottom"/>
    </xf>
    <xf borderId="0" fillId="0" fontId="4" numFmtId="3" xfId="0" applyAlignment="1" applyFont="1" applyNumberFormat="1">
      <alignment vertical="bottom"/>
    </xf>
    <xf borderId="0" fillId="0" fontId="249" numFmtId="0" xfId="0" applyAlignment="1" applyFont="1">
      <alignment vertical="bottom"/>
    </xf>
    <xf borderId="0" fillId="0" fontId="248" numFmtId="0" xfId="0" applyAlignment="1" applyFont="1">
      <alignment vertical="bottom"/>
    </xf>
    <xf borderId="0" fillId="0" fontId="250" numFmtId="0" xfId="0" applyAlignment="1" applyFont="1">
      <alignment vertical="bottom"/>
    </xf>
    <xf borderId="0" fillId="0" fontId="11" numFmtId="0" xfId="0" applyAlignment="1" applyFont="1">
      <alignment horizontal="right" readingOrder="0" vertical="bottom"/>
    </xf>
    <xf borderId="13" fillId="0" fontId="4" numFmtId="0" xfId="0" applyAlignment="1" applyBorder="1" applyFont="1">
      <alignment vertical="bottom"/>
    </xf>
    <xf borderId="13" fillId="0" fontId="4" numFmtId="0" xfId="0" applyAlignment="1" applyBorder="1" applyFont="1">
      <alignment horizontal="right" vertical="bottom"/>
    </xf>
    <xf borderId="13" fillId="0" fontId="24" numFmtId="0" xfId="0" applyAlignment="1" applyBorder="1" applyFont="1">
      <alignment horizontal="right" vertical="bottom"/>
    </xf>
    <xf borderId="0" fillId="31" fontId="24" numFmtId="0" xfId="0" applyAlignment="1" applyFont="1">
      <alignment vertical="bottom"/>
    </xf>
    <xf borderId="0" fillId="4" fontId="4" numFmtId="0" xfId="0" applyAlignment="1" applyFont="1">
      <alignment horizontal="right" vertical="bottom"/>
    </xf>
    <xf borderId="0" fillId="0" fontId="251" numFmtId="0" xfId="0" applyAlignment="1" applyFont="1">
      <alignment horizontal="right" vertical="bottom"/>
    </xf>
    <xf borderId="0" fillId="0" fontId="251" numFmtId="0" xfId="0" applyAlignment="1" applyFont="1">
      <alignment vertical="bottom"/>
    </xf>
    <xf borderId="0" fillId="0" fontId="251" numFmtId="0" xfId="0" applyAlignment="1" applyFont="1">
      <alignment readingOrder="0" vertical="bottom"/>
    </xf>
    <xf borderId="0" fillId="0" fontId="252" numFmtId="0" xfId="0" applyAlignment="1" applyFont="1">
      <alignment vertical="bottom"/>
    </xf>
    <xf quotePrefix="1" borderId="0" fillId="0" fontId="4" numFmtId="16" xfId="0" applyAlignment="1" applyFont="1" applyNumberFormat="1">
      <alignment vertical="bottom"/>
    </xf>
    <xf borderId="0" fillId="0" fontId="253" numFmtId="0" xfId="0" applyAlignment="1" applyFont="1">
      <alignment vertical="bottom"/>
    </xf>
    <xf borderId="0" fillId="0" fontId="254" numFmtId="0" xfId="0" applyAlignment="1" applyFont="1">
      <alignment vertical="bottom"/>
    </xf>
    <xf borderId="0" fillId="39" fontId="6" numFmtId="0" xfId="0" applyAlignment="1" applyFill="1" applyFont="1">
      <alignment vertical="bottom"/>
    </xf>
    <xf borderId="0" fillId="39" fontId="4" numFmtId="0" xfId="0" applyAlignment="1" applyFont="1">
      <alignment vertical="bottom"/>
    </xf>
    <xf borderId="0" fillId="39" fontId="4" numFmtId="0" xfId="0" applyAlignment="1" applyFont="1">
      <alignment vertical="bottom"/>
    </xf>
    <xf borderId="0" fillId="39" fontId="4" numFmtId="165" xfId="0" applyAlignment="1" applyFont="1" applyNumberFormat="1">
      <alignment horizontal="right" vertical="bottom"/>
    </xf>
    <xf borderId="0" fillId="39" fontId="6" numFmtId="165" xfId="0" applyAlignment="1" applyFont="1" applyNumberFormat="1">
      <alignment horizontal="right" vertical="bottom"/>
    </xf>
    <xf borderId="0" fillId="39" fontId="4" numFmtId="0" xfId="0" applyAlignment="1" applyFont="1">
      <alignment horizontal="right" vertical="bottom"/>
    </xf>
    <xf borderId="0" fillId="39" fontId="6" numFmtId="0" xfId="0" applyAlignment="1" applyFont="1">
      <alignment vertical="bottom"/>
    </xf>
    <xf borderId="0" fillId="39" fontId="6" numFmtId="0" xfId="0" applyAlignment="1" applyFont="1">
      <alignment vertical="bottom"/>
    </xf>
    <xf borderId="0" fillId="39" fontId="6" numFmtId="0" xfId="0" applyAlignment="1" applyFont="1">
      <alignment readingOrder="0" vertical="bottom"/>
    </xf>
    <xf borderId="0" fillId="39" fontId="117" numFmtId="0" xfId="0" applyAlignment="1" applyFont="1">
      <alignment readingOrder="0" vertical="bottom"/>
    </xf>
    <xf borderId="0" fillId="39" fontId="255" numFmtId="0" xfId="0" applyAlignment="1" applyFont="1">
      <alignment readingOrder="0" vertical="bottom"/>
    </xf>
    <xf borderId="0" fillId="39" fontId="6" numFmtId="0" xfId="0" applyAlignment="1" applyFont="1">
      <alignment horizontal="right" vertical="bottom"/>
    </xf>
    <xf borderId="0" fillId="13" fontId="6" numFmtId="165" xfId="0" applyAlignment="1" applyFont="1" applyNumberFormat="1">
      <alignment horizontal="right" vertical="bottom"/>
    </xf>
    <xf borderId="0" fillId="29" fontId="6" numFmtId="165" xfId="0" applyAlignment="1" applyFont="1" applyNumberFormat="1">
      <alignment horizontal="right" vertical="bottom"/>
    </xf>
    <xf borderId="0" fillId="29" fontId="6" numFmtId="11" xfId="0" applyAlignment="1" applyFont="1" applyNumberFormat="1">
      <alignment horizontal="right" vertical="bottom"/>
    </xf>
    <xf borderId="0" fillId="29" fontId="117" numFmtId="0" xfId="0" applyAlignment="1" applyFont="1">
      <alignment readingOrder="0" vertical="bottom"/>
    </xf>
    <xf borderId="0" fillId="29" fontId="4" numFmtId="11" xfId="0" applyAlignment="1" applyFont="1" applyNumberFormat="1">
      <alignment horizontal="right" vertical="bottom"/>
    </xf>
    <xf borderId="0" fillId="25" fontId="6" numFmtId="165" xfId="0" applyAlignment="1" applyFont="1" applyNumberFormat="1">
      <alignment horizontal="right" vertical="bottom"/>
    </xf>
    <xf borderId="0" fillId="25" fontId="6" numFmtId="0" xfId="0" applyAlignment="1" applyFont="1">
      <alignment horizontal="right" vertical="bottom"/>
    </xf>
    <xf borderId="0" fillId="25" fontId="117" numFmtId="0" xfId="0" applyAlignment="1" applyFont="1">
      <alignment readingOrder="0" vertical="bottom"/>
    </xf>
    <xf borderId="0" fillId="20" fontId="6" numFmtId="165" xfId="0" applyAlignment="1" applyFont="1" applyNumberFormat="1">
      <alignment horizontal="right" vertical="bottom"/>
    </xf>
    <xf borderId="0" fillId="20" fontId="117" numFmtId="0" xfId="0" applyAlignment="1" applyFont="1">
      <alignment readingOrder="0" vertical="bottom"/>
    </xf>
    <xf borderId="0" fillId="39" fontId="29" numFmtId="0" xfId="0" applyAlignment="1" applyFont="1">
      <alignment readingOrder="0" vertical="bottom"/>
    </xf>
    <xf borderId="0" fillId="0" fontId="117" numFmtId="0" xfId="0" applyAlignment="1" applyFont="1">
      <alignment readingOrder="0" vertical="bottom"/>
    </xf>
    <xf borderId="0" fillId="0" fontId="4" numFmtId="11" xfId="0" applyAlignment="1" applyFont="1" applyNumberFormat="1">
      <alignment vertical="bottom"/>
    </xf>
    <xf borderId="0" fillId="39" fontId="256" numFmtId="0" xfId="0" applyAlignment="1" applyFont="1">
      <alignment vertical="bottom"/>
    </xf>
    <xf borderId="0" fillId="40" fontId="6" numFmtId="0" xfId="0" applyAlignment="1" applyFill="1" applyFont="1">
      <alignment vertical="bottom"/>
    </xf>
    <xf borderId="0" fillId="39" fontId="6" numFmtId="0" xfId="0" applyAlignment="1" applyFont="1">
      <alignment horizontal="right" vertical="bottom"/>
    </xf>
    <xf borderId="0" fillId="39" fontId="257" numFmtId="0" xfId="0" applyAlignment="1" applyFont="1">
      <alignment vertical="bottom"/>
    </xf>
    <xf borderId="0" fillId="13" fontId="4" numFmtId="11" xfId="0" applyAlignment="1" applyFont="1" applyNumberFormat="1">
      <alignment horizontal="right" vertical="bottom"/>
    </xf>
    <xf borderId="0" fillId="2" fontId="4" numFmtId="0" xfId="0" applyAlignment="1" applyFont="1">
      <alignment vertical="bottom"/>
    </xf>
    <xf borderId="0" fillId="39" fontId="258" numFmtId="0" xfId="0" applyAlignment="1" applyFont="1">
      <alignment readingOrder="0" vertical="bottom"/>
    </xf>
    <xf borderId="0" fillId="39" fontId="6" numFmtId="11" xfId="0" applyAlignment="1" applyFont="1" applyNumberFormat="1">
      <alignment horizontal="right" vertical="bottom"/>
    </xf>
    <xf borderId="0" fillId="13" fontId="259" numFmtId="0" xfId="0" applyAlignment="1" applyFont="1">
      <alignment readingOrder="0" vertical="bottom"/>
    </xf>
    <xf borderId="0" fillId="13" fontId="4" numFmtId="2" xfId="0" applyAlignment="1" applyFont="1" applyNumberFormat="1">
      <alignment vertical="bottom"/>
    </xf>
    <xf borderId="0" fillId="39" fontId="6" numFmtId="0" xfId="0" applyAlignment="1" applyFont="1">
      <alignment horizontal="right" readingOrder="0" vertical="bottom"/>
    </xf>
    <xf borderId="0" fillId="39" fontId="6" numFmtId="11" xfId="0" applyAlignment="1" applyFont="1" applyNumberFormat="1">
      <alignment horizontal="right" readingOrder="0" vertical="bottom"/>
    </xf>
    <xf borderId="0" fillId="13" fontId="260" numFmtId="0" xfId="0" applyAlignment="1" applyFont="1">
      <alignment vertical="bottom"/>
    </xf>
    <xf borderId="0" fillId="13" fontId="4" numFmtId="11" xfId="0" applyAlignment="1" applyFont="1" applyNumberFormat="1">
      <alignment vertical="bottom"/>
    </xf>
    <xf borderId="0" fillId="40" fontId="29" numFmtId="0" xfId="0" applyAlignment="1" applyFont="1">
      <alignment vertical="bottom"/>
    </xf>
    <xf borderId="0" fillId="40" fontId="29" numFmtId="0" xfId="0" applyAlignment="1" applyFont="1">
      <alignment horizontal="right" vertical="bottom"/>
    </xf>
    <xf borderId="0" fillId="13" fontId="11" numFmtId="0" xfId="0" applyAlignment="1" applyFont="1">
      <alignment horizontal="right" vertical="bottom"/>
    </xf>
    <xf borderId="0" fillId="40" fontId="4" numFmtId="0" xfId="0" applyAlignment="1" applyFont="1">
      <alignment vertical="bottom"/>
    </xf>
    <xf borderId="0" fillId="39" fontId="261" numFmtId="0" xfId="0" applyAlignment="1" applyFont="1">
      <alignment vertical="bottom"/>
    </xf>
    <xf borderId="0" fillId="39" fontId="29" numFmtId="0" xfId="0" applyAlignment="1" applyFont="1">
      <alignment horizontal="right" readingOrder="0" vertical="bottom"/>
    </xf>
    <xf borderId="0" fillId="40" fontId="6" numFmtId="0" xfId="0" applyAlignment="1" applyFont="1">
      <alignment readingOrder="0" vertical="bottom"/>
    </xf>
    <xf borderId="0" fillId="13" fontId="2" numFmtId="0" xfId="0" applyAlignment="1" applyFont="1">
      <alignment vertical="bottom"/>
    </xf>
    <xf borderId="0" fillId="13" fontId="262" numFmtId="0" xfId="0" applyAlignment="1" applyFont="1">
      <alignment horizontal="right" vertical="bottom"/>
    </xf>
    <xf borderId="0" fillId="13" fontId="11" numFmtId="0" xfId="0" applyAlignment="1" applyFont="1">
      <alignment vertical="bottom"/>
    </xf>
    <xf borderId="0" fillId="13" fontId="11" numFmtId="0" xfId="0" applyAlignment="1" applyFont="1">
      <alignment horizontal="right" vertical="bottom"/>
    </xf>
    <xf borderId="0" fillId="39" fontId="29" numFmtId="0" xfId="0" applyAlignment="1" applyFont="1">
      <alignment vertical="bottom"/>
    </xf>
    <xf borderId="0" fillId="39" fontId="263" numFmtId="0" xfId="0" applyAlignment="1" applyFont="1">
      <alignment readingOrder="0" vertical="bottom"/>
    </xf>
    <xf borderId="0" fillId="13" fontId="4" numFmtId="176" xfId="0" applyAlignment="1" applyFont="1" applyNumberFormat="1">
      <alignment horizontal="right" vertical="bottom"/>
    </xf>
    <xf borderId="0" fillId="13" fontId="264" numFmtId="0" xfId="0" applyAlignment="1" applyFont="1">
      <alignment vertical="bottom"/>
    </xf>
    <xf borderId="0" fillId="13" fontId="265" numFmtId="0" xfId="0" applyAlignment="1" applyFont="1">
      <alignment vertical="bottom"/>
    </xf>
    <xf borderId="0" fillId="40" fontId="29" numFmtId="0" xfId="0" applyAlignment="1" applyFont="1">
      <alignment readingOrder="0" vertical="bottom"/>
    </xf>
    <xf borderId="0" fillId="0" fontId="255" numFmtId="0" xfId="0" applyAlignment="1" applyFont="1">
      <alignment readingOrder="0" vertical="bottom"/>
    </xf>
    <xf borderId="0" fillId="0" fontId="266" numFmtId="0" xfId="0" applyAlignment="1" applyFont="1">
      <alignment vertical="bottom"/>
    </xf>
    <xf borderId="0" fillId="0" fontId="255" numFmtId="0" xfId="0" applyAlignment="1" applyFont="1">
      <alignment horizontal="right" readingOrder="0" vertical="bottom"/>
    </xf>
    <xf borderId="0" fillId="0" fontId="6" numFmtId="11" xfId="0" applyAlignment="1" applyFont="1" applyNumberFormat="1">
      <alignment horizontal="right" vertical="bottom"/>
    </xf>
    <xf borderId="0" fillId="0" fontId="267" numFmtId="11" xfId="0" applyAlignment="1" applyFont="1" applyNumberFormat="1">
      <alignment horizontal="right" vertical="bottom"/>
    </xf>
    <xf borderId="0" fillId="0" fontId="6" numFmtId="0" xfId="0" applyAlignment="1" applyFont="1">
      <alignment horizontal="right" readingOrder="0" vertical="bottom"/>
    </xf>
    <xf borderId="0" fillId="0" fontId="4" numFmtId="11" xfId="0" applyAlignment="1" applyFont="1" applyNumberFormat="1">
      <alignment horizontal="right" vertical="bottom"/>
    </xf>
    <xf borderId="0" fillId="0" fontId="268" numFmtId="0" xfId="0" applyAlignment="1" applyFont="1">
      <alignment horizontal="right" readingOrder="0" vertical="bottom"/>
    </xf>
    <xf borderId="0" fillId="0" fontId="269" numFmtId="0" xfId="0" applyAlignment="1" applyFont="1">
      <alignment readingOrder="0"/>
    </xf>
    <xf borderId="0" fillId="0" fontId="255" numFmtId="0" xfId="0" applyAlignment="1" applyFont="1">
      <alignment vertical="bottom"/>
    </xf>
    <xf borderId="0" fillId="0" fontId="270" numFmtId="0" xfId="0" applyAlignment="1" applyFont="1">
      <alignment vertical="bottom"/>
    </xf>
    <xf borderId="0" fillId="0" fontId="125" numFmtId="0" xfId="0" applyAlignment="1" applyFont="1">
      <alignment readingOrder="0" vertical="bottom"/>
    </xf>
    <xf borderId="0" fillId="0" fontId="4" numFmtId="177" xfId="0" applyAlignment="1" applyFont="1" applyNumberFormat="1">
      <alignment horizontal="right" vertical="bottom"/>
    </xf>
    <xf borderId="0" fillId="0" fontId="6" numFmtId="165" xfId="0" applyAlignment="1" applyFont="1" applyNumberFormat="1">
      <alignment horizontal="right" readingOrder="0" vertical="bottom"/>
    </xf>
    <xf borderId="0" fillId="0" fontId="255" numFmtId="0" xfId="0" applyAlignment="1" applyFont="1">
      <alignment horizontal="right" vertical="bottom"/>
    </xf>
    <xf borderId="0" fillId="18" fontId="193" numFmtId="0" xfId="0" applyAlignment="1" applyFont="1">
      <alignment vertical="bottom"/>
    </xf>
    <xf borderId="0" fillId="0" fontId="271" numFmtId="0" xfId="0" applyAlignment="1" applyFont="1">
      <alignment readingOrder="0" vertical="bottom"/>
    </xf>
    <xf borderId="0" fillId="0" fontId="272" numFmtId="0" xfId="0" applyAlignment="1" applyFont="1">
      <alignment vertical="bottom"/>
    </xf>
    <xf borderId="0" fillId="0" fontId="29" numFmtId="0" xfId="0" applyAlignment="1" applyFont="1">
      <alignment readingOrder="0" vertical="bottom"/>
    </xf>
    <xf quotePrefix="1" borderId="0" fillId="0" fontId="6" numFmtId="0" xfId="0" applyAlignment="1" applyFont="1">
      <alignment vertical="bottom"/>
    </xf>
    <xf borderId="0" fillId="0" fontId="273" numFmtId="0" xfId="0" applyAlignment="1" applyFont="1">
      <alignment vertical="bottom"/>
    </xf>
    <xf borderId="7" fillId="12" fontId="274" numFmtId="0" xfId="0" applyAlignment="1" applyBorder="1" applyFont="1">
      <alignment shrinkToFit="0" vertical="top" wrapText="1"/>
    </xf>
    <xf borderId="0" fillId="0" fontId="275" numFmtId="0" xfId="0" applyAlignment="1" applyFont="1">
      <alignment readingOrder="0" vertical="bottom"/>
    </xf>
    <xf borderId="0" fillId="41" fontId="6" numFmtId="0" xfId="0" applyAlignment="1" applyFill="1" applyFont="1">
      <alignment vertical="bottom"/>
    </xf>
    <xf borderId="0" fillId="0" fontId="276" numFmtId="0" xfId="0" applyAlignment="1" applyFont="1">
      <alignment vertical="bottom"/>
    </xf>
    <xf borderId="0" fillId="0" fontId="4" numFmtId="175" xfId="0" applyAlignment="1" applyFont="1" applyNumberFormat="1">
      <alignment horizontal="right" vertical="bottom"/>
    </xf>
    <xf borderId="0" fillId="41" fontId="4" numFmtId="0" xfId="0" applyAlignment="1" applyFont="1">
      <alignment vertical="bottom"/>
    </xf>
    <xf borderId="0" fillId="41" fontId="4" numFmtId="0" xfId="0" applyAlignment="1" applyFont="1">
      <alignment horizontal="right" vertical="bottom"/>
    </xf>
    <xf borderId="0" fillId="0" fontId="276" numFmtId="175" xfId="0" applyAlignment="1" applyFont="1" applyNumberFormat="1">
      <alignment horizontal="right" vertical="bottom"/>
    </xf>
    <xf borderId="0" fillId="18" fontId="273" numFmtId="0" xfId="0" applyAlignment="1" applyFont="1">
      <alignment vertical="bottom"/>
    </xf>
    <xf borderId="0" fillId="0" fontId="276" numFmtId="0" xfId="0" applyAlignment="1" applyFont="1">
      <alignment horizontal="right" vertical="bottom"/>
    </xf>
    <xf borderId="0" fillId="0" fontId="277" numFmtId="0" xfId="0" applyAlignment="1" applyFont="1">
      <alignment vertical="bottom"/>
    </xf>
    <xf borderId="0" fillId="0" fontId="193" numFmtId="0" xfId="0" applyAlignment="1" applyFont="1">
      <alignment vertical="bottom"/>
    </xf>
    <xf borderId="0" fillId="0" fontId="278" numFmtId="0" xfId="0" applyAlignment="1" applyFont="1">
      <alignment horizontal="right" readingOrder="0" vertical="bottom"/>
    </xf>
    <xf borderId="0" fillId="18" fontId="273" numFmtId="0" xfId="0" applyAlignment="1" applyFont="1">
      <alignment shrinkToFit="0" vertical="bottom" wrapText="0"/>
    </xf>
    <xf borderId="0" fillId="0" fontId="279" numFmtId="0" xfId="0" applyAlignment="1" applyFont="1">
      <alignment vertical="bottom"/>
    </xf>
    <xf borderId="0" fillId="31" fontId="6" numFmtId="0" xfId="0" applyAlignment="1" applyFont="1">
      <alignment horizontal="right" vertical="bottom"/>
    </xf>
    <xf borderId="0" fillId="18" fontId="280" numFmtId="0" xfId="0" applyAlignment="1" applyFont="1">
      <alignment readingOrder="0" vertical="bottom"/>
    </xf>
    <xf borderId="0" fillId="18" fontId="272" numFmtId="0" xfId="0" applyAlignment="1" applyFont="1">
      <alignment vertical="bottom"/>
    </xf>
    <xf borderId="0" fillId="0" fontId="277" numFmtId="0" xfId="0" applyAlignment="1" applyFont="1">
      <alignment horizontal="right" vertical="bottom"/>
    </xf>
    <xf borderId="0" fillId="0" fontId="273" numFmtId="0" xfId="0" applyAlignment="1" applyFont="1">
      <alignment shrinkToFit="0" vertical="bottom" wrapText="0"/>
    </xf>
    <xf borderId="0" fillId="25" fontId="193" numFmtId="0" xfId="0" applyAlignment="1" applyFont="1">
      <alignment vertical="bottom"/>
    </xf>
    <xf borderId="0" fillId="25" fontId="11" numFmtId="0" xfId="0" applyAlignment="1" applyFont="1">
      <alignment horizontal="right" vertical="bottom"/>
    </xf>
    <xf borderId="0" fillId="25" fontId="281" numFmtId="0" xfId="0" applyAlignment="1" applyFont="1">
      <alignment readingOrder="0" vertical="bottom"/>
    </xf>
    <xf borderId="0" fillId="25" fontId="29" numFmtId="0" xfId="0" applyAlignment="1" applyFont="1">
      <alignment readingOrder="0" vertical="bottom"/>
    </xf>
    <xf borderId="0" fillId="23" fontId="29" numFmtId="0" xfId="0" applyAlignment="1" applyFont="1">
      <alignment horizontal="right" readingOrder="0" vertical="bottom"/>
    </xf>
    <xf borderId="0" fillId="23" fontId="6" numFmtId="0" xfId="0" applyAlignment="1" applyFont="1">
      <alignment horizontal="right" readingOrder="0" vertical="bottom"/>
    </xf>
    <xf borderId="0" fillId="23" fontId="6" numFmtId="0" xfId="0" applyAlignment="1" applyFont="1">
      <alignment horizontal="right" vertical="bottom"/>
    </xf>
    <xf borderId="0" fillId="23" fontId="4" numFmtId="0" xfId="0" applyAlignment="1" applyFont="1">
      <alignment horizontal="right" vertical="bottom"/>
    </xf>
    <xf borderId="0" fillId="20" fontId="193" numFmtId="0" xfId="0" applyAlignment="1" applyFont="1">
      <alignment vertical="bottom"/>
    </xf>
    <xf borderId="0" fillId="22" fontId="282" numFmtId="0" xfId="0" applyAlignment="1" applyFont="1">
      <alignment vertical="bottom"/>
    </xf>
    <xf borderId="0" fillId="20" fontId="283" numFmtId="0" xfId="0" applyAlignment="1" applyFont="1">
      <alignment readingOrder="0" vertical="bottom"/>
    </xf>
    <xf borderId="0" fillId="20" fontId="273" numFmtId="0" xfId="0" applyAlignment="1" applyFont="1">
      <alignment vertical="bottom"/>
    </xf>
    <xf borderId="0" fillId="20" fontId="29" numFmtId="0" xfId="0" applyAlignment="1" applyFont="1">
      <alignment horizontal="right" vertical="bottom"/>
    </xf>
    <xf borderId="0" fillId="20" fontId="6" numFmtId="0" xfId="0" applyAlignment="1" applyFont="1">
      <alignment horizontal="right" vertical="bottom"/>
    </xf>
    <xf borderId="0" fillId="20" fontId="284" numFmtId="0" xfId="0" applyAlignment="1" applyFont="1">
      <alignment vertical="bottom"/>
    </xf>
    <xf borderId="0" fillId="0" fontId="29" numFmtId="0" xfId="0" applyAlignment="1" applyFont="1">
      <alignment horizontal="right" vertical="bottom"/>
    </xf>
    <xf borderId="0" fillId="0" fontId="285" numFmtId="0" xfId="0" applyAlignment="1" applyFont="1">
      <alignment readingOrder="0" vertical="bottom"/>
    </xf>
    <xf borderId="0" fillId="42" fontId="4" numFmtId="0" xfId="0" applyAlignment="1" applyFill="1" applyFont="1">
      <alignment vertical="bottom"/>
    </xf>
    <xf borderId="7" fillId="30" fontId="4" numFmtId="0" xfId="0" applyAlignment="1" applyBorder="1" applyFont="1">
      <alignment shrinkToFit="0" vertical="top" wrapText="1"/>
    </xf>
    <xf borderId="0" fillId="30" fontId="6" numFmtId="165" xfId="0" applyAlignment="1" applyFont="1" applyNumberFormat="1">
      <alignment vertical="bottom"/>
    </xf>
    <xf borderId="0" fillId="24" fontId="6" numFmtId="165" xfId="0" applyAlignment="1" applyFont="1" applyNumberFormat="1">
      <alignment vertical="bottom"/>
    </xf>
    <xf borderId="0" fillId="13" fontId="4" numFmtId="165" xfId="0" applyAlignment="1" applyFont="1" applyNumberFormat="1">
      <alignment vertical="bottom"/>
    </xf>
    <xf borderId="0" fillId="13" fontId="6" numFmtId="165" xfId="0" applyAlignment="1" applyFont="1" applyNumberFormat="1">
      <alignment vertical="bottom"/>
    </xf>
    <xf borderId="0" fillId="13" fontId="4" numFmtId="0" xfId="0" applyAlignment="1" applyFont="1">
      <alignment horizontal="right" textRotation="0" vertical="bottom"/>
    </xf>
    <xf borderId="0" fillId="23" fontId="4" numFmtId="0" xfId="0" applyAlignment="1" applyFont="1">
      <alignment vertical="bottom"/>
    </xf>
    <xf borderId="0" fillId="23" fontId="4" numFmtId="165" xfId="0" applyAlignment="1" applyFont="1" applyNumberFormat="1">
      <alignment vertical="bottom"/>
    </xf>
    <xf borderId="0" fillId="23" fontId="4" numFmtId="165" xfId="0" applyAlignment="1" applyFont="1" applyNumberFormat="1">
      <alignment horizontal="right" vertical="bottom"/>
    </xf>
    <xf borderId="0" fillId="23" fontId="286" numFmtId="0" xfId="0" applyAlignment="1" applyFont="1">
      <alignment vertical="bottom"/>
    </xf>
    <xf borderId="0" fillId="23" fontId="4" numFmtId="0" xfId="0" applyAlignment="1" applyFont="1">
      <alignment horizontal="right" vertical="bottom"/>
    </xf>
    <xf borderId="0" fillId="0" fontId="117" numFmtId="0" xfId="0" applyAlignment="1" applyFont="1">
      <alignment readingOrder="0" shrinkToFit="0" vertical="bottom" wrapText="0"/>
    </xf>
    <xf borderId="0" fillId="12" fontId="5" numFmtId="0" xfId="0" applyAlignment="1" applyFont="1">
      <alignment readingOrder="0" shrinkToFit="0" vertical="bottom" wrapText="0"/>
    </xf>
    <xf borderId="0" fillId="0" fontId="117" numFmtId="0" xfId="0" applyAlignment="1" applyFont="1">
      <alignment horizontal="right" readingOrder="0" shrinkToFit="0" vertical="bottom" wrapText="0"/>
    </xf>
    <xf borderId="0" fillId="18" fontId="193"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19" fontId="5" numFmtId="0" xfId="0" applyAlignment="1" applyFont="1">
      <alignment readingOrder="0" shrinkToFit="0" vertical="bottom" wrapText="0"/>
    </xf>
    <xf borderId="12" fillId="12" fontId="5" numFmtId="0" xfId="0" applyAlignment="1" applyBorder="1" applyFont="1">
      <alignment readingOrder="0" vertical="top"/>
    </xf>
    <xf borderId="0" fillId="0" fontId="11" numFmtId="0" xfId="0" applyAlignment="1" applyFont="1">
      <alignment readingOrder="0" shrinkToFit="0" vertical="bottom" wrapText="0"/>
    </xf>
    <xf borderId="0" fillId="0" fontId="117" numFmtId="0" xfId="0" applyAlignment="1" applyFont="1">
      <alignment horizontal="right" readingOrder="0" shrinkToFit="0" vertical="bottom" wrapText="0"/>
    </xf>
    <xf borderId="0" fillId="0" fontId="287" numFmtId="0" xfId="0" applyAlignment="1" applyFont="1">
      <alignment readingOrder="0" shrinkToFit="0" vertical="bottom" wrapText="0"/>
    </xf>
    <xf borderId="0" fillId="0" fontId="130" numFmtId="165" xfId="0" applyAlignment="1" applyFont="1" applyNumberFormat="1">
      <alignment readingOrder="0"/>
    </xf>
    <xf borderId="12" fillId="12" fontId="288" numFmtId="0" xfId="0" applyAlignment="1" applyBorder="1" applyFont="1">
      <alignment readingOrder="0" vertical="top"/>
    </xf>
    <xf borderId="0" fillId="0" fontId="117" numFmtId="0" xfId="0" applyAlignment="1" applyFont="1">
      <alignment shrinkToFit="0" vertical="bottom" wrapText="0"/>
    </xf>
    <xf borderId="0" fillId="0" fontId="5" numFmtId="0" xfId="0" applyAlignment="1" applyFont="1">
      <alignment shrinkToFit="0" vertical="bottom" wrapText="0"/>
    </xf>
    <xf borderId="0" fillId="0" fontId="193" numFmtId="0" xfId="0" applyAlignment="1" applyFont="1">
      <alignment readingOrder="0" shrinkToFit="0" vertical="bottom" wrapText="0"/>
    </xf>
    <xf borderId="12" fillId="0" fontId="289" numFmtId="0" xfId="0" applyAlignment="1" applyBorder="1" applyFont="1">
      <alignment readingOrder="0" vertical="top"/>
    </xf>
    <xf borderId="0" fillId="25" fontId="5" numFmtId="0" xfId="0" applyAlignment="1" applyFont="1">
      <alignment readingOrder="0" shrinkToFit="0" vertical="bottom" wrapText="0"/>
    </xf>
    <xf borderId="0" fillId="0" fontId="5" numFmtId="0" xfId="0" applyAlignment="1" applyFont="1">
      <alignment shrinkToFit="0" vertical="bottom" wrapText="0"/>
    </xf>
    <xf borderId="12" fillId="0" fontId="5" numFmtId="0" xfId="0" applyAlignment="1" applyBorder="1" applyFont="1">
      <alignment readingOrder="0" vertical="top"/>
    </xf>
    <xf borderId="12" fillId="0" fontId="290" numFmtId="0" xfId="0" applyAlignment="1" applyBorder="1" applyFont="1">
      <alignment readingOrder="0" vertical="top"/>
    </xf>
    <xf borderId="0" fillId="0" fontId="117" numFmtId="0" xfId="0" applyAlignment="1" applyFont="1">
      <alignment shrinkToFit="0" vertical="bottom" wrapText="0"/>
    </xf>
    <xf borderId="0" fillId="31" fontId="5" numFmtId="0" xfId="0" applyAlignment="1" applyFont="1">
      <alignment readingOrder="0" shrinkToFit="0" vertical="bottom" wrapText="0"/>
    </xf>
    <xf borderId="0" fillId="0" fontId="117" numFmtId="0" xfId="0" applyAlignment="1" applyFont="1">
      <alignment shrinkToFit="0" vertical="bottom" wrapText="0"/>
    </xf>
    <xf borderId="0" fillId="0" fontId="117" numFmtId="0" xfId="0" applyAlignment="1" applyFont="1">
      <alignment shrinkToFit="0" vertical="bottom" wrapText="0"/>
    </xf>
    <xf borderId="0" fillId="0" fontId="5" numFmtId="0" xfId="0" applyAlignment="1" applyFont="1">
      <alignment shrinkToFit="0" vertical="bottom" wrapText="0"/>
    </xf>
    <xf borderId="0" fillId="0" fontId="117" numFmtId="165" xfId="0" applyAlignment="1" applyFont="1" applyNumberFormat="1">
      <alignment shrinkToFit="0" vertical="bottom" wrapText="0"/>
    </xf>
    <xf borderId="0" fillId="0" fontId="49" numFmtId="0" xfId="0" applyAlignment="1" applyFont="1">
      <alignment readingOrder="0" shrinkToFit="0" vertical="bottom" wrapText="0"/>
    </xf>
    <xf borderId="0" fillId="0" fontId="117" numFmtId="0" xfId="0" applyAlignment="1" applyFont="1">
      <alignment horizontal="right" shrinkToFit="0" vertical="bottom" wrapText="0"/>
    </xf>
    <xf borderId="0" fillId="0" fontId="29" numFmtId="0" xfId="0" applyAlignment="1" applyFont="1">
      <alignment readingOrder="0" shrinkToFit="0" vertical="bottom" wrapText="0"/>
    </xf>
    <xf borderId="0" fillId="26" fontId="5" numFmtId="0" xfId="0" applyAlignment="1" applyFont="1">
      <alignment readingOrder="0" shrinkToFit="0" vertical="bottom" wrapText="0"/>
    </xf>
    <xf borderId="0" fillId="0" fontId="5" numFmtId="175" xfId="0" applyAlignment="1" applyFont="1" applyNumberFormat="1">
      <alignment horizontal="right" readingOrder="0" shrinkToFit="0" vertical="bottom" wrapText="0"/>
    </xf>
    <xf borderId="0" fillId="0" fontId="117" numFmtId="165" xfId="0" applyAlignment="1" applyFont="1" applyNumberFormat="1">
      <alignment horizontal="right" readingOrder="0" shrinkToFit="0" vertical="bottom" wrapText="0"/>
    </xf>
    <xf borderId="0" fillId="18" fontId="5" numFmtId="0" xfId="0" applyAlignment="1" applyFont="1">
      <alignment readingOrder="0" shrinkToFit="0" vertical="bottom" wrapText="0"/>
    </xf>
    <xf borderId="12" fillId="12" fontId="291" numFmtId="0" xfId="0" applyAlignment="1" applyBorder="1" applyFont="1">
      <alignment readingOrder="0" vertical="top"/>
    </xf>
    <xf borderId="0" fillId="0" fontId="5" numFmtId="0" xfId="0" applyAlignment="1" applyFont="1">
      <alignment horizontal="right" shrinkToFit="0" vertical="bottom" wrapText="0"/>
    </xf>
    <xf borderId="0" fillId="0" fontId="5" numFmtId="0" xfId="0" applyAlignment="1" applyFont="1">
      <alignment horizontal="right" shrinkToFit="0" vertical="bottom" wrapText="0"/>
    </xf>
    <xf borderId="0" fillId="0" fontId="292" numFmtId="0" xfId="0" applyAlignment="1" applyFont="1">
      <alignment shrinkToFit="0" vertical="bottom" wrapText="0"/>
    </xf>
    <xf borderId="0" fillId="0" fontId="117" numFmtId="0" xfId="0" applyAlignment="1" applyFont="1">
      <alignment shrinkToFit="0" vertical="bottom" wrapText="0"/>
    </xf>
    <xf borderId="0" fillId="0" fontId="293" numFmtId="0" xfId="0" applyAlignment="1" applyFont="1">
      <alignment readingOrder="0" shrinkToFit="0" vertical="bottom" wrapText="0"/>
    </xf>
    <xf borderId="0" fillId="0" fontId="294" numFmtId="0" xfId="0" applyAlignment="1" applyFont="1">
      <alignment readingOrder="0" shrinkToFit="0" vertical="bottom" wrapText="0"/>
    </xf>
    <xf borderId="0" fillId="12" fontId="4" numFmtId="0" xfId="0" applyAlignment="1" applyFont="1">
      <alignment shrinkToFit="0" vertical="top" wrapText="1"/>
    </xf>
    <xf borderId="0" fillId="0" fontId="4" numFmtId="0" xfId="0" applyAlignment="1" applyFont="1">
      <alignment readingOrder="0" shrinkToFit="0" vertical="bottom" wrapText="0"/>
    </xf>
    <xf borderId="0" fillId="12" fontId="4" numFmtId="0" xfId="0" applyAlignment="1" applyFont="1">
      <alignment shrinkToFit="0" vertical="top" wrapText="1"/>
    </xf>
    <xf borderId="0" fillId="0" fontId="5" numFmtId="0" xfId="0" applyAlignment="1" applyFont="1">
      <alignment readingOrder="0" vertical="bottom"/>
    </xf>
    <xf borderId="0" fillId="0" fontId="268" numFmtId="0" xfId="0" applyAlignment="1" applyFont="1">
      <alignment horizontal="right" vertical="bottom"/>
    </xf>
    <xf borderId="0" fillId="0" fontId="268" numFmtId="0" xfId="0" applyAlignment="1" applyFont="1">
      <alignment vertical="bottom"/>
    </xf>
    <xf borderId="0" fillId="0" fontId="295" numFmtId="0" xfId="0" applyAlignment="1" applyFont="1">
      <alignment vertical="bottom"/>
    </xf>
    <xf borderId="0" fillId="0" fontId="49" numFmtId="175" xfId="0" applyAlignment="1" applyFont="1" applyNumberFormat="1">
      <alignment horizontal="right" vertical="bottom"/>
    </xf>
    <xf borderId="0" fillId="4" fontId="3" numFmtId="0" xfId="0" applyAlignment="1" applyFont="1">
      <alignment readingOrder="0"/>
    </xf>
    <xf borderId="0" fillId="12" fontId="296" numFmtId="0" xfId="0" applyAlignment="1" applyFont="1">
      <alignment readingOrder="0" shrinkToFit="0" vertical="top" wrapText="1"/>
    </xf>
    <xf borderId="0" fillId="0" fontId="49" numFmtId="0" xfId="0" applyAlignment="1" applyFont="1">
      <alignment vertical="bottom"/>
    </xf>
    <xf borderId="0" fillId="0" fontId="6" numFmtId="0" xfId="0" applyAlignment="1" applyFont="1">
      <alignment horizontal="right" shrinkToFit="0" vertical="bottom" wrapText="1"/>
    </xf>
    <xf borderId="0" fillId="18" fontId="297" numFmtId="0" xfId="0" applyAlignment="1" applyFont="1">
      <alignment horizontal="right" vertical="bottom"/>
    </xf>
    <xf borderId="0" fillId="0" fontId="268" numFmtId="0" xfId="0" applyAlignment="1" applyFont="1">
      <alignment readingOrder="0" vertical="bottom"/>
    </xf>
    <xf borderId="0" fillId="0" fontId="298" numFmtId="0" xfId="0" applyAlignment="1" applyFont="1">
      <alignment vertical="bottom"/>
    </xf>
    <xf borderId="0" fillId="0" fontId="4" numFmtId="169" xfId="0" applyAlignment="1" applyFont="1" applyNumberFormat="1">
      <alignment horizontal="right" vertical="bottom"/>
    </xf>
    <xf borderId="0" fillId="0" fontId="49" numFmtId="0" xfId="0" applyAlignment="1" applyFont="1">
      <alignment horizontal="right" vertical="bottom"/>
    </xf>
    <xf borderId="0" fillId="0" fontId="255" numFmtId="0" xfId="0" applyAlignment="1" applyFont="1">
      <alignment horizontal="right" vertical="bottom"/>
    </xf>
    <xf borderId="0" fillId="0" fontId="4" numFmtId="10" xfId="0" applyAlignment="1" applyFont="1" applyNumberFormat="1">
      <alignment vertical="bottom"/>
    </xf>
    <xf borderId="0" fillId="0" fontId="6" numFmtId="175" xfId="0" applyAlignment="1" applyFont="1" applyNumberFormat="1">
      <alignment horizontal="right" vertical="bottom"/>
    </xf>
    <xf borderId="0" fillId="0" fontId="299" numFmtId="0" xfId="0" applyAlignment="1" applyFont="1">
      <alignment horizontal="right" shrinkToFit="0" vertical="bottom" wrapText="1"/>
    </xf>
    <xf quotePrefix="1" borderId="0" fillId="0" fontId="4" numFmtId="0" xfId="0" applyAlignment="1" applyFont="1">
      <alignment vertical="bottom"/>
    </xf>
    <xf borderId="0" fillId="0" fontId="300" numFmtId="0" xfId="0" applyAlignment="1" applyFont="1">
      <alignment horizontal="right" vertical="bottom"/>
    </xf>
    <xf borderId="0" fillId="18" fontId="301" numFmtId="0" xfId="0" applyAlignment="1" applyFont="1">
      <alignment horizontal="right" vertical="bottom"/>
    </xf>
    <xf borderId="0" fillId="0" fontId="301" numFmtId="0" xfId="0" applyAlignment="1" applyFont="1">
      <alignment vertical="bottom"/>
    </xf>
    <xf borderId="0" fillId="0" fontId="268" numFmtId="11" xfId="0" applyAlignment="1" applyFont="1" applyNumberFormat="1">
      <alignment horizontal="right" vertical="bottom"/>
    </xf>
    <xf borderId="0" fillId="0" fontId="4" numFmtId="178" xfId="0" applyAlignment="1" applyFont="1" applyNumberFormat="1">
      <alignment horizontal="right" vertical="bottom"/>
    </xf>
    <xf borderId="0" fillId="0" fontId="297" numFmtId="0" xfId="0" applyAlignment="1" applyFont="1">
      <alignment horizontal="right" vertical="top"/>
    </xf>
    <xf borderId="0" fillId="0" fontId="302" numFmtId="0" xfId="0" applyAlignment="1" applyFont="1">
      <alignment horizontal="right" vertical="bottom"/>
    </xf>
    <xf borderId="0" fillId="0" fontId="302" numFmtId="0" xfId="0" applyAlignment="1" applyFont="1">
      <alignment vertical="bottom"/>
    </xf>
    <xf borderId="0" fillId="0" fontId="297" numFmtId="0" xfId="0" applyAlignment="1" applyFont="1">
      <alignment shrinkToFit="0" vertical="bottom" wrapText="0"/>
    </xf>
    <xf borderId="0" fillId="0" fontId="245" numFmtId="0" xfId="0" applyAlignment="1" applyFont="1">
      <alignment horizontal="right" vertical="bottom"/>
    </xf>
    <xf borderId="0" fillId="0" fontId="297" numFmtId="0" xfId="0" applyAlignment="1" applyFont="1">
      <alignment horizontal="right" vertical="bottom"/>
    </xf>
    <xf borderId="0" fillId="0" fontId="245" numFmtId="11" xfId="0" applyAlignment="1" applyFont="1" applyNumberFormat="1">
      <alignment horizontal="right" vertical="bottom"/>
    </xf>
    <xf borderId="0" fillId="0" fontId="245" numFmtId="0" xfId="0" applyAlignment="1" applyFont="1">
      <alignment horizontal="right" vertical="top"/>
    </xf>
    <xf borderId="0" fillId="0" fontId="4" numFmtId="11" xfId="0" applyAlignment="1" applyFont="1" applyNumberFormat="1">
      <alignment horizontal="right" vertical="top"/>
    </xf>
    <xf borderId="0" fillId="0" fontId="303" numFmtId="0" xfId="0" applyAlignment="1" applyFont="1">
      <alignment horizontal="right" vertical="bottom"/>
    </xf>
    <xf borderId="0" fillId="0" fontId="252" numFmtId="0" xfId="0" applyAlignment="1" applyFont="1">
      <alignment horizontal="right" vertical="bottom"/>
    </xf>
    <xf borderId="0" fillId="0" fontId="304" numFmtId="0" xfId="0" applyAlignment="1" applyFont="1">
      <alignment horizontal="right" shrinkToFit="0" vertical="bottom" wrapText="1"/>
    </xf>
    <xf borderId="0" fillId="0" fontId="305" numFmtId="0" xfId="0" applyAlignment="1" applyFont="1">
      <alignment vertical="bottom"/>
    </xf>
    <xf borderId="0" fillId="18" fontId="306" numFmtId="0" xfId="0" applyAlignment="1" applyFont="1">
      <alignment horizontal="right" vertical="bottom"/>
    </xf>
    <xf borderId="0" fillId="0" fontId="307" numFmtId="0" xfId="0" applyAlignment="1" applyFont="1">
      <alignment horizontal="right" vertical="bottom"/>
    </xf>
    <xf borderId="0" fillId="0" fontId="4" numFmtId="179" xfId="0" applyAlignment="1" applyFont="1" applyNumberFormat="1">
      <alignment horizontal="right" vertical="bottom"/>
    </xf>
    <xf borderId="0" fillId="15" fontId="308" numFmtId="0" xfId="0" applyAlignment="1" applyFont="1">
      <alignment shrinkToFit="0" vertical="top" wrapText="1"/>
    </xf>
    <xf borderId="0" fillId="0" fontId="309" numFmtId="0" xfId="0" applyAlignment="1" applyFont="1">
      <alignment readingOrder="0" vertical="bottom"/>
    </xf>
    <xf borderId="0" fillId="0" fontId="310" numFmtId="0" xfId="0" applyAlignment="1" applyFont="1">
      <alignment vertical="bottom"/>
    </xf>
    <xf borderId="0" fillId="0" fontId="311" numFmtId="0" xfId="0" applyAlignment="1" applyFont="1">
      <alignment vertical="bottom"/>
    </xf>
    <xf borderId="0" fillId="0" fontId="49" numFmtId="169" xfId="0" applyAlignment="1" applyFont="1" applyNumberFormat="1">
      <alignment horizontal="right" vertical="bottom"/>
    </xf>
    <xf borderId="0" fillId="0" fontId="312" numFmtId="0" xfId="0" applyAlignment="1" applyFont="1">
      <alignment vertical="bottom"/>
    </xf>
    <xf borderId="0" fillId="0" fontId="313" numFmtId="0" xfId="0" applyAlignment="1" applyFont="1">
      <alignment vertical="bottom"/>
    </xf>
    <xf borderId="0" fillId="0" fontId="314" numFmtId="0" xfId="0" applyAlignment="1" applyFont="1">
      <alignment horizontal="right" vertical="bottom"/>
    </xf>
    <xf borderId="0" fillId="0" fontId="315" numFmtId="0" xfId="0" applyAlignment="1" applyFont="1">
      <alignment vertical="bottom"/>
    </xf>
    <xf borderId="0" fillId="0" fontId="316" numFmtId="0" xfId="0" applyAlignment="1" applyFont="1">
      <alignment vertical="bottom"/>
    </xf>
    <xf borderId="0" fillId="0" fontId="6" numFmtId="169" xfId="0" applyAlignment="1" applyFont="1" applyNumberFormat="1">
      <alignment vertical="bottom"/>
    </xf>
    <xf borderId="0" fillId="0" fontId="125" numFmtId="0" xfId="0" applyAlignment="1" applyFont="1">
      <alignment vertical="bottom"/>
    </xf>
    <xf borderId="0" fillId="0" fontId="26" numFmtId="0" xfId="0" applyAlignment="1" applyFont="1">
      <alignment vertical="bottom"/>
    </xf>
    <xf borderId="0" fillId="0" fontId="317" numFmtId="0" xfId="0" applyAlignment="1" applyFont="1">
      <alignment vertical="bottom"/>
    </xf>
    <xf borderId="0" fillId="0" fontId="318" numFmtId="0" xfId="0" applyAlignment="1" applyFont="1">
      <alignment vertical="bottom"/>
    </xf>
    <xf borderId="6" fillId="0" fontId="319" numFmtId="0" xfId="0" applyAlignment="1" applyBorder="1" applyFont="1">
      <alignment shrinkToFit="0" vertical="top" wrapText="1"/>
    </xf>
    <xf borderId="0" fillId="0" fontId="4" numFmtId="170" xfId="0" applyAlignment="1" applyFont="1" applyNumberFormat="1">
      <alignment horizontal="right" vertical="bottom"/>
    </xf>
    <xf borderId="0" fillId="0" fontId="320" numFmtId="0" xfId="0" applyAlignment="1" applyFont="1">
      <alignment readingOrder="0"/>
    </xf>
    <xf borderId="0" fillId="0" fontId="6" numFmtId="11" xfId="0" applyAlignment="1" applyFont="1" applyNumberFormat="1">
      <alignment vertical="bottom"/>
    </xf>
    <xf borderId="0" fillId="0" fontId="49" numFmtId="11" xfId="0" applyAlignment="1" applyFont="1" applyNumberFormat="1">
      <alignment horizontal="right" vertical="bottom"/>
    </xf>
    <xf borderId="0" fillId="31" fontId="268" numFmtId="0" xfId="0" applyAlignment="1" applyFont="1">
      <alignment vertical="bottom"/>
    </xf>
    <xf borderId="5" fillId="0" fontId="6" numFmtId="0" xfId="0" applyAlignment="1" applyBorder="1" applyFont="1">
      <alignment vertical="bottom"/>
    </xf>
    <xf borderId="5" fillId="0" fontId="4" numFmtId="0" xfId="0" applyAlignment="1" applyBorder="1" applyFont="1">
      <alignment vertical="bottom"/>
    </xf>
    <xf borderId="5" fillId="0" fontId="4" numFmtId="165" xfId="0" applyAlignment="1" applyBorder="1" applyFont="1" applyNumberFormat="1">
      <alignment horizontal="right" vertical="bottom"/>
    </xf>
    <xf borderId="6" fillId="0" fontId="6" numFmtId="0" xfId="0" applyAlignment="1" applyBorder="1" applyFont="1">
      <alignment vertical="bottom"/>
    </xf>
    <xf borderId="6" fillId="0" fontId="6" numFmtId="0" xfId="0" applyAlignment="1" applyBorder="1" applyFont="1">
      <alignment horizontal="right" vertical="bottom"/>
    </xf>
    <xf borderId="6" fillId="19" fontId="4" numFmtId="0" xfId="0" applyAlignment="1" applyBorder="1" applyFont="1">
      <alignment vertical="bottom"/>
    </xf>
    <xf borderId="6" fillId="0" fontId="321" numFmtId="0" xfId="0" applyAlignment="1" applyBorder="1" applyFont="1">
      <alignment vertical="bottom"/>
    </xf>
    <xf borderId="0" fillId="18" fontId="78" numFmtId="0" xfId="0" applyAlignment="1" applyFont="1">
      <alignment vertical="bottom"/>
    </xf>
    <xf borderId="7" fillId="0" fontId="6" numFmtId="0" xfId="0" applyAlignment="1" applyBorder="1" applyFont="1">
      <alignment vertical="bottom"/>
    </xf>
    <xf borderId="0" fillId="0" fontId="322" numFmtId="0" xfId="0" applyAlignment="1" applyFont="1">
      <alignment vertical="bottom"/>
    </xf>
    <xf borderId="7" fillId="0" fontId="323" numFmtId="0" xfId="0" applyAlignment="1" applyBorder="1" applyFont="1">
      <alignment readingOrder="0"/>
    </xf>
    <xf borderId="5" fillId="0" fontId="250" numFmtId="0" xfId="0" applyAlignment="1" applyBorder="1" applyFont="1">
      <alignment readingOrder="0" vertical="bottom"/>
    </xf>
    <xf borderId="6" fillId="0" fontId="4" numFmtId="0" xfId="0" applyAlignment="1" applyBorder="1" applyFont="1">
      <alignment readingOrder="0" vertical="bottom"/>
    </xf>
    <xf borderId="6" fillId="0" fontId="4" numFmtId="0" xfId="0" applyAlignment="1" applyBorder="1" applyFont="1">
      <alignment vertical="bottom"/>
    </xf>
    <xf borderId="6" fillId="0" fontId="4" numFmtId="0" xfId="0" applyAlignment="1" applyBorder="1" applyFont="1">
      <alignment horizontal="right" vertical="bottom"/>
    </xf>
    <xf borderId="6" fillId="0" fontId="4" numFmtId="0" xfId="0" applyAlignment="1" applyBorder="1" applyFont="1">
      <alignment horizontal="right" readingOrder="0" vertical="bottom"/>
    </xf>
    <xf borderId="7" fillId="0" fontId="4" numFmtId="0" xfId="0" applyAlignment="1" applyBorder="1" applyFont="1">
      <alignment readingOrder="0" vertical="bottom"/>
    </xf>
    <xf borderId="7" fillId="0" fontId="4" numFmtId="0" xfId="0" applyAlignment="1" applyBorder="1" applyFont="1">
      <alignment horizontal="right" vertical="bottom"/>
    </xf>
    <xf borderId="7" fillId="0" fontId="6" numFmtId="0" xfId="0" applyAlignment="1" applyBorder="1" applyFont="1">
      <alignment readingOrder="0" vertical="bottom"/>
    </xf>
    <xf borderId="7" fillId="0" fontId="4" numFmtId="0" xfId="0" applyAlignment="1" applyBorder="1" applyFont="1">
      <alignment horizontal="right" readingOrder="0" vertical="bottom"/>
    </xf>
    <xf borderId="8" fillId="0" fontId="4" numFmtId="0" xfId="0" applyAlignment="1" applyBorder="1" applyFont="1">
      <alignment vertical="bottom"/>
    </xf>
    <xf borderId="8" fillId="0" fontId="324" numFmtId="0" xfId="0" applyAlignment="1" applyBorder="1" applyFont="1">
      <alignment vertical="bottom"/>
    </xf>
    <xf borderId="7" fillId="0" fontId="325" numFmtId="0" xfId="0" applyBorder="1" applyFont="1"/>
    <xf borderId="8" fillId="0" fontId="6" numFmtId="0" xfId="0" applyAlignment="1" applyBorder="1" applyFont="1">
      <alignment vertical="bottom"/>
    </xf>
    <xf borderId="8" fillId="0" fontId="6" numFmtId="0" xfId="0" applyAlignment="1" applyBorder="1" applyFont="1">
      <alignment readingOrder="0" vertical="bottom"/>
    </xf>
    <xf borderId="0" fillId="0" fontId="78" numFmtId="0" xfId="0" applyAlignment="1" applyFont="1">
      <alignment vertical="bottom"/>
    </xf>
    <xf borderId="0" fillId="18" fontId="4" numFmtId="0" xfId="0" applyAlignment="1" applyFont="1">
      <alignment horizontal="right" readingOrder="0" vertical="bottom"/>
    </xf>
    <xf borderId="8" fillId="18" fontId="326" numFmtId="0" xfId="0" applyAlignment="1" applyBorder="1" applyFont="1">
      <alignment vertical="bottom"/>
    </xf>
    <xf borderId="5" fillId="18" fontId="4" numFmtId="0" xfId="0" applyAlignment="1" applyBorder="1" applyFont="1">
      <alignment vertical="bottom"/>
    </xf>
    <xf borderId="5" fillId="18" fontId="4" numFmtId="165" xfId="0" applyAlignment="1" applyBorder="1" applyFont="1" applyNumberFormat="1">
      <alignment horizontal="right" vertical="bottom"/>
    </xf>
    <xf borderId="7" fillId="18" fontId="6" numFmtId="0" xfId="0" applyAlignment="1" applyBorder="1" applyFont="1">
      <alignment vertical="bottom"/>
    </xf>
    <xf borderId="7" fillId="18" fontId="4" numFmtId="0" xfId="0" applyAlignment="1" applyBorder="1" applyFont="1">
      <alignment vertical="bottom"/>
    </xf>
    <xf borderId="8" fillId="18" fontId="4" numFmtId="0" xfId="0" applyAlignment="1" applyBorder="1" applyFont="1">
      <alignment vertical="bottom"/>
    </xf>
    <xf borderId="8" fillId="18" fontId="6" numFmtId="0" xfId="0" applyAlignment="1" applyBorder="1" applyFont="1">
      <alignment vertical="bottom"/>
    </xf>
    <xf borderId="1" fillId="18" fontId="78" numFmtId="0" xfId="0" applyAlignment="1" applyBorder="1" applyFont="1">
      <alignment vertical="bottom"/>
    </xf>
    <xf borderId="0" fillId="0" fontId="4" numFmtId="169" xfId="0" applyAlignment="1" applyFont="1" applyNumberFormat="1">
      <alignment horizontal="right" readingOrder="0" vertical="bottom"/>
    </xf>
    <xf borderId="1" fillId="0" fontId="78" numFmtId="0" xfId="0" applyAlignment="1" applyBorder="1" applyFont="1">
      <alignment vertical="bottom"/>
    </xf>
    <xf borderId="0" fillId="0" fontId="327" numFmtId="0" xfId="0" applyAlignment="1" applyFont="1">
      <alignment vertical="bottom"/>
    </xf>
    <xf borderId="6" fillId="15" fontId="328" numFmtId="0" xfId="0" applyAlignment="1" applyBorder="1" applyFont="1">
      <alignment shrinkToFit="0" vertical="top" wrapText="1"/>
    </xf>
    <xf borderId="7" fillId="12" fontId="329" numFmtId="0" xfId="0" applyAlignment="1" applyBorder="1" applyFont="1">
      <alignment shrinkToFit="0" vertical="top" wrapText="1"/>
    </xf>
    <xf borderId="7" fillId="12" fontId="4" numFmtId="0" xfId="0" applyAlignment="1" applyBorder="1" applyFont="1">
      <alignment shrinkToFit="0" vertical="top" wrapText="1"/>
    </xf>
    <xf borderId="6" fillId="15" fontId="330" numFmtId="0" xfId="0" applyAlignment="1" applyBorder="1" applyFont="1">
      <alignment shrinkToFit="0" vertical="top" wrapText="1"/>
    </xf>
    <xf borderId="1" fillId="18" fontId="6" numFmtId="0" xfId="0" applyAlignment="1" applyBorder="1" applyFont="1">
      <alignment vertical="bottom"/>
    </xf>
    <xf borderId="1" fillId="18" fontId="4" numFmtId="165" xfId="0" applyAlignment="1" applyBorder="1" applyFont="1" applyNumberFormat="1">
      <alignment horizontal="right" vertical="bottom"/>
    </xf>
    <xf borderId="6" fillId="18" fontId="331" numFmtId="0" xfId="0" applyAlignment="1" applyBorder="1" applyFont="1">
      <alignment shrinkToFit="0" vertical="top" wrapText="1"/>
    </xf>
    <xf borderId="7" fillId="18" fontId="4" numFmtId="0" xfId="0" applyAlignment="1" applyBorder="1" applyFont="1">
      <alignment shrinkToFit="0" vertical="top" wrapText="1"/>
    </xf>
    <xf borderId="1" fillId="18" fontId="4" numFmtId="0" xfId="0" applyAlignment="1" applyBorder="1" applyFont="1">
      <alignment horizontal="right" vertical="bottom"/>
    </xf>
    <xf borderId="1" fillId="18" fontId="332" numFmtId="0" xfId="0" applyAlignment="1" applyBorder="1" applyFont="1">
      <alignment vertical="bottom"/>
    </xf>
    <xf borderId="6" fillId="15" fontId="4" numFmtId="0" xfId="0" applyAlignment="1" applyBorder="1" applyFont="1">
      <alignment shrinkToFit="0" vertical="top" wrapText="1"/>
    </xf>
    <xf borderId="6" fillId="18" fontId="6" numFmtId="0" xfId="0" applyAlignment="1" applyBorder="1" applyFont="1">
      <alignment vertical="top"/>
    </xf>
    <xf borderId="7" fillId="18" fontId="6" numFmtId="0" xfId="0" applyAlignment="1" applyBorder="1" applyFont="1">
      <alignment vertical="top"/>
    </xf>
    <xf borderId="6" fillId="0" fontId="333" numFmtId="0" xfId="0" applyAlignment="1" applyBorder="1" applyFont="1">
      <alignment shrinkToFit="0" vertical="top" wrapText="1"/>
    </xf>
    <xf borderId="7" fillId="0" fontId="4" numFmtId="0" xfId="0" applyAlignment="1" applyBorder="1" applyFont="1">
      <alignment shrinkToFit="0" vertical="top" wrapText="1"/>
    </xf>
    <xf borderId="0" fillId="15" fontId="334" numFmtId="0" xfId="0" applyAlignment="1" applyFont="1">
      <alignment shrinkToFit="0" vertical="top" wrapText="1"/>
    </xf>
    <xf borderId="0" fillId="0" fontId="2" numFmtId="0" xfId="0" applyAlignment="1" applyFont="1">
      <alignment vertical="bottom"/>
    </xf>
    <xf borderId="0" fillId="0" fontId="335" numFmtId="0" xfId="0" applyFont="1"/>
    <xf borderId="0" fillId="0" fontId="336" numFmtId="0" xfId="0" applyAlignment="1" applyFont="1">
      <alignment horizontal="right" readingOrder="0" shrinkToFit="0" vertical="bottom" wrapText="0"/>
    </xf>
    <xf borderId="0" fillId="0" fontId="337" numFmtId="0" xfId="0" applyAlignment="1" applyFont="1">
      <alignment readingOrder="0"/>
    </xf>
    <xf borderId="0" fillId="0" fontId="338" numFmtId="0" xfId="0" applyAlignment="1" applyFont="1">
      <alignment readingOrder="0"/>
    </xf>
    <xf borderId="0" fillId="15" fontId="335" numFmtId="0" xfId="0" applyAlignment="1" applyFont="1">
      <alignment readingOrder="0"/>
    </xf>
    <xf borderId="0" fillId="33" fontId="3" numFmtId="0" xfId="0" applyFont="1"/>
    <xf borderId="0" fillId="33" fontId="3" numFmtId="169" xfId="0" applyFont="1" applyNumberFormat="1"/>
    <xf borderId="0" fillId="0" fontId="335" numFmtId="0" xfId="0" applyAlignment="1" applyFont="1">
      <alignment readingOrder="0"/>
    </xf>
    <xf borderId="0" fillId="34" fontId="335" numFmtId="0" xfId="0" applyAlignment="1" applyFont="1">
      <alignment readingOrder="0"/>
    </xf>
    <xf borderId="0" fillId="0" fontId="339" numFmtId="0" xfId="0" applyAlignment="1" applyFont="1">
      <alignment readingOrder="0"/>
    </xf>
    <xf borderId="0" fillId="4" fontId="3" numFmtId="10" xfId="0" applyAlignment="1" applyFont="1" applyNumberFormat="1">
      <alignment readingOrder="0"/>
    </xf>
    <xf borderId="0" fillId="18" fontId="340"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A2:DG1874" sheet="COS coding"/></cacheSource><cacheFields><cacheField name="status" numFmtId="0"><sharedItems><s v="- assigned: the entry has been assigned to a coder&#xA;- help needed: there is an unresolved conflict&#xA;- validated - chosen: the entry has been validated and marked as the one to remain in the final dataset&#xA;- validated - discarded: the entry has been used for "/><s v="validated - discarded"/><s v="validated - chosen"/><s v="assigned"/><s v="awaiting validation"/><s v="help needed"/><s v="validated - FReD but not COS"/><s v="validated - chosen (external)"/></sharedItems></cacheField><cacheField name="approach" numFmtId="0"><sharedItems containsBlank="1"><m/><s v="double"/></sharedItems></cacheField><cacheField name="coder_1" numFmtId="0"><sharedItems containsBlank="1"><m/><s v="Maureen"/><s v="Jyoti"/><s v="Nikita"/><s v="Husnain"/><s v="Nikolay"/><s v="Hakile"/><s v="Sarah"/><s v="Alexsandr"/><s v="Daniel"/><s v="Fabienne"/><s v="Antony"/><s v="Vidhi"/><s v="Radoslaw"/><s v="Ray"/><s v="Roksana"/><s v="Mariem"/><s v="Thomas"/><s v="Raul"/><s v="Maria"/><s v="Diego"/><s v="Teshome"/><s v="Adira"/><s v="Corinna"/><s v="Alisa"/></sharedItems></cacheField><cacheField name="coder_2" numFmtId="0"><sharedItems containsBlank="1"><m/><s v="Aleksandr"/></sharedItems></cacheField><cacheField name="entry" numFmtId="0"><sharedItems><s v="for data matching. DO NOT EDIT - keep blank for new rows"/><s v="2zgf9_1"/><s v="39xuw_1"/><s v="7vgkq_1"/><s v="acykd_1"/><s v="additional_studies1_1"/><s v="additional_studies10"/><s v="additional_studies10_1"/><s v="additional_studies11_1"/><s v="additional_studies12_1"/><s v="additional_studies125_1"/><s v="additional_studies13_1"/><s v="additional_studies14_1"/><s v="additional_studies15_1"/><s v="additional_studies16"/><s v="additional_studies16_1"/><s v="additional_studies17"/><s v="additional_studies17_1"/><s v="additional_studies18_1"/><s v="additional_studies19_1"/><s v="additional_studies2_1"/><s v="additional_studies20_1"/><s v="additional_studies21_1"/><s v="additional_studies21_2"/><s v="additional_studies21_3"/><s v="additional_studies21_4"/><s v="additional_studies21_5"/><s v="additional_studies22_1"/><s v="additional_studies23_1"/><s v="additional_studies24_1"/><s v="additional_studies25_1"/><s v="additional_studies26_1"/><s v="additional_studies27_1"/><s v="additional_studies28_1"/><s v="additional_studies29_1"/><s v="additional_studies3_1"/><s v="additional_studies30_1"/><s v="additional_studies31_1"/><s v="additional_studies32_1"/><s v="additional_studies33_1"/><s v="additional_studies34_1"/><s v="additional_studies35_1"/><s v="additional_studies36"/><s v="additional_studies36_1"/><s v="additional_studies37_1"/><s v="additional_studies38_1"/><s v="additional_studies39_1"/><s v="additional_studies4_1"/><s v="additional_studies40_1"/><s v="additional_studies41_1"/><s v="additional_studies42_1"/><s v="additional_studies43_1"/><s v="additional_studies44_1"/><s v="additional_studies45_1"/><s v="additional_studies46_1"/><s v="additional_studies47_1"/><s v="additional_studies48_1"/><s v="additional_studies49_1"/><s v="additional_studies5_1"/><s v="additional_studies50_1"/><s v="additional_studies51_1"/><s v="additional_studies52_1"/><s v="additional_studies53_1"/><s v="additional_studies54_1"/><s v="additional_studies55_1"/><s v="additional_studies56_1"/><s v="additional_studies57_1"/><s v="additional_studies57_10"/><s v="additional_studies57_2"/><s v="additional_studies57_3"/><s v="additional_studies57_4"/><s v="additional_studies57_5"/><s v="additional_studies57_6"/><s v="additional_studies57_7"/><s v="additional_studies57_8"/><s v="additional_studies57_9"/><s v="additional_studies59_1"/><s v="additional_studies6_1"/><s v="additional_studies60_1"/><s v="additional_studies62_1"/><s v="additional_studies63_1"/><s v="additional_studies65_1"/><s v="additional_studies66_1"/><s v="additional_studies67_1"/><s v="additional_studies68_1"/><s v="additional_studies69_1"/><s v="additional_studies7_1"/><s v="additional_studies70_1"/><s v="additional_studies71_1"/><s v="additional_studies72_1"/><s v="additional_studies74_1"/><s v="additional_studies74_1_a"/><s v="additional_studies74_1_b"/><s v="additional_studies74_1_c"/><s v="additional_studies74_1_d"/><s v="additional_studies74_1_e"/><s v="additional_studies74_1_f"/><s v="additional_studies74_1_g"/><s v="additional_studies74_1_h"/><s v="additional_studies74_1_i"/><s v="additional_studies74_1_j"/><s v="additional_studies74_1_k"/><s v="additional_studies74_1_l"/><s v="additional_studies74_1_m"/><s v="additional_studies74_1_n"/><s v="additional_studies74_1_o"/><s v="additional_studies75_1"/><s v="additional_studies77_1"/><s v="additional_studies78_1"/><s v="additional_studies78_1_a"/><s v="additional_studies78_1_b"/><s v="additional_studies78_1_c"/><s v="additional_studies78_1_d"/><s v="additional_studies78_1_e"/><s v="additional_studies78_1_f"/><s v="additional_studies8_1"/><s v="additional_studies80_1"/><s v="additional_studies82_1"/><s v="additional_studies82_1_a"/><s v="additional_studies82_1_b"/><s v="additional_studies82_1_c"/><s v="additional_studies85"/><s v="additional_studies85_1"/><s v="additional_studies86_1"/><s v="additional_studies86_1_a"/><s v="additional_studies86_1_b"/><s v="additional_studies86_1_c"/><s v="additional_studies86_1_d"/><s v="additional_studies86_1_e"/><s v="additional_studies87_1"/><s v="additional_studies88_1"/><s v="additional_studies89_1"/><s v="additional_studies9_1"/><s v="additional_studies90_1"/><s v="additional_studies91_1"/><s v="additional_studies92_1"/><s v="additional_studies93_1"/><s v="additional_studies94_1"/><s v="bth36_1"/><s v="curatescience13_1"/><s v="curatescience15_1"/><s v="curatescience16_1"/><s v="curatescience17_1"/><s v="curatescience18_1"/><s v="curatescience19_1"/><s v="curatescience20_1"/><s v="curatescience204"/><s v="curatescience21_1"/><s v="curatescience22_1"/><s v="curatescience23_1"/><s v="curatescience24_1"/><s v="curatescience241"/><s v="curatescience244"/><s v="curatescience25_1"/><s v="curatescience283"/><s v="curatescience320"/><s v="curatescience365"/><s v="curatescience395"/><s v="curatescience48_1"/><s v="curatescience49_1"/><s v="curatescience52_1"/><s v="curatescience533"/><s v="curatescience537"/><s v="curatescience558"/><s v="curatescience57_1"/><s v="curatescience578"/><s v="curatescience58_1"/><s v="curatescience59_1"/><s v="curatescience599"/><s v="curatescience600"/><s v="curatescience620"/><s v="curatescience641"/><s v="curatescience7_1"/><s v="curatescience73"/><s v="curatescience75"/><s v="curatescience8_1"/><s v="curatescience86"/><s v="dqv9y_1"/><s v="e9d3k_1"/><s v="fmd75_1"/><s v="gh52k_1"/><s v="Holzmeisteretal2024_1"/><s v="Holzmeisteretal2024_10"/><s v="Holzmeisteretal2024_11"/><s v="Holzmeisteretal2024_12"/><s v="Holzmeisteretal2024_13"/><s v="Holzmeisteretal2024_14"/><s v="Holzmeisteretal2024_15"/><s v="Holzmeisteretal2024_16"/><s v="Holzmeisteretal2024_17"/><s v="Holzmeisteretal2024_18"/><s v="Holzmeisteretal2024_19"/><s v="Holzmeisteretal2024_2"/><s v="Holzmeisteretal2024_20"/><s v="Holzmeisteretal2024_21"/><s v="Holzmeisteretal2024_22"/><s v="Holzmeisteretal2024_23"/><s v="Holzmeisteretal2024_24"/><s v="Holzmeisteretal2024_25"/><s v="Holzmeisteretal2024_26"/><s v="Holzmeisteretal2024_3"/><s v="Holzmeisteretal2024_4"/><s v="Holzmeisteretal2024_5"/><s v="Holzmeisteretal2024_6"/><s v="Holzmeisteretal2024_7"/><s v="Holzmeisteretal2024_8"/><s v="Holzmeisteretal2024_9"/><s v="j8a4p_1"/><s v="jcre_01_1"/><s v="jcre_02_1"/><s v="jcre_03_1"/><s v="jcre_04_1"/><s v="jcre_05_1"/><s v="jcre_06_1"/><s v="q6tv8_1"/><s v="resciencex_01_1"/><s v="rtn9s_1"/><s v="uxajg_1"/><s v="XPHI1_1"/><s v="XPHI10_1"/><s v="XPHI11_1"/><s v="XPHI12_1"/><s v="XPHI13_1"/><s v="XPHI14_1"/><s v="XPHI15_1"/><s v="XPHI16_1"/><s v="XPHI17_1"/><s v="XPHI18_1"/><s v="XPHI19_1"/><s v="XPHI2_1"/><s v="XPHI20_1"/><s v="XPHI21_1"/><s v="XPHI22_1"/><s v="XPHI23_1"/><s v="XPHI24_1"/><s v="XPHI25_1"/><s v="XPHI26_1"/><s v="XPHI27_1"/><s v="XPHI28_1"/><s v="XPHI29_1"/><s v="XPHI3_1"/><s v="XPHI30_1"/><s v="XPHI31_1"/><s v="XPHI32_1"/><s v="XPHI33_1"/><s v="XPHI34_1"/><s v="XPHI35_1"/><s v="XPHI36_1"/><s v="XPHI37_1"/><s v="XPHI38_1"/><s v="XPHI39_1"/><s v="XPHI4_1"/><s v="XPHI40_1"/><s v="XPHI5_1"/><s v="XPHI6_1"/><s v="XPHI7_1"/><s v="XPHI8_1"/><s v="XPHI9_1"/><s v="Boyce_etal202329_1"/><s v="Boyce_etal20233_1"/><s v="Boyce_etal202330_1"/><s v="Boyce_etal202331_1"/><s v="Boyce_etal202332_1"/><s v="Boyce_etal202333_1"/><s v="Boyce_etal202334_1"/><s v="Boyce_etal202335_1"/><s v="Boyce_etal202336_1"/><s v="Boyce_etal202337_1"/><s v="Boyce_etal202338_1"/><s v="Boyce_etal202339_1"/><s v="Boyce_etal20234_1"/><s v="Boyce_etal202340_1"/><s v="Boyce_etal202341_1"/><s v="Boyce_etal202342_1"/><s v="Boyce_etal202343_1"/><s v="Boyce_etal202344_1"/><s v="Boyce_etal202345_1"/><s v="Boyce_etal202346_1"/><s v="Boyce_etal202347_1"/><s v="Boyce_etal202348_1"/><s v="Boyce_etal202349_1"/><s v="Boyce_etal20235_1"/><s v="Boyce_etal202350_1"/><s v="Boyce_etal202351_1"/><s v="Boyce_etal202352_1"/><s v="Boyce_etal202353_1"/><s v="Boyce_etal202354_1"/><s v="Boyce_etal202355_1"/><s v="Boyce_etal202356_1"/><s v="Boyce_etal202357_1"/><s v="Boyce_etal202358_1"/><s v="Boyce_etal202359_1"/><s v="Boyce_etal20236_1"/><s v="Boyce_etal202360_1"/><s v="Boyce_etal202361_1"/><s v="Boyce_etal202362_1"/><s v="Boyce_etal202363_1"/><s v="Boyce_etal202364_1"/><s v="Boyce_etal202365_1"/><s v="Boyce_etal202366_1"/><s v="Boyce_etal202367_1"/><s v="Boyce_etal202368_1"/><s v="Boyce_etal202369_1"/><s v="Boyce_etal20237_1"/><s v="Boyce_etal202370_1"/><s v="Boyce_etal202371_1"/><s v="Boyce_etal202372_1"/><s v="Boyce_etal202373_1"/><s v="Boyce_etal202374_1"/><s v="Boyce_etal202375_1"/><s v="Boyce_etal202376_1"/><s v="Boyce_etal202377_1"/><s v="Boyce_etal202378_1"/><s v="Boyce_etal202379_1"/><s v="Boyce_etal20238_1"/><s v="Boyce_etal202380_1"/><s v="Boyce_etal202381_1"/><s v="Boyce_etal202382_1"/><s v="Boyce_etal202383_1"/><s v="Boyce_etal202384_1"/><s v="Boyce_etal202385_1"/><s v="Boyce_etal202386_1"/><s v="Boyce_etal202387_1"/><s v="Boyce_etal202388_1"/><s v="Boyce_etal202389_1"/><s v="Boyce_etal20239_1"/><s v="Boyce_etal202390_1"/><s v="Boyce_etal202391_1"/><s v="Boyce_etal202392_1"/><s v="Boyce_etal202393_1"/><s v="Boyce_etal202394_1"/><s v="Boyce_etal202395_1"/><s v="Boyce_etal202396_1"/><s v="Boyce_etal202397_1"/><s v="Boyce_etal202398_1"/><s v="Boyce_etal202399_1"/><s v="osc2015150_1"/><s v="osc2015151_1"/><s v="osc2015153_1"/><s v="osc2015154_1"/><s v="osc2015155_1"/><s v="osc2015158_1"/><s v="osc2015161_1"/><s v="osc2015165_1"/><s v="osc2015167_1"/><s v="osc201517_1"/><s v="osc201519_1"/><s v="osc20152_1"/><s v="osc201520_1"/><s v="osc201522_1"/><s v="osc201524_1"/><s v="osc201525_1"/><s v="osc201526_1"/><s v="osc201527_1"/><s v="osc201528_1"/><s v="osc201529_1"/><s v="osc20153_1"/><s v="osc201532_1"/><s v="osc201533_1"/><s v="osc201536_1"/><s v="osc201537_1"/><s v="osc201539_1"/><s v="osc20154_1"/><s v="osc201543_1"/><s v="osc201544_1"/><s v="osc201546_1"/><s v="osc201548_1"/><s v="osc201549_1"/><s v="osc20155_1"/><s v="osc201550_1"/><s v="osc201552_1"/><s v="osc201553_1"/><s v="osc201555_1"/><s v="osc201556_1"/><s v="osc201558_1"/><s v="osc201559_1"/><s v="osc20156_1"/><s v="osc201561_1"/><s v="osc201563_1"/><s v="osc201564_1"/><s v="osc201565_1"/><s v="osc201568_1"/><s v="osc201569_1"/><s v="osc20157_1"/><s v="osc201571_1"/><s v="osc201572_1"/><s v="osc201573_1"/><s v="osc201577_1"/><s v="osc20158_1"/><s v="osc201580_1"/><s v="osc201581_1"/><s v="osc201582_1"/><s v="osc201584_1"/><s v="osc201586_1"/><s v="osc201587_1"/><s v="osc201589_1"/><s v="osc20159_1"/><s v="osc201593_1"/><s v="osc201594_1"/><s v="osc201597_1"/><s v="curatescience53_1"/><s v="curatescience54_1"/><s v="curatescience55_1"/><s v="curatescience56_1"/><s v="curatescience14_1"/><s v="osc20151_1"/><s v="osc201510_1"/><s v="osc2015104_1"/><s v="osc2015106_1"/><s v="osc2015107_1"/><s v="osc2015109_1"/><s v="osc201511_1"/><s v="osc2015110_1"/><s v="osc2015111_1"/><s v="osc2015112_1"/><s v="osc2015113_1"/><s v="osc2015114_1"/><s v="osc2015115_1"/><s v="osc2015116_1"/><s v="osc2015117_1"/><s v="osc2015118_1"/><s v="osc201512_1"/><s v="osc2015120_1"/><s v="osc2015121_1"/><s v="osc2015122_1"/><s v="osc2015123_1"/><s v="osc2015124_1"/><s v="osc2015126_1"/><s v="osc2015127_1"/><s v="osc2015129_1"/><s v="osc201513_1"/><s v="Boyce_etal20231_1"/><s v="Boyce_etal20231"/><s v="Boyce_etal202310_1"/><s v="Boyce_etal202310"/><s v="Boyce_etal2023100_1"/><s v="Boyce_etal2023100"/><s v="Boyce_etal2023101_1"/><s v="Boyce_etal2023101"/><s v="Boyce_etal2023102"/><s v="Boyce_etal2023102_1"/><s v="Boyce_etal2023103"/><s v="Boyce_etal2023103_1"/><s v="Boyce_etal2023104"/><s v="Boyce_etal2023104_1"/><s v="Boyce_etal2023105_1"/><s v="Boyce_etal2023105"/><s v="Boyce_etal2023106"/><s v="Boyce_etal2023106_1"/><s v="Boyce_etal2023107"/><s v="Boyce_etal2023107_1"/><s v="Boyce_etal2023108"/><s v="Boyce_etal2023108_1"/><s v="Boyce_etal2023109"/><s v="Boyce_etal2023109_1"/><s v="Boyce_etal202311"/><s v="Boyce_etal202311_1"/><s v="Boyce_etal2023110_1"/><s v="Boyce_etal2023111"/><s v="Boyce_etal2023111_1"/><s v="Boyce_etal2023112"/><s v="Boyce_etal2023112_1"/><s v="Boyce_etal2023113"/><s v="Boyce_etal2023113_1"/><s v="Boyce_etal2023114"/><s v="Boyce_etal2023114_1"/><s v="Boyce_etal2023115"/><s v="Boyce_etal2023115_1"/><s v="Boyce_etal2023116"/><s v="Boyce_etal2023116_1"/><s v="Boyce_etal2023117_1"/><s v="Boyce_etal2023118_1"/><s v="Boyce_etal2023119_1"/><s v="Boyce_etal202312"/><s v="Boyce_etal2023120_1"/><s v="Boyce_etal202312_1"/><s v="Boyce_etal2023121"/><s v="Boyce_etal2023121_1"/><s v="Boyce_etal2023122"/><s v="Boyce_etal2023122_1"/><s v="Boyce_etal2023123"/><s v="Boyce_etal2023123_1"/><s v="Boyce_etal2023124_1"/><s v="Boyce_etal2023124"/><s v="Boyce_etal2023125"/><s v="Boyce_etal2023125_1"/><s v="Boyce_etal2023126"/><s v="Boyce_etal2023126_1"/><s v="Boyce_etal2023127"/><s v="Boyce_etal2023127_1"/><s v="Boyce_etal2023128"/><s v="Boyce_etal2023128_1"/><s v="Boyce_etal2023129"/><s v="Boyce_etal2023129_1"/><s v="Boyce_etal202313"/><s v="Boyce_etal202313_1"/><s v="Boyce_etal2023130"/><s v="Boyce_etal2023131"/><s v="Boyce_etal2023130_1"/><s v="Boyce_etal2023132"/><s v="Boyce_etal2023131_1"/><s v="Boyce_etal2023132_1"/><s v="Boyce_etal2023133"/><s v="Boyce_etal2023133_1"/><s v="Boyce_etal2023134"/><s v="Boyce_etal2023134_1"/><s v="Boyce_etal2023135"/><s v="Boyce_etal2023136_1"/><s v="Boyce_etal2023135_1"/><s v="Boyce_etal2023137"/><s v="Boyce_etal2023137_1"/><s v="Boyce_etal2023138_1"/><s v="Boyce_etal2023139"/><s v="Boyce_etal2023139_1"/><s v="Boyce_etal202314_1"/><s v="Boyce_etal2023140"/><s v="Boyce_etal2023140_1"/><s v="Boyce_etal2023141"/><s v="Boyce_etal2023141_1"/><s v="Boyce_etal2023142"/><s v="Boyce_etal2023142_1"/><s v="Boyce_etal2023143"/><s v="Boyce_etal2023143_1"/><s v="Boyce_etal2023144"/><s v="Boyce_etal2023144_1"/><s v="Boyce_etal2023145_1"/><s v="Boyce_etal2023145"/><s v="Boyce_etal2023146"/><s v="Boyce_etal2023146_1"/><s v="Boyce_etal2023147_1"/><s v="Boyce_etal2023148"/><s v="Boyce_etal2023148_1"/><s v="Boyce_etal2023149"/><s v="Boyce_etal2023149_1"/><s v="Boyce_etal202315"/><s v="Boyce_etal202315_1"/><s v="Boyce_etal2023150"/><s v="Boyce_etal2023150_1"/><s v="Boyce_etal2023151"/><s v="Boyce_etal2023151_1"/><s v="Boyce_etal2023152_1"/><s v="Boyce_etal2023152"/><s v="Boyce_etal2023153"/><s v="Boyce_etal2023153_1"/><s v="Boyce_etal2023154"/><s v="Boyce_etal2023154_1"/><s v="Boyce_etal2023155"/><s v="Boyce_etal2023155_1"/><s v="Boyce_etal2023156"/><s v="Boyce_etal2023156_1"/><s v="Boyce_etal2023157_1"/><s v="Boyce_etal2023158"/><s v="Boyce_etal2023158_1"/><s v="Boyce_etal2023159_1"/><s v="Boyce_etal2023159"/><s v="Boyce_etal202316"/><s v="Boyce_etal202317_1"/><s v="Boyce_etal202316_1"/><s v="Boyce_etal2023160"/><s v="Boyce_etal2023160_1"/><s v="Boyce_etal2023161"/><s v="Boyce_etal2023161_1"/><s v="Boyce_etal2023162"/><s v="Boyce_etal2023162_1"/><s v="Boyce_etal2023163"/><s v="Boyce_etal2023163_1"/><s v="Boyce_etal2023164"/><s v="Boyce_etal2023164_1"/><s v="Boyce_etal2023165"/><s v="Boyce_etal2023165_1"/><s v="Boyce_etal2023166"/><s v="Boyce_etal2023166_1"/><s v="Boyce_etal2023167_1"/><s v="Boyce_etal2023168"/><s v="Boyce_etal2023168_1"/><s v="Boyce_etal2023169"/><s v="Boyce_etal2023169_1"/><s v="Boyce_etal2023170"/><s v="Boyce_etal2023170_1"/><s v="Boyce_etal2023171"/><s v="Boyce_etal2023171_1"/><s v="Boyce_etal2023172"/><s v="Boyce_etal2023172_1"/><s v="Boyce_etal2023173"/><s v="Boyce_etal2023173_1"/><s v="Boyce_etal2023174"/><s v="Boyce_etal2023174_1"/><s v="Boyce_etal2023175"/><s v="Boyce_etal2023175_1"/><s v="Boyce_etal2023176_1"/><s v="Boyce_etal202318"/><s v="Boyce_etal202318_1"/><s v="Boyce_etal202319"/><s v="Boyce_etal202319_1"/><s v="Boyce_etal20232"/><s v="Boyce_etal20232_1"/><s v="Boyce_etal202320_1"/><s v="Boyce_etal202320"/><s v="Boyce_etal202321"/><s v="Boyce_etal202321_1"/><s v="Boyce_etal202322_1"/><s v="Boyce_etal202322"/><s v="Boyce_etal202323"/><s v="Boyce_etal202323_1"/><s v="Boyce_etal202324_1"/><s v="Boyce_etal202324"/><s v="Boyce_etal202325"/><s v="Boyce_etal202325_1"/><s v="Boyce_etal202326"/><s v="Boyce_etal202326_1"/><s v="Boyce_etal202327"/><s v="Boyce_etal202327_1"/><s v="Boyce_etal202328_1"/><s v="Boyce_etal202328"/><s v="Camereretal2018_18"/><s v="Camereretal2018_4"/><s v="Camereretal2018_8"/><s v="Camereretal2018_15"/><s v="Camereretal2018_9"/><s v="Camereretal2018_13"/><s v="Camereretal2018_1"/><s v="Camereretal2018_12"/><s v="Camereretal2018_16"/><s v="Camereretal2018_14"/><s v="Camereretal2018_10"/><s v="Camereretal2018_17"/><s v="Camereretal2018_20"/><s v="Camereretal2018_3"/><s v="Camereretal2018_6"/><s v="Camereretal2018_5"/><s v="Camereretal2018_19"/><s v="Camereretal2018_2"/><s v="Camereretal2018_11"/><s v="Camereretal2018_21"/><s v="Camereretal2018_7"/><s v="Manylabs2_01"/><s v="Manylabs2_02"/><s v="Manylabs2_03"/><s v="Manylabs2_04"/><s v="Manylabs2_05"/><s v="Manylabs2_06"/><s v="Manylabs2_07"/><s v="Manylabs2_8"/><s v="Manylabs2_9"/><s v="Manylabs2_10"/><s v="Manylabs2_11"/><s v="Manylabs2_12"/><s v="Manylabs2_13"/><s v="Manylabs2_14"/><s v="Manylabs2_15"/><s v="Manylabs2_16"/><s v="Manylabs2_17"/><s v="Manylabs2_18"/><s v="Manylabs2_19"/><s v="Manylabs2_20"/><s v="Manylabs2_21"/><s v="Manylabs2_22"/><s v="Manylabs2_23"/><s v="Manylabs2_24"/><s v="Manylabs2_25"/><s v="Manylabs2_26"/><s v="Manylabs2_27"/></sharedItems></cacheField><cacheField name="id" numFmtId="0"><sharedItems><s v="Sample id. DO NOT CHANGE. If you add samples, copy and add _b, _c etc"/><s v="2zgf9"/><s v="39xuw"/><s v="7vgkq"/><s v="acykd"/><s v="additional_studies1_a"/><s v="additional_studies1_b"/><s v="additional_studies1_c"/><s v="additional_studies1_d"/><s v="additional_studies1_e"/><s v="additional_studies1_f"/><s v="additional_studies10_d"/><s v="additional_studies10_e"/><s v="additional_studies10_f"/><s v="additional_studies10_g"/><s v="additional_studies10_a"/><s v="additional_studies10_b"/><s v="additional_studies10_c"/><s v="additional_studies10"/><s v="additional_studies11"/><s v="additional_studies11_b"/><s v="additional_studies11_c"/><s v="additional_studies11_d"/><s v="additional_studies11_e"/><s v="additional_studies11_f"/><s v="additional_studies11_g"/><s v="additional_studies11_h"/><s v="additional_studies11_i"/><s v="additional_studies11_j"/><s v="additional_studies11_k"/><s v="additional_studies11_l"/><s v="additional_studies11_m"/><s v="additional_studies11_n"/><s v="additional_studies11_o"/><s v="additional_studies11_p"/><s v="additional_studies11_q"/><s v="additional_studies11_r"/><s v="additional_studies11_s"/><s v="additional_studies11_t"/><s v="additional_studies11_u"/><s v="additional_studies11_v"/><s v="additional_studies11_w"/><s v="additional_studies11_x"/><s v="additional_studies11_y"/><s v="additional_studies11_z"/><s v="additional_studies11_za"/><s v="additional_studies11_zb"/><s v="additional_studies11_zc"/><s v="additional_studies11_zd"/><s v="additional_studies11_ze"/><s v="additional_studies11_zf"/><s v="additional_studies11_a"/><s v="additional_studies12"/><s v="additional_studies12_b"/><s v="additional_studies12_c"/><s v="additional_studies125"/><s v="additional_studies125_an"/><s v="additional_studies125_b"/><s v="additional_studies125_c"/><s v="additional_studies125_d"/><s v="additional_studies125_e"/><s v="additional_studies125_f"/><s v="additional_studies125_g"/><s v="additional_studies125_h"/><s v="additional_studies125_i"/><s v="additional_studies125_pl"/><s v="additional_studies125_pm"/><s v="additional_studies13"/><s v="additional_studies14"/><s v="additional_studies15"/><s v="additional_studies15_b"/><s v="additional_studies15_c"/><s v="additional_studies15_d"/><s v="additional_studies15_e"/><s v="additional_studies15_f"/><s v="additional_studies16_b"/><s v="additional_studies16_c"/><s v="additional_studies16_a"/><s v="additional_studies16"/><s v="additional_studies17_b"/><s v="additional_studies17_c"/><s v="additional_studies17_d"/><s v="additional_studies17_e"/><s v="additional_studies17_a"/><s v="additional_studies17_f"/><s v="additional_studies17_g"/><s v="additional_studies17_h"/><s v="additional_studies17"/><s v="additional_studies18"/><s v="additional_studies19"/><s v="additional_studies19_b"/><s v="additional_studies19_c"/><s v="additional_studies2"/><s v="additional_studies2_b"/><s v="additional_studies2_c"/><s v="additional_studies2_d"/><s v="additional_studies2_a"/><s v="additional_studies20"/><s v="additional_studies20_b"/><s v="additional_studies20_c"/><s v="additional_studies20_d"/><s v="additional_studies20_e"/><s v="additional_studies21"/><s v="additional_studies22"/><s v="additional_studies23"/><s v="additional_studies24"/><s v="additional_studies25"/><s v="additional_studies22_b"/><s v="additional_studies26"/><s v="additional_studies26_a"/><s v="additional_studies26_b"/><s v="additional_studies27"/><s v="additional_studies28"/><s v="additional_studies28_a"/><s v="additional_studies28_b"/><s v="additional_studies28_c"/><s v="additional_studies28_d"/><s v="additional_studies28_e"/><s v="additional_studies28_f"/><s v="additional_studies29"/><s v="additional_studies3"/><s v="additional_studies3_b"/><s v="additional_studies3_c"/><s v="additional_studies3_d"/><s v="additional_studies3_a"/><s v="additional_studies30"/><s v="additional_studies30_b"/><s v="additional_studies30_c"/><s v="additional_studies30_d"/><s v="additional_studies30_e"/><s v="additional_studies30_f"/><s v="additional_studies30_g"/><s v="additional_studies30_h"/><s v="additional_studies31"/><s v="additional_studies31_a"/><s v="additional_studies31_b"/><s v="additional_studies32"/><s v="additional_studies32_b"/><s v="additional_studies32_c"/><s v="additional_studies32_d"/><s v="additional_studies32_e"/><s v="additional_studies32_f"/><s v="additional_studies32_g"/><s v="additional_studies33"/><s v="additional_studies34"/><s v="additional_studies35"/><s v="additional_studies36_b"/><s v="additional_studies36_c"/><s v="additional_studies36_d"/><s v="additional_studies36_e"/><s v="additional_studies36_f"/><s v="additional_studies36_g"/><s v="additional_studies36_h"/><s v="additional_studies36_i"/><s v="additional_studies36_j"/><s v="additional_studies36_k"/><s v="additional_studies36_l"/><s v="additional_studies36_m"/><s v="additional_studies36_n"/><s v="additional_studies36_o"/><s v="additional_studies36_p"/><s v="additional_studies36_q"/><s v="additional_studies36_r"/><s v="additional_studies36_s"/><s v="additional_studies36_t"/><s v="additional_studies36_w"/><s v="additional_studies36_x"/><s v="additional_studies36_y"/><s v="additional_studies36_z"/><s v="additional_studies36_aa"/><s v="additional_studies36_bb"/><s v="additional_studies36_cc"/><s v="additional_studies36"/><s v="additional_studies37"/><s v="additional_studies37_b"/><s v="additional_studies37_c"/><s v="additional_studies37_d"/><s v="additional_studies37_e"/><s v="additional_studies37_f"/><s v="additional_studies38"/><s v="additional_studies38_b"/><s v="additional_studies38_c"/><s v="additional_studies39"/><s v="additional_studies4_a"/><s v="additional_studies4_b"/><s v="additional_studies4_c"/><s v="additional_studies4_d"/><s v="additional_studies4"/><s v="additional_studies40"/><s v="additional_studies40_b"/><s v="additional_studies40_c"/><s v="additional_studies40_d"/><s v="additional_studies40_e"/><s v="additional_studies40_f"/><s v="additional_studies40_g"/><s v="additional_studies40_h"/><s v="additional_studies40_i"/><s v="additional_studies41"/><s v="additional_studies41_b"/><s v="additional_studies41_c"/><s v="additional_studies41_d"/><s v="additional_studies41_e"/><s v="additional_studies41_f"/><s v="additional_studies41_g"/><s v="additional_studies41_h"/><s v="additional_studies41_i"/><s v="additional_studies41_j"/><s v="additional_studies42"/><s v="additional_studies43"/><s v="additional_studies43 _b"/><s v="additional_studies43 _c"/><s v="additional_studies44"/><s v="additional_studies44_b"/><s v="additional_studies44_c"/><s v="additional_studies44_d"/><s v="additional_studies44_e"/><s v="additional_studies45"/><s v="additional_studies46"/><s v="additional_studies47"/><s v="additional_studies47_b"/><s v="additional_studies47_c"/><s v="additional_studies47_d"/><s v="additional_studies47_e"/><s v="additional_studies47_f"/><s v="additional_studies48"/><s v="additional_studies49"/><s v="additional_studies49_b"/><s v="additional_studies49_c"/><s v="additional_studies49_d"/><s v="additional_studies49_e"/><s v="additional_studies49_f"/><s v="additional_studies49_g"/><s v="additional_studies49_h"/><s v="additional_studies49_i"/><s v="additional_studies5"/><s v="additional_studies5_a"/><s v="additional_studies5_b"/><s v="additional_studies5_c"/><s v="additional_studies50"/><s v="additional_studies51"/><s v="additional_studies52"/><s v="additional_studies53"/><s v="additional_studies54"/><s v="additional_studies55"/><s v="additional_studies56"/><s v="additional_studies56_b"/><s v="additional_studies56_c"/><s v="additional_studies56_d"/><s v="additional_studies56_e"/><s v="additional_studies56_f"/><s v="additional_studies56_g"/><s v="additional_studies56_h"/><s v="additional_studies56_i"/><s v="additional_studies56_j"/><s v="additional_studies56_k"/><s v="additional_studies56_l"/><s v="additional_studies56_m"/><s v="additional_studies57"/><s v="additional_studies57_b"/><s v="additional_studies57_c"/><s v="additional_studies57_d"/><s v="additional_studies84"/><s v="additional_studies84_b"/><s v="additional_studies84_c"/><s v="additional_studies84_d"/><s v="additional_studies84_e"/><s v="additional_studies84_f"/><s v="additional_studies84_g"/><s v="additional_studies84_h"/><s v="additional_studies84_i"/><s v="additional_studies58"/><s v="additional_studies58_b"/><s v="additional_studies58_c"/><s v="additional_studies58_d"/><s v="additional_studies58_e"/><s v="additional_studies58_f"/><s v="additional_studies61"/><s v="additional_studies61_b"/><s v="additional_studies61_c"/><s v="additional_studies61_d"/><s v="additional_studies61_e"/><s v="additional_studies64"/><s v="additional_studies64_b"/><s v="additional_studies64_c"/><s v="additional_studies64_d"/><s v="additional_studies64_e"/><s v="additional_studies64_f"/><s v="additional_studies73"/><s v="additional_studies76"/><s v="additional_studies76_b"/><s v="additional_studies79"/><s v="additional_studies79_b"/><s v="additional_studies79_c"/><s v="additional_studies81"/><s v="additional_studies81_b"/><s v="additional_studies81_c"/><s v="additional_studies81_d"/><s v="additional_studies83"/><s v="additional_studies83_b"/><s v="additional_studies83_c"/><s v="additional_studies59"/><s v="additional_studies59_b"/><s v="additional_studies6"/><s v="additional_studies6_a"/><s v="additional_studies6_b"/><s v="additional_studies6_c"/><s v="additional_studies6_d"/><s v="additional_studies6_e"/><s v="additional_studies6_f"/><s v="additional_studies60"/><s v="additional_studies60_b"/><s v="additional_studies62"/><s v="additional_studies62_a"/><s v="additional_studies62_b"/><s v="additional_studies62_c"/><s v="additional_studies62_d"/><s v="additional_studies63"/><s v="additional_studies65"/><s v="additional_studies65_a"/><s v="additional_studies65_b"/><s v="additional_studies65_c"/><s v="additional_studies65_d"/><s v="additional_studies65_e"/><s v="additional_studies65_f"/><s v="additional_studies65_g"/><s v="additional_studies65_h"/><s v="additional_studies65_i"/><s v="additional_studies65_j"/><s v="additional_studies65_k"/><s v="additional_studies66"/><s v="additional_studies66_a"/><s v="additional_studies66_b"/><s v="additional_studies66_c"/><s v="additional_studies67"/><s v="additional_studies67_a"/><s v="additional_studies67_b"/><s v="additional_studies67_c"/><s v="additional_studies68"/><s v="additional_studies68_b"/><s v="additional_studies68_c"/><s v="additional_studies69"/><s v="additional_studies7_a"/><s v="additional_studies7_b"/><s v="additional_studies7_c"/><s v="additional_studies70"/><s v="additional_studies71"/><s v="additional_studies72"/><s v="additional_studies74_a"/><s v="additional_studies74_b"/><s v="additional_studies74_c"/><s v="additional_studies74"/><s v="additional_studies75"/><s v="additional_studies77"/><s v="additional_studies78"/><s v="additional_studies8"/><s v="additional_studies80"/><s v="additional_studies82"/><s v="additional_studies85_a"/><s v="additional_studies85_b"/><s v="additional_studies85_c"/><s v="additional_studies85_d"/><s v="additional_studies85_e"/><s v="additional_studies85_f"/><s v="additional_studies85_g"/><s v="additional_studies85_h"/><s v="additional_studies85_i"/><s v="additional_studies85_j"/><s v="additional_studies85_k"/><s v="additional_studies85_l"/><s v="additional_studies85_m"/><s v="additional_studies85_n"/><s v="additional_studies86_a"/><s v="additional_studies86_b"/><s v="additional_studies86_c"/><s v="additional_studies86_d"/><s v="additional_studies86_e"/><s v="additional_studies86_f"/><s v="additional_studies86"/><s v="additional_studies87"/><s v="additional_studies88_a"/><s v="additional_studies88_b"/><s v="additional_studies88_c"/><s v="additional_studies88_d"/><s v="additional_studies88_e"/><s v="additional_studies88_f"/><s v="additional_studies89"/><s v="additional_studies9_a"/><s v="additional_studies9_b"/><s v="additional_studies9_c"/><s v="additional_studies90_a"/><s v="additional_studies90_a1"/><s v="additional_studies90_b"/><s v="additional_studies90_b1"/><s v="additional_studies90_c"/><s v="additional_studies90_c1"/><s v="additional_studies90_d"/><s v="additional_studies90_d1"/><s v="additional_studies90_e"/><s v="additional_studies90_e1"/><s v="additional_studies90_f"/><s v="additional_studies90_f1"/><s v="additional_studies90_g"/><s v="additional_studies90_g1"/><s v="additional_studies90_h"/><s v="additional_studies90_i"/><s v="additional_studies90_j"/><s v="additional_studies90_k"/><s v="additional_studies90_l"/><s v="additional_studies90_m"/><s v="additional_studies90_n"/><s v="additional_studies90_o"/><s v="additional_studies90_p"/><s v="additional_studies90_q"/><s v="additional_studies90_r"/><s v="additional_studies90_s"/><s v="additional_studies90_t"/><s v="additional_studies90_u"/><s v="additional_studies90_v"/><s v="additional_studies90_x"/><s v="additional_studies90_y"/><s v="additional_studies90_z"/><s v="additional_studies90"/><s v="additional_studies91"/><s v="additional_studies92"/><s v="additional_studies93_a"/><s v="additional_studies93_b"/><s v="additional_studies93_c"/><s v="additional_studies93_d"/><s v="additional_studies93_e"/><s v="additional_studies93_f"/><s v="additional_studies93_g"/><s v="additional_studies93_h"/><s v="additional_studies93_i"/><s v="additional_studies94"/><s v="additional_studies94_1"/><s v="additional_studies94_1a"/><s v="additional_studies94_2a"/><s v="additional_studies94_2b"/><s v="additional_studies94_3"/><s v="additional_studies94_5a"/><s v="additional_studies94_5b"/><s v="additional_studies94_5c"/><s v="additional_studies94_5d"/><s v="additional_studies94_b"/><s v="additional_studies95_c"/><s v="additional_studies96_d"/><s v="additional_studies99_e"/><s v="additional_studies99_f"/><s v="additional_studies99_g"/><s v="bth36"/><s v="curatescience13"/><s v="curatescience15"/><s v="curatescience15_b"/><s v="curatescience15_c"/><s v="curatescience16"/><s v="curatescience17"/><s v="curatescience18"/><s v="curatescience19"/><s v="curatescience20"/><s v="curatescience20_b"/><s v="curatescience20_c"/><s v="curatescience204_1"/><s v="curatescience204_2"/><s v="curatescience21"/><s v="curatescience22"/><s v="curatescience23"/><s v="curatescience24"/><s v="curatescience241_1"/><s v="curatescience241_2"/><s v="curatescience244_1"/><s v="curatescience244_2"/><s v="curatescience25"/><s v="curatescience25_b"/><s v="curatescience283_1"/><s v="curatescience283_2"/><s v="curatescience320_1"/><s v="curatescience320_2"/><s v="curatescience365_1"/><s v="curatescience365_2"/><s v="curatescience395_1"/><s v="curatescience395_1_b"/><s v="curatescience395_1_c"/><s v="curatescience395_1_d"/><s v="curatescience395_5"/><s v="curatescience48"/><s v="curatescience49"/><s v="curatescience52"/><s v="curatescience52_b"/><s v="curatescience533_1"/><s v="curatescience533_2"/><s v="curatescience537_1"/><s v="curatescience537_2"/><s v="curatescience558_1"/><s v="curatescience558_2"/><s v="curatescience57"/><s v="curatescience57_b"/><s v="curatescience578_1"/><s v="curatescience578_2"/><s v="curatescience58"/><s v="curatescience59"/><s v="curatescience599_1"/><s v="curatescience599_2"/><s v="curatescience600_1"/><s v="curatescience600_2"/><s v="curatescience620_1"/><s v="curatescience620_2"/><s v="curatescience641_1"/><s v="curatescience641_2"/><s v="curatescience7"/><s v="curatescience7_b"/><s v="curatescience7_c"/><s v="curatescience7_overall"/><s v="curatescience73_1"/><s v="curatescience73_2"/><s v="curatescience75_1"/><s v="curatescience75_2"/><s v="curatescience8"/><s v="curatescience8_b"/><s v="curatescience8_c"/><s v="curatescience86_1"/><s v="curatescience86_2"/><s v="dqv9y"/><s v="dqv9y_b"/><s v="dqv9y_c"/><s v="e9d3k"/><s v="e9d3k_b"/><s v="e9d3k_c"/><s v="e9d3k_d"/><s v="e9d3k_e"/><s v="e9d3k_f"/><s v="e9d3k_g"/><s v="e9d3k_h"/><s v="e9d3k_i"/><s v="e9d3k_j"/><s v="e9d3k_k"/><s v="e9d3k_l"/><s v="e9d3k_m"/><s v="fmd75"/><s v="gh52k"/><s v="gh52k_b"/><s v="gh52k_c"/><s v="Holzmeisteretal2024_1"/><s v="Holzmeisteretal2024_10"/><s v="Holzmeisteretal2024_11"/><s v="Holzmeisteretal2024_12"/><s v="Holzmeisteretal2024_13"/><s v="Holzmeisteretal2024_14"/><s v="Holzmeisteretal2024_15"/><s v="Holzmeisteretal2024_16"/><s v="Holzmeisteretal2024_17"/><s v="Holzmeisteretal2024_18"/><s v="Holzmeisteretal2024_19"/><s v="Holzmeisteretal2024_2"/><s v="Holzmeisteretal2024_20"/><s v="Holzmeisteretal2024_21"/><s v="Holzmeisteretal2024_22"/><s v="Holzmeisteretal2024_23"/><s v="Holzmeisteretal2024_24"/><s v="Holzmeisteretal2024_25"/><s v="Holzmeisteretal2024_26"/><s v="Holzmeisteretal2024_3"/><s v="Holzmeisteretal2024_4"/><s v="Holzmeisteretal2024_5"/><s v="Holzmeisteretal2024_6"/><s v="Holzmeisteretal2024_7"/><s v="Holzmeisteretal2024_8"/><s v="Holzmeisteretal2024_9"/><s v="j8a4p"/><s v="j8a4p_composite"/><s v="j8a4p_dog"/><s v="j8a4p_kitten"/><s v="j8a4p_plane"/><s v="j8a4p_resume"/><s v="j8a4p_trolley"/><s v="j8a4p_wallet"/><s v="jcre_01"/><s v="jcre_01_a"/><s v="jcre_01_c2"/><s v="jcre_01_c2a"/><s v="jcre_01_c3"/><s v="jcre_01_c3a"/><s v="jcre_01_c6"/><s v="jcre_01_c6a"/><s v="jcre_01_d2"/><s v="jcre_01_d3"/><s v="jcre_01_d6"/><s v="jcre_01_g2"/><s v="jcre_01_g2a"/><s v="jcre_01_g3"/><s v="jcre_01_g3a"/><s v="jcre_01_g6"/><s v="jcre_01_g6a"/><s v="jcre_01_gt2"/><s v="jcre_01_gt2a"/><s v="jcre_01_gt3"/><s v="jcre_01_gt3a"/><s v="jcre_01_gt6"/><s v="jcre_01_gt6a"/><s v="jcre_01_h2"/><s v="jcre_01_h2a"/><s v="jcre_01_h3"/><s v="jcre_01_h3a"/><s v="jcre_01_h6"/><s v="jcre_01_h6a"/><s v="jcre_01_m2"/><s v="jcre_01_m2a"/><s v="jcre_01_m3"/><s v="jcre_01_m3a"/><s v="jcre_01_m6"/><s v="jcre_01_m6a"/><s v="jcre_01_mt2"/><s v="jcre_01_mt2a"/><s v="jcre_01_mt3"/><s v="jcre_01_mt3a"/><s v="jcre_01_mt6"/><s v="jcre_01_mt6a"/><s v="jcre_01_r2"/><s v="jcre_01_r3"/><s v="jcre_01_r6"/><s v="jcre_01_y2a"/><s v="jcre_01_y3a"/><s v="jcre_01_y6a"/><s v="jcre_01_yt2a"/><s v="jcre_01_yt3a"/><s v="jcre_01_yt6a"/><s v="jcre_02"/><s v="jcre_03"/><s v="jcre_04"/><s v="jcre_05"/><s v="jcre_06"/><s v="q6tv8"/><s v="resciencex_01"/><s v="rtn9s"/><s v="uxajg"/><s v="XPHI1"/><s v="XPHI10"/><s v="XPHI11"/><s v="XPHI12"/><s v="XPHI13"/><s v="XPHI14"/><s v="XPHI15"/><s v="XPHI16"/><s v="XPHI17"/><s v="XPHI18"/><s v="XPHI19"/><s v="XPHI2"/><s v="XPHI20"/><s v="XPHI21"/><s v="XPHI22"/><s v="XPHI23"/><s v="XPHI24"/><s v="XPHI25"/><s v="XPHI26"/><s v="XPHI27"/><s v="XPHI28"/><s v="XPHI29"/><s v="XPHI3"/><s v="XPHI30"/><s v="XPHI31"/><s v="XPHI32"/><s v="XPHI33"/><s v="XPHI34"/><s v="XPHI35"/><s v="XPHI36"/><s v="XPHI37"/><s v="XPHI38"/><s v="XPHI39"/><s v="XPHI4"/><s v="XPHI40"/><s v="XPHI5"/><s v="XPHI6"/><s v="XPHI7"/><s v="XPHI8"/><s v="XPHI9"/><s v="XPHI11_b"/><s v="XPHI15_b"/><s v="XPHI15_c"/><s v="XPHI15_d"/><s v="XPHI15_e"/><s v="XPHI20_b"/><s v="XPHI26_b"/><s v="XPHI26_c"/><s v="XPHI26_d"/><s v="XPHI26_e"/><s v="XPHI26_f"/><s v="XPHI26_g"/><s v="XPHI29_b"/><s v="XPHI32_b"/><s v="XPHI32_c"/><s v="XPHI32_d"/><s v="XPHI32_e"/><s v="XPHI32_f"/><s v="XPHI32_g"/><s v="XPHI33_b"/><s v="XPHI33_c"/><s v="XPHI33_d"/><s v="XPHI33_e"/><s v="XPHI35_b"/><s v="XPHI35_c"/><s v="XPHI38_b"/><s v="XPHI39_b"/><s v="XPHI39_c"/><s v="XPHI40_b"/><s v="XPHI5_b"/><s v="XPHI5_c"/><s v="XPHI5_d"/><s v="Boyce_etal202329"/><s v="Boyce_etal202329_b"/><s v="Boyce_etal20233"/><s v="Boyce_etal20233_b"/><s v="Boyce_etal202330"/><s v="Boyce_etal202330_b"/><s v="Boyce_etal202330_c"/><s v="Boyce_etal202330_d"/><s v="Boyce_etal202331"/><s v="Boyce_etal202332"/><s v="Boyce_etal202333"/><s v="Boyce_etal202334"/><s v="Boyce_etal202335"/><s v="Boyce_etal202336"/><s v="Boyce_etal202337"/><s v="Boyce_etal202338"/><s v="Boyce_etal202338_b"/><s v="Boyce_etal202339"/><s v="Boyce_etal20234"/><s v="Boyce_etal202340"/><s v="Boyce_etal202340_b"/><s v="Boyce_etal202341"/><s v="Boyce_etal202341_b"/><s v="Boyce_etal202342"/><s v="Boyce_etal202343"/><s v="Boyce_etal202344"/><s v="Boyce_etal202345"/><s v="Boyce_etal202345_b"/><s v="Boyce_etal202346"/><s v="Boyce_etal202347"/><s v="Boyce_etal202348"/><s v="Boyce_etal202349"/><s v="Boyce_etal20235"/><s v="Boyce_etal202350"/><s v="Boyce_etal202351"/><s v="Boyce_etal202352"/><s v="Boyce_etal202353"/><s v="Boyce_etal202354"/><s v="Boyce_etal202355"/><s v="Boyce_etal202355_b"/><s v="Boyce_etal202356"/><s v="Boyce_etal202357"/><s v="Boyce_etal202358"/><s v="Boyce_etal202359"/><s v="Boyce_etal20236"/><s v="Boyce_etal202360"/><s v="Boyce_etal202361"/><s v="Boyce_etal202362"/><s v="Boyce_etal202363"/><s v="Boyce_etal202364"/><s v="Boyce_etal202365"/><s v="Boyce_etal202365_b"/><s v="Boyce_etal202365_c"/><s v="Boyce_etal202365_d"/><s v="Boyce_etal202366"/><s v="Boyce_etal202367"/><s v="Boyce_etal202368"/><s v="Boyce_etal202368_b"/><s v="Boyce_etal202369"/><s v="Boyce_etal20237"/><s v="Boyce_etal202370"/><s v="Boyce_etal202371"/><s v="Boyce_etal202372"/><s v="Boyce_etal202373"/><s v="Boyce_etal202374"/><s v="Boyce_etal202375"/><s v="Boyce_etal202375_b"/><s v="Boyce_etal202375_c"/><s v="Boyce_etal202376"/><s v="Boyce_etal202377"/><s v="Boyce_etal202378"/><s v="Boyce_etal202379"/><s v="Boyce_etal20238"/><s v="Boyce_etal20238_b"/><s v="Boyce_etal202380"/><s v="Boyce_etal202381"/><s v="Boyce_etal202382"/><s v="Boyce_etal202383"/><s v="Boyce_etal202384"/><s v="Boyce_etal202385"/><s v="Boyce_etal202386"/><s v="Boyce_etal202387"/><s v="Boyce_etal202388"/><s v="Boyce_etal202389"/><s v="Boyce_etal20239"/><s v="Boyce_etal202390"/><s v="Boyce_etal202391"/><s v="Boyce_etal202392"/><s v="Boyce_etal202393"/><s v="Boyce_etal202394"/><s v="Boyce_etal202395"/><s v="Boyce_etal202395_b"/><s v="Boyce_etal202395_c"/><s v="Boyce_etal202395_d"/><s v="Boyce_etal202395_e"/><s v="Boyce_etal202395_f"/><s v="Boyce_etal202396"/><s v="Boyce_etal202397"/><s v="Boyce_etal202398"/><s v="Boyce_etal202399"/><s v="osc2015150"/><s v="osc2015151"/><s v="osc2015153"/><s v="osc2015154"/><s v="osc2015155"/><s v="osc2015158"/><s v="osc2015161"/><s v="osc2015165"/><s v="osc2015167"/><s v="osc201517"/><s v="osc201519"/><s v="osc20152"/><s v="osc201520"/><s v="osc201522"/><s v="osc201524"/><s v="osc201525"/><s v="osc201526"/><s v="osc201527"/><s v="osc201528"/><s v="osc201529"/><s v="osc20153"/><s v="osc201532"/><s v="osc201533"/><s v="osc201536"/><s v="osc201537"/><s v="osc201539"/><s v="osc20154"/><s v="osc201543"/><s v="osc201543_m"/><s v="osc201544"/><s v="osc201544_a"/><s v="osc201546"/><s v="osc201548"/><s v="osc201548_f"/><s v="osc201549"/><s v="osc20155"/><s v="osc201550"/><s v="osc201552"/><s v="osc201553"/><s v="osc201553_a"/><s v="osc201555"/><s v="osc201555_a"/><s v="osc201556"/><s v="osc201558"/><s v="osc201559"/><s v="osc20156"/><s v="osc201561"/><s v="osc201561_a"/><s v="osc201563"/><s v="osc201563_a"/><s v="osc201564"/><s v="osc201564_c"/><s v="osc201565"/><s v="osc201565_a"/><s v="osc201568"/><s v="osc201569"/><s v="osc201569_a"/><s v="osc20157"/><s v="osc201571"/><s v="osc201571_b"/><s v="osc201572"/><s v="osc201572_a"/><s v="osc201573"/><s v="osc201577"/><s v="osc201577_a"/><s v="osc20158"/><s v="osc201580"/><s v="osc201580_a"/><s v="osc201581"/><s v="osc201581_a"/><s v="osc201582"/><s v="osc201584"/><s v="osc201586"/><s v="osc201586_a"/><s v="osc201587"/><s v="osc201587_a"/><s v="osc201589"/><s v="osc201589_a"/><s v="osc20159"/><s v="osc201593"/><s v="osc201593_a"/><s v="osc201594"/><s v="osc201597"/><s v="osc201597_e"/><s v="additional_studies62_e"/><s v="additional_studies62_f"/><s v="additional_studies63_b"/><s v="additional_studies63_c"/><s v="additional_studies63_d"/><s v="curatescience53_b"/><s v="curatescience53_c"/><s v="curatescience53_d"/><s v="curatescience53_e"/><s v="curatescience53_f"/><s v="curatescience53_g"/><s v="curatescience53_h"/><s v="curatescience53_i"/><s v="curatescience53_j"/><s v="curatescience53_k"/><s v="curatescience53_l"/><s v="curatescience53_m"/><s v="curatescience54"/><s v="curatescience55"/><s v="curatescience56"/><s v="curatescience14"/><s v="osc20151"/><s v="osc201510"/><s v="osc2015104"/><s v="osc2015106"/><s v="osc2015107"/><s v="osc2015109"/><s v="osc201511"/><s v="osc2015110"/><s v="osc2015111"/><s v="osc2015112"/><s v="osc2015113"/><s v="osc2015114"/><s v="osc2015115"/><s v="osc2015116"/><s v="osc2015117"/><s v="osc2015118"/><s v="osc201512"/><s v="osc2015120"/><s v="osc2015121"/><s v="osc2015122"/><s v="osc2015123"/><s v="osc2015124"/><s v="osc2015126"/><s v="osc2015127"/><s v="osc2015129"/><s v="osc201513"/><s v="Boyce_etal20231"/><s v="Boyce_etal20231_1"/><s v="Boyce_etal202310"/><s v="Boyce_etal202310_1"/><s v="Boyce_etal2023100"/><s v="Boyce_etal2023100_1"/><s v="Boyce_etal2023101"/><s v="Boyce_etal2023101_1"/><s v="Boyce_etal2023102_1"/><s v="Boyce_etal2023102"/><s v="Boyce_etal2023103_1"/><s v="Boyce_etal2023103_a"/><s v="Boyce_etal2023103_b"/><s v="Boyce_etal2023103_c"/><s v="Boyce_etal2023103_d"/><s v="Boyce_etal2023103_e"/><s v="Boyce_etal2023103_f"/><s v="Boyce_etal2023103_g"/><s v="Boyce_etal2023104_1"/><s v="Boyce_etal2023104_a"/><s v="Boyce_etal2023104_b"/><s v="Boyce_etal2023105"/><s v="Boyce_etal2023105_1"/><s v="Boyce_etal2023106_1"/><s v="Boyce_etal2023106_a"/><s v="Boyce_etal2023106_b"/><s v="Boyce_etal2023106_c"/><s v="Boyce_etal2023106_d"/><s v="Boyce_etal2023106_e"/><s v="Boyce_etal2023106_f"/><s v="Boyce_etal2023107_1"/><s v="Boyce_etal2023107"/><s v="Boyce_etal2023108_1"/><s v="Boyce_etal2023108"/><s v="Boyce_etal2023109_1"/><s v="Boyce_etal2023109_1_a"/><s v="Boyce_etal2023109_1_b"/><s v="Boyce_etal2023109_1_c"/><s v="Boyce_etal2023109_1_d"/><s v="Boyce_etal2023109_1_e"/><s v="Boyce_etal2023109_1_f"/><s v="Boyce_etal202311_1"/><s v="Boyce_etal202311"/><s v="Boyce_etal2023110_1_a"/><s v="Boyce_etal2023110_1_b"/><s v="Boyce_etal2023110_1_c"/><s v="Boyce_etal2023110_1_d"/><s v="Boyce_etal2023110_1_e"/><s v="Boyce_etal2023111_1"/><s v="Boyce_etal2023111_1_f"/><s v="Boyce_etal2023111_1_g"/><s v="Boyce_etal2023111_1_h"/><s v="Boyce_etal2023111_1_i"/><s v="Boyce_etal2023111_1_j"/><s v="Boyce_etal2023112_1"/><s v="Boyce_etal2023112"/><s v="Boyce_etal2023113_1"/><s v="Boyce_etal2023113_a"/><s v="Boyce_etal2023113_b"/><s v="Boyce_etal2023114_1"/><s v="Boyce_etal2023114"/><s v="Boyce_etal2023114_b"/><s v="Boyce_etal2023114_c"/><s v="Boyce_etal2023115_1"/><s v="Boyce_etal2023115"/><s v="Boyce_etal2023116_1_b"/><s v="Boyce_etal2023116_1_d"/><s v="Boyce_etal2023116_1_c"/><s v="Boyce_etal2023116_1"/><s v="Boyce_etal2023116"/><s v="Boyce_etal2023116_1_e"/><s v="Boyce_etal2023117_a"/><s v="Boyce_etal2023117_b"/><s v="Boyce_etal2023117_c"/><s v="Boyce_etal2023118"/><s v="Boyce_etal2023119"/><s v="Boyce_etal202312_1"/><s v="Boyce_etal2023120"/><s v="Boyce_etal202312"/><s v="Boyce_etal2023121_1"/><s v="Boyce_etal2023121_1_a"/><s v="Boyce_etal2023121_1_b"/><s v="Boyce_etal2023121_1_c"/><s v="Boyce_etal2023121_1_d"/><s v="Boyce_etal2023121_1_e"/><s v="Boyce_etal2023121_1_f"/><s v="Boyce_etal2023122_1"/><s v="Boyce_etal2023122"/><s v="Boyce_etal2023123_1"/><s v="Boyce_etal2023123_1_a"/><s v="Boyce_etal2023123_1_b"/><s v="Boyce_etal2023123_1_c"/><s v="Boyce_etal2023123_1_d"/><s v="Boyce_etal2023123_1_e"/><s v="Boyce_etal2023124"/><s v="Boyce_etal2023124_1"/><s v="Boyce_etal2023125_1"/><s v="Boyce_etal2023125_1_a"/><s v="Boyce_etal2023125_1_b"/><s v="Boyce_etal2023125_1_c"/><s v="Boyce_etal2023126_1"/><s v="Boyce_etal2023126"/><s v="Boyce_etal2023127_1"/><s v="Boyce_etal2023127_1_a"/><s v="Boyce_etal2023127_1_b"/><s v="Boyce_etal2023127_1_c"/><s v="Boyce_etal2023128_1"/><s v="Boyce_etal2023128_1_a"/><s v="Boyce_etal2023128_1_b"/><s v="Boyce_etal2023128_1_c"/><s v="Boyce_etal2023128_1_d"/><s v="Boyce_etal2023128_1_e"/><s v="Boyce_etal2023128_1_f"/><s v="Boyce_etal2023128_1_g"/><s v="Boyce_etal2023128_1_h"/><s v="Boyce_etal2023128_1_i"/><s v="Boyce_etal2023128_1_j"/><s v="Boyce_etal2023129_1"/><s v="Boyce_etal2023129_1_a"/><s v="Boyce_etal2023129_1_b"/><s v="Boyce_etal2023129_1_c"/><s v="Boyce_etal202313_1"/><s v="Boyce_etal202313"/><s v="Boyce_etal2023130_1"/><s v="Boyce_etal2023131_1"/><s v="Boyce_etal2023130"/><s v="Boyce_etal2023132_1"/><s v="Boyce_etal2023131"/><s v="Boyce_etal2023132"/><s v="Boyce_etal2023133_1"/><s v="Boyce_etal2023133"/><s v="Boyce_etal2023134_1"/><s v="Boyce_etal2023134"/><s v="Boyce_etal2023135_1"/><s v="Boyce_etal2023136"/><s v="Boyce_etal2023135"/><s v="Boyce_etal2023137_1"/><s v="Boyce_etal2023137_1_c"/><s v="Boyce_etal2023138_1_a"/><s v="Boyce_etal2023137_1_b"/><s v="Boyce_etal2023138_1_b"/><s v="Boyce_etal2023138_1_c"/><s v="Boyce_etal2023138_1_d"/><s v="Boyce_etal2023138_1_e"/><s v="Boyce_etal2023137_1_d"/><s v="Boyce_etal2023138_1_f"/><s v="Boyce_etal2023137_1_e"/><s v="Boyce_etal2023138_1_g"/><s v="Boyce_etal2023137_1_f"/><s v="Boyce_etal2023138_1_h"/><s v="Boyce_etal2023137_1_g"/><s v="Boyce_etal2023138_1_i"/><s v="Boyce_etal2023137_1_h"/><s v="Boyce_etal2023138_1_j"/><s v="Boyce_etal2023137"/><s v="Boyce_etal2023139_1"/><s v="Boyce_etal2023139_1_a"/><s v="Boyce_etal2023139_1_b"/><s v="Boyce_etal2023139_1_c"/><s v="Boyce_etal202314_1_a"/><s v="Boyce_etal202314_1_d"/><s v="Boyce_etal2023140_1"/><s v="Boyce_etal2023140_1_a"/><s v="Boyce_etal2023140_1_b"/><s v="Boyce_etal2023140_1_c"/><s v="Boyce_etal2023141_1"/><s v="Boyce_etal2023141"/><s v="Boyce_etal2023141_1_b"/><s v="Boyce_etal2023142_1"/><s v="Boyce_etal2023142"/><s v="Boyce_etal2023143_1"/><s v="Boyce_etal2023143_1_a"/><s v="Boyce_etal2023143_1_b"/><s v="Boyce_etal2023143_1_c"/><s v="Boyce_etal2023143_1_d"/><s v="Boyce_etal2023143_1_e"/><s v="Boyce_etal2023144_1"/><s v="Boyce_etal2023144"/><s v="Boyce_etal2023145"/><s v="Boyce_etal2023145_1"/><s v="Boyce_etal2023146_1"/><s v="Boyce_etal2023146_1_b"/><s v="Boyce_etal2023146_1_a"/><s v="Boyce_etal2023146_1_c"/><s v="Boyce_etal2023146_1_d"/><s v="Boyce_etal2023147"/><s v="Boyce_etal2023148_1"/><s v="Boyce_etal2023148_1_a"/><s v="Boyce_etal2023148_1_b"/><s v="Boyce_etal2023148_1_c"/><s v="Boyce_etal2023148_1_d"/><s v="Boyce_etal2023148_1_e"/><s v="Boyce_etal2023148_1_f"/><s v="Boyce_etal2023149_1"/><s v="Boyce_etal2023149"/><s v="Boyce_etal202315_1"/><s v="Boyce_etal202315"/><s v="Boyce_etal2023150_1"/><s v="Boyce_etal2023150_1_a"/><s v="Boyce_etal2023150_1_b"/><s v="Boyce_etal2023150_1_c"/><s v="Boyce_etal2023150_1_d"/><s v="Boyce_etal2023150_1_e"/><s v="Boyce_etal2023151_1"/><s v="Boyce_etal2023151"/><s v="Boyce_etal2023151_1_b"/><s v="Boyce_etal2023152"/><s v="Boyce_etal2023152_1"/><s v="Boyce_etal2023153_1"/><s v="Boyce_etal2023153"/><s v="Boyce_etal2023154_1"/><s v="Boyce_etal2023154"/><s v="Boyce_etal2023154_1_b"/><s v="Boyce_etal2023154_1_c"/><s v="Boyce_etal2023155_1"/><s v="Boyce_etal2023155"/><s v="Boyce_etal2023156_1"/><s v="Boyce_etal2023156"/><s v="Boyce_etal2023157"/><s v="Boyce_etal2023156_1_b"/><s v="Boyce_etal2023158_1"/><s v="Boyce_etal2023158"/><s v="Boyce_etal2023158_a"/><s v="Boyce_etal2023159"/><s v="Boyce_etal2023159_1"/><s v="Boyce_etal202316_1"/><s v="Boyce_etal202317"/><s v="Boyce_etal202316_1_b"/><s v="Boyce_etal202316"/><s v="Boyce_etal2023160_1"/><s v="Boyce_etal2023160_1_a"/><s v="Boyce_etal2023160_1_b"/><s v="Boyce_etal2023160_1_c"/><s v="Boyce_etal2023161_1"/><s v="Boyce_etal2023161"/><s v="Boyce_etal2023162_1"/><s v="Boyce_etal2023162"/><s v="Boyce_etal2023163_1"/><s v="Boyce_etal2023163"/><s v="Boyce_etal2023164_1"/><s v="Boyce_etal2023164"/><s v="Boyce_etal2023164_b"/><s v="Boyce_etal2023165_1"/><s v="Boyce_etal2023165"/><s v="Boyce_etal2023166_1"/><s v="Boyce_etal2023166"/><s v="Boyce_etal2023166_b"/><s v="Boyce_etal2023166_c"/><s v="Boyce_etal2023167"/><s v="Boyce_etal2023168_1"/><s v="Boyce_etal2023168"/><s v="Boyce_etal2023169_1"/><s v="Boyce_etal2023169"/><s v="Boyce_etal2023169_a"/><s v="Boyce_etal2023170_1"/><s v="Boyce_etal2023170"/><s v="Boyce_etal2023171_1"/><s v="Boyce_etal2023171"/><s v="Boyce_etal2023172_1"/><s v="Boyce_etal2023172_1_a"/><s v="Boyce_etal2023172_1_b"/><s v="Boyce_etal2023173_1"/><s v="Boyce_etal2023173_1_a"/><s v="Boyce_etal2023173_1_b"/><s v="Boyce_etal2023173_1_c"/><s v="Boyce_etal2023173_1_d"/><s v="Boyce_etal2023173_1_e"/><s v="Boyce_etal2023173_1_f"/><s v="Boyce_etal2023173_1_g"/><s v="Boyce_etal2023173_1_h"/><s v="Boyce_etal2023173_1_i"/><s v="Boyce_etal2023173_1_j"/><s v="Boyce_etal2023173_1_k"/><s v="Boyce_etal2023173_1_l"/><s v="Boyce_etal2023173_1_m"/><s v="Boyce_etal2023173_1_n"/><s v="Boyce_etal2023174_1"/><s v="Boyce_etal2023174_1_a"/><s v="Boyce_etal2023174_1_b"/><s v="Boyce_etal2023174_1_c"/><s v="Boyce_etal2023174_1_d"/><s v="Boyce_etal2023174_1_e"/><s v="Boyce_etal2023175_1"/><s v="Boyce_etal2023175_1_a"/><s v="Boyce_etal2023175_1_b"/><s v="Boyce_etal2023175_1_c"/><s v="Boyce_etal2023175_1_d"/><s v="Boyce_etal2023175_1_e"/><s v="Boyce_etal2023175_1_f"/><s v="Boyce_etal2023175_1_g"/><s v="Boyce_etal2023175_1_h"/><s v="Boyce_etal2023175_1_i"/><s v="Boyce_etal2023175_1_j"/><s v="Boyce_etal2023175_1_k"/><s v="Boyce_etal2023176"/><s v="Boyce_etal202318_1"/><s v="Boyce_etal202318"/><s v="Boyce_etal202318_b"/><s v="Boyce_etal202319_1"/><s v="Boyce_etal202319"/><s v="Boyce_etal202319_b"/><s v="Boyce_etal20232_1"/><s v="Boyce_etal20232"/><s v="Boyce_etal202320"/><s v="Boyce_etal202320_1"/><s v="Boyce_etal202321_1"/><s v="Boyce_etal202321_1_a"/><s v="Boyce_etal202321_1_b"/><s v="Boyce_etal202321_1_c"/><s v="Boyce_etal202321_1_d"/><s v="Boyce_etal202321_1_e"/><s v="Boyce_etal202321_1_f"/><s v="Boyce_etal202321_1_g"/><s v="Boyce_etal202322"/><s v="Boyce_etal202322_1"/><s v="Boyce_etal202323_1"/><s v="Boyce_etal202323"/><s v="Boyce_etal202324"/><s v="Boyce_etal202324_1"/><s v="Boyce_etal202325_1"/><s v="Boyce_etal202325"/><s v="Boyce_etal202325_b"/><s v="Boyce_etal202325_c"/><s v="Boyce_etal202326_1"/><s v="Boyce_etal202326"/><s v="Boyce_etal202327_1"/><s v="Boyce_etal202327"/><s v="Boyce_etal202328"/><s v="Boyce_etal202328_1"/><s v="Camereretal2018_18_1"/><s v="Camereretal2018_4_1"/><s v="Camereretal2018_8_1"/><s v="Camereretal2018_15_1"/><s v="Camereretal2018_9_1"/><s v="Camereretal2018_13_1"/><s v="Camereretal2018_1_1"/><s v="Camereretal2018_12_1"/><s v="Camereretal2018_16_1"/><s v="Camereretal2018_14_1"/><s v="Camereretal2018_10_1"/><s v="Camereretal2018_17_1"/><s v="Camereretal2018_20_1"/><s v="Camereretal2018_3_1"/><s v="Camereretal2018_6_1"/><s v="Camereretal2018_5_1"/><s v="Camereretal2018_19_1"/><s v="Camereretal2018_2_1"/><s v="Camereretal2018_11_1"/><s v="Camereretal2018_21_1"/><s v="Camereretal2018_7_1"/><s v="Manylabs2_01_1"/><s v="Manylabs2_01_1_b"/><s v="Manylabs2_01_1_c"/><s v="Manylabs2_02_1"/><s v="Manylabs2_02_b"/><s v="Manylabs2_02_c"/><s v="Manylabs2_03_1"/><s v="Manylabs2_03_1_b"/><s v="Manylabs2_04_1"/><s v="Manylabs2_05_1"/><s v="Manylabs2_06_1"/><s v="Manylabs2_06_1_b"/><s v="Manylabs2_07_1"/><s v="Manylabs2_07_1_b"/><s v="Manylabs2_07_1_c"/><s v="Manylabs2_8_1"/><s v="Manylabs2_8_1_b"/><s v="Manylabs2_9_1"/><s v="Manylabs2_10_1"/><s v="Manylabs2_10_1_b"/><s v="Manylabs2_10_1_c"/><s v="Manylabs2_11_1"/><s v="Manylabs2_12_1"/><s v="Manylabs2_12_1_b"/><s v="Manylabs2_13_1"/><s v="Manylabs2_14_1"/><s v="Manylabs2_15_1"/><s v="Manylabs2_15_1_b"/><s v="Manylabs2_15_1_c"/><s v="Manylabs2_15_1_d"/><s v="Manylabs2_15_1_e"/><s v="Manylabs2_16_1"/><s v="Manylabs2_17_1"/><s v="Manylabs2_18_1"/><s v="Manylabs2_18_1_b"/><s v="Manylabs2_19_1"/><s v="Manylabs2_20_1"/><s v="Manylabs2_21_1"/><s v="Manylabs2_22_1"/><s v="Manylabs2_22_1_b"/><s v="Manylabs2_23_1"/><s v="Manylabs2_24_1"/><s v="Manylabs2_25_1"/><s v="Manylabs2_26_1"/><s v="Manylabs2_27_1"/></sharedItems></cacheField><cacheField name="contributors" numFmtId="0"><sharedItems containsBlank="1"><s v="*Add* your name when you edit the row"/><s v="Kateri McRae, Daniel Lumian, Mallory C. Kidwell, Johanna Cohoon, Lilian Hummer"/><s v="Kateri McRae, Daniel Lumian, Mallory C. Kidwell, Johanna Cohoon, Lilian Hummer, Jyoti Bhogal"/><s v="Nikita"/><s v="Husnain"/><s v="Kateri McRae, Mallory C. Kidwell, Johanna Cohoon, Daniel Lumian, Lilian Hummer, TESS-Experiments"/><s v="Kateri McRae, Mallory C. Kidwell, Johanna Cohoon, Daniel Lumian, Lilian Hummer, TESS-Experiments, Jyoti Bhogal"/><s v="Nikolay Petrov"/><s v="Hakile Resulbegoviq"/><s v="SAJ"/><s v="Aleksandr Pravednikov"/><s v="Daniel Manrique-Castano"/><s v="Julia Fabienne Sandkühler"/><s v="Hakile"/><s v="Antony Casula"/><s v="Vidhi"/><s v="LR"/><s v="LR, RB"/><s v="Daniel"/><s v="Roksana Sobolak"/><s v="Mariem_Younssi"/><s v="Mariem Younssi"/><s v="LR, Roksana Sobolak"/><s v="Daniel Manrique-Castano Manrique-Castano"/><m/><s v="LR, Thomas Miller"/><s v="LR, RS"/><s v="Maria Stogianni"/><s v="LR, DM-R"/><s v="RS"/><s v="LR, Teshome"/><s v="LR, AD"/><s v="which study in replication is supposed to replicate the egodepletion effect?"/><s v="which study in replication is supposed to replicate the egodepletion effect? Jyoti Bhogal"/><s v="Jyoti Bhogal"/><s v="DM-R"/><s v="Corinna Gemmecke"/><s v="Maureen"/><s v="Diego Manriquez-Robles"/><s v="RB"/><s v="Kasia Banas"/><s v="Kasia Banas, Jyoti Bhogal"/><s v="Jarret Crawford"/><s v="Jarret Crawford, Jyoti Bhogal"/><s v="Lukas Röseler, Astrid Schütz, Evgenia Burlakovas, Marieluisa Dück, Sabine Fels, Sophie Janiczek , Jana Kupfer, Elena Prinz, Sarah Wieczorek, Christian Seida, Roksana Sobolak"/><s v="Lukas Röseler, Astrid Schütz, Evgenia Burlakovas, Marieluisa Dück, Sabine Fels, Sophie Janiczek , Jana Kupfer, Elena Prinz, Sarah Wieczorek, Christian Seida, Thomas Miller"/><s v="Sanja Djordjević, Hans IJzerman"/><s v="Sanja Djordjević, Hans IJzerman, Jyoti Bhogal"/><s v="Maureen Osano"/><s v="Dorrough, Roksana"/><s v="Cheung, Roksana"/><s v="Saxe, Roksana"/><s v="Saxe"/><s v="Lazarevic, Roksana"/><s v="Levitan, Roksana"/><s v="Perugini, Roksana"/><s v="Cramblet Alvarez, Roksana"/><s v="Fuchs, Roksana"/><s v="Renkewitz, Roksana"/><s v="Gloeckner, Roksana"/><s v="Neijenhuijs, Roksana"/><s v="Goodbourn, Roksana"/><s v="Fiedler, Roksana"/><s v="Kappes, Roksana"/><s v="Hung, Roksana"/><s v="Roebke, Roksana"/><s v="Lai, Reynolds, Roksana"/><s v="Chartier, Roksana"/><s v="Galak, Roksana"/><s v="Ostkamp, Roksana"/><s v="Plessow, Roksana"/><s v="Renkewitz"/><s v="Jahn, Roksana"/><s v="Moore, Roksana"/><s v="Moore"/><s v="Forsell, Roksana"/><s v="Callahan, Roksana"/><s v="Holubar, Roksana"/><s v="Vianello, Roksana"/><s v="Soderberg, Roksans"/><s v="Soderberg"/><s v="Wissink, Roksana"/><s v="Kim, Roksana"/><s v="Kim"/><s v="Lakens, Roksana"/><s v="Sonnleitner, Roksna"/><s v="Brown, Roksana"/><s v="Graham, Roksana"/><s v="Gable, Roksana"/><s v="Slowik, Roksana"/><s v="Slowik"/><s v="Baranski, Roksana"/><s v="Baranski"/><s v="Marigold, Roksana"/><s v="Meixner, Roksana"/><s v="Talhelm, Roksana"/><s v="LeBel, Roksana"/><s v="Reinhard, Roksana"/><s v="Lin, Roksana"/><s v="Mathur, Roksana"/><s v="Sullivan, Roksana"/><s v="Kleinberg, Roksana"/><s v="Lemm, Roksana"/><s v="Motyl, Roksana"/><s v="Kidwell, Roksana"/><s v="Calhoun Sauls, Roksana"/><s v="Lane, Roksana"/><s v="Gilbert, Roksana"/><s v="Eggleston, Roksana"/><s v="Ratliff, Roksana"/><s v="Ratliff"/><s v="Galliani, Roksana"/><s v="Kelso, Roksana "/><s v="Selterman, Roksana "/><s v="Miller, Roksana"/><s v="Sinclair, Roksana"/><s v="Schmidt, Roksana"/><s v="van Rijn, Corinna Gemmecke"/><s v="Shaki, Corinna Gemmecke"/><s v="Foster, Corinna Gemmecke"/><s v="Fitneva, Corinna Gemmecke"/><s v="Prenoveau, Corinna Gemmecke"/><s v="Bosco, Corinna Gemmecke"/><s v="Bosco"/><s v="Munafo, Corinna Gemmecke"/><s v="Chandler, Corinna Gemmecke"/><s v="Saxe, Corinna Gemmecke"/><s v="Lassetter, Corinna Gemmecke"/><s v="Vasquez, Corinna Gemmecke"/><s v="Brown, Corinna Gemmecke"/><s v="Vanpaemel, Corinna Gemmecke"/><s v="Barnett Cowan, Corinna Gemmecke"/><s v="Osborne, Corinna Gemmecke"/><s v="Bell, Corinna Gemmecke"/><s v="Lewis, Corinna Gemmecke"/><s v="Beer, Corinna Gemmecke"/><s v="Schlegelmilch, Corinna Gemmecke"/><s v="Stieger, Corinna Gemmecke"/><s v="Levitan, Corinna Gemmecke"/><s v="Lai, Corinna Gemmecke"/><s v="Ricker, Corinna Gemmecke"/><s v="Merged"/><s v="Lukas Röseler, Sarah Ashcroft-Jones"/></sharedItems></cacheField><cacheField name="date_entered"><sharedItems containsDate="1" containsBlank="1" containsMixedTypes="1"><s v="(dd/mm/yyyy)"/><s v="1.1.2023"/><d v="2023-07-01T00:00:00Z"/><d v="2024-12-12T00:00:00Z"/><d v="2024-12-15T00:00:00Z"/><d v="2023-09-01T00:00:00Z"/><d v="2024-12-13T00:00:00Z"/><d v="2024-05-15T00:00:00Z"/><m/><d v="2024-11-29T00:00:00Z"/><d v="2025-01-26T00:00:00Z"/><d v="2024-12-11T00:00:00Z"/><d v="2025-01-29T00:00:00Z"/><d v="2024-12-10T00:00:00Z"/><n v="45636.0"/><d v="2024-11-30T00:00:00Z"/><d v="2024-12-08T00:00:00Z"/><d v="2025-01-27T00:00:00Z"/><d v="2024-05-16T00:00:00Z"/><d v="2024-05-17T00:00:00Z"/><d v="2024-05-18T00:00:00Z"/><d v="2024-05-19T00:00:00Z"/><d v="2024-12-09T00:00:00Z"/><d v="2024-12-18T00:00:00Z"/><d v="2024-12-07T00:00:00Z"/><d v="2024-05-21T00:00:00Z"/><d v="2025-01-28T00:00:00Z"/><d v="2025-01-13T00:00:00Z"/><d v="2024-12-14T00:00:00Z"/><d v="2024-05-24T00:00:00Z"/><d v="2024-05-28T00:00:00Z"/><d v="2024-12-16T00:00:00Z"/><d v="2024-06-17T00:00:00Z"/><d v="2024-12-17T00:00:00Z"/><d v="2024-07-16T00:00:00Z"/><d v="2025-01-05T00:00:00Z"/><d v="2024-06-18T00:00:00Z"/><d v="2025-01-15T00:00:00Z"/><d v="2024-06-29T00:00:00Z"/><d v="2025-01-04T00:00:00Z"/><d v="2024-07-05T00:00:00Z"/><d v="2024-12-28T00:00:00Z"/><d v="2024-06-30T00:00:00Z"/><d v="2025-01-03T00:00:00Z"/><d v="2025-01-06T00:00:00Z"/><d v="2023-03-01T00:00:00Z"/><d v="2023-01-01T00:00:00Z"/><d v="2023-02-01T00:00:00Z"/><d v="2024-12-20T00:00:00Z"/><d v="2025-01-18T00:00:00Z"/><d v="2025-09-01T00:00:00Z"/><d v="2025-01-19T00:00:00Z"/><d v="2024-01-01T00:00:00Z"/><d v="2024-12-27T00:00:00Z"/><d v="2023-06-01T00:00:00Z"/><d v="2025-01-11T00:00:00Z"/><d v="2025-01-12T00:00:00Z"/><d v="2024-12-25T00:00:00Z"/><d v="2025-01-01T00:00:00Z"/><d v="2025-01-10T00:00:00Z"/><d v="2024-02-09T00:00:00Z"/><d v="2025-01-17T00:00:00Z"/><d v="2025-02-03T00:00:00Z"/><d v="2025-01-31T00:00:00Z"/><d v="2025-01-07T00:00:00Z"/><d v="2025-01-08T00:00:00Z"/><d v="2025-01-09T00:00:00Z"/><d v="2025-02-02T00:00:00Z"/><d v="2025-01-14T00:00:00Z"/><d v="2025-02-04T00:00:00Z"/><s v="15.1.2025"/><s v="1/31/2025"/><s v="31.01.205"/><d v="2025-01-02T00:00:00Z"/><d v="2025-01-30T00:00:00Z"/><d v="2025-01-16T00:00:00Z"/><d v="2025-01-25T00:00:00Z"/></sharedItems></cacheField><cacheField name="date_updated"><sharedItems containsDate="1" containsBlank="1" containsMixedTypes="1"><s v="(dd/mm/yyyy)"/><d v="2024-12-15T00:00:00Z"/><d v="2024-12-18T00:00:00Z"/><d v="2025-01-23T00:00:00Z"/><m/><d v="2025-01-06T00:00:00Z"/><d v="2024-11-28T00:00:00Z"/><d v="2024-11-29T00:00:00Z"/><d v="2025-01-26T00:00:00Z"/><d v="2025-02-04T00:00:00Z"/><d v="2025-01-22T00:00:00Z"/><n v="45679.0"/><d v="2024-11-30T00:00:00Z"/><d v="2025-01-27T00:00:00Z"/><d v="2025-01-20T00:00:00Z"/><d v="2024-12-13T00:00:00Z"/><d v="2024-12-09T00:00:00Z"/><d v="2025-01-13T00:00:00Z"/><d v="2024-12-10T00:00:00Z"/><d v="2025-01-29T00:00:00Z"/><d v="2025-01-28T00:00:00Z"/><d v="2024-12-07T00:00:00Z"/><d v="2024-12-14T00:00:00Z"/><d v="2014-12-10T00:00:00Z"/><d v="2024-12-08T00:00:00Z"/><d v="2024-12-12T00:00:00Z"/><d v="2024-12-16T00:00:00Z"/><d v="2024-12-06T00:00:00Z"/><d v="2025-01-14T00:00:00Z"/><d v="2025-01-05T00:00:00Z"/><d v="2024-12-17T00:00:00Z"/><d v="2025-01-24T00:00:00Z"/><d v="2025-01-04T00:00:00Z"/><d v="2025-01-16T00:00:00Z"/><d v="2025-01-15T00:00:00Z"/><d v="2024-12-28T00:00:00Z"/><d v="2025-02-03T00:00:00Z"/><d v="2025-01-03T00:00:00Z"/><d v="2025-01-31T00:00:00Z"/><d v="2025-01-30T00:00:00Z"/><d v="2024-12-11T00:00:00Z"/><d v="2025-01-17T00:00:00Z"/><d v="2025-01-19T00:00:00Z"/><d v="2025-09-01T00:00:00Z"/><d v="2025-01-25T00:00:00Z"/><d v="2025-02-07T00:00:00Z"/><d v="2025-02-05T00:00:00Z"/><s v="1/31/2025"/><d v="2025-02-06T00:00:00Z"/></sharedItems></cacheField><cacheField name="notes_coder" numFmtId="0"><sharedItems containsBlank="1"><s v="general data entry notes, e.g., re access issues or study selection"/><s v="coding tasks 2zgf9_1, bth36_1, and 7vgkq_1 are similar; the partial-eta squared reported in the replication paper of 0.226 is different from the value in OSF registries of 0.313, hence requires validation; Psychological science has not been listed as one "/><m/><s v="1. Values for the REPLICATION statistical inferences were taken from Files uploaded to OSF by a link: https://osf.io/39xuw/files/osfstorage. I merged them in the corresponding PDF"/><s v="1. The tags are not given explicitly so I have inferred from the introduction of orignal paper. 2. The effect size is not reprted in the orignal study while replication has reported it's own and the effect size of replication study the infered effect size"/><s v="original sample size is 42, but 1 was excluded afterwards (p. 137)"/><s v="informative failure to replicate"/><s v="Claim text_r We observe that, in terms of means, there are no great differences in interest according to the type of problem. For students intramathematical problems were the most interesting (Mi = 2.77, SDi = 1.25), followed by word problems (Mw = 2.75, "/><s v="this effect was not explored in the original paper"/><s v="Claim text_r Table 2 shows the average situational interest of 80 pre-service teachers according to the connection to the reality of the problems. We observe that, for pre-service teachers, word problems were the most interesting (Mw = 3.28, SDw = 1.22), "/><s v="The coding of this study was extremely challenging for me and I could not complete it. I feel that the replication study is extremely unclear in describing what effects they are trying to replicate. Although the replication article provides the informatio"/><s v="Claim text_r. Table 8, p. 14 Retrieval–induced inhibition: 1.02 (0.23), [...] Results of the current replication for the partial correlation analyses did not indicate statistically significant relationships, and effect sizes were small with 95% CIs crossi"/><s v="Claim text_r. Table 8, p. 14 ABX error (vowels) 19.2 (13.2) [...] Results of the current replication for the partial correlation analyses did not indicate statistically significant relationships, and effect sizes were small with 95% CIs crossing through z"/><s v="Claim text_r. Table 8, p. 14  Vowel production z score: –2.27 (0.85)[...] Results of the current replication for the partial correlation analyses did not indicate statistically significant relationships, and effect sizes were small with 95% CIs crossing t"/><s v="Claim text_r. Table 8, p. 14 Consonant production (max. 8): 4.50 (2.31) [...] Results of the current replication for the partial correlation analyses did not indicate statistically significant relationships, and effect sizes were small with 95% CIs crossi"/><s v="replication N refers to number of couples"/><s v="Sample sizes extracted from df. "/><s v="Replication might be preregistered, unclear. They mention that data exclusion was not preregistered, so they did not do it. However, I don't find a link to their preregistration."/><s v="1. In the orignal study, I have used claims from the page 1 because they were well summarised. However, I have reported results seprately for effect size and P value"/><s v="1. The initial registration of the protocol is under the link: https://osf.io/kqdpm&#xA;2. Since one-way rmANOVA was used, the Nested option is &quot;Yes&quot;&#xA;3. Degree of freedon for original study was calculated based on number of time measurements (4) and participa"/><s v="This is not a replication:&#xA;&#xA; original study relied on testing and neuropsychological performance (Visual Reproductions immediate recall/ Visual Reproductions delayed recall/ Verbal Paired Associates I /Verbal Paired Associates II/ Simple Reaction Time eff"/><s v="The replication study is not a true replication of the original study. The replication study performs an analysis of APOE ε4 and ε2 genes (an Alzheimer’s disease polygenic risk score) in post-traumatic stress. The original study does not deal with this. I"/><s v="Claim text_r. Hypothesis testing. Table 5 and Fig. 4 show the Cramer’s V correlations between the covariates and the selected media collection. The variance stems from the 60 different parameter combinations tested. According to Cohen [41, 42], a correlat"/><s v="The replication article is related to the original article. However, I do not believe that we can report a quantitative replication attempt. Although the original research article reports some rounded percentages for the use of communication media, I beli"/><s v="Did not include followup, which is present in replication but not the original. "/><s v="Follow up (2 to 5 weeks after intervention) of preceding row's effect (compared to baseline-pre intervention)"/><s v="I think some of the p-values might actually be &lt; and not = .001 as reported. Did not include followup, which is present in replication but not the original. "/><s v="The replication and original articles were extremely clear in their reporting of evaluated effects and effect sizes."/><s v="For statistics I used Conceptual replication, reduced sample, because it's closer to the original study in terms of compliance&#xA;Claim text_r. Results of the original try-out study and the conceptual replication are compared in Table 6. Intervention estimat"/><s v="For statistics I used Conceptual replication, reduced sample, because it's closer to the original study in terms of complia&#xA;Claim text_r. Results of the original try-out study and the conceptual replication are compared in Table 6. Intervention estimates "/><s v="The replication is clear on what affects is trying to replicate from the original research article. I reported as sample size the number of publication analized."/><s v="Claim text_r.  Years to publication, 2 years or less: Odds Ratio: 0.65, 95% CI: [0.38, 1.11], χ²(1), p: 1.35, .25&#xA;[...] Table 3, p.8 "/><s v="Claim text_r.  Years to publication, More than 2 years: Odds Ratio: 1.88, 95% CI: [1.22, 2.92]&#xA;[...] Table 3, p.8 "/><s v="Claim text_r. Sample size, &lt;79: Odds Ratio: 1.46, 95% CI: [1.00, 2.46], χ²(1), p: 6.15, .01&#xA;[...] Table 3, p.8 "/><s v="Claim text_r. Sample size, ≥79: Odds Ratio: 1.57, 95% CI: [0.90, 2.36]&#xA; Table 3, p.8 "/><s v="Claim text_r. Number of statistical tests, &lt;23: Odds Ratio: 1.16, 95% CI: [0.69, 2.00], χ²(1), p: 2.48, .12&#xA; [...] Table 3, p.8 "/><s v="Claim text_r. Number of statistical tests, ≥23: Odds Ratio: 1.43, 95% CI: [0.92, 2.22]&#xA; Table 3, p.8 "/><s v="Claim text_r. Type of outcome, Academic achievement: Odds Ratio: 2.27, 95% CI: [1.58, 3.26], χ²(1), p: 8.70, p&lt;.01&#xA; Table 3, p.8 "/><s v="Claim text_r. Type of outcome, Social-emotional/behavioral: Odds Ratio: 0.55, 95% CI: [0.30, 1.00] [...] Table 3, p.8"/><s v="Same results but there were contextual differences."/><s v="I have encountered some issues in fully understanding the papers, as they extend significantly beyond my field of expertise. Both experiments seem to involve simulations as their primary analyses, with results focusing on comparisons between different mod"/><s v="The same value in the replication paper seems to be used to replicate Table D1 and Figure D1A. There are three replication sections: replications 1, 2 and 3. I only looked closely at section 1 due to time constraints. I briefly read and thought about what"/><s v="There are three replication sections: replications 1, 2 and 3. I only looked closely at section 1 due to time constraints. I briefly read and thought about what I think are all the relevant parts of the original paper and the replication paper."/><s v="I entered adjusted ORs as reported in the paper in this table. The paper also reports unadjusted ORs. I calculated (unadjusted) ORs myself in the hope of providing more precise p-values. However, they were not exactly the same as in the paper, so I did no"/><s v="p-value was not explicitly provided, but since the CI includes 1, the p-value is greater than 0.05"/><s v="R_research question 2"/><s v="did not replicate successfully. There were four replicated claims. I briefly looked at all of them but only coded two due to time constraints. I should also double check the Ns but did not do this for the same reason. I think they are slightly wrong for s"/><s v="replicated successfully. There were four replicated claims. I briefly looked at all of them but only coded two due to time constraints. I should also double check the Ns but did not do this for the same reason. I think they are slightly wrong for some of "/><s v="R_research question 1"/><s v="R_research question 3"/><s v="The central features of the replicated study are highly similar with the original study. The differences in some of the results are due to contextual differences."/><s v="Both the experiments are not based on statistical analyses but on rough comparison between means. R_Paper obtained by the author through ResearchGate"/><s v="Null result in original, replicated successfully according to replication authors"/><s v="There were 2 studies in the replication study, but only the first study replicated the original study. The second study was an extension."/><s v="Study 2 was an extension in the replicated paper."/><s v="BF values are reported in the replication study."/><s v="&quot;Claim text&quot; column reports the single outcome item involved in the effect, since there is no individual claim for each item, but only a general claim and the table with single effects. Each effect is estimated putting as covariates age, gender, political"/><s v="There is no data since both the O_study and te replication are systematic review with no meta-analysis. Furthermore, the replication is a master thesis."/><s v="No specific claim. Interleukin 8 in males"/><s v="No specific claim. Interleukin10 in males"/><s v="No specific claim. C-reactive protein levels in males"/><s v="The replication attempt cites the original article but it is not a direct replication. It uses the same research paradigm but a direct comparison between the results is not suitable."/><s v="not sure if close or conceptual is more accurate"/><s v="Effect size was calculated."/><s v="I think study 30 is codable in principle, but it has a challenge. The original article reports comparisons as chi-squared tests (what we can call classic NHST), but the replication reports coefficients from regression modeling. This means that to compare "/><s v="The O_experiment seems a little complicated, they did not perform repeated measure analyses, but correlations between the conditions deltas and the misinformation availability in two different outcomes (which are deltas as well between 2 conditions of ano"/><s v="Effect reffered to Reaction times. The O_exp did not report p values, qhile the R_exp employed Z scores for the contrasts (not d as I selected)"/><s v="replication study file not in repository, cannot access the publication on publisher site, requires purchase"/><s v="Effect reffered to Error rates. The O_exp did not report p values, qhile the R_exp employed Z scores for the contrasts (not d as I selected)"/><s v="As the replication article states &quot;The primary objective of this paper is to contribute to the advancement of second language (L2) fluency research by outlining a specific proposal for future replication studies&quot;. Therefore, this is not a replication stud"/><s v="This is a replication study on the use of a conjugate preparation&#xA;for assessing preference. The original study administered a verbal multiple-stimulus-without-replacement&#xA;assessment (VMSWO). The replication study includes, in addition, auditive stimuli an"/><s v="The replication and the original articles are clearly reported. I was able to map each of the replication attempts."/><s v="this row and the one bellow are related to one specific effect, hypothesis requires test to be non-significant, the replication study was not preregistred but materials and scripts are available https://osf.io/t2vkp/ "/><s v="hypothesis requires test to be non-significant, the replication study was not preregistred but materials and scripts are available https://osf.io/t2vkp/ "/><s v="this row and the one bellow are related to one specific effect, hypothesis requires test to be non-significant, the replication study was not preregistred but materials and scripts are available https://osf.io/t2vkp/ , in the r_study n was calculated base"/><s v="hypothesis requires test to be non-significant, the replication study was not preregistred but materials and scripts are available https://osf.io/t2vkp/ , in the r_study n was calculated based on df; reported n was 211, the replication study has an extens"/><s v="I couldn't find the replication's pdf...not even on sci-hub...and I didn't have enough time to request the full text from the author on researchgate"/><s v="This refers to RQ3 of the replication study. It reports 'Participants attribute only 30.33% of the motivation for FRPs to internal motives, &#xA;leaving most of the motivation to external pressures (mean 69.67%; 95% bootstrap CI, 67.23–72.11%). The mean is s"/><s v="I have excluded this row since the original study and replication study in this row do not match."/><s v="the two papers are not related, study diffrent topics and belongs to diffrent fields"/><s v="Please note that original and replication studies are truncated in the columns. I exchanged them accordingly.  This is a replication study that reports effect sizes in terms of Cohen's d and associated p-values of nine variables for the construct validity"/><s v="the replication study extended the original claims to two Chinese contexts: Hong Kong and Shenzhen. This effect concerns the Hong Kong sample"/><s v="the replication study extended the original claims to two Chinese contexts: Hong Kong and Shenzhen. This effect concerns the Shenzhen sample."/><s v="This is a replication study that (apparently) reports the results of a logistic regression of six variables using the slope and corresponding p-values.  The replication study used a much larger dataset. HOWEVER, I DO NOT FULLY UNDERSTAND THE STRUCTURE OF "/><s v="At the moment, the replication document is not accessible. Sarah, made a request to a researcher."/><s v="The replication study is a stage 1 registered report so no results yet, cannot find stage 2 anywhere so only coded the original study"/><s v="the replication study is at stage 1 registred report so no results are available "/><s v="in original study n was calculated based on df, the replication study is at stage 1 registred report so no results are available "/><s v="this is an extension hyp but no results are reported yet"/><s v="Email response from LR: I think the &quot;replication&quot; part is actually a reproduction because both reports use the same sources (Current Population Surveys, CPS). We will discuss if the &quot;extension&quot; part meets our inclusion criteria and get back to you if it d"/><s v="test statistic = log points; sample sizes not reported: both studies use CPS data"/><s v="test statistic = log points"/><s v="Study excluded"/><s v="psychometric study - unclear how to handle"/><s v="The original study and replication aim to identify the main factors implicated in mattering among teachers. They use confirmatory factor analysis (CFA) and identify that eight factors with 40 items derived from a questionnaire are the most relevant. Given"/><s v="comapres target-like use (TLU) of beginners vs intermediates on 'ing' morpheme (not sure how to report this). Original not accessible so statistics are from replication's Table 4 (p. 31)"/><s v="This is an accurate replication study where 8 variables are replicated with the same metric (chi-squared and associated p-values). The replication adds additional results for &quot;3rd sing&quot;.  As this evaluates independently different morphemes, I report sever"/><s v="comapres target-like use (TLU) of beginners vs intermediates on the plural morpheme (not sure how to report this). Original not accessible so statistics are from replication's Table 4 (p. 31)"/><s v="comapres target-like use (TLU) of beginners vs intermediates on 'be'-cop morpheme (not sure how to report this). Original not accessible so statistics are from replication's Table 4 (p. 31)"/><s v="comapres target-like use (TLU) of beginners vs intermediates on 'be'-aux morpheme (not sure how to report this). Original not accessible so statistics are from replication's Table 4 (p. 31)"/><s v="comapres target-like use (TLU) of beginners vs intermediates on article morphemes (not sure how to report this). Original not accessible so statistics are from replication's Table 4 (p. 31)"/><s v="comapres target-like use (TLU) of beginners vs intermediates on past-irregular morphemes (not sure how to report this). Original not accessible so statistics are from replication's Table 4 (p. 31)"/><s v="comapres target-like use (TLU) of beginners vs intermediates on past-regular morphemes (not sure how to report this). Original not accessible so statistics are from replication's Table 4 (p. 31)"/><s v="comapres target-like use (TLU) of beginners vs intermediates on possessive morpheme (not sure how to report this). Original not accessible so statistics are from replication's Table 4 (p. 31)"/><s v="Claim text_r The regression analysis using the step-wise method showed that the input, processing, and output anxieties in combination contributed significantly to the general feeling of foreign language classroom anxiety (R2 adj = 0.62; F3,129 = 73.90, p"/><s v="network analysis - unclear how to handle"/><s v="This article does not perform hypothesis testing, comparisons, or report effect sizes but takes a network analytical&#xA;framework approach. Therefore, the results are shown as the centrality measurements of a Gaussian Graphical Model. I report the mean value"/><s v="model fitting analysis - recording of WAIC scores seems likely though that's not among the options"/><s v="replication in history - there are barely any numbers; maybe an exclusion, but not sure as there are non-social-science options in the &quot;discipline&quot; column"/><s v="No statistical data provided"/><s v="Duplicate entry? Both original and replication are the same as above"/><s v="This is a conceptual replication which explores the variables through different study designs and through mediators unlike the original , see further notes under exclusion. I struggled being able to work out where the results can be matched due to use of "/><s v="O study does not report effect sizes nor meaningful test statistics for the specific forms of empowerment, and replication only reports specific types of empowerment, not &quot;full&quot; empowerment. For the interaction with purchase intention and WOM, only chi-sq"/><s v="O study does not report effect sizes nor meaningful test statistics for the specific forms of empowerment. For their interaction with corporate (brand) attitudes, means and SD are reported, but these are not recorded in the test statistic due to the one-v"/><s v="The original study does not differentiate between grasp or push movements like the replicated one, suggesting they have pooled the data across different movement types rather than examining them separately."/><s v="Replication finding is written in words &quot;In the present sample, there were no statistically  significant associations with participants’ BMI&quot;"/><s v="Could not use F values because the number of conditions between studies was different. Cohen's d calculated for study O for specific comparisons instead. R only reports cohen's D for the meta-analytic results of their two studies, thus that is what is rep"/><s v="in the o_study n was calculated based on df; reported n was 206, in the r_study n was calculated based on df; reported n was 74 (+1)"/><s v="effects in figure 3, statistics not reported; these different rows are related to one specific effect"/><s v="R not pre-registered, but analysis and data open access: https://osf.io/864nx/"/><s v="claim in Table 2"/><s v="The replication study has not yet occured; exclude"/><s v="Extension study 1"/><s v="es_value_o calculated using the formula"/><s v="Extension study 2"/><s v="es_value_o calculated using the formula, exact p value not reported, ns"/><s v="Extension study 3"/><s v="O is strictly qualitative"/><s v="qualitative study, no effect sizes reported"/><s v="Due to a bug in the analysis code, the replication&#xA;paper is being revised "/><s v="due to a bug in the analysis code the paper is being revised, final results might be different, the replication paper coded is the pre-print version published in March 2024, in the replication CI are reported and no p values for the meta-analytic effect s"/><s v="in the o_study n was calculated based on df; reported n was 24, the analysis of this effect was mentioned in the r_study but the results were not reported, it was complicated to code this study as there were many conflicting claims between both papers so "/><s v="replication male subjects only, statistics for NA results in replication not reported"/><s v="replication mixed sample, statistics for NA results in replication not reported"/><s v="most of the effects in the o_study and the r_study are reported in plots, I only coded the effects that matched and had statistical results explicitly reported"/><s v="Figure 2 in R study "/><s v="ns correlation in original study"/><s v="effect size type not reported, I assumed it's etasq because of ANOVA"/><s v="the replication study is not available"/><s v="no p value reported only α"/><s v="only M available "/><s v="N is different from prior ES as it these effects were part of a mixed-effects model, which was ran after excluding outliers"/><s v="replication study notes the effects size as  ηp2 =0.13 in Table 1 (p. 3) - &quot; computed based on F-values and degrees of freedom using the easystats package in R&quot;"/><s v="Claim text_r support for the main effect of source certainty, F(1, 506) = 173.13, p &lt; .001, ηp2 = 0.25, 95% CI [0.19, 0.31]. [...] p.7"/><s v="Claim text_r.  [...] Post-hoc comparisons using t-tests with Bonferroni correction found that participants reported higher certainty in the high certainty condition (n = 257, M = 7.87, SD = 1.24) than in the low certainty condition (n = 253, M = 5.96, SD "/><s v="I assumed that there is pval_value_o &gt; 0.05 in the original study since there is no significant effect, but that's not clearly stated. Claim text_r  found support for a main effect of source certainty, F(1, 506) = 4.27, p = .039, ηp2 = 0.01, 95% CI [0.00,"/><s v="Claim text_r However, there was no main effect of expertise, F(1, 506) = 1.35, p =.247, ηp2 = 0.00, 95% CI [0.00, 0.02], nor an expertise   certainty interaction effect, F(1, 506) = 0.84, p = .361, ηp2 = 0.00, 95% CI [0.00, 0.02]. The main effect of certa"/><s v="I assumed that there is pval_value_o &gt; 0.05 in the original and replications study since there are no significant effects, but that's not clearly stated. Claim text_r  no main effects for source expertise or source certainty (Fs &lt; 1.18),  [...] p.8"/><s v="Claim text_r.  supported an expertise   certainty interaction effect, F(1, 506) = 4.74, p = .030, ηp2 = 0.01, 95% CI[0.00, 0.03]. [...] p.8"/><s v="conceptual replication of the same approach, testing response disequilibrium theory, but no numbers that can are easily comparable between studies (apart from one that apply to the specific equations) due to methodological differences"/><s v="No access to the PDF papers."/><s v="N was calculated. Effect size was calculated. "/><s v="N after applying exclusion criteria, osf project: https://osf.io/yqxme"/><s v="Claim text_r. There were no significant main effects of APOE status on cognitive outcome variables using Pillai’s trace (V = 0.06, F(4,206) = 1.51, p = 0.20).  [...] p 7."/><s v="Claim text_r.  VBM analyses revealed no significant differences in GMV between ε4+ and controls and between ε2+ and controls (p&gt;0.05, corrected via TFCE). [...] p 7."/><s v="Claim text_r.   DTI analyses revealed no significant differences in FA or MD (p &gt;0.05, corrected via TFCE) between ε4+ and controls, similarly between ε2+ and controls. [...] p 7.&#xA;&#xA;es_repr_o cannot be calculated "/><s v="Conceptual replication, no inferential statistics, policing as a broad field"/><s v="Satisfaction effect"/><s v="Fairness effect"/><s v="Engagement effect"/><s v="I found it difficult which to code as various model specifications are fitted. Anyway, coefficient of physical game is considered in this row."/><s v="Coefficient of didactive activities is considered in this row."/><s v="Coefficient of socialization activities is considered in this row."/><s v="This is a randomized control trial study which reports data and results differently. Sample was measured as families and not number of individuals involved in the intervention. Effects reported in standard deviations for the Bloomfield paper and standard "/><s v="original sample size was visible on table 5, p. 18"/><s v="No formal statistical test is conducted to test the hypothesis formulated both in the original and replication study."/><s v="The original study has been replicated multiple time, Spricigo, 2023 before the Menegale, 2024 paper. No effect sizes available to report since both studies used qualiative analyses. Both these studies have 3 RQs that are the same but it is hard to code t"/><s v="Effect from original study: b = 0.54, 95% CI [0.15, 0.92]; Effect from replication study: ,b=0.410,95%CI[0.085,0.735]"/><s v="description of effect taken from table 2 in Metsakas paper because of clarity, p. 5"/><s v="description of effect taken from table 2 in Metsakas paper because of clarity, p. 5; "/><s v="description of effect taken from table 2 in Metsakas paper because of clarity, p. 6; original effect sizes were calculated by replication author"/><s v="description of effect taken from table 2 in Metsakas paper because of clarity, p. 6"/><s v="excluded"/><s v="Effect size was calculated. Authors state that all domains were significant but do not report exact p-values."/><s v="No formal statistical test is conducted to test the central hypothesis formulated both in the original and replication study. Their conclusion are simply based on the average mean."/><s v="The study used means to compare baseline and intervention step count. "/><s v="Honestly, it's very confusing which to code as different model specifications are fitted &amp; I need help from coordinators. For now, I coded the estimates reported in last column of Table 1."/><s v="model 3 of binary factor analysis"/><s v="model 4 of binary factor analysis"/><s v="model 5 of binary factor analysis"/><s v="Effect of L1 speakers on competence (main effect)"/><s v="Three-way interaction effect"/><s v="Effect of L1 speakers on treatment preference (main effect)"/><s v="Effect of L1 speakers on comprehensibility(main effect)"/><s v="replication reference is not in APA format; hyperlinks got removed during some formatting issues but the files are in the google drive for both te replication and the original paper"/><s v="I don't find hypotheses and effect sizes from replication study that match the original study. The central hypotheses of interest in the original study are answered using descriptive statistics. The replication paper is is contextual and extended replicat"/><s v="cannot access the replication article;  10.5465/AMPROC.2024.19578abstract point to study by Child et al."/><s v="no full paper available yet"/><s v="Closeness is questionable, Otiginal study sample consists of patients with medical diagnosis and their relatives, while Reproduc. sample is students, bascially general population. &#xA;Claim text_r. [...] one-way ANOVAs were conducted on each Group separately"/><s v="Closeness is questionable, Otiginal study sample consists of patients with/without medical diagnosis, while Reproduc. sample is students, bascially general population. &#xA;Claim text_r. [...] one-way ANOVAs were conducted on each Group separately for Valence"/><s v="Not explicitly reported, but neural activation effect sizes for frustration-related responses are generally in the range of r = 0.5 - 0.7. r (correlation coefficient between neural activation and frustration levels)"/><s v="H1 (extraversion). H2 is not replicated in the replication paper."/><s v="I don't think this study is a &quot;classical study&quot; and lend itslef to extract requested information. The study introduced a new framework to estimate the aggregate capital-labor elasticity of substitution by aggregating the actions of individual plants."/><s v="test statistic in orginal study greater than"/><s v="1. Values for REPLICATION statistical inferences were taken from supplementary files &quot;10.1073--pnas.2402315121 SAPP.pdf&quot;&#xA;2. Since one-way testing was used, the &quot;Nested&quot; option is put as &quot;No&quot;"/><s v="1. There are minor changes between orignal and replication I am not considering it and using table 1 for results. 2. The orignal studies have reported different effect sizes, while replication studies have reported similar kind, i.e. &quot;r&quot; of effect sizes. "/><s v="1. The orignal studies have reported different effect sizes, while replication studies have reported similar kind, i.e. &quot;r&quot; of effect sizes. I am not sure which one should I use so I am using the one's in the orignal study. Further, I am not sure if Φ or "/><s v="1. The orignal studies have reported different effect sizes, while replication studies have reported similar kind, i.e. &quot;r&quot; of effect sizes. I am not sure which one should I use so I am using the one's in the orignal study.Further, I am not sure if Φ or χ"/><s v="1. The orignal studies have reported different effect sizes, while replication studies have reported similar kind, i.e. &quot;r&quot; of effect sizes. I am not sure which one should I use so I am using the one's in the orignal study."/><s v="1. The orignal studies have reported different effect sizes, while replication studies have reported similar kind, i.e. &quot;r&quot; of effect sizes. I am not sure which one should I use so I am using the one's in the orignal study.2. I think this study is concept"/><s v="Firstly, the original paper and the replication study do not discuss the ego depletion effect, which is discussed in the task above. Secondly, the original paper by Gailliot M. T. et al. (2007) examines the reliance of self-control on the energy source gl"/><s v="After looking at the detaisl of the studies fromt he origianl paper and the reference paper, it is not very clear which origianl study is linked to which replication study."/><s v="df=2, N = 58 (56+2)"/><s v="There is not enough information on links to the replication study to complete the curation task"/><s v="Reference Study paper could not be found as the DOI is missing and also the complete paper title with author names is not provided"/><s v="pval_value_r is not given as I calculated Cohens d using the excel sheet &quot;ES calculations&quot; using M and SD"/><s v="extant effect size: interaction of effort and rinse (unsweeted rinse versus sucralose-sweted rinse)"/><s v="I copied the link to the pre-registration from the manuscript, but the link does not work.; Descriptive statistics indicate that the effect is reverse, therefore I coded d negatively."/><s v="The authors also investigated the task difficulty as a moderator: &quot;Unsurprisingly, task difficulty had a large effect, F(4, 796) = 762.82, p &lt; .001, ηp2 = .79, with increasing set sizes yielding performance decreases as indicated by a significant linear e"/><s v="I"/><s v="ES of the suppression group of the original paper was calculated using the provided mean and standard deviation in the ES calculation formula provided in Excel"/><s v="potential duplicate"/><s v="n_r was inferred from ANOVA F(1,27) = 2.47. The original sample size was N = 31 but &quot;participants who did not proceed directly down the walkway without stopping were excluded from the study.&quot; (p. 4)"/><s v="extension effect size of the interaction between self-consciousness x prime interaction (self-consciouness was not part of the original study and therefore no original effect size is coded); n_r was inferred from ANOVA F(1,27) = 4.44. The original sample "/><s v="n_r was inferred from ANOVA F(1,36) = 2.95. The original sample size was N = 40 but &quot;participants who did not proceed directly down the walkway without stopping were excluded from the study.&quot; (p. 4)"/><s v="extension effect size of the interaction between self-consciousness x prime interaction (self-consciouness was not part of the original study and therefore no original effect size is coded); n_r was inferred from ANOVA F(1,36) = 6.77. The original sample "/><s v="note for n_r: The sample size was inferred as 80 participants took part in the experiment, while 5 had to be excluded and there were 3 experimental groups (eldery condition, youth condition &amp; control condition); pval_value_r: The authors only report a p-v"/><s v="The report does not contain an abstract and thus does not identify as a replication in the abstract. The report describes itself as &quot;Fairly Exact Replication&quot;"/><s v="pval_value_r can be calculated, based on the reported results &quot;The results show no significant difference between the Prime (M= 6.27, SD= 2.15) and the No-Prime group (M = 6.39, SD= 1.11) in the time necessary to walk along the hallway after the priming m"/><s v="extension effect size: The walking speed was measured using a stopwatch. The experimenters were manipulated regarding their expectation of the studies outcome (slow experimenter condition: The experimenter expacted that participants in the priming conditi"/><s v="extension effect size: The effect of the replication reflects an interaction between the experimenters expectation of the studies outcome and the condition (priming versus no priming). "/><s v="extension effect size: The walking speed was measured using a stopwatch. The experimenters were manipulated regarding their expectation of the studies outcome (fast experimenter condition: The experimenter expected that participants in the priming conditi"/><s v="extension effect size: The effect of the replication condition reflects the difference between participants in the priming and no-priming condition during the slow experimenter condition (experimenters were led to believe that participants in the priming "/><s v="extension effect size: The effect of the replication condition reflects the difference between participants in the priming and no-priming condition during the fast experimenter condition (experimenters were led to believe that participants in the priming "/><s v="I don't see in the report anything for significance testing. I&#xA;see by-site descriptive statistics in one of the SMs, but that's not&#xA;really satisfactory to calculate a t-test, pval, and effect size in my&#xA;opinion. I decided it was best to leave it blank for"/><s v="replication study states that the original effect was d = 0.59"/><s v="replication study states that the original effect was d = 0..59"/><s v="while original paper's statistics are available, the replication study listed does not provide any details on exactly what statistics are used; attempts to locate the original data are proving to be dead-ends"/><s v="It is confirmatory replication attempt"/><s v="the o_paper had 3 studies and the r_paper had 2 replications of o_study number 3; the results I reported for the r_study are from the two replications (merged) and could be found in table 1 and 2 (p.3);"/><s v="I edited the links to the original paper because it was of the paper before, the o_paper have 4 studies and the r_paper replicated a claim from study 2"/><s v="1. I have used Social Psychology for discipline as most of the references used in this study are from social psychology and there was no specific result for the psychological science. 2. Keywords are not available in both orignal and replication study. 3."/><s v="1. Values for the OVERALL row are taken from both REPLICATION by simply summing up. Since they are new datasets, this can be considered as the Replication, but with bigger power. Both links to OSF are appropriate, thus I leave it empty (links can be found"/><s v="1. Values for REPLICATION were taked from prepring 10.17605--osf.io--fmd75.pdf&#xA;2. In page 25 of the 10.17605--osf.io--fmd75.pdf there should by a typo, as the interaction was tested not with forewarning condition... "/><s v="1. Although Psychological Sciences is not present in the provided list, I have used cognitive psychology as a discipline as I found it more relevant relevant. 2. The value of effect size is negative, the excel is not allowing to inseert it correctly"/><s v="found doi for actual R article, used that as basis for reported information: 10.1016/j.jesp.2020.104066"/><s v="GENERAL NOTE: The results from the r_studies were sourced directly from the OSF file associated with each r_study (link_r), and I verified their consistency with the findings in the SM document. everything was consistent and accurate; the o_paper included"/><s v="As this is a close replication, I was not able to code the original authors' claims accurately as the replication did not make it clear which study (1-5) was being replicated. Instead, the replication created a composite score. Please see copied statement"/><s v="the o_paper included 7 studies but the r_paper only replicated  one claim from study number 1; the effect size reported for the orignial study in the o_paper and the SM doc are a bit diffrent"/><s v="the o_paper included 2 studies but the r_paper only replicated  one claim from study number 1; the effect size reported for the o_study comes from the SM not the o_paper https://www.pnas.org/action/downloadSupplement?doi=10.1073%2Fpnas.1601280113&amp;file=pna"/><s v="I could not find the actual coefficient so I copied it in from the one stated in the replication paper, please see copied in &quot;To evaluate this hypothesis, the authors perform a logistic regression (b = −0.486, p = 0.002); p. 8660.&quot; The authors claims have"/><s v="the o_paper included 7 studies but the r_paper only replicated  one claim from study number 2a; sample size of o_study was infered from the statistical test; I calculated the effect size of the o_claim using the ES calculations sheet based on the informat"/><s v="the o_paper included 9 studies but the r_paper only replicated  one claim from study number 2"/><s v="the o_paper included 2 studies but the r_paper only replicated  one claim from study number 1"/><s v="the o_paper included 6 studies but the r_paper only replicated  one claim from study number 6"/><s v="the test reported for the o_study in the SM doc and r_osf file doesn't match any of the tests mentioned in the o_study. I copied the closest claim fro the o_study in the claim_text_o but kept the other columns empty because I wasn't sure what should be re"/><s v="I could not find the original finding in sufficient detail  as reported in the replicated paper, as you can see from &quot;authors' claims&quot; . Therefore, I have coded the original finding reported by the replication paper, please see copied in here &quot;Partisan pr"/><s v="the o_paper included 6 studies but the r_paper only replicated  one claim from study number 4; as mentioned in the r_paper (osf link) and the SM doc the o_paper do not report the statistical results of the replicated claim. the p value is mentioned in the"/><s v="The test statistic is not in the original paper so I coded the original finding as reported in the replication paper, please see copied in &quot; To evaluate this hypothesis, the authors perform a mixed-effects regression as reported in the Table S16 in the SI"/><s v="the o_paper included 6 studies but the r_paper only replicated  one claim from study number 3b"/><s v="the o_paper included 2 studies but the r_paper only replicated  one claim from study number 2; the results of the claim from the o_study come from table 2 page 3"/><s v="Please note this from the replication &quot;High economic inequality (as compared to low economic inequality) reduces the generosity of high-income individuals (as compared to low-income individuals). The above hypothesis is tested using an OLS regression, int"/><s v="the o_paper included 3 studies but the r_paper only replicated one claim from study number 2b; sample size in the o_study was induced from the statistical test; I calculated the effect size of the o_claim using the ES calculations sheet based on the infor"/><s v="the o_paper included 6 studies but the r_paper only replicated  one claim from study number 5; the results of the o_claim were reported from the SI appendix p.4 https://www.pnas.org/action/downloadSupplement?doi=10.1073%2Fpnas.1606574113&amp;file=pnas.1606574"/><s v="Please note that, for the original study, I coded based on the original finding reported in the replication as the original statistics are found in the Supplementary Information linked in the original paper which does not load up. Please see copied in &quot;To"/><s v="the o_paper included 3 studies but the r_paper only replicated  one claim from study number 2; the test of the o_study was not reported in the o_paper but directly communicated to the author's r_paper so I only reported the information mentioned in the o_"/><s v="I was not able to source the orignal finding from the original paper as this information was provided directly by the authors, so I got it from the replication paper, please see copied in &quot;The paper only reports a 2 (SSES: low or high) × 2 (gender) ANOVA,"/><s v="the o_paper included 2 studies but the r_paper only replicated  one claim from study number 2; only p was reported in the o_study"/><s v="I could not find the reported original effect size in the original paper, please see the insufficient detail in what I coded in 'authors claims' so instead I coded the effect size that the replication paper reported in table 3 of the supplementary materia"/><s v="the o_paper included 6 studies but the r_paper only replicated  one claim from study number 4; the results of the o_claim were reported from the SI appendix p.12 https://ftp.ebi.ac.uk/biostudies/nfs/S-EPMC/472/S-EPMC6275472/Files/pnas.1717092115.sapp.pdf;"/><s v="the o_paper included 8 studies but the r_paper only replicated  one claim from study number 3; o_sample size was reported from the SI appendix https://www.pnas.org/doi/suppl/10.1073/pnas.1610834113 "/><s v="the o_paper included 8 studies but the r_paper only replicated  one claim from study number 8"/><s v="the o_paper included 2 studies but the r_paper only replicated  one claim from study number 1; o_sample size was not reported in o_paper"/><s v="the o_paper included 7 studies but the r_paper only replicated one claim from study number 7; for the r_study I did report d for effect size as mentioned in both the SM table and the paper (osf link) but the paper also report b=0.028 so I am adding it her"/><s v="the o_paper included 2 studies but the r_paper only replicated one claim from study number 2; for the r_study I did report d for effect size as mentioned in both the SM table and the paper (osf link) but the paper also report β=–0.051 so I am adding it he"/><s v="the o_paper included 5 studies but the r_paper only replicated one claim from study number 3; "/><s v="the likelihood ratio test of the o_study reported by the o_study doesn't match the one reported by the r_study"/><s v="There was a discrepency between the findings reported in the original paper and the 'original findings' reported by the replication paper in table 1 (&quot;In repeated games against rigid opponents, participants assigned to be thieves act relatively flexibly i"/><s v="the o_paper included 3 studies but the r_paper only replicated  one claim from study number 1; for the r_study I did report d for effect size as mentioned in both the SM table and the paper (osf link) but the paper also report β=0.156  so I am adding it h"/><s v="the o_paper included 4 studies but the r_paper only replicated  one claim from study number 4"/><s v="I coded the effect size found in original paper as instructed but please see replication notes about this, &quot;The authors test the above hypothesis using a paired t-test, t(201) = 17.51, p &lt; 0.001, dRM = 0.50; p. 10329. Note, however, the test could not be "/><s v="the o_paper included 9 studies but the r_paper only replicated  one claim from study number 7b"/><s v="1. The abstract of the paper reflect that the study 1 is a replication study. The study 2a also replicates the actual study (study 2) conducted in the current papers. Leaving replication studies, I am just annotating the study 2 which is an online experim"/><s v="1. Values for REPLICATION statistical inferences were taken from Files uploaded to OSF (link: ) and saved in PDF titled &quot;10.17605--osf.io--j8a4p.pdf&quot;&#xA;2. Pre-registration OSF: https://osf.io/x9tq5&#xA;3. SInce in the main table of the original manuscript the r"/><s v="1. The paper has replicated with the same data and with the new data. So I am reporting both. 2.This part is related to the replication through the same data as of original study. 3.The sample size is not mentioned in the original study, but replication s"/><s v="1. The paper has replicated with the same data and with the new data. So I am reporting both. 2.This part is related to the replication through the new data as of original study. 3.The sample size is not mentioned in the original study, but replication st"/><s v="1. For the replication only results from the time period 1996-2016 were used.&#xA;2. In the original study the sample size should be the number of observations, which is 12 * 27 = 324&#xA;3. The file 10.18718--81781.23.pdf was uploaded&#xA;4. The papers applied Newey"/><s v="Outside my area of expertise - unable to code this entry further"/><s v="Framing effect"/><s v="Gender differences - Giving "/><s v="Gender differences - Taking "/><s v="Unable to code as economics papers differ from psychology/social science papers in structure, focus, and reporting. They emphasise calculations and procedures applied to different datasets/settings rather than replicating an effect."/><s v="1. Although Psychological Sciences is not present in the provided list, I have used cognitive psychology as a discipline as I found it more relevant relevant."/><s v="1. Since no paper / report or notes in the OSF, the values for REPLICATION statistical inferences were taken the site: https://osf.io/uxajg &#xA;2. Initial OSF registration is under the link: https://osf.io/jqzsf"/><s v="1. The description only focused on the &quot;low response effort condition&quot; because replication study mentions that it only replicates the low response effort condition. This was implied from sample size of the original effect. 2. Results for rhe replication a"/><s v="replication study states that the p-value in the original study was p &lt; .01, while the original states that it was p &lt; .001"/><s v="XPHI states ES for O  w = 0.59, mistake in the p value for O in XPHI (p &lt; .01, while it's actually  &lt; .001)"/><s v="No statistics in O, extracted from XPHI"/><s v="XPHI states ES for O  w = 0.61"/><s v="The p-value in the original paper is described as &quot;p &lt; .05&quot; while the table states that the original p-value was p = 0.03."/><s v="XPHI states ES for O  w = 0.75, The p-value in the original paper is described as &quot;p &lt; .05&quot; while the table states that the original p-value was p = 0.03."/><s v="ES for O copied from XPHI dataset"/><s v="The study states that &quot;All analyses were conducted on the remaining sample of 632 participants.&quot;, but the replication states that only 307 participants were analzed (which seems to be more logically when having a look on the analyses) "/><s v="XPHI dataset states: partial η2 = .109 as ES"/><s v="Replication report reports Cohens d as d = 0.42, while the original report report d = 0.43"/><s v="They used the RMEL fitting method as their test statistic; There was no preregistration under &quot;registrations&quot;"/><s v="XPHI doesn't have SE, but has F value. N for R extracted from XPHI ReplicationN_Overall"/><s v="XPHI doesn't provide ES, claim from O extracted based on the sample size and p value in XPHI. N for R extracted from XPHI ReplicationN_Overall"/><s v="In the original paper, it is stated that 3,422 individuals participated. In the table of the replication report, however, an effective sample size of 3,413 is listed. I used this number because it seems more plausible with regard to the t-test. I applied "/><s v="There was no preregistration under &quot;registrations&quot;; The correlation was not significant, but test statistics were not specified further"/><s v="XPHI dataset doesn't provide statistics for O, so not possible to extract data. Based on the sample size I would assume, that p. 353 of O has some results provided."/><s v="I calculated the original effect size using the ES calculation excel sheet. The original paper only reports a comparison between the positive, negative and neutral scenario. The replication table reports a p-value of p &lt; .05."/><s v="Mathcing statistics for O not found, copied from XPHI"/><s v="There was no preregistration under &quot;registrations&quot;; While the table reports d = 0.66 and p &lt; .001 for the replication, the post-replication report states that it was d = 0.672, p &lt; .0005"/><s v="There was no preregistration under &quot;registrations&quot;; While the table reports d = 0.52 for the replication, the post-replication report states that it was d = 0.51; I calculated the original effect size using the ES calculation excel sheet."/><s v="XPHI states N O as 148, while for study 1 it's 601 after exclusion. Data for O extracted based on the ES stated in XPHI. ES for O extracted from XPHI"/><s v="The number of participants corresponds to the effective sample size listed in the table. This number also aligns with the ANOVA."/><s v="There was no testing of participants. The study was about search hits.; No test statistics are reported in the original article, but the table includes a reconstructed Chi-squared test: X2(1, N = 15664) = 1512.4, p &lt; 0.001"/><s v="There was no testing of participants. The study was about search hits.; No test statistics are reported in the original article, but the table includes a reconstructed Chi-squared test: X2(1, N = 15664) = 1512.4, p &lt; 0.001.  Matching statistics not found "/><s v="XPHI also statest partial η2 = .16 as ES for O"/><s v="There is a second preregistration: https://doi.org/10.17605/OSF.IO/ERB5W"/><s v="t value extracted in compliance with O, XPHI also ststes ES d = 0.61 "/><s v="There was no preregistration under &quot;registrations&quot;"/><s v="XPHI also states ES for O - partial η2 = .035, and for R - partial η2 = 0.019, also N for R extracted from N R overall (N ES is missing), looks correct based on F"/><s v="The authors of the replication study used a GEE analysis and described their results as follows &quot; We found a significant difference in knowledge ascriptions between Standard True Belief cases and Gettier cases (χ2= 58.23, df =1, N = 63, p &lt; .001, r= 0.96)"/><s v="ES for O and R in XPHI are absent, so I calculated those myself based on the statistics"/><s v="The replication report states that the influence of participants gender was also analyzed. If this is also relevant, I am happy to code it too: &quot;Third, following up on Starmans and Friedman’s results (2009), the authors investigated whether participants’ "/><s v="O also states that r = 0.28., XPHI also states partial η2 = .078 for O and partial η2 = 0.12 for R"/><s v="Test statistics: Structural Equation Modelling (Chi-square)"/><s v="ES for O and R are absent"/><s v="3 preregistrations: https://doi.org/10.17605/OSF.IO/RX9ZP https://doi.org/10.17605/OSF.IO/VYWMY; The used a Sobel test; The replication report states that pearson correlation coefficients between the MR/FWand Bypassing composite scores were computed for e"/><s v="Not sure what exactly was replicated, ES for O absent in XPHI. Extracted claim is my best quess based on the available info. XPHI states for R: R2 = 0.066"/><s v="XPHI also states ES for O d = 0.41,  η2 is also available for O and R, which are 0.040 and 0.007 respectively"/><s v="The original study does not include any test statistics. I calculated the effect sizes using the excel sheet."/><s v="data for O copied from XPHI dataset, matching statistics not present in the paper (were recalculated in XPHI)"/><s v="The Post Replication Form states that the replication analysis were performed with 129 participants, while the table states that 127 were part of the analysis. "/><s v="XPHI also states ES for O d = 0.41"/><s v="The effect size of the original study can not be determined using the effect size calculator. The replication study describes the effect as follows: &quot;Whereas not a single one of the subjects in Case 1 judged that John intentionally upset Susan [...],64% o"/><s v="Matching statistics not found, extracted from XPHI"/><s v="XPHI also states ES w = 0.52"/><s v="The Post Replication Form states that 123 were included in the analysis, while the tables states 128.; The effect size of the original study can not be calculated using the effect size calculator, but the replication report states &quot;85 (69%) participants c"/><s v="No statistics in O, extracted from XPHI. "/><s v="In the post-replication report, there are also some results listed that provide insufficient statistical reporting. Therefore, I have not included them in this table for now but can gladly do so if needed.: &quot;To analyze the answers regarding the degree of "/><s v="additional entry based on postreplication report"/><s v="The number of participants corresponds to the total number of reported participants. No exclusions were mentioned, but the ANOVA might suggest that fewer participants were possibly involved."/><s v="Number of participants derived from t-test"/><s v="The proportion of this claim text was not reported but has been coded while coding the same proportion reported in the replication table"/><s v="Only the proportion of this claim text was reported in the replication table"/><s v="N (shape condition)=28; Only statistics for the shape condition have been reported in the replication table. The same statistics have been coded for the word condition."/><s v="N (shape condition)=24"/><s v="This task does not have sufficient data (test statistics) for coding in the original study and replication table. There is no report for the replication study as well"/><s v="No information about O in Boyce, impossible to understand which claiim was tested, report absent"/><s v="There is no clear information in the replication study and no sufficient information/ data (test statistics) on the replication table to code this task"/><s v="No statistics in Boyce, report absent"/><s v="There is no sufficient data for the replication study in the replication table to fully code this task"/><s v="Based on the information in the dataset it's impossible to clearly compare the results and calculate statistics, extracted both claims matching the proportion numbers in the dataset"/><s v="There is no sufficient information (test statistics) or report for the original study and replication to code this task"/><s v="No information to extract statistics in the dataset"/><s v="The closeness has been categorized as far; hence coded as conceptual"/><s v="The closeness has been categorized as far; hence coded as conceptual; administrative science discipline categorized as management"/><s v="Effect size value for O copied from Boyce dataset, not sure that it's calculated correctly"/><s v="the dataset includes only proportions, report is absent, not possible to extract statistics"/><s v="There is no claim text. Data from the replication table has been used to code this row"/><s v="statistics extracted from Boyce dataset, original claim not identified, cause I didn;t find the matching statistics in the paper"/><s v="extracation and effect size based on the report, table states that N original is 25, while it's 29 (Experiment 4). Might be excluded based on the report &quot;The present study was not a straightforward replication of the original study. We failed to replicate"/><s v="the dataset doesn't include statistics, report is absent"/><s v="The discipline variable coded as &quot;social psychology&quot; instead of &quot;other-psych&quot; as indicated in the replication table"/><s v="No statistics and report for replication"/><s v="&quot;Effect size is not applicable to this study&quot; - replication report"/><s v="The test statistics for the original study reported in the replication table cannot be traced in the original study pdf and there is no report to help trace it. Therefore this trask requires validation."/><s v="Statistics for o and r copied from Boyce database, mentioned raw stats not found"/><s v="Boyce data set reports 57 participants in O, while 6 were excluded from the analysis. Calculated p for O myself"/><s v="The claim cannot be traced from the test statistic of the original study in the replication table. There is no sufficient data for the replication study in the replication table to fully code this task"/><s v="No statistics for R in Boyce data set, d for O calculated by me"/><s v="There is no sufficient data for the replication study in the replication table to code this task fully"/><s v="Sample zise in O after exclusion is 208, while in Boyce reported as 108, probably typo. No Size effect and P value reported in R"/><s v="Organizational science discipline categorized as management"/><s v="d for O copied from Boyce dataset, though I'm not sure that it's correct"/><s v="replication states pear:r=0.9380832,n=1024 for O, but no matching statistics in the paper, hence not possible to extract claim and check reliability. Available statistics extracted from Boyce"/><s v="d Orig extracted from Boyce"/><s v="There is no sufficient data for the replication study in the replication table to code this task fully. Also, the claim is not clear in the original study."/><s v="p for O extracted from Boyce"/><s v="The t-test statistics for the original study (study 4) presented in the replication table are hard to trace in the replication study to be able to come up with a claim being studied"/><s v="Matching statistics F(1,115)=7.497 not found in the original paper, values extracted from Boyce.  Report is absent"/><s v="Corruptibility was coded as central result"/><s v="N= 225 and not 73 as was pre-coded. This task is similar to a task with a rowid Boyce_etal20238_1; hence should be discarded"/><s v="d for R is NA, d for O extracted from Boyce dataset, original paper used another ES - Cohen's f 2 =0.03"/><s v="d for O extracted from Boyce, also Boyce states that N O = 30, while the paper states 240"/><s v="No d and p statistics in Boyce, report absent. raw statistics provided bseb=.06(.13). The N o is 400, whle in Boyce it is 327"/><s v="No d and p statistics in Boyce, report present"/><s v="Could not trace the overall or specific claim in the original study from the raw statistics presented in the replication table"/><s v="d and p for O extracted from Boyce, because I was unsure about the replication aim"/><s v="1. In original study, no p-value is reported. However, the prep = .99"/><s v="1. The second OSF link: https://osf.io/u8g3x&#xA;2. Since stimulus were recreated, rather than reused, I would suggest to mark the study as conceptual replication&#xA;3. I can't understand how the effect can be significant if p &gt; 0.99. I am not sure that I unders"/><s v="1) 'doi_r' differs from the link provided on page 35 table from OSC 2015 PDF and their effect sizes differ, I coded the one from the link provided in PDF. 2) I coded d= 005 as in the link found in OSC 2015 PDF but the RPPdataConverted.xlsx table contained"/><s v="1. Minor changes were made for the replication&#xA;2. Authors reported p-replication (probability of replication) instead of p-value"/><s v="Link provided in OSC 2015 PDF not valid, so I had to find information on this link: https://osf.io/27cmh"/><s v="1, The data for replication was taken from this link: https://osf.io/27cmh"/><s v="1. There were slight difference in methodology and quite important age difference in sample -&gt; conceptual&#xA;2. P values were not provided in both original and replication studies"/><s v="1. In original study, no p-value is reported. However, the prep = .927 2) Block design was different hence conceptual"/><s v="1. There were differences in the block design -&gt; conceptual replication"/><s v="1. The replication was conducted not in the lab&#xA;2. The Effect is either &quot;Visual detection&quot; or &quot;Fear-irrelevance&quot;. The effect/object is the second, the effect is the second. I chose Visual detection as it is broader. "/><s v="1. In original study, no p-value is reported. However, the prep = .97"/><s v="1. There is a difference in the sample - high-school students (&quot; in the last 2 years of high school&quot;) or 1st year university students. I assume this groups to be quite equal in WM abilities (https://doi.org/10.1038/s41598-020-80866-1), thus the replicatio"/><s v="1. The differences with original study are mostly technical, thus - close replication"/><s v="Conceptual as experimental design was different"/><s v="1. In my opinion, quite big valuable changes were made in the replication for the experimental design"/><s v="1. Also there is a second OSF link: https://osf.io/nra37"/><s v="1. The second OSF link: https://osf.io/mghvs"/><s v="1. The second OSF link: https://osf.io/397fh&#xA;2. The effect can be either &quot;Additive effect&quot; (stated in the paper) or &quot;Familiarity&quot; (object / phenomenon). I chose the 1st as it is stated explicitly in the paper"/><s v="I couldn't find the effect size in the replication paper, so coded from the OSC dataset table"/><s v="1. The second OSF link: https://osf.io/8qrtd"/><s v="1. Stimuli size was slightly larger, thus I would treat it as the conceptual replication, rather than a close, since the experimental stimulus were manipulated."/><s v="1. The second OSF link: https://osf.io/avy86"/><s v="1. I am not sure in the Description. Authors of the original paper says the statistical inferences of Experiment 3 supported Prediction 1, but it seems that it was more about Prediction 3:&#xA;&quot;higher judgments of Cause A when there are 12 A instances than wh"/><s v="1. The second OSF link: https://osf.io/pxr93&#xA;2. Minor technical differences"/><s v="I reported the effect size found in the original replication paper d=.142 instead of the etasq of .122 reported in OSC 2015 PDF table as cannot find that in replication paper"/><s v="1. The sacond OSF link: https://osf.io/9x765"/><s v="1) The link to the replication paper does not work, I found report through this link: https://osf.io/k7chx 2) The partial etasq reported in OSC 2015 table for the replication efefct size is 0.00003 but in the original paper it is .0. Coded from original r"/><s v="1. There is also a second OSF link: https://osf.io/7ufyv&#xA;2. Conceptual replication because minor changes were made for the analysis (exception of 1 condition) and sample filtering process (based on Eng fluency)&#xA;3. In the replication, the Interaction resul"/><s v="The replication paper didn't report p-value so I coded it from the OSC 2015 table"/><s v="1. Authors of replication noted &quot;ns&quot; for significance level, which I consider as more than the threshold = 0.05 (they wrote this when they described G*Power calculations)"/><s v="1. The main difference was in population - they were Italians, which can affect the attitude&#xA;2. I am not sure in the nested / non nested version for regression analysis. "/><s v="Please note exact p-value of replication finding is p=2.2 × 10⁻¹⁶ "/><s v="1. Authors of replication used different cut-off intervals, which could affect the result (aka filteting)&#xA;2. Leven's test is not nested 3) Please note exact p-value of replication finding is p=2.2 × 10⁻¹⁶ "/><s v="1. F-square is used to report ES of replication&#xA;2. I am not sure whether the analsis was nested or not."/><s v="1, The data from replication is taken from: https://osf.io/2pbaf&#xA;2. The study sample age was changed as well as online experimental design was used&#xA;3. In the original study the division on groups is not specified: was it equal or not. The design is betwee"/><s v="The replication report found https://osf.io/v7bjc 2) no p-value reported in original study"/><s v="1. The second OSF link: https://osf.io/a9vrq&#xA;2. Authors did modification in replication (counterbalancing in a Latin square fasion)&#xA;3. No p-value was reported in the original study"/><s v="Couldn't find the effect size in original replication paper that was reported in the OSC 2015 table, I coded from the replication paper directly"/><s v="1. There was no indication of interaction in the original study (since it was not significant), thus I am not sure whether exactly this values should be reported. Moreover, they are different from RPP table."/><s v="The link here to the original paper is wrong, I coded from https://www.uky.edu/AS/PoliSci/Peffley/pdf/Sniderman/Amodio_et_al_2008_JPSP_Individual%20Differences%20in%20the%20Regulation%20of%20Intergroup%20Bias.pdf"/><s v="1. Also for OSF there is a second link: https://osf.io/dqybc&#xA;2. In the original paper there is a misinformation, as authors firtly wrote about 59 participants, from which 1 was excluded, somehow resulted in 48. &#xA;3. An updated file was uploaded for origina"/><s v="1. &quot;The experiment materials provided by the original authors included only 7 experimental descriptions for participants to rate. &quot; - thus it can't be assessed as close replication, even considering such an opinion of the authors&#xA;2. The study is about neu"/><s v="I coded directly from the replication paper, there is some inconsistency as the OSC 2015 table states that the d=.082 and p-value of .796 "/><s v="1. There minor changes, but there were a lot of them as well as the argue about the sample -&gt; conceptual replication"/><s v="1. The mateirial to replication study was taken from the link: https://osf.io/efjn3&#xA;2. The second OSF link is available: https://osf.io/xy9mv/"/><s v="2. The Effect is about either &quot;Social perception&quot; or &quot;Communal responsiveness&quot; I used the second as it is stated in the paper&#xA;3. Authors stated the modification of the procedure, which they believe have small influence on the replication. However, from my"/><s v="1. There are also 2 additional OSF links: https://osf.io/cbwgj, https://osf.io/zhxuy"/><s v="I coded directly from the replication paper, there is some inconsistency as the OSC 2015 table states that the d=-.01"/><s v="1. Authors added appreciation to the list of emotions"/><s v="Conceptual as study to design from being measured individual to groups"/><s v="1. Tags were combined from RPP table and the paper &#xA;2. There is also the second OSF link: https://osf.io/v3hfb&#xA;3. The study was conducted in groups instead of individually&#xA;4. Exploratory analyses was conducted with the usage of original sample, thus it is"/><s v="1. The second link for OSF is: https://osf.io/e4vqu"/><s v="1. There was a second OSF link: https://osf.io/p5en6&#xA;2. In my opinion the Discipline is more about &quot;Differential Psychology&quot;, however, in RPP table it is &quot;Social&quot;, thus I leave it to be along with the RPP table. "/><s v="Link from OSC 2015 table to replication paper didn't work but I found it here: https://osf.io/b9jtc"/><s v="1. Also, there is a second link for OSF: https://osf.io/bfzn9&#xA;2. There were differences with original study in the survey administration and sampling frame"/><s v="1. There were 2 additional links to OSF: https://osf.io/6c5kp, https://osf.io/f2gru&#xA;2. The values for effect size are given in order to calculate Cohen's h for binomial test: observed and hypothesized proportion (h = 0.944 and 0.914)"/><s v="For original study, I coded directly from original study as could not find values reported in OSC 2015 table"/><s v="1. In the RPP table there is a statement about t-test, however, in the original paper authors report ANOVA. I put the value like in the original study. &#xA;2. In the RPP table the Cohen's d is reported. However, it is not stated in the replication report and"/><s v="1. The second OSF link: https://osf.io/dwr2m&#xA;2. In my opinion the Discipline is more about &quot;Differential Psychology&quot;, however, in RPP table it is &quot;Social&quot;, thus I leave it to be along with the RPP table. "/><s v="1. There is also the second OSF link: https://osf.io/2kryw"/><s v="In replication paper, X^2(1, N=120) = 4.80 was reported too but I coded phi as it is more suitable for effect size. However, not sure if I coded the type correctly."/><s v="1. The second OSF link: https://osf.io/hctz9&#xA;2. The Effect is also &quot;Social deviance&quot;&#xA;3. The effect size of replication is Phi&#xA;4. There are four different districts in the replication. Each of them can be considered as separete replication"/><s v="In the replication paper,  β hat  = 0.4695"/><s v="1. Authors stated that the response rate was very low (approximetly 0%), which means that these results are effectively un-interpretable. The replication fialed."/><s v="1. Two more OSF links: https://osf.io/49xea, https://osf.io/24d7b"/><s v="Link to original paper is wrong, I used : https://kops.uni-konstanz.de/server/api/core/bitstreams/f8cf3efc-7de6-49c4-8ff8-ce1e1a9b6892/content"/><s v="1. An updated file was uploaded for original study (in the e-mail there is  a link to the corresponding folder)"/><s v="1) I coded p-value from original paper, the OSC 2015 table says p&lt;.05 2) Conceptual as story line changed"/><s v="1. There is another OSF link with the same files in it: https://osf.io/tue9g, https://osf.io/9bsqn"/><s v="1. The replication was conducted online"/><s v="1) The link to original paper is wrong, I coded from http://www.communicationcache.com/uploads/1/0/8/8/10887248/self-regulation_and_selective_exposure-_the_impact_of_depleted_self-regulation_resources_on_confirmatory_information_processing.pdf 2) I coded "/><s v="1. There are differences in the values from the RPP table and from the replication report. I marched the results from original study and replication&#xA;2. An updated file was uploaded for original study (in the e-mail there is  a link to the corresponding fo"/><s v="Coneptual as mutliple experimental materials were changed"/><s v="1. in Effect it can be either Racial Distancing (the phenomenon of interest) or the stepeotype threat theory (a framework)&#xA;2, The experimental procedure was slightly changed (more distracting topics, the time of the manipulation instruction)"/><s v="For original, I coded directly from paper but OSC 2015 table states r = .04. For replication paper, I coded directly from OSC 2015 table as couldn't find values directly from paper"/><s v="1. Several minor changes were made to the procedure (analyzing warmth, Y/N answers to several questions and so on)&#xA;2. It seems that values in RPP table are not exactly the values reported in the perlication report. I would suggest checking one more time, "/><s v="1. https://osf.io/ne9dy/registrations - there is no completed registrations of the project&#xA;2. No data of replication is provided both in RPP table and https://osf.io/ne9dy/&#xA;3. No data about science area is in RPP table. I consider &quot;Cognitive psychology&quot; t"/><s v="1)  For replication paper, I coded directly from OSC 2015 table as couldn't find values directly from paper 2) The link did not work to the original link so I coded from here: https://d1wqtxts1xzle7.cloudfront.net/39910353/Balancing_Connectedness_and_Self"/><s v="1. There is a second link for OSF, but it is taged with &quot;withdraw&quot;: https://osf.io/wys6d&#xA;2. I am not sure in the reported results of replication study. There is a mismatch with RPP table. &#xA;3. The effect is either &quot;relationship connectedness&quot; or &quot;self-este"/><s v="Had to code from OSC 2015 table for the replication paper as unexpected server response message kept coming up for replication paper https://osf.io/mptb2"/><s v="1. Additional OSF link: https://osf.io/8nqsh&#xA;2. Several differences with the original study: online, not equal groups, another statistical analysis"/><s v="I edited the links to the original paper because it was a link to another paper; multiple claims but tried to chose those that matched in both papers; in the o_paper and the r_paper a LCA was conducted to choose the best model and the 4-class solution was"/><s v="additional claim only for r_study: results of comparisons of the four classes along different outcomes. Significant class differences were observed for anxiety"/><s v="additional claim only for r_study: results of comparisons of the four classes along different outcomes. Significant class differences were observed for depression"/><s v="additional claim only for r_study: results of comparisons of the four classes along different outcomes. Significant class differences were observed for psychological flexibility"/><s v="additional claim only for r_study: results of comparisons of the four classes along different outcomes. Significant class differences were observed for  muscularity-oriented eating disorder symptomatology"/><s v="additional claim only for r_study: results of comparisons of the four classes along different outcomes. Significant class differences were observed for  psychosocial impairment"/><s v="additional claim only for r_study: results of comparisons of the four classes along different outcomes. Significant class differences were observed for  emotion regulation difficulties"/><s v="GENERAL NOTE: The o_paper have 5 studies and the r_paper is replicating all of them except study number 2. All principal claims are reported here. Note that in the o_paper exp 3 and 4 have the same claims so the r_paper had one study that replicated both "/><s v="Literary Fiction Versus Nonfiction (replication exp 1 - main effect ART)"/><s v="Literary Fiction Versus Nonfiction (replication exp 1 - interaction effect); effect size not reported for r_claim"/><s v="Literary Fiction Versus Popular Fiction (replication exp 3 - main effect condition)"/><s v="Literary Fiction Versus Popular Fiction (replication exp 3 - main effect ART)"/><s v="Literary Fiction Versus Popular Fiction (replication exp 3 - interaction effect)"/><s v="Literary Fiction Versus Popular Fiction (replication exp 4 - main effect condition)"/><s v="Literary Fiction Versus Popular Fiction (replication exp 4 - main effect ART)"/><s v="Literary Fiction Versus Popular Fiction (replication exp 4 - interaction effect)"/><s v="Literary Fiction Versus No Reading  (replication exp 5 - main effect condition)"/><s v="Literary Fiction Versus No Reading  (replication exp 5 - main effect ART)"/><s v="Literary Fiction Versus No Reading  (replication exp 5 - interaction effect)"/><s v="The r_study is more of a conceptual replication so I tried to report the closest claim to the o_study"/><s v="Unsure whether the F-test controlled for nesting, thus whether it was a repeated measures ANOVA"/><s v="1. Second OSF link: https://osf.io/r8wt9&#xA; 2. Minor technical changes were made for the replication"/><s v="1. The second OSF link: https://osf.io/z4yqw&#xA; 2. Since there was a minor change in the experimental design (exclusion of duration condition) I consider the study as close replication"/><s v="1. This was an online replication, thus -&gt; conceptual"/><s v="1. Changes were mostly connected with sample and statistical tools"/><s v="The table states that the p-value of the original effect size is two-tailed but the report does not include this information.; Authors reported p-rep instead of p-value"/><s v="1. Most changes of the task were connected with its adaptation to another language. Depending on language (here Eng -&gt; Hebrew) it is a big or small change. I would consider this to be a big change, along with authors description&#xA; 2. Authors reported p-rep"/><s v="Exclusion"/><s v="1. No replication study"/><s v="1. There were severa differences in experimental setup (common room), but authors of replication and original authors stated that it does not produce big differences -&gt; close replication"/><s v="1. Minor changes to the paradigm&#xA; 2. Authors reported p-replication (probability of replication) instead of p-value"/><s v="Authors reported p-rep instead of p-value"/><s v="1. Authors of replication stated about potential differences on the effect due to cultural differences. Since it is an important factor for the results -&gt; conceptual replication&#xA; 2. Authors reported p-replication (probability of replication) instead of p-"/><s v="The ANOVA of the replication report deviates from the one in the table (I chose the report). The table states that the test was two-tailed, but this information is not provided in the report.; Authors reported p-rep instead of p-value"/><s v="1. In RPP table the study is attributed to Social studies, but it is rather Neuroscience&#xA; 2. Authors reported p-replication (probability of replication) instead of p-value"/><s v="1. Authors reported p-replication (probability of replication) instead of p-value"/><s v="The table states that the p-value of the original study was two-sided, while I can not collect this information from the original report. The t-test refers to values of a pre-post test. I only coded the test statistics, as the effect size was dz (from rep"/><s v="1. Minor sample and language differences&#xA; 2. For replication Cohen's dz is used"/><s v="1. Minor changes to the paradigm&#xA; 2. Authors reported p-replication (probability of replication) instead of p-value&#xA; 3. I am not sure whether the analsis was nested or not."/><s v="1. The second OSF link: https://osf.io/pgvej&#xA; 2. Confidence rating was excluded from the replication. Given that it was collected in the original study after the recall, I consider this study to be a close replication"/><s v="The table states that the correlation was tested one-tailed (in the original), the report does not specify this."/><s v="1. Although in RPP table this paper was in Social science, I would rather put it in Cognitive because of the studied phenomenon and methods. However, I report along with the RPP table the final Code."/><s v="Authors reported p-rep instead of p-value, another effect size was available, too (z = 5.43)"/><s v="1. The final report of replication in under another link: https://osf.io/nxp9w&#xA; 2. Although the study in RPP table is in Social sciences, it is more about neuroscience due to target and methodology. However, I report along with RPP table. &#xA; 3. Updates wer"/><s v="The authors of the original report report r-square as an effect size, but I was not sure whether you can use that effect size for further codings. The authors of the replication report report Cohens dz and I was not sure whether you can work with this eff"/><s v="1. Authors of replication stated that they did minor changes to screen size, but adjusted all paramaters to the renewed screen. Since this can affect the visual perception directly, I put the replication to conceptual category&#xA; 2. R-square is used for ES "/><s v="1. No replication"/><s v="I was not sure whether you could use omega as an effect size. Therefore, I report test statistics.; Only p-rep is reported"/><s v="1. Two more OSF links: https://osf.io/fymue, https://osf.io/2uh78&#xA; 2. There was no information about Discipline in the RPP table, thus I put my considerations into the cell"/><s v="1. There is no replication"/><s v="The authors of the original report report a value of p = .000, but as a p-value can not be zero, I changed the value. A two-tailed paired t-test was used, thus the test should control for nesting."/><s v="1. Changes in distance between viewer and screen could affect the results -&gt; conceptual replication"/><s v="Only p-rep was reported (original report); The OSF page of the replication project does not work."/><s v="1. Minor changes to the paradigm"/><s v="1. The second OSF link: https://osf.io/d2yqj&#xA; 2. I would say it is a close replication, since authors only changed the software and instructional presentation was not detailed in original study&#xA; 3. The Effect can be either &quot;Numeracy&quot; (object, phenomenon) "/><s v="1. Changed the Discipline from Psychology to &quot;Cognitive Psychology&quot;&#xA;2. The report is absent in github folder, and the data is missed in the outcome table&#xA;3. I was not able to find corresponding OSF link except: https://osf.io/xwn9m/ (general, not specific"/><s v="No statistics in Boyce dataset"/><s v="No individual report found"/><s v="1. Changed the Discipline from Psychology to &quot;Cognitive Psychology&quot;&#xA;2. The original paper was added as &quot;10.1038nature03390.pdf&quot;"/><s v="1. Changed the Discipline from Psychology to &quot;Social Psychology&quot;&#xA;2. The detailed replication data is not provided anywhere. For example, there is M and SD, but for between-group design we do not have a clear description of how many students are in each gr"/><s v="1. Changed the Discipline from Psychology to &quot;Cognitive Psychology&quot;&#xA;2. There was a full report in the Replication folder. I used it to provide and varify the data: https://rstudio-pubs-static.s3.amazonaws.com/817655_c94c0f2142fc466fa36a6790ee3fcdde.html&#xA;3"/><s v="1. The data was absent in the database, but I found it here: https://rstudio-pubs-static.s3.amazonaws.com/694306_59178dc09b8648e598a3e535876c9246.html&#xA;2. Conceptual replication because authors reduced amount of trials&#xA;3. The original paper was added as 10"/><s v="1. The data for checking is taking from: https://osf.io/fd9kq&#xA;2. There were changes in experimental procedure -&gt; conceptual &#xA;3. The original paper was added as: 10.1037xge0000064.pdf"/><s v="1. Changed the Discipline from Psychology to &quot;Cognitive Psychology&quot;&#xA;2. Since to test results are provided anywhere except the table, it is impossible to check the values. I marked them with the color. Since no statistical inferences are described, I put N"/><s v="No statstics for original study available in Boyce, so not really possible ti understand what exactly was replicated, except for that it was experiment 3(based on sample size)"/><s v="1. Discipline - changed to cognitive&#xA;2. If printing the replication report to obtain PDF, the browser only gives one page (Chrome, Edge), thus there is no opporunity to indicate the page for replication results. &#xA;3. From the report: https://rstudio-pubs-s"/><s v="1. Discipline - changed to cognitive&#xA;2. If printing the replication report to obtain PDF, the browser only gives one page (Chrome, Edge), thus there is no opporunity to indicate the page for replication results. "/><s v="sampl O is 302, not 300 as syayed in Boyce dataset"/><s v="1. Replication data report was absent and there was no one for study 2, except the initial steps of the replication (no analysis/results)&#xA;2. Discipline is changed to &quot;Social psychology&quot;"/><s v="statistics is missing in the dataset, data for R identified and extracted from the report"/><s v="1. Keywords were taken from fingerprints at https://nyuscholars.nyu.edu/en/publications/cognitive-control-predicts-use-of-model-based-reinforcement-learn&#xA;2. In the replication report Otto reported the final sample to be 25 (p. 5)&#xA;3. In the replication rep"/><s v="1. Discipline - changed&#xA;2. There is no replication of study 5B open, only study 5A: https://osf.io/2gx4k/wiki/home/"/><s v="1. Conceptual replication - because laboratory study was replicated online&#xA;2. I am not sure what exactly should I indicate in the Effect"/><s v="d calculated based on provided statistics in the O"/><s v="1. There is a bit of dismatching data in the replication report. Some data (like attention and so on) are taken from study 1, while the overall metric is taken from the study 2: https://rstudio-pubs-static.s3.amazonaws.com/843645_4999687f04a2418cb522a69fb"/><s v="statistics is missing in Boyce, rawstats = bseb=0.3661(0.2423). Report is absent"/><s v="1. Discipline changed&#xA;2. Replication data from: https://rpubs.com/kl2018/432454"/><s v="no statistics for R provided, report is absent"/><s v="No report "/><s v="Read the report for the study, and since author wrote that &quot;As I have not yet been able to reproduce the Cohen’s-d values nor the 95% Credibility interval in the original paper, I am not using these statistics as a basis of comparison&quot; and the statistic i"/><s v="1. From the paper &quot;The design and analysis plans for the experiments were not preregistered&quot;&#xA;2. This study is difficult for me to understand due to not working with BFs. I am not sure that there are no more matching results&#xA;3.  BFinclusion = 607.57"/><s v="was replicated twice, by different students (this one and Boyce_etal2023116_1_d)"/><s v="was replicated twice, by different students (this one and Boyce_etal2023116_1_b)"/><s v=" "/><s v="1. The data for replication was taken from: https://www.rpubs.com/sansiropp/256552&#xA;2. Since the survey was not original, but recreated, I put &quot;conceptual replication&quot;"/><s v="1. There is OSF link, but it is not stated whether the paper was pre-registrated or registrated. &#xA;2. Replication data was taken from: https://rpubs.com/camillag/256522 "/><s v="1. The data was taken from: https://github.com/lrhasak/porter2016/blob/master/writeup/ReplicationReport.Rmd"/><s v="1. The data for replication was taken from: https://www.rpubs.com/sansiropp/256552"/><s v="1. The study was replicated online, however author claimed that it should no affect the replication due to specific aspects of the experimental procedure"/><s v="1. Replication data: https://rpubs.com/ShimaSalehi/155989&#xA;2. The trials were shown sequentially instead of parallel -&gt; conceptual replication&#xA;3. The tests are partially nested because the within-subjects factor (trait type) is nested within participants ("/><s v="statistics for R extracted from report"/><s v="1. I would say that changes in the procedure were really big -&gt; conceptual &#xA;2. The original paper was added as 10.1016j.neuropsychologia.2009.05.011.pdf"/><s v="1. The original paper was added as 10.1037a0028216.pdf"/><s v="1. The original paper was added as 10.1037a0028216.pdf&#xA;2. There are 2 corresponding results in replication study, I am not sure which one to use"/><s v="1. Minor changes to the procedure (like different attentional check) which should not affect the experiment&#xA;2. Confirmation of the row choice: &quot;I was able to reproduce the same means and test statistics as the original article. [Unresponsive: M = 10.5, SD"/><s v="1. Minor changes to the procedure (like different attentional check) which should not affect the experiment"/><s v="1. No replication report was found in the folder and internet "/><s v="R extracted from the report"/><s v="1. I would say that this is the extention of the original study for a new cohort -&gt; conceptual&#xA;2. The original paper was added as 10.10370022-3514.95.2.293.pdf&#xA;3. Effect can be either &quot;Cognitive load&quot; or &quot;Tempting fate&quot;. The first is broader"/><s v="1. I would say that this is the extention of the original study for a new cohort -&gt; conceptual&#xA;2. The original paper was added as 10.10370022-3514.95.2.293.pdf&#xA;3. Effect can be either &quot;Cognitive load&quot; or &quot;Tempting fate&quot;. The first is broader&#xA;4. For the se"/><s v="1. The 3rd study was not preregistrated (but the 4th was)&#xA;2. A delay was added to the procedure, but no more changes. I hope it was not a big change to call the study &quot;conceptual replication&quot;&#xA;3. The original paper was added as 10.1037pspi0000081.pdf"/><s v="d and p valuse for O extracted from Boyce"/><s v="1. Study 1 was not preregistrated in the original paper (only study 3: https://osf.io/bd9ea)&#xA;2. The data for replication was taken from: https://rpubs.com/cceballos-stanford/544019"/><s v="For second coder: I didn't find any place with n_o = 20"/><s v="PCA replicated, no statistics in Botce, report present"/><s v="1. I didn't find a replication report, thus I use the data from the table"/><s v="1. The replication data was taken from: https://osf.io/38en2"/><s v="No statistics in Boyce, report present. Report claims that the author succesfully reproduced the main statistical findings of interest, specifically - the interaction between valence and distance.  Unfortunately, I couldn't find results about that in the "/><s v="1. P-rep is provided for this study"/><s v="1. In the original paper there is no data in the table of the project. The comparison in the replication study is not matching (distance is not a frequency)"/><s v="Final N O is 555 (99 + 456), Boyce states 550"/><s v="1. I consider the Discipline - &quot;social psychology&quot;&#xA;2. The original study was not PREregistrated. Registrated data can be found in: https://osf.io/y65ze/"/><s v="Data for R extracted from the report. ES in the report is partial etasq, extracted F for consistency with the findings below"/><s v="1. The data for replication: https://github.com/psych251/Semrow2019/blob/master/writeup/Apaza_replication_Semrow.html&#xA;2. Replication authors stated that the samples differ between studies and it can have a significant effect because the study is sociologi"/><s v="1. Online replication -&gt; conceptual "/><s v="1. No PREregistration of the original study, only registration (https://osf.io/vyibm)"/><s v="statistics for R extracted from the report"/><s v="1. No PREregistration. Open-Ended registration: https://osf.io/fzm68"/><s v="1. I didn't find the replication report"/><s v="1. The data was taken from: https://rpubs.com/ennachen/psych251_finalproject&#xA;2. The original paper was added as 10.1093workarwaac024.pdf"/><s v="1. Several changes to methodology (online, no video and so on) -&gt; conceptual&#xA;2. This is called &quot;reproducibility report&quot; and it is not reproduction of the previous analysis with the same sample: &quot;Unlike in the original study that was performed in a sample "/><s v="report for R also states that ηp2 = .91"/><s v="sloman2016_1, p value for O in Boyce is different from one in original paper. P from original paper extracted"/><s v="sloman2016_2"/><s v="1. Data for replication: https://rpubs.com/hrlarry/YUIMU-final"/><s v="1. Data for replication: https://rpubs.com/kleibow/338461"/><s v="data for R extracted from the report"/><s v="1. Several procedural differences (setup, sample) -&gt; conceptual"/><s v="1. Since no report, the data was taken from the table&#xA;2. The original paper was added as 10.1037xge0000738.pdf"/><s v="1. Since no report, the data was taken from the table"/><s v="1. Replication data: https://rpubs.com/mkmartykeil/replicationfinal&#xA;2. Because the procedure slightly changed (especially the recall): conceptual replication"/><s v="1. Replication data: https://rpubs.com/mkmartykeil/replicationfinal&#xA;2. Because the procedure slightly changed (especially the recall): conceptual replication&#xA;3. The data from the report was used for ES"/><s v="1. Online study for attention -&gt; conceptually new design&#xA;2. The replication data: https://rpubs.com/mlee17/262394&#xA;3. Effect can be either &quot;Attentional cueing&quot; or &quot;attractiveness judgments&quot;. The first is broader"/><s v="1. Replication data: https://rpubs.com/chuqihu8/pilot&#xA;2. Replication was online -&gt; conceptual"/><s v="1. Replication data: https://rpubs.com/chuqihu8/pilot&#xA;2. Replication was online -&gt; conceptual&#xA;3. For second coder: The results are for Exp 3, while in the table it was Exp 1. This result can be also used"/><s v="Not found in Boyce, I would assume it's the one with the title &quot;the original doesn't give adults stats, the t test we're using is from the replication based on the raw data, for French adults only. Also, student screwed up and used original data for both "/><s v="1. Replication data: https://rpubs.com/masoud/tieu2016_replication&#xA;2. Different languages for comparison are used -&gt; conceptual replication&#xA;3. No corresponding results are indicated in the original data. For the project the original results were recalcula"/><s v="Todd2016_1"/><s v="1. Data for replication: https://rpubs.com/mateusmazza/project_report_pilotB"/><s v="1. Replication data: https://rpubs.com/klsanch/pilotAwriteup"/><s v="Todd2016_2, statistics from Boyce not found in the O, d and p values for O extracted from Boyce"/><s v="Coded as social psychology, because it's the closest discipline"/><s v="1. Online experiment&#xA;2. Data: https://github.com/StanfordPsych254/Tribushinina2011/blob/master/writeup/Replication-Report.html (replication)&#xA;3. The original paper was added as 10.1515ling.2011.016.pdf"/><s v="1. Replication data: https://rstudio-pubs-static.s3.amazonaws.com/426870_bb10c991135648a19be27ad27cb36a15.html (https://osf.io/3xcq7) is for EXPERIMENT 1, not 2"/><s v="Data for R from the report"/><s v="brown-iannuzzi2017_1, statistics extracted from the report"/><s v="brown-iannuzzi2017_2"/><s v="Replication data: https://rpubs.com/ayl888/695975"/><s v="Replication data is only for exp 3, not exp 1: &quot;https://rpubs.com/pgzhu/vasilyeva2018&quot; → I use the data from table"/><s v="Replication report: https://osf.io/wdp9b"/><s v="In Boyce it's Vohs2013"/><s v="1. Data for replication: https://rstudio-pubs-static.s3.amazonaws.com/955939_50cc1f13803a4ee1beb7841644071e54.html&#xA;2. The study is marked &quot;Reproducupility report&quot; but it is not the reproduction of the study with the same sample: &quot;To reproduce this study, "/><s v="Boyce states that N O is 321 and d is 0.55, I don't think it;s correct, because the sample is 556, so calculated d O myself"/><s v="1. The replication will be online&#xA;2. The original paper was added as 10.1038s41467-021-27323-3.pdf"/><s v="1. The replication data: https://github.com/psych251/wilkins2014"/><s v="1. Since no report, the data was taken from the table&#xA;2. Keywords from Pubmed Mesh"/><s v="No p and d in Boyce, raw statistics prop:11/19,9/17. Report is absent"/><s v="Data for replication: https://rstudio-pubs-static.s3.amazonaws.com/257540_6659667fe79e4d43936e8bb9d045f803.html&#xA;I would say that this study is more like extention (modification) with a new sample&#xA;The original paper was added as 10.1016j.obhdp.2010.10.001."/><s v="Replication data: https://rstudio-pubs-static.s3.amazonaws.com/155174_48b1633681bb4024b4098ed433d5a80a.html"/><s v="Boyce states that N O is 48, but in fact it 32 for the relevant part of the study"/><s v="Replication data: https://rstudio-pubs-static.s3.amazonaws.com/1159352_e9a668d9124f415e8831bab302f49b6b.html"/><s v="For the statistics in Boyce sample zise is not 240, but 96. Even though it's 240 for other parts of experiment 5"/><s v="Replication data: https://rpubs.com/ayodeledada/yousif2019"/><s v="P for R is not specified, report is absent.  Raw statistics bseb=1.037(.006)"/><s v="Replication data: https://rstudio-pubs-static.s3.amazonaws.com/960761_d9b8d67ca3454d3db5b0023e3b583df6.html&#xA;The original paper was added as 10.1016j.ecresq.2019.10.004.pdf"/><s v="Replication report: https://rpubs.com/rcatapano/Zaval_replication_report"/><s v="1. the official preregistration was not completed"/><s v="Online replication"/><s v="1. There is a registration but not preregistration"/><s v="Replication data: https://rstudio-pubs-static.s3.amazonaws.com/696061_39068ca5d4344e6894d818cbf8f2c60e.html"/><s v="Data for replication from: https://osf.io/yt5q8/"/><s v="d original extracted from the dataset"/><s v="Replication data: https://rstudio-pubs-static.s3.amazonaws.com/823553_849e56ccdba04f308d3dd2f4a03a249a.html&#xA;Original paper added as escholarship.orgucitem39d347bk.pdf"/><s v="1. Authors ensured that their minor changes to the procedure won't afffect the replication"/><s v="report available"/><s v="N original in the dataset is stated as 188, while in these specific quesiton the sample was divided in 2 parts, which results in N=94"/><s v="1. Replication data: https://rpubs.com/dmetaxak/correll2007&#xA;2. Online replication"/><s v="Replication data: https://rpubs.com/staciaking/craig2014"/><s v="Pattern of interaction in replication matches that in original study"/><s v="1. Online&#xA;2. There are a lost results, however replication operates with the term &quot;block&quot; while original study with the term &quot;task&quot;. According to replication description it should be different things (blocks - split sessions of the experiment)"/><s v="PLEASE CHECK ME FOR MY ACCURACY OF EFFECT SIZE EXTRACTION/REPORTING: &#xA;P value and coef estimate drawn from col 1 of  Table S11 which describes the values of a Tobit regressions with robust standard errors "/><s v="PLEASE CHECK THIS: Effect size in original is unclear/hard to distringuish. Value taken from the manuscript based on it's correspondence to the Col 5 of the Table 2 in the Supplementary materials (as signposted by the Camerer table to be the OLS regressio"/><s v="Supplementary Materials - Table S3b&#xA;https://www.science.org/doi/suppl/10.1126/science.1183532/suppl_file/janssen.som.pdf"/><s v="This replication draws upon values direct from the orignal authors that are not published direct in the original manusciprt - t(34) = 2.37 and p-value = 0.02, t-value and p-value from authors. &#xA;Statistical values recorded here are these values in the absc"/><s v="PLEASE CHECK THIS: This replication draws upon a a comparison of the 30-repetition treatment and the control treatment in experiment 1; independent samples t-test, t(30) = 2.78, p = 0.0092, provided by the original authors. This is not in the original pap"/><s v="Supplementary Materials - page 4 : post-hoc comparisons showed significant result, (F(1, 38) = 21.63, no exact p value stated. &#xA;https://www.science.org/doi/suppl/10.1126/science.1199327/suppl_file/karpicke_som.pdf &#xA;In the main text, the authors report bot"/><s v="PLEASE CHECK ME FOR MY REASONING: &#xA;Compared to the supplements of the Camerer replications Table 1, in the original paper the df for the critical t test were 68 (not 45 as listed in Table 1 of Camerer Table 1) thus the N was estimated at 69 (which also al"/><s v="The key test statistics were described as belonging to a two-tailed test in the Camerer supplements but this is not evidenced directly in the original manuscript. "/><s v="Tails on original p-values assumed one-way as ANOVA analysis central to value. "/><s v="This replication draws upon values that appear to be direct from the orignal authors that are not published direct in the manuscript or the SMs- t(14) = 13.07, p &lt; 0.0001&#xA;Values recorded here  are these values in the abscence of other meaningful values in"/><s v="p. 378, Table 1 of original study reports partial omega squared as 0.05"/><s v="The original N is found only in the Camerer Supplemental Table 3, printed as N = 178. However, assuming the total original N  of 449 is divided equally across 5 conditions - two of which are compared for the main claim of interest - the number 178 makes s"/><s v="The effect being replicated - namely that disgust sensitivity and perceived intentionality are more strongly related when people consider gay kissing than when they consider kissing in general - is not formally tested in the original paper, but justified "/><s v="The z score for the original difference in correlations analysis was recalculated as a q value in the replication study - stands at q = 0.48 in the  recalcuations as reported in the replication paper"/><s v="Contrasted US to WEIRD samples - all other comparisons are not general replications"/><s v="Contrasted Japan to non-weird samples"/><s v="There is a huge discrepancy between the results in the original paper and the replication study for study one and the claim texts are not clear"/><s v="There is a huge discrepancy between the results in the original paper and the replication study for study one, and the claim texts are not clear"/><s v="The paper existing in the replication is for Knobe (2003) which has no statistical values in Study 1 yet the paper for the row is published in 2006"/><s v="Dilemma 1 taken to be the comparison between scenario 1 and 2 for the  principle of double effect"/><s v="The replication paper appears to have a type in the reported F value for the supermarket scenarios.&#xA;F = 17.7 in the replication paper is F = 17.27 in the original paper. "/><s v="The original study reports results for different cultural groups separately to compare them against each other. The replication compared a general sample only - here two of the three subsamples from the original study are compared to the replication sampl"/><s v="This task requires validation because of the confusing statistics reported in the original study"/><s v=" There is no information on the &quot;Preferences for formal versus intuitive reasoning: Norenzayan, Smith, Kim, and Nisbett (2002, Study 3) to compare with the original study"/><s v="N = 180, total sample of both Hong Kong (N=100) and USA participants (N=80), combined samples"/><s v="N = USA sample of 80"/><s v="N = Hong Kong sample of 100"/><s v="The reported test statistics in the original study are a bit confusing; therefore needs to be validated"/><s v="NB: The replication paper states teh OR should be OR = 4.96, however, based on the percent success in both frames we calculate at 5.203 (see repro value)"/><s v="There are no test statistics values apart from the percentages reported in the original study; hence, effect sizes calculated in the replication study have been noted"/><s v="The statistics reported in the original study are confusing compared to those reported in the replication study; therefore needs validation"/><s v="N= 1207+2 = 1209"/><s v="The p-value of the original study has been recorded incorrectly in the replication study. Therefore, the p-value of the original study has been recorded"/><s v="Table 1 of the original study report d= 0.80, however the replication study reports d= 0.87 for the original study. Looking at the values in Table 1  of the original study our reproducible calculation gives a value of 0.87 which is therefore reported here"/><s v="NB: the replication manuscript suggests the the original n was 144, however, the original manuscript indicates that the n was made up of  two groups of 77 aka 154, (this is verified further by the df of the t-tests in both the original and replication man"/><s v="There is no PDF attached for this task, and the only search shows it is not freely accessible"/><s v="The number of participants for the effect of condition on belief in global warming and concern about it were different"/><s v="Focal comparison with English subsamples."/><s v="replication effect is in opposite direction"/></sharedItems></cacheField><cacheField name="notes_validation" numFmtId="0"><sharedItems containsBlank="1"><s v="only used by core team"/><m/><s v="corrected N from 150 to 137 "/><s v="- Please type &quot;NA&quot; if you could not find &quot;regis&quot; in the manuscript.&#xA;- Good catch with the N = 41!&#xA;- This is the preregistration: https://osf.io/8urxv It is linked at the top of the entry"/><s v="updated reference_r to report instead of the OSF page"/><s v="discarded because this is an extension that cannot be paired up with an original finding"/><s v="coded as nested due to hierarchical regression; a fourth effect is reported for the replication but NA for the original study; p_val_tails_r coded as one because it says in the note &quot;as reported in DM&amp;D&quot;, where p-values are one-tailed. Note that in the ta"/><s v="many different effect sizes and models, I chose the first ones; also, R has dyads and also includes effects from one partner to the other"/><s v="- missed the study number&#xA;- make sure to review and correct text that is copied (special characters were missing)"/><s v="There is a reporting error in the paper: N = 85 but t(84) and df = N-2.&#xA;&#xA;Feedback for Fabienne&#xA;- make sure to review and correct text that is copied (special characters were missing)&#xA;- you entered N = 85 with t(84) and Ntotal = 85. I was about to correct "/><s v="Changed label_r to &quot;replication&quot; instead of &quot;Close Replication&quot;; added tags that are also found in paper, changed n to 39; changed nested_o to yes, changed p_val_tails; changed pval_value_o to 0.025"/><s v="changed pval_value_o to 0.0004&#xA;here it says not replicated, therefore other entry for this claim was chosen and this discarded"/><s v="I dont understand this claim, seems to be the same as above with a different p-value that I cannot find in the original paper. "/><s v="changed n to 39&#xA;"/><s v="the values from the replication study that were put in are from a different finding, not replicating reach distance but reach direction"/><s v="sample size unclear"/><s v="These need to be reassigned and coded, they are missing effects"/><s v="simulation study, no new data was collected but merely &quot;generated&quot;"/><s v="I calculated N"/><s v="- If there are multiple rows for one finding, please rename &quot;id&quot; to id_b, id_c, etc. for the newly created rows."/><s v="feedback: please review copied text and correct it (a &quot;=&quot; was missing)&#xA;&#xA;notes:&#xA;- format in es value column has changed to drop-down"/><s v="- format in es value column has changed to drop-down"/><s v="- corrected page number (2 instead of 3)&#xA;- format in es value column has changed to drop-down"/><s v="Claims need validation (I do not have access to the original paper)"/><s v="Feedback for Vidhi:&#xA;'- please change &quot;date_entered&quot; to the day that you worked on the entry&#xA;- Ref_replication was not in APA format and doi_r was missing&#xA;- label &quot;systematic replication&quot; was missing&#xA;- can you please explain why you did not extract any sta"/><s v="After validating this entry for 30 minutes, I could not find out why Aleksandr chose the 15-s delay effect for the original and the overall effect for the replication. I replaced it with the overall delay (15 + 30s).&#xA;&#xA;Feedback for Aleksandr:&#xA;- description"/><s v="Feedback for Ray&#xA;- Why did you not code any of the test statistics?"/><s v="Feedback for Daniel&#xA;- please enter your name and the date that you are working on into the variables contributors and date_entered"/><s v="Feedback for Roskana&#xA;- please also fill out the variable with the page numbers"/><s v="Feedback for Ray&#xA;- please review the instructions again and code these entries"/><s v="Feedback for Daniel:&#xA;- one small typo when copying the Cohen's d from the table (.0185 instead of .0187)&#xA;- Claim and test statistics/effect sizes must be about the same thing. Convergent validity and mean difference is not the same thing, so you should ha"/><s v="Preregistration link does not work; There are two results: Regression + Mediation Model. The coder focused on different things so all entries were retained"/><s v="stage 1 registered report"/><s v="Not a replication"/><s v="Feedback for Roskana:&#xA;- please add pagenumbers into the respective variables (es_repr_o) even if it is the same as the claim page number&#xA;- coding is generally very good (not just for this entry)! thank you!&#xA;- additional studies 47_e: p value replication w"/><s v="Feedback for Thomas:&#xA;- if an eta squared is available, please code it and not the test statistics"/><s v="Feedback for Daniel&#xA;- Choosing the chi square test for fit in the matter scale development paper was a good decision!"/><s v="Feedback for Nikolay&#xA;- values in _o variables should not come from the replication report but only the original study's report"/><s v="Feedback for Daniel&#xA;- description should be matched for multiple rows per entry to specify what effect this is"/><s v="changed replicationt ype to conceptual because &quot;3rd sing&quot; was not part of original study"/><s v="this still needs coding"/><s v="see entry resciencex_01_1"/><s v="The other coder did not seem to have difficulties and reported test statistics. I do not have access and the PDF-Link does not work. sarahashjones@gmail.com can you please check whether the 2010 or 2011 article is the target? You can send both articles to"/><s v="Feedback for Thomas: &#xA;I could not find most of the numbers on this page. Can you please send a screenshot for what you are referring to as &quot;test statistics&quot;?"/><s v="- Changed replication type to internal because conceptual requires that none of the original authors was present.&#xA;&#xA;Feedback for Roksana&#xA;- If there is no preregistration, please type &quot;NA&quot; into the variable.&#xA;- Please fill out all mandatory variables, for ex"/><s v="Feedback for Thomas&#xA;- Please always fill out the claim variable. Please review the instructions to see which variables are optional.&#xA;- You noted Ws = 152 when it was actually Ws &gt; 152.&#xA;- Please change id to _b, _c, ... when creating multiple rows.&#xA;- There"/><s v="P-value corrected from .13 (that was the f value) to .72"/><s v="Changed r to Ws because r might correspond to the within-subjects correlation of the repeated variables and not the effect."/><s v="Changed nesting to &quot;NA&quot; instead of 1. It does not say how many tails there were only that one group is significantly faster than the other (which could be a combination of two-tailed significant test and positive correlation)"/><s v="Numbers could not be checked due to inaccessible paper; chose these entries over the f-values because of study differences"/><s v="Corrected nesting for replication from yes to no."/><s v="Feedback for Maria&#xA;- When the title of a replication says &quot;conceptual&quot;, you can code it as conceptual (you coded &quot;close&quot;)."/><s v="Corrected citation&#xA;OSF Link (https://osf.io/uqsf6/) has no preregistration, which is why it was removed from the prereg_r variable"/><s v="Corrected citation&#xA;OSF Link (https://osf.io/uqsf6/) has no preregistration, which is why it was removed from the prereg_r variable&#xA;&#xA;Feedback for Thomas&#xA;- When duplicating rows, please change the id for the second one (_b, _c, ...)"/><s v="Feedback for Maria&#xA;- This is a stage 1 registered report and it says at the beginning (eg p. 5) that the results are based on a randomized pseudo-dataset. "/><s v="Discarded for missing data (no replication test was conducted)"/><s v="Feedback for Maria&#xA;- If there is no effect size type reported alongside the effect size, please write es type as NA. For example, in an ANOVA standardized effect sizes are f, eta squared, and R² (R² and eta are out because it is larger than 1 here) depend"/><s v="replication accessed via https://se.ifi.uni-heidelberg.de/fileadmin/pdf/publications/2016_The_Role_of_Method_Chains.pdf"/><s v="I could not find the effect size of d = .68 or any others for that matter.&#xA;&#xA;Feedback for Hakile&#xA;- Please include test statistics in the claim.&#xA;- I could not find the effect size of d = .68 on page 5 in the original report of additional_studies59"/><s v="Corrected N to 106 (it was 105) because df for correlation are 104 and N-2=df"/><s v="corrected studynumber"/><s v="Corrected citation and DOI, added effect sizes and duplicated row for both original subjects&#xA;&#xA;Feedback for Nikolay&#xA;- You could have coded the R² for additional_studies60&#xA;- Please copy text for the claim from the paper"/><s v="Corrected citation and DOI, added effect sizes and duplicated row for both original subjects"/><s v="cannot validate calculated effects"/><s v="OSF project contains no registrations, I changed prereg_o to &quot;NA&quot; and copied the link into the notes. Another finding is available (3rd model in O study) but was not part of the replication and is thus not coded."/><s v="Feedback for Husnain&#xA;- You were unsure about this but you did right: Please always use what is reported in the original paper for the _o variables.&#xA;- F is not an effect size. Please report the entire F test as a test statistic instead, eg F(1, 236) = 4.41"/><s v="Corrected citation and doi to the one from the paper&#xA;&#xA;Feedback for Maureen:&#xA;- Please better indicate where the effect size comes from. I could not find the value in the paper.&#xA;- The original paper was published in psychological science, please thus code t"/><s v="Values are the same as in the Curatescience Database but not the same as in original paper (before: original paper: d=-1.19) - which study in replication is supposed to replicate the egodepletion effect?"/><s v="corrected test statistics"/><s v="No values"/><s v="Insufficient values (personal communication in Lebel's github)"/><s v="Feedback for Diego&#xA;- please also copy the formula that resulted in the reported effect size"/><s v="Feedback for Corinna&#xA;- please also copy the formula that resulted in the reported effect size"/><s v="Changed replication closeness to conceptual because this is what the authers call it on p. 7"/><s v="Corrected: Study does not identify as a replication"/><s v="Corrected preregistration link (included a space)."/><s v="&quot;Prep&quot; is probably not a p-value.&#xA;Corrected n based on reported df."/><s v="duplicate to curatescience204_1 and _2"/><s v="Values are the same as in the Curatescience Database but have not been cross-checked with original papers"/><s v="it says &quot;6344 valid and complete sessions&quot; on p.2 and &quot;445 subjects failed to provide valid responses&quot; on p.7 resulting in 5899 estimates"/><s v="d original is for faces (names also has an effect), n is table 1 &quot;interpretable n&quot;. Removed p-value because it was not reported on p. 106 --&gt; Discarded because it is referring to wrong study (Nosek, Banaji and Greenwald published two papers in 2002"/><s v="corrected N based on df+2&#xA;corrected original report to Experiment 2 as indicated by ML manuscript"/><s v="Removed one digit as it was not reported"/><s v="Corrected sample size (r) based on df"/><s v="Online appendix link in the manuscript is broken, this is the current working version: https://www.ejwagenmakers.com/2012/Appendix_PoPS_WagenmakersEtAl.pdf"/><s v="changed page to 659; changed n to 100; changed es_repr_o to page 651 and page 9 in pdf; changed n_r to 3,279; changed es_value_rep to 0.88; changed pval_tails_r to NA; I could not find the place where the input for es_repr_r came from"/><s v="Experiment 2 of the original study seems to be better fitting than study 1, since in study 1 the colour words are printed in black in the congruent condition"/><s v="n _othat was included in analysis is not 98 but 56 as indicated in the chi squared test statistic; n_r that is not correct; could not find place where values come from"/><s v="added the method of calculation for d of the original study, added ref_r; added doi_r"/><s v="added ref_r, added doi:r"/><s v="added ref_r, added doi_r, added effect, tags, description"/><s v="Corrected osf-link, nesting type, and replaced reportings with study 2 (otherwise using study 1 + (study1 &amp; 2) would lead to an overlap)."/><s v="updated reference, used verion 9; effect sizes based on OSF post completion registration"/><s v="Data Curators were unsure about nesting. In all other reports it says &quot;mixed&quot; when nesting is present and here it does not, so I coded it as nested = no"/><s v="Values are correct, but more detailled description of results between and over all vignettes was preffered; changed pval_value_r tp 0.667 (was mixed up with t value)"/><s v="Since replication claimed to wanting to replicate effect in the low effort group, n= 218, whereas n over both conditions is indeed 440. "/><s v="replaced DOI with the one from the SSRN website"/><s v="Entry from another coder not found"/><s v="Statistics added to es_repr_O, otherwise no discrepancies. Claim O extracted better"/><s v="seems that statistics from O put in tn the wrong cells"/><s v="Emplty cells"/><s v="More precise "/><s v="Marked as help needed, cause both rows have correct info, but use different approach, Probably the best approach will be to combine them"/><s v="added study numbers in original ref"/><s v="corrected orignial sample size; cant find the statistic in column teststatistic_rep"/><s v="Both rows are chosen, differrent results extracted"/><s v="Note from another coder = The Post Replication Form states that 123 were included in the analysis, while the tables states 128.; The effect size of the original study can not be calculated using the effect size calculator, but the replication report state"/><s v="additional entry with extra results"/><s v="extra result (not included in XPHI table)"/><s v="seems that statistics from O put in tn the wrong cells, no statistics from R"/><s v="extra result (not included in XPHI table), values for O wasn't filled, so I extracted it myself (Aleksandr P.)"/><s v="extra result (not included in XPHI table), basically the same, one coder extracted b (unstd), another one - test statistics X2. Otherwise  statistics checked, validated"/><s v="extra result (not included in XPHI table) es_repr_r corrected"/><s v=" study is possibly pregistered but links are not always included in the reports"/><s v="This row requires further validation study is possibly pregistered but links are not always included in the reports"/><s v="The study numbers are missing in all the rows; There is a need to resolve the replication type that the coder has categorized as close, very close, and exact; is closeness and replication type the same?  study is possibly pregistered but links are not alw"/><s v="This row needs to be validated further study is possibly pregistered but links are not always included in the reports"/><s v="Writing N/As in areas with no entries should be considered in all the rows. The discipline for this entry should be categorized as social psychology and not differential psychology (this can be validated, though) &#xA;study is possibly pregistered but links a"/><s v="This has been chosen but requires further validation study is possibly pregistered but links are not always included in the reports"/><s v="Chose central claim due to one replication finding, only&#xA;study is possibly pregistered but links are not always included in the reports"/><s v="This claim should be validated further study is possibly pregistered but links are not always included in the reports"/><s v="In agreement; There is no sufficient information to code this this task study is possibly pregistered but links are not always included in the reports"/><s v="Tags and description variables missing study is possibly pregistered but links are not always included in the reports"/><s v="Information on tags and description are missing study is possibly pregistered but links are not always included in the reports"/><s v="The test statistics reported in the original and replication studies are not clear and requires further validation; study is possibly pregistered but links are not always included in the reports"/><s v="The test statistics reported in the original and replication studies are not clear and requires further validation study is possibly pregistered but links are not always included in the reports"/><s v="There are few discrepancies that need further validation study is possibly pregistered but links are not always included in the reports"/><s v="There are a few discrepancies that need further validation study is possibly pregistered but links are not always included in the reports"/><s v="Help needed to validate the entries study is possibly pregistered but links are not always included in the reports -&gt; coded as conceptual R, took test statistic from claim"/><s v="Help needed to validate the calculated effect sizes study is possibly pregistered but links are not always included in the reports"/><s v=" study is possibly pregistered but links are not always included in the reports; took o es values from claim"/><s v="This requires further validation study is possibly pregistered but links are not always included in the reports"/><s v="Information on tags and description variables need to be added study is possibly pregistered but links are not always included in the reports"/><s v="Chosen but requires further validation; study is possibly pregistered but links are not always included in the reports"/><s v="Test statistics are not written in their complete form. This applies to all the test statistics highlighted in red. study is possibly pregistered but links are not always included in the reports"/><s v="Help needed to harmonize the entries study is possibly pregistered but links are not always included in the reports"/><s v="These are two separate entries treated the same; Hence requires further validation; study is possibly pregistered but links are not always included in the reports"/><s v=" study is possibly pregistered but links are not always included in the reports; coded as nested due to the experiments being repeated measures"/><s v="coded as nested (within-subjects = yes according to table), study is possibly pregistered but links are not always included in the reports"/><s v="Help is needed to harmonize the effect sizes of the original study study is possibly pregistered but links are not always included in the reports"/><s v="Coded as not nested (t test for 2 samples); study is possibly pregistered but links are not always included in the reports"/><s v="No sufficient information study is possibly pregistered but links are not always included in the reports"/><s v=" study is possibly pregistered but links are not always included in the reports; coded as nested (mixed-effects regression) and not reported tails (95% CI is two-tailed but no note on p-values is present for the table)"/><s v="The p value tails and nested variables values for the original and replication studies need to be validated further; study is possibly pregistered but links are not always included in the reports"/><s v="The number of participants for the memory test which was the main focus for this replication was 57. The three participants excluded were for the vocabulary test; therefore, the 51 participants is not correct. study is possibly pregistered but links are n"/><s v=" study is possibly pregistered but links are not always included in the reports; coded as within subjects (nested = yes)"/><s v="This needs to be validated further study is possibly pregistered but links are not always included in the reports"/><s v="There is a need to validate the calculated values for the original study study is possibly pregistered but links are not always included in the reports"/><s v="help needed to validate this entry study is possibly pregistered but links are not always included in the reports"/><s v=" study is possibly pregistered but links are not always included in the reports; replaced value from r report with test statistics from o report"/><s v="pairwise comparison was chosen over omnibus test"/><s v="The entries are both correct study is possibly pregistered but links are not always included in the reports"/><s v=" study is possibly pregistered but links are not always included in the reports; coded as conceptual (&quot;far&quot;), chose effect size as identified in R report"/><s v="The d is correct from the double coding study is possibly pregistered but links are not always included in the reports"/><s v="The double coding are similar; hence both are correct &quot;chosen&quot; study is possibly pregistered but links are not always included in the reports"/><s v="No statistics for coding study is possibly pregistered but links are not always included in the reports"/><s v="help needed to validate the d chosen from the replication table study is possibly pregistered but links are not always included in the reports"/><s v="help needed to validate the entries study is possibly pregistered but links are not always included in the reports"/><s v="Claim is not clear, es_o was taken from replication report; study is possibly pregistered but links are not always included in the reports"/><s v="help needed to validate the claim; study is possibly pregistered but links are not always included in the reports -&gt; claim validated"/><s v=" study is possibly pregistered but links are not always included in the reports; coded as nested due to &quot;repeated-measures ANOVA&quot; being used (O p. 4)"/><s v="- Cohens f value chosen as original ES as reported on p. 5, &#xA;- Nestedness assumed to be not nested, mutiple regression but not explicitly hierarchical (maybe review - see prereg analysis paln here: https://aspredicted.org/yp5az.pdf and reported analysis o"/><s v="Needs further validation &#xA;study is possibly pregistered but links are not always included in the reports"/><s v="- The original effect size is chosen to be the np2 value from the original manuscript. This value requires a partial eta square label (currently just etasq on this sheet) --&gt; corrected&#xA;- Study is possibly pregistered but links are not always included in t"/><s v="- Claim from coder 2 was chosen as it was specific to the test statistic expressed in the replication spreadsheet. &#xA;- The test statistic for the original study was refined to present the effect size using the F value accurately. &#xA;- The pvalue was reported"/><s v="- The discrepancy between the N of the different coders was resolved as follows. Coder one suggested n = 30, coder 2 suggested n = 240, the replication project database suggests N = 30. On p. 101 of the original study the follow is reported: &quot;Two hundred "/><s v="The claim needs to be validated further study is possibly pregistered but links are not always included in the reports"/><s v="PLEASE CHECK ME!!! &#xA;- The replication project dataset does not contain any values for the replication in either the rep_calc_d or the rep_p_calc values (row 149 columns AM and AN), can we still include this study? &#xA;- The apparent discrepancy between the o"/><s v="- Replication datasheet contains no values for the replication p-value (cells all NA) and individual report does not report p-values either (https://rpubs.com/alv1nn/677256) &#xA;- Coder 2 notes that d value for replication not found in spreadsheet - this is "/><s v="- Primary claim established based on the original test values being defined in the replication spreadsheet as MSD2:m1=2.54(1.95),m2=.02(2.38), this allowed a direct comparison between groups 2 and 3 to be considered the key replication effect. (see Table "/><s v="- The replication ES was calculated in the OR format using values reported for reproducibility. (in favour of the F stat from the second coder). &#xA;- Coder one had recorded the ES from the replication report which was d = 2.0036922440074605, but this was di"/><s v="Chosen as reported to 3.d.p"/><s v="I would argue that this is a close replication rather than conceptual as all central features are highly similar, the original materials had to be recreated but this was done in line with screenshots and description so doubt it differed that much"/><s v="Chosen as correct link for prereg used, otherwise all the same, I updated the description here from the other coder as mine were done already but updated one is more suitable"/><s v="Chosen due to more detailed notes explaining choice for conceptual"/><s v="Chosen due to more inclusion of links "/><s v="I would argue this is a close rather than conceptual replication"/><s v="I would argue chi-squared is better to report than those reported by coder 1"/><s v="Chosen as reported partial etasq for rep"/><s v="Coded the wrong effect"/><s v="I would argue that this is a close instead of conceptual replication"/><s v="I would argue that this is a close replication"/><s v="I would argue that this is close replication"/><s v="I think this is a close instead of conceptual"/><s v="I would say this is a close replication"/><s v="Coder 2 noted I coded directly from the replication paper, there is some inconsistency as the OSC 2015 table states that the d=-.01"/><s v="I would argue this is a close replication "/><s v="I'm not sure which way is better to report the effects in this row [Luke: chose this row due to proportions reported as &quot;NA&quot; instead of test statistics]"/><s v="This effect size was not found directly in the replication paper"/><s v="The other coder correlates with RPP table too"/><s v="This one aligns more with RPP table"/><s v="I agree this is more close than conceptual"/><s v="Coded the overall sig. of interaction in Table 2"/><s v="Please see coder notes for reasons of help needed status"/><s v="Daten nachtragen aus https://docs.google.com/document/d/1zSjSPR1akPN8Hr4mWJ2fjx1UxbIINGzkeArliyzpTY4/edit"/><s v="Coded t = 1.51 from Table 1 in p.10 of the report because it corresponds most closely to the coded claim (DV = disregard, self-esteem * approach group)"/><s v="Replication report was accessible and reported results match what has been entered in both cases"/><s v="I agree that this is a conceptual"/><s v="The second coder coded etasqu as the effect size but it was partial etasqu; coded as nested due to 160 trials per participant and no details about aggregation for the ANOVA"/><s v="Differences regarding p-value of replication: I checked the report."/><s v="Only difference is that the second coder said that it is a conceptual replication. I think this is a rather subjective judgement call and thus both codings should be valid."/><s v="The codings align - only tags and effect size description differ. I took it from the table."/><s v="Difference is that the second coder said that it is a conceptual replication. I think this is a rather subjective judgement call and thus both codings should be valid. Moreover the second coder describes the p-value as 2-tailed, but the report does not in"/><s v="Exclusion"/><s v="Difference between etasqu. and partial etasqu.; The report states that it is partial etasqu.; Difference in &quot;nested_r&quot;, but the report states that they used a repeated measure ANOVA; --&gt; coded as partial, nested_r = yes"/><s v="help: I am unsure regarding the nesting in the original analysis. Difference regarding effect size (partial versus not) --&gt; &quot;all models included gender, clothing style, ..&quot; p. 4 so nesting yes and partial eta squared"/><s v="Differences regarding the experiment, claim and effect. The authors report that the replicated Experiment 4a, which matches with the data in the table."/><s v="Both codings align"/><s v="All values align, except for the closeness. I think this would be again a jugdgement call."/><s v="Difference in &quot;nested_o&quot;: But the authors performed a repeated measures ANOVA"/><s v="The codings align."/><s v="The reported effect is for Cohens dz, thus for dependent samples. Therefore, the &quot;nested_r&quot; should be &quot;yes&quot; and Cohens d can not be used as an effect size (correct?). -&gt; yes, coded nested as yes and left the t statistic"/><s v="The codings largy align with each other. However, the second coder did not include the effect size for the replication of the table"/><s v="Difference in coding of nesting (both in replication and original). However, an 2 x 2 between subjects ANOVA was performed. -&gt; coded as nested"/><s v="Only difference: partial etasq versus regular etasq."/><s v="Only difference: coding whether the original effect size was tested one tailed or two-tailed --&gt; not reported in the manuscript on p. 3"/><s v="Difference in effect size of the replication study. The second coder did not code the effect size of the table."/><s v="Differences in coding of effect sizes --&gt; t tests were chosen over R²"/><s v="No replication"/><s v="Difference in reporting of p-value. The second coder reports p-rep.; Difference in nesting: Both performed analysis were analysis of vaiance (no reporting of repeated measures). --&gt; p-rep is wrong, first coder's values were chosen"/><s v="Difference in p-value of original report and in &quot;pval_tails_r&quot;, but the replication report notes on p. 3 that a two-tailed paired t-test was used. Therefore, the test should also control for nesting (the test was also used in the original study). Correct?"/><s v="As this coding is not complete, I choose the second one."/><s v="Only difference in p-value of replication. The p-value was lower than .001."/><s v="Should in case of exclusion we left the row empty (except &quot;Exclusion&quot; column? "/><s v="Boyce datatable suggests that effect went in opposite direction - but we only have F. Yet correlation is so small (and noisy) that it makes no difference where the point estimate is."/><s v="Page incorrect"/><s v="I assume that the results indicated by Aleksandr are not matching"/><s v="Page corrected"/><s v="1. The test statistics is t(41) = -5.0574 from the replication report (not d reported, but taken from Boyce table) &#xA;2. Effect. tags, prereg_r and description corrected"/><s v="The data for replication is replicated from the replication report"/><s v="Difference in n_o"/><s v="Page and ES incorrect"/><s v="No second coder data"/><s v="Focused on two pairwise comparisons, and thus entered sample size for two pairs. In replication, only overall sample (with non-missing data quality) visible, so equal group sizes assumed to calculate sample size for pairwise comparisons."/><s v="I assume the beta is unstandardized, while second coder - standardized"/><s v="Not sure whether the results match "/><s v="F &lt; 1&quot; can be a bad estimation of the effect size (test statistics) "/><s v="Page incorrect&#xA;We report different results, I assume that both can exist (like 114)"/><s v="We report different results, I assume that both can exist"/><s v="Differences in discipline between 2 coders -&gt; I assume Psychology to fit better&#xA;Corrected p value"/><s v="Coded the comparison between weak and no BATNA as key claim"/><s v="No 2nd coder data"/><s v="N_o incorrect"/><s v="N_o incorrect in Boyce report?"/><s v="ES incorrect"/><s v="Page and p-value incorrect"/><s v="Effect, tag and description added"/><s v="Effect, tag and description and claim added"/><s v="The results are from another experiment (Exp 3, while in the table it was Exp 1)"/><s v="validated - FReD but not COS"/><s v="Effect, tags and description added&#xA;The data in the replication report is different from the table. Maybe I mismatch the results "/><s v="I am not sure whether beta or OR is indicated in original paper and replication manuscript"/><s v="Replication results corrected"/><s v="I am not sure that these are matching results`"/><s v="- Estimated original effect size should not be r (this is a converted value from the replication study, not the original paper). The corresponding effect size value in the replication report was r = 0.026.&#xA;- It is unclear why coder 2 reported cohens d for"/><s v="- The inter-coder discrepancy on the sample sizes arose due to misunderstanding of groups versus observations, as the core statistical test was a chi-squared test the total n based on total observations (not groups) was accepted. &#xA; - Estimated original ef"/><s v=" - Estimated original effect size should not be r (this is a converted value from the replication study, not the original paper). The corresponding effect size value in the replication report was r = 0.816&#xA;-  Estimated effect size in replication was taken"/><s v="- Estimated original effect size should not be r (this is a converted value from the replication study, not the original paper). The corresponding effect size value in the replication report was r = 0.201.&#xA;- P-values tails replication is selected as 2 tai"/><s v="PLEASE CHECK ME: &#xA;- The inter-coder discrepancy on the sample sizes for original study was explored as follows - coder 2 had reported total N for individuals(105), coder 1 reported N of groups from the replication table (63) which was estimated to be accu"/><s v="- Estimated original effect size should not be r (this is a converted value from the replication study, not the original paper). The corresponding effect size value in the replication report was r = 0.388.&#xA;- P-values tails replication is selected as 1 as "/><s v="- Estimated effect size not reproducible (runs on external R code) unless taking Cohen's D value, thus r value computed in R is discarded. The corresponding effect size value in the replication report was r = 0.27&#xA;- P-value tails original is selected as 1"/><s v="- Estimated original effect size should not be r (this is a converted value from the replication study, not the original paper). The corresponding effect size value in the replication report was r = 0.45&#xA;- P-values tails replication is selected as 2 as po"/><s v="- Estimated original effect size should not be r (this is a converted value from the replication study, not the original paper). The corresponding effect size value in the replication report was r = 0.150.&#xA;- P-values tails replication is selected as 2 tai"/><s v="- Estimated original effect size should not be r (this is a converted value from the replication study, not the original paper). The corresponding effect size value in the replication report was r = 0.453&#xA;- P-values tails replication is selected as 2 tail"/><s v="- Estimated effect size should not be r (this is a converted value from the replication study, not the orignnal paper which reports both cohens d and np2). The corresponding effect size value in the replication report was r = 0.602&#xA;- P-value tails origina"/><s v="- Estimated original effect size should not be r (this is a converted value from the replication study, not the original paper). The corresponding effect size value in the replication report was r = 0.-0.098.&#xA;- It is unclear why coder 2 reported cohens d "/><s v="- Estimated original effect size should not be r (this is a converted value from the replication study, not the original paper). The corresponding effect size value in the replication report was r = 0.368&#xA;- Estimated replication effect sizes were reported"/><s v="- The inter-coder discrepancy on the sample sizes arose due to an error in reporting in the pre-registration of the replication as clarified on p. 4 of the post-data collection report &quot; In the pre-replication version of this report, the standardized effec"/><s v="PLEASE CHECK ME: &#xA;- There is a discrepancy in the reported p-value (likely a rounding error but needs to be resolved) - in the Camerer replicaiton Table the p value for the replication is reported at 0.414, in the post-data collection report the value is "/><s v="- Study of original is 1b - double checked before selection over study 1 as reported by coder 2. &#xA; - Estimated original effect size should not be r (this is a converted value from the replication study, not the original paper). The corresponding effect si"/><s v="- Estimated original effect size should not be r (this is a converted value from the replication study, not the original paper). The corresponding effect size value in the replication report was r = -0.015&#xA;- It is unclear why coder 2 reported cohens d for"/><s v="- Estimated original effect size should not be r (this is a converted value from the replication study, not the original paper). The corresponding effect size value in the replication report was r = 0.961&#xA;- P-values tails replication is selected as 2 tail"/><s v="- Changed effect_o to test stat as that can be converted, and matches repl report&#xA;- P-values tails replication is selected as 2 as post-completion replication report reports a two-sided approach. &#xA;- prereg_r - both links were assessed, one points to a pos"/><s v="- Estimated original effect size should not be r (this is a converted value from the replication study, not the original paper). The corresponding effect size value in the replication report was r = 0.674&#xA;- P-values tails replication is selected as 2 tail"/><s v="PLEASE CHECK ME: &#xA;- The inter-coder discrepancy on the sample sizes for original study was explored as follows - coder 2 had reported total N, coder 1 reported N from the replication table (178) which was estimated to be accurate for the relevant 2 groups"/><s v="This row is chosen (could equally have been the row 02_c from coder 2) as it specifically looks at comparing the difference in correlations between the two studies (original versus replication)"/><s v="This is not the main replication effect"/><s v="This is the main replication effect (the difference in correlations) but the effect size is not extracted correctly - a test statistic instead of a q value is reported."/><s v="- Replication effect size was reported both as OR (coder 2) and as cohen's d (coder 1) - both are accurate, however cohen's d was chosen as it aligns with Tables of the replication study and with the difference in effect size calculations in the replicati"/><s v="This row was chosen over the other 07_1 row from coder 2 as it had a more accurate calculation of the p value represented for the replication effect"/><s v="This is a main replication effect of interest"/><s v="This is not the main replication result - should it be retained?"/><s v="The original study reports results for different cultural groups separately to compare them against each other. The replication compared a general sample only - here two of the three subsamples from the original study are compared to the replication sampl"/><s v="Coder 2 did not report any values for this &quot;study&quot; - therefore it has not been double coded "/><s v="P value reported using spreadsheet formula function for accuracy. "/><s v="Chosen for greater accuracy of reporting of pvalues, sample sizes, and test statistics - however, the values are hard to disentangle and could be worth examining in more detail."/><s v="PLEASE CHECK ME:&#xA;- Pvalue for replication calculated using spreadsheet formula function for accuracy. &#xA;- Pvalue for original study was calculated in the replication only (not present in the original paper) - coder 2 chose to report this value, this has be"/><s v="This is the main replication effect of interest, however the statistics in teh original paper (including the sample size) are opaque at best. Help is needed to validate the number, particualrly as they differ from coder 2. "/><s v="Secondary replication target - also needs validating on numbers because of the diffculty tracking from the original manuscript across to the replicaiton project. &#xA;NB - it is very unclear why there is a different aggregate sample size for this replication "/><s v="changed effect size to odds ratio so that it can be auto-converted"/><s v="This is not the main replication effect and it seems that the reported original effect sizes etc are reported only in the replication project - needs double checking before inclusion. Should it be a row we keep?"/><s v="This does not accurately record the effect size of interest for the main replication effect"/><s v="changed effect size to (calculated) d for auto-conversion"/><s v="Coder 2 could not access this paper, therefore it is not double coded. "/><s v="- Coder 1 recorded the relevant test statistic to be the interaction effect, coder 2 identified the main effect as the key test statistic for the replication. Neither is a direct one-to-one mapping with the replicaiton value (which is a correlation based "/><s v="Relevant original effect (pairwise comparison) not reported in original report - therefore, taken from replication"/><s v="Secondary replication - strange difference in N for this group compared with primary group, unexplained n = 8 difference?)"/><s v="This row codes for a whole sample result which was only used as a &quot;follow-up&quot; anlysis because of worries about linguistic and font differences in difficulties across languages in the replication sample. "/><s v="On review: the calculated OR is not valid in this row, the percentages are not comparable in this way, the test statistic from the other coder is accepted instead. "/><s v="calculated OR leads original effect size slightly different from ML - likely due to rounding"/><s v="The two rows are practically identical - however this row has a more accurate record of the replication p value due to it's use of the spreadsheet formula function. "/><s v="This is the best approximation of the US sample - I think"/></sharedItems></cacheField><cacheField name="ref_o" numFmtId="0"><sharedItems containsBlank="1"><s v="Copy APA style from Google Scholar (or similar), without DOI"/><s v="Cunningham, W. A., Van Bavel, J. J., &amp; Johnsen, I. R. (2008). Affective flexibility: evaluative processing goals shape amygdala activity. Psychological Science, 19(2), 152-160."/><s v="Schaffer, J., &amp; Knobe, J. (2012). Contrastive knowledge surveyed. Noûs, 46(4), 675-708."/><s v="Mussweiler, T., &amp; Englich, B. (2005). Subliminal anchoring: Judgmental consequences and underlying mechanisms. Organizational Behavior and Human Decision Processes, 98(2), 133-143."/><s v="Rellensmann, J., &amp; Schukajlow, S. (2017). Does students’ interest in a mathematical problem depend on the problem’s connection to reality? An analysis of students’ interest and pre-service teachers’ judgments of students’ interest in problems with and wit"/><m/><s v="Darcy, I., Mora, J. C., &amp; Daidone, D. (2016). The role of inhibitory control in second language phonological processing. Language Learning, 66, 741–773. https://doi.org/10.1111/lang.12161"/><s v="Saxey, M. T., LeBaron-Black, A. B., &amp; Curran, M. A. (2022). The Sooner, the Better? Couples' First Financial Discussion, Relationship Quality, and Financial Conflict in Emerging Adulthood. Journal of Financial Therapy, 13 (1) 2. https://doi.org/10.4148/19"/><s v="Stellar, J. E., Gordon, A., Anderson, C. L., Piff, P. K., McNeil, G. D., &amp; Keltner, D. (2018). Awe and humility. Journal of Personality and Social Psychology, 114(2), 258–269. https://doi.org/10.1037/pspi0000109"/><s v="Johnston, W., Dolan, K., Reid, N., Coughlan, G. F., &amp; Caulfield, B. (2018). Investigating the effects of maximal anaerobic fatigue on dynamic postural control using the Y-Balance Test. Journal of science and medicine in sport, 21(1), 103-108. https://doi."/><s v="Vasterling, J. J., Aslan, M., Lee, L. O., Proctor, S. P., Ko, J., Jacob, S., &amp; Concato, J. (2018). Longitudinal Associations among Posttraumatic Stress Disorder Symptoms, Traumatic Brain Injury, and Neurocognitive Functioning in Army Soldiers Deployed to "/><s v="Watson-Manheim, M. B., &amp; Bélanger, F. (2007). Communication media repertoires: Dealing with the multiplicity of media choices. MIS quarterly, 267-293. https://doi.org/10.2307/25148791"/><s v="Gettinger, M., Kratochwill, T. R., Eubanks, A., Foy, A., &amp; Levin, J. R. (2021). Academic and behavior combined support: Evaluation of an integrated supplemental intervention for early elementary students. Journal of School Psychology, 89, 1-19. https://do"/><s v="Solheim, O. J., Frijters, J. C., Lundetræ, K., &amp; Uppstad, P. H. (2018). Effectiveness of an early reading intervention in a semi-transparent orthography: A group randomised control. Learning and Instruction, 58, 65–79. https://doi.org/10.1016/j.learninstr"/><s v="Pigott T. D., Valentine J. C., Polanin J. R., Williams R. T., Canada D. D. (2013). Outcome-reporting bias in education research. Educational Researcher, 42(8), 424–432. https://doi.org/10.3102/0013189X13507104"/><s v="Kanwit, M., &amp; Geeslin, K. L. (2014). The interpretation of Spanish subjunctive and indicative forms in adverbial clauses: A cross-sectional study. Studies in Second Language Acquisition, 36(3), 487-533. https:://doi.org/10.1017/S0272263114000126"/><s v="Dishop, C. R. (2022). Spurious inference in consensus emergence modeling due to the distinguishability problem. Psychological Methods. Advance online publication. https://doi.org/10.1037/met0000511"/><s v="Taipale, H., Solmi, M., Lähteenvuo, M., Tanskanen, A., Correll, C. U., &amp; Tiihonen, J. (2021). Antipsychotic use and risk of breast cancer in women with schizophrenia: a nationwide nested case-control study in Finland. The Lancet Psychiatry, 8(10), 883-891"/><s v="Gerlicher, A. M. V., Tüscher, O., &amp; Kalisch, R. (2018). Dopamine-dependent prefrontal reactivations explain long-term benefit of fear extinction. Nature communications, 9(1), 4294. https://doi.org/10.1038/s41467-018-06785-y"/><s v="Harper, L. M., &amp; Kim, Y. (2018). Attitudinal, normative, and resource factors affecting psychologists’ intentions to adopt an open data badge: An empirical analysis. International Journal of Information Management, 41(8), 23–32. https://doi.org/10.1016/j."/><s v="Cordeiro, M. C., Kodak, T., Reidy, J., Stoppleworth, A., Zelinski, K., &amp; Jainga, A. (2022). Comparison of mastery criteria applied to individual targets and stimulus sets on acquisition of tacts, intraverbals, and listener responses. Journal of Applied Be"/><s v="Valdesolo, P., &amp; DeSteno, D. (2007). Moral hypocrisy: Social groups and the flexibility of virtue. Psychological science, 18(8), 689-690. https://doi.org/10.1111/j.1467-9280.2007.01961.x"/><s v="Epley, N., Waytz, A., Akalis, S., &amp; Cacioppo, J. T. (2008). When we need a human: Motivational determinants of anthropomorphism. Social cognition, 26(2), 143-155. https://doi.org/10.1521/soco.2008.26.2.143"/><s v="Scott, M. (2013). Corollary discharge provides the sensory content of inner speech. Psychological science, 24(9), 1824-1830. https://doi.org/10.1177/0956797613478614"/><s v="Syropoulos, S., &amp; Markowitz, E. M. (2022). Perceived responsibility to address climate change consistently relates to increased pro-environmental attitudes, behaviors and policy support: Evidence across 23 countries. Journal of Environmental Psychology, 8"/><s v="Schenk, M., &amp; Miltenberger, R. (2019). A review of behavioral interventions to enhance sports performance. Behavioral Interventions, 34(2), 248–279. https://doi.org/10.1002/bin.1659"/><s v="May, A. C., Burrows, K., Figueroa-Hall, L. K., Kirlic, N., White, E. J., Smith, R., ... &amp; T1000 Investigators. (2021). Sex differences in circulating inflammatory mediators as a function of substance use disorder. Drug and alcohol dependence, 221, 108610."/><s v="Renda, C. R., Rung, J. M., Hinnenkamp, J. E., Lenzini, S. N., &amp; Madden, G. J. (2018). Impulsive choice and pre-exposure to delays: IV. Effects of delay-and immediacy-exposure training relative to maturational changes in impulsivity. Journal of the Experim"/><s v="Castro, A. A., Hur, J., &amp; Berenbaum, H. (2022). A bifactor approach to modeling the structure of repetitive thinking: Replication and extension. Personality and Individual Differences, 189, 111472. https://doi.org/10.1016/j.paid.2021.111472"/><s v="Pérez, A., Potocki, A., Stadtler, M., Macedo-Rouet, M., Paul, J., Salmerón, L., &amp; Rouet, J. F. (2018). Fostering teenagers' assessment of information reliability: Effects of a classroom intervention focused on critical source dimensions. Learning and Inst"/><s v="Blank, H., Panday, A., Edwards, R., Skopicz-Radkiewicz, E., Gibson, V., &amp;Reddy, V. (2022). Double misinformation: Effects on eyewitnessremembering.Journal of Applied Research in Memory and Cognition,11(1), 97–105.https://doi.org/10.1016/j.jarmac.2021.08.0"/><s v="Grainger, J., Snell, J., &amp; Beyersmann, E. (2021). Morphological processing in the flankers task. Language, Cognition and Neuroscience, 36(3), 288–295. https://doi.org/10.1080/23273798.2020.1810292"/><s v="Kormos, J., &amp; Dénes, M. (2004). Exploring measures and perceptions of fluency in the speech of second language learners. System, 32(2), 145–164. https://doi.org/10.1016/j.system.2004.01.001"/><s v="Rossiter, M. J. (2009). Perceptions of L2 fluency by native and non-native speakers of English. Canadian Modern Language Review, 65(3), 395–412. https://doi.org/10.3138/cmlr.65.3.395"/><s v="Davis, W. T., Rapp, J. T., Brogan, K. M., Pinkston, J. W., &amp; Chinnappan, B. (2021). Comparing stimulus preference and response force in a conjugate preparation. Journal of the Experimental Analysis of Behavior, 116(1), 96–113. https://doi.org/10.1002/jeab"/><s v="Sfärlea, A., Greimel, E., Platt, B., Dieler, A. C., &amp; Schulte‐Körne, G. (2018). Recognition of emotional facial expressions in adolescents with anorexia nervosa and adolescents with major depression. Psychiatry Research, 262, 586–594. https://doi.org/10.1"/><s v="Rothman, J. (2011). L3 syntactic transfer selectivity and typological determinacy: The typological primacy&#xA;model. Second Language Research, 27, 107–127. https://doi.org/10.1177/0267658310386439"/><s v="Bailey, C. N., Hasselback, J. R., &amp; Karcher, J. N. (2001). Research misconduct in accounting literature: A survey of the most prolific researchers’ actions and beliefs. Abacus, 37(1), 26-54. https://doi.org/10.1111/1467-6281.00073"/><s v="Bailey, C. N., Hasselback, J. R., &amp; Karcher, J. N. (2001). Research misconduct in accounting literature: A survey of the most prolific researchers’ actions and beliefs. Abacus, 37(1), 26-54. https://doi.org/10.1111/1467-6281.00074"/><s v="Bailey, C. N., Hasselback, J. R., &amp; Karcher, J. N. (2001). Research misconduct in accounting literature: A survey of the most prolific researchers’ actions and beliefs. Abacus, 37(1), 26-54. https://doi.org/10.1111/1467-6281.00075"/><s v="Zitek, E. M., &amp; Tiedens, L. Z. (2012). The fluency of social hierarchy: the ease with which hierarchical relationships are seen, remembered, learned, and liked. Journal of personality and social psychology, 102(1), 98."/><s v="Fath, S., &amp; Kay, A. C. (2018). “If hierarchical, then corrupt”: Exploring people’s tendency to associate hierarchy with corruption in organizations. Organizational Behavior and Human Decision Processes, 149, 145-164. https://doi.org/10.1016/j.obhdp.2018.1"/><s v="Burback, Shannon, &quot;Construct Validity of the Behavior Assessment System for Children-Third&#xA; Edition Teacher Rating Scales (BASC-3 TRS): Comparisons with the Adjustment Scales&#xA; for Children and Adolescents (ASCA)&quot; (2020). Masters Theses. 4783.&#xA; https://the"/><s v="Burback, Shannon, &quot;Construct Validity of the Behavior Assessment System for Children-Third&#xA;Edition Teacher Rating Scales (BASC-3 TRS): Comparisons with the Adjustment Scales&#xA;for Children and Adolescents (ASCA)&quot; (2020). Masters Theses. 4783.&#xA;https://thekee"/><s v="Van Ryzin, G. G. (2013). An experimental test of the expectancy‐disconfirmation theory of citizen satisfaction. Journal of Policy Analysis and Management, 32(3), 597-614. https://doi.org/10.1002/pam.21702"/><s v="Przepiórkowski, A., &amp; Woźniak, M. (2023, July). Conjunct Lengths in English, Dependency Length Minimization, and Dependency Structure of Coordination. In Proceedings of the 61st Annual Meeting of the Association for Computational Linguistics (Volume 1: Lo"/><s v="Shandler, R., Gross, M. L., &amp; Canetti, D. (2021). A fragile public preference for cyber strikes: Evidence from survey experiments in the United States, United Kingdom, and Israel. Contemporary Security Policy, 42(2), 135-162. https://doi.org/10.1080/13523"/><s v="Hazen, R.A., Vasey, M.W., &amp; Schmidt, N.B. (2009). Attentional retraining: A randomized clinical trial for pathological worry. Journal of psychiatric research, 43(6), 627-633. https://doi.org/10.1016/j.jpsychires.2008.07.004"/><s v="Hazen, R.A., Vasey, M.W., &amp; Schmidt, N.B. (2009). Attentional retraining: A randomized clinical trial for pathological worry. Journal of psychiatric research, 43(6), 627-633. https://doi.org/10.1016/j.jpsychires.2008.07.005"/><s v="Hazen, R.A., Vasey, M.W., &amp; Schmidt, N.B. (2009). Attentional retraining: A randomized clinical trial for pathological worry. Journal of psychiatric research, 43(6), 627-633. https://doi.org/10.1016/j.jpsychires.2008.07.006"/><s v="Hazen, R.A., Vasey, M.W., &amp; Schmidt, N.B. (2009). Attentional retraining: A randomized clinical trial for pathological worry. Journal of psychiatric research, 43(6), 627-633. https://doi.org/10.1016/j.jpsychires.2008.07.007"/><s v="Hazen, R.A., Vasey, M.W., &amp; Schmidt, N.B. (2009). Attentional retraining: A randomized clinical trial for pathological worry. Journal of psychiatric research, 43(6), 627-633. https://doi.org/10.1016/j.jpsychires.2008.07.008"/><s v="Autor, D. H., Katz, L. F., &amp; Kearney, M. S. (2008). Trends in US wage inequality: Revising the revisionists. The Review of economics and statistics, 90(2), 300-323. https://doi.org/10.1162/rest.90.2.300"/><s v="Larsson, T., Callies, M., Hasselgård, H., Laso, N. J., Van Vuuren, S., Verdaguer, I., &amp; Paquot, M. (2020). Adverb placement in EFL academic writing: Going beyond syntactic transfer. International Journal of Corpus Linguistics, 25(2), 156-185. https://doi."/><s v="Wiseheart, M., Viswanathan, M., &amp; Bialystok, E. (2016). Flexibility in task switching by monolinguals and bilinguals. Bilingualism: Language and Cognition, 19(1), 141–146. https://doi.org/10.1017/S1366728914000273"/><s v="Wilfong, R. (. (2021). The mattering model: The foundational elements of mattering for K-12 educators (Order No. 28319407). Available from ProQuest Dissertations &amp; Theses Global. (2537966312). Retrieved from https://www.proquest.com/dissertations-theses/m"/><s v="Lozano, C., &amp; Díaz-Negrillo, A. (2019). Using learner corpus methods in L2 acquisition research: The morpheme order studies revisited with Interlanguage Annotation. Revista Española de Lingüística Aplicada/Spanish Journal of Applied Linguistics, 32(1), 82"/><s v="Onwuegbuzie, A. J., Bailey, P., &amp; Daley, C. E. (2000). The validation of three scales measuring anxiety at different stages of the foreign language learning process: The input anxiety scale, the processing anxiety scale, and the output anxiety scale. Lang"/><s v="Tamm., G., Koster, E. H. W, &amp; Hoorelbeke, K. (2024). Multiple paths to rumination within a&#xA;network analytical framework. Scientific Reports, 14(1), 10874.&#xA; http://dx.doi.org/10.1038/s41598-024-61469-6"/><s v="Sastre, L. V., Defina, R., Garrett, P. M., Zacks, J. M., &amp; Dennis, S. (2024). Most daily events have no characteristic duration. Under review"/><s v="Brooke, J. H. (1991). Science and religion: Some historical perspectives. Cambridge University Press."/><s v="Croninger, R.G., Rice, J.K., Rathbun, A., &amp; Nishio, M.(2007).Teacher qualifications and early learning: Effects of certification, degree, and experience on first-grade student achievement.Economics of Education Review, 26(3), 312–324. http://doi.org/10.10"/><s v="Fuchs, C., &amp; Schreier, M. (2011). Customer empowerment in new product development. Journal of product innovation management, 28(1), 17-32. https://doi.org/10.1111/j.1540-5885.2010.00778.x"/><s v="Schroeder, P. A., Lohmann, J., Butz, M. V., &amp; Plewnia, C. (2016). Behavioral bias for food reflected in hand movements: a preliminary study with healthy subjects. Cyberpsychology, Behavior, and Social Networking, 19(2), 120-126. https://doi.org/10.1089/cy"/><s v="Simonson, I., &amp; Staw, B. M. (1992). Deescalation strategies: A comparison of techniques for reducing commitment to losing courses of action. Journal of Applied Psychology, 77, 419 – 426. http://dx.doi.org/10.1037/0021-9010.77.4.419"/><s v="Loibl, K., &amp; Rummel, N. (2014). Knowing what you don’t know makes failure productive. Learning and Instruction, 34, 74–85. https://doi.org/10.1016/j.learninstruc.2014.08.004"/><s v="Staw, B. M. (1976). Knee-deep in the big muddy: A study of escalating commitment to a chosen course of action. Organizational Behavior and Human Performance, 16, 27-44. https://doi.org/10.1016/0030-5073(76)90005-2"/><s v="Barrett, F. S., Grimm, K. J., Robins, R. W., Wildschut, T., Sedikides, C., &amp; Janata, P. (2010). Music-evoked nostalgia: affect, memory, and personality. Emotion (Washington, D.C.), 10(3), 390–403. https://doi.org/10.1037/a0019006"/><s v="Arkes, H. R., Joyner, C. A., Pezzo, M. V., Nash, J. G., Siegel-Jacobs, K., &amp; Stone, E. (1994). The psychology of windfall gains. Organizational behavior and human decision processes, 59(3), 331-347. https://doi.org/10.1006/obhd.1994.1063"/><s v="Hohensee, C. (2017). Preparing elementary prospective teachers to teach early algebra. Journal of Mathematics Teacher Education, 20, 231-257. https://doi.org/10.1007/s10857-015-9324-9"/><s v="Trafimow, D., &amp; Hughes, J. S. (2012). Testing the death thought suppression and rebound hypothesis: Death thought accessibility following mortality salience decreases during a delay. Social Psychological and Personality Science, 3(5), 622-629. https://doi"/><s v="Zhang, X., Bachmann, P., Schilling, T. M., Naumann, E., Schächinger, H., &amp; Larra, M. F. (2018). Emotional stress regulation: The role of relative frontal alpha asymmetry in shaping the stress&#xA;response. Biological psychology, 138, 231-239. https://doi.org/"/><s v="Edwards, S. H., Kandru, N., &amp; Rajagopal, M. B. (2017, August). Investigating static analysis errors in student Java programs. In Proceedings of the 2017 ACM Conference on International Computing Education Research (pp. 65-73). https://doi.org/10.1145/3105"/><s v="Börstler, J., &amp; Paech, B. (2016). The role of method chains and comments in software readability and comprehension—an experiment. IEEE Transactions on Software Engineering, 42(9), 886-898. https://doi.org/10.1109/TSE.2016.2527791"/><s v="Abend, R., Bajaj, M. A., Matsumoto, C., Yetter, M., Harrewijn, A., Cardinale, E. M., ... &amp; Pine, D. S. (2021). Converging multi-modal evidence for implicit threat-related bias in pediatric anxiety disorders. Research on child and adolescent psychopatholog"/><s v="Karmarkar, U. R., &amp; Tormala, Z. L. (2010). Believe me, I have no idea what I’m talking about: The effects of source certainty on consumer involvement and persuasion. Journal of Consumer Research, 36(6), 1033-1049. https://doi.org/10.1086/648381"/><s v="Falligant, J.M., Rooker, G.W. Further Analysis of the Response Deprivation Hypothesis: Application of the Disequilibrium Model to Novel Clinical Contexts. Psychol Rec 71, 307–311 (2021). https://doi.org/10.1007/s40732-020-00453-8"/><s v="He, J., Chen, G., Wu, S., Niu, R., &amp; Fan, X. (2020). Patterns of negative emotional eating among Chinese young adults: A latent class analysis. Appetite, 155, 104808. https://doi.org/10.1016/j.appet.2020.104808. Study 5"/><s v="He, J., Chen, G., Wu, S., Niu, R., &amp; Fan, X. (2020). Patterns of negative emotional eating among Chinese young adults: A latent class analysis. Appetite, 155, 104808. https://doi.org/10.1016/j.appet.2020.104808"/><s v="Krauss, S., Orth, U., &amp; Robins, R. W. (2020). Family environment and self-esteem development: A longitudinal study from age 10 to 16. Journal of Personality and Social Psychology, 119(2), 457–478. https://doi.org/10.1037/pspp0000263"/><s v="Reiff J. S., Hershfield H. E., Quoidbach J. (2020). Identity over time: Perceived similarity between selves predicts well-being 10 years later. Social Psychological and Personality Science, 11, 160–167. https://doi.org/10.1177/1948550619843931"/><s v="Gietzen, L. J., Lewis, H., &amp; Buchanan, J. A. (2023). Age-related microaggressions: A descriptive&#xA; study. The Gerontologist, 63(5), 820-830. https://doi.org/10.1093/geront/gnac158"/><s v="Gietzen, L. J., Lewis, H., &amp; Buchanan, J. A. (2023). Age-related microaggressions: A descriptive&#xA;study. The Gerontologist, 63(5), 820-830. https://doi.org/10.1093/geront/gnac158"/><s v="Akselevich, V., &amp; Gilaie-Dotan, S. (2022). Positive and negative facial valence perception are modulated differently by eccentricity in the parafovea. Scientific reports, 12(1), 21693. https://doi.org/10.1038/s41598-022-24919-7"/><s v="Akselevich, V., &amp; Gilaie-Dotan, S. (2022). Positive and negative facial valence perception are modulated differently by eccentricity in the parafovea. Scientific reports, 12(1), 21693. https://doi.org/10.1038/s41598-022-24919-8"/><s v="Akselevich, V., &amp; Gilaie-Dotan, S. (2022). Positive and negative facial valence perception are modulated differently by eccentricity in the parafovea. Scientific reports, 12(1), 21693. https://doi.org/10.1038/s41598-022-24919-9"/><s v="Zottoli, T. M., Helm, R. K., Edkins, V. A., &amp; Bixter, M. T. (2023). Developing a model of guilty plea decision-making: Fuzzy-trace theory, gist, and categorical boundaries. Law and Human Behavior, 47(3), 403–421. https://doi.org/10.1037/lhb0000532"/><s v="Honea, R. A., Vidoni, E., Harsha, A., &amp; Burns, J. M. (2009). Impact of APOE on the healthy aging brain: a voxel-based MRI and DTI study. Journal of Alzheimer's disease, 18(3), 553-564. 10.3233/JAD-2009-1163"/><s v="Ratcliffe, J. H. (2021). Policing and public health calls for service in Philadelphia. Crime Science, 10(1), 1–6. https://doi.org/10.1186/s40163-021-00141-0"/><s v="Lum, C., Koper, C. S., &amp; Wu, X. (2021). Can we really defund the police? A nine-agency study of police response to calls for service. Police Quarterly, July. https://doi.org/10.1177/2F10986111211035002"/><s v="Laniyonu, A. (2021). Phantom pains: The effect of police killings of black Americans on black British attitudes. British Journal of Political Science, 52(4), 1–17. https://doi.org/10.1017/S0007123421000557"/><s v="Bloomfield, J., Balsa, A., &amp; Cid, A. (2023). Using behavioral insights in early childhood interventions: The effects of Crianza Positiva e-messaging program on parental investment. Review of the Economics of the Household, 21, 95–130. https://doi.org/10.1"/><s v="Shelton-Strong, S., &amp; Mynard, J. (2018). Affective factors in self-access learning. Relay Journal, 1(2), 275–292. https://doi.org/10.37237/relay/010204"/><s v="Collins, H. K., Hagerty, S. F., Quoidbach, J., Norton, M. I., &amp; Brooks, A. W. (2022). Relational diversity in social portfolios predicts well-being. Proceedings of the National Academy of Sciences, 119(43), e2120668119. https://doi.org/10.1073/pnas.212066"/><s v="Shah, A.K., LaForest, M. Knowledge about others reduces one’s own sense of anonymity. Nature 603, 297–301 (2022). https://doi.org/10.1038/s41586-022-04452-3"/><s v="Saini, M., Pruett, M. K., Alschech, J., &amp; Sushchyk, A. R. (2019). A pilot study to assess coparenting across family structures (CoPAFS). Journal of Child and Family Studies, 28, 1392-1401. https://doi.org/10.1007/s10826-019-01370-3"/><s v="Seward, R., &amp; Redner, R. (2023). Step it UP! game increases steps of adults with disabilities. Journal of Applied Behavior Analysis, 56(1), 231–240. https://doi.org/10.1002/jaba.968"/><s v="Barceló, J. (2021). “The Long-term Effects of War Exposure on Civic Engagement.” Proceedings of the National Academy of Sciences, 118 (6) (February): e2015539118 https://doi.org/10.1073/pnas.2015539118"/><s v="Barceló, J. (2021). “The Long-term Effects of War Exposure on Civic Engagement.” Proceedings of the National Academy of Sciences, 118 (6) (February): e2015539118 https://doi.org/10.1073/pnas.2&#xA;015539118"/><s v="Longoni, A.M., Richardson, J.T.E. &amp; Aiello, A. Articulatory rehearsal and phonological storage in working memory. Memory &amp; Cognition 21, 11–22 (1993). https://doi.org/10.3758/BF03211160"/><s v="Teló, C., P.  Trofimovich, and M. G.  O’Brien.  2022. ‘Disentangling professional competence and foreign accent,’  Journal of Second Language Pronunciation  8/3: 413–43. https://doi.org/10.1075/jslp.22013.tel"/><s v="Teló, C., P. Trofimovich, and M. G. O’Brien. 2022. ‘Disentangling professional competence and foreign accent,’ Journal of Second Language Pronunciation 8/3: 413–43. https://doi.org/10.1075/jslp.22013.tel"/><s v="Segev, S., and J. Fernandes 2023. “The Anatomy of Viral Advertising: A Content Analysis of Viral Advertising from the Elaboration Likelihood Model Perspective.” Journal of Promotion Management 29 (1): 125–154. https://doi.org/10.1080/10496491.2022.2108189"/><s v="Meyer, A., Riesel, A., &amp; Hajcak Proudfit, G. (2013). Reliability of the ERN across multiple tasks&#xA;as a function of increasing errors. Psychophysiology, 50(12), 1220–1225.&#xA;https://doi.org/10.1111/psyp.12132"/><s v="King, A. A., &amp; Shaver, J. M. (2001). Are aliens green? Assessing foreign establishments' environmental conduct in the United States. Strategic Management Journal, 22(11), 1069-1085. https://doi.org/10.1002/smj.201"/><s v="Yiend, J., Mathews, A., Burns, T., Dutton, K., Fernández-Martín, A., Georgiou, G. A., ... &amp; Fox, E. (2015). Mechanisms of selective attention in generalized anxiety disorder. Clinical Psychological Science, 3(5), 758-771. https://doi.org/10.1177/216770261"/><s v="Yu, R., Mobbs, D., Seymour, B., Rowe, J. B., &amp; Calder, A. J. (2014). The neural signature of escalating frustration in humans. Cortex, 54, 165-178. https://doi.org/10.1016/j.cortex.2014.02.013"/><s v="Bunz, U. (2021). Investigating the Relationship Between Social Media Use, Big Five Personality, and Well-being. Journal of Communication Technology, 4(3), 25–52. https://doi.org/10.51548/joctec-2021-016"/><s v="Oberfield, E., &amp; Raval, D. (2021). Micro data and macro technology. Econometrica, 89(2), 703-732. https://doi.org/10.3982/ECTA12807"/><s v="McKenzie, C. R., Liersch, M. J., &amp; Finkelstein, S. R. (2006). Recommendations implicit in policy defaults. Psychological Science, 17(5), 414-420. https://doi.org/10.1111/j.1467-9280.2006.01721.x"/><s v="Karataş, M., &amp; Cutright, K. M. (2023). Thinking about God increases acceptance of artificial intelligence in decision-making. Proceedings of the National Academy of Sciences, 120(33), e2218961120. https://doi.org/10.1073/pnas.2218961120"/><s v="Gailliot, M. T., Baumeister, R. F., DeWall, C. N., Maner, J. K., Plant, E. A., Tice, D. M., Brewer, L. E., &amp; Schmeichel, B. J. (2007). Self-control relies on glucose as a limited energy source: Willpower is more than a metaphor. Journal of Personality and"/><s v="Muraven, M., Tice, D. M., &amp; Baumeister, R. F. (1998). Self-control as a limited resource: Regulatory depletion patterns. Journal of personality and social psychology, 74(3), 774."/><s v="Schmeichel, B. J., Vohs, K. D., &amp; Baumeister, R. F. (2003). Intellectual performance and ego depletion: role of the self in logical reasoning and other information processing. Journal of personality and social psychology, 85(1), 33."/><s v="Schmeichel, B. J. (2007). Attention control, memory updating, and emotion regulation temporarily reduce the capacity for executive control. Journal of experimental psychology: General, 136(2), 241."/><s v="Inzlicht, M., &amp; Gutsell, J. N. (2007). Running on empty: Neural signals for self-control failure. Psychological science, 18(11), 933-937."/><s v="Schwarz, N., Hippler, H. J., Deutsch, B., &amp; Strack, F. (1985).Response scales: Effects of category range on reportedbehavior  and  comparative  judgments.Public  OpinionQuarterly, 49, 388–395."/><s v="Bargh, J. A., Chen, M., &amp; Burrows, L. (1996). Automaticity of social behavior: Direct effects of trait construct and stereotype activation on action. Journal of Personality and Social Psychology, 71(2), 230–244. https://doi.org/10.1037/0022-3514.71.2.230."/><s v="Schwarz, N., Hippler, H. J., Deutsch, B., &amp; Strack, F. (1985).Response scales: Effects of category range on reportedbehavior  and  comparative  judgments. Public Opinion Quarterly, 49, 388–395."/><s v="Nosek, B. A., Banaji, M. R., &amp; Greenwald, A. G. (2002). Harvesting implicit group attitudes and beliefs from a demonstration web site. Group Dynamics: Theory, Research, and Practice, 6(1), 101."/><s v="Nosek, B. A., Banaji, M. R., &amp; Greenwald, A. G. (2002). Math = male, me = female, therefore math ≠ me. Journal of Personality and Social Psychology, 83(1), 44–59. https://doi.org/10.1037/0022-3514.83.1.44"/><s v="Tversky, A., &amp; Kahneman, D. (1981). The framing of decisions and the psychology of choice. science, 211(4481), 453-458."/><s v="Oppenheimer, D. M., &amp; Monin, B. (2009). The retrospective gambler’s fallacy: Unlikely events, constructing the past, and multiple universes. Judgment and Decision Making, 4(5), 326-334."/><s v="Carter, T. J., Ferguson, M. J., &amp; Hassin, R. R. (2011). A single exposure to the American flag shifts support toward Republicanism up to 8 months later. Psychological science, 22(8), 1011-1018."/><s v="Jacowitz, K. E., &amp; Kahneman, D. (1995). Measures of anchoring in estimation tasks. Personality and Social Psychology Bulletin, 21(11), 1161-1166."/><s v="Correll, J. (2008). 1/f noise and effort on implicit measures of bias. Journal of personality and social psychology, 94(1), 48."/><s v="Bem, D. J. (2011). Feeling the future: experimental evidence for anomalous retroactive influences on cognition and affect. Journal of personality and social psychology, 100(3), 407."/><s v="Jostmann, N. B., Lakens, D., &amp; Schubert, T. W. (2009). Weight as an embodiment of importance. Psychological science, 20(9), 1169-1174."/><s v="Szymkow, A., Chandler, J., IJzerman, H., Parzuchowski, M., &amp; Wojciszke, B. (2013). Warmer hearts, warmer rooms. Social Psychology."/><s v="Cacioppo, J. T., Petty, R. E., &amp; Morris, K. J. (1983). Effects of need for cognition on message evaluation, recall, and persuasion. Journal of personality and social psychology, 45(4), 805."/><s v="DeVoe, S. E., &amp; House, J. (2012). Time, money, and happiness: How does putting a price on time affect our ability to smell the roses?. Journal of Experimental Social Psychology, 48(2), 466-474."/><s v="DeVoe, S. E., &amp; House, J. (2012). Time, money, and happiness: How does putting a price on time affect our ability to smell the roses?. Journal of Experimental Social Psychology, 48(2), 466-474. "/><s v="Ross, M., &amp; Wilson, A. E. (2002). It feels like yesterday: self-esteem, valence of personal past experiences, and judgments of subjective distance. Journal of personality and social psychology, 82(5), 792."/><s v="DeVoe, S. E., &amp; House, J. (2012). Time, money, and happiness: How does putting a price on time affect our ability to smell the roses?. Journal of Experimental Social Psychology, 48(2), 466-474. Study 3"/><s v="Bargh, J. A., &amp; Shalev, I. (2012). The substitutability of physical and social warmth in daily life. Emotion, 12(1), 154."/><s v="Bargh, J. A., &amp; Shalev, I. (2012). The substitutability of physical and social warmth in daily life. Emotion, 12(1), 154. "/><s v="Stroop, J. R. (1935). Studies of interference in serial verbal reactions. Journal of experimental psychology, 18(6), 643."/><s v="Boroditsky, L. (2000). Metaphoric structuring: Understanding time through spatial metaphors. Cognition, 75(1), 1-28."/><s v="Tversky, A., &amp; Kahneman, D. (1973). Availability: A heuristic for judging frequency and probability. Cognitive psychology, 5(2), 207-232."/><s v="Galinsky, A. D., Magee, J. C., Inesi, M. E., &amp; Gruenfeld, D. H. (2006). Power and perspectives not taken. Psychological science, 17(12), 1068-1074."/><s v="Vess, M. (2012). Warm thoughts: Attachment anxiety and sensitivity to temperature cues. Psychological science, 23(5), 472-474."/><s v="Caruso, E. M., Vohs, K. D., Baxter, B., &amp; Waytz, A. (2013). Mere exposure to money increases endorsement of free-market systems and social inequality. Journal of Experimental Psychology: General, 142(2), 301."/><s v="Husnu, S., &amp; Crisp, R. J. (2010). Elaboration enhances the imagined contact effect. Journal of Experimental Social Psychology, 46(6), 943-950."/><s v="Oppenheimer, D. M., Meyvis, T., &amp; Davidenko, N. (2009). Instructional manipulation checks: Detecting satisficing to increase statistical power. Journal of experimental social psychology, 45(4), 867-872."/><s v="Elliot, A. J., Niesta Kayser, D., Greitemeyer, T., Lichtenfeld, S., Gramzow, R. H., Maier, M. A., &amp; Lu, H. (2010). Red, rank, and romance in women viewing men. Journal of Experimental Psychology: General, 139(3), 399–417. DOI: https://doi.org/10.1037/ a00"/><s v="Cheung, B. Y., &amp; Heine, S. J. (2015). The double-edged sword of genetic accounts of criminality: Causal attributions from genetic ascriptions affect legal decision making. Personality and Social Psychology Bulletin, 41(12), 1723-1738."/><s v="Epley, N., &amp; Gilovich, T. (2006). The anchoring-and-adjustment heuristic: Why the adjustments are insufficient. Psychological science, 17(4), 311-318."/><s v="Reitsma-van Rooijen, M., &amp; Daamen, D. D. (2006). Subliminal anchoring: The effects of subliminally presented numbers on probability estimates. Journal of Experimental Social Psychology, 42(3), 380-387."/><s v="Williams, K. E. G., Sng, O., &amp; Neuberg, S. L. (2016). Ecology-driven stereotypes override race stereotypes. Proceedings of the National Academy of Sciences, 113(2), 310–315. https://doi.org/10/f76jnb"/><s v="Klein, N., &amp; O’Brien, E. (2018). People use less information than they think to make up their minds. Proceedings of the National Academy of Sciences, 115(52), 13222–13227. https://doi.org/10/gfs87p"/><s v="Jordan, J. J., Hoffman, M., Nowak, M. A., &amp; Rand, D. G. (2016). Uncalculating cooperation is used to signal trustworthiness. Proceedings of the National Academy of Sciences, 113(31), 8658–8663. https://doi.org/10/f8w9bk"/><s v="John, L. K., Barasz, K., &amp; Norton, M. I. (2016). Hiding personal information reveals the worst. Proceedings of the National Academy of Sciences, 113(4), 954–959. https://doi.org/10/f77w6d"/><s v="Hofstetter, R., Rüppell, R., &amp; John, L. K. (2017). Temporary sharing prompts unrestrained disclosures that leave lasting negative impressions. Proceedings of the National Academy of Sciences, 114(45), 11902–11907. https://doi.org/10/gckbgp"/><s v="Hoffman, K. M., Trawalter, S., Axt, J. R., &amp; Oliver, M. N. (2016). Racial bias in pain assessment and treatment recommendations, and false beliefs about biological differences between blacks and whites. Proceedings of the National Academy of Sciences, 113"/><s v="Halevy, N., &amp; Halali, E. (2015). Selfish third parties act as peacemakers by transforming conflicts and promoting cooperation. Proceedings of the National Academy of Sciences, 112(22), 6937–6942. https://doi.org/10/f7fzmv"/><s v="Guilbeault, D., Becker, J., &amp; Centola, D. (2018). Social learning and partisan bias in the interpretation of climate trends. Proceedings of the National Academy of Sciences, 115(39), 9714–9719. https://doi.org/10/gd4t95"/><s v="Gheorghiu, A. I., Callan, M. J., &amp; Skylark, W. J. (2017). Facial appearance affects science communication. Proceedings of the National Academy of Sciences, 114(23), 5970–5975. https://doi.org/10/b9dr"/><s v="Genschow, O., Rigoni, D., &amp; Brass, M. (2017). Belief in free will affects causal attributions when judging others’ behavior. Proceedings of the National Academy of Sciences, 114(38), 10071–10076. https://doi.org/10/gbxsnh"/><s v="Côté, S., House, J., &amp; Willer, R. (2015). High economic inequality leads higher-income individuals to be less generous. Proceedings of the National Academy of Sciences, 112(52), 15838–15843. https://doi.org/10/gfzkq8"/><s v="Vacharkulksemsuk, T., Reit, E., Khambatta, P., Eastwick, P. W., Finkel, E. J., &amp; Carney, D. R. (2016). Dominant, open nonverbal displays are attractive at zero-acquaintance. Proceedings of the National Academy of Sciences, 113(15), 4009–4014. https://doi."/><s v="Cooney, G., Gilbert, D. T., &amp; Wilson, T. D. (2016). When fairness matters less than we expect. Proceedings of the National Academy of Sciences, 113(40), 11168–11171. https://doi.org/10/f8646f"/><s v="Cheon, B. K., &amp; Hong, Y.-Y. (2017). Mere experience of low subjective socioeconomic status stimulates appetite and food intake. Proceedings of the National Academy of Sciences, 114(1), 72–77. https://doi.org/10/f9h49k"/><s v="Chao, M. (2017). Demotivating incentives and motivation crowding out in charitable giving. Proceedings of the National Academy of Sciences, 114(28), 7301–7306. https://doi.org/10/gbnk55"/><s v="Boswell, R. G., Sun, W., Suzuki, S., &amp; Kober, H. (2018). Training in cognitive strategies reduces eating and improves food choice. Proceedings of the National Academy of Sciences, 115(48), E11238–E11247. https://doi.org/10/gfqzv6"/><s v="Baldwin, M., &amp; Lammers, J. (2016). Past-focused environmental comparisons promote proenvironmental outcomes for conservatives. Proceedings of the National Academy of Sciences, 113(52), 14953–14957. https://doi.org/10/f9hmdp"/><s v="Atir, S., &amp; Ferguson, M. J. (2018). How gender determines the way we speak about professionals. Proceedings of the National Academy of Sciences, 115(28), 7278–7283. https://doi.org/10/crgh"/><s v="Ames, D. L., &amp; Fiske, S. T. (2015). Perceived intent motivates people to magnify observed harms. Proceedings of the National Academy of Sciences, 112(12), 3599–3605. https://doi.org/10/gsv6xm"/><s v="Stern, C., West, T. V., &amp; Rule, N. O. (2015). Conservatives negatively evaluate counterstereotypical people to maintain a sense of certainty. Proceedings of the National Academy of Sciences, 112(50), 15337–15342. https://doi.org/10/f74fb4"/><s v="Reeck, C., Wall, D., &amp; Johnson, E. J. (2017). Search predicts and changes patience in intertemporal choice. Proceedings of the National Academy of Sciences, 114(45), 11890–11895. https://doi.org/10/ggb75r"/><s v="Rai, T. S., Valdesolo, P., &amp; Graham, J. (2017). Dehumanization increases instrumental violence, but not moral violence. Proceedings of the National Academy of Sciences, 114(32), 8511–8516. https://doi.org/10/gg6grh"/><s v="Morris, A., MacGlashan, J., Littman, M. L., &amp; Cushman, F. (2017). Evolution of flexibility and rigidity in retaliatory punishment. Proceedings of the National Academy of Sciences, 114(39), 10396–10401. https://doi.org/10/gb4vmc"/><s v="McCall, L., Burk, D., Laperrière, M., &amp; Richeson, J. A. (2017). Exposure to rising inequality shapes Americans’ opportunity beliefs and policy support. Proceedings of the National Academy of Sciences, 114(36), 9593–9598. https://doi.org/10/gbwx4j"/><s v="Kraus, M. W., Rucker, J. M., &amp; Richeson, J. A. (2017). Americans misperceive racial economic equality. Proceedings of the National Academy of Sciences, 114(39), 10324–10331. https://doi.org/10/gb4sh4"/><s v="Kouchaki, M., &amp; Gino, F. (2016). Memories of unethical actions become obfuscated over time. Proceedings of the National Academy of Sciences, 113(22), 6166–6171. https://doi.org/10/f8qfrh"/><s v="Huang, J. L. (2014). Does cleanliness influence moral judgments? Response effort moderates the effect of cleanliness priming on moral judgments. Frontiers in Psychology, 5, 1276."/><s v="Fiorito, R. &amp; Kollintzas, T. (2004). Public goods, merit goods, and the relation between private and government consumption. European Economic Review 48(6), 1367-1398. DOI:&#xA;10.1016/j.euroecorev.2004.01.004"/><s v="Svensson, L. E. O. (2015). The Possible Unemployment Cost of Average Inflation below a&#xA;Credible Target. American Economic Journal: Macroeconomics, 7 (1): 258-96. DOI: 10.1257/ma&#xA;c.20130176"/><s v="Chowdhury, S. M., Jeon, J. Y., Saha, B. (2017). Gender differences in the giving and&#xA;taking variants of the dictator game. Southern Economic Journal, 84(2), 474–83. DOI:&#xA;10.1002/soej.12223"/><s v="Fernández, R., &amp; Fogli, A. (2009). Culture: An Empirical Investigation of Beliefs, Work, and&#xA;Fertility. American Economic Journal: Macroeconomics, 1(1), 146–177. DOI: 10.1257/mac.1.1.&#xA;146"/><s v="Poole, J. P. (2013). Knowledge Transfers from Multinational to Domestic Firms: Evidence from Worker Mobility. The Review of Economics and Statistics, 95(2), 393–406. DOI:&#xA;10.1162/REST_a_00258"/><s v="Autor, D. H., Katz, L. F., &amp; Kearney, M. S. (2008). Trends in U.S. Wage Inequality: Revising&#xA;the Revisionists. Review of Economics and Statistics, 90 (2): 300–323. DOI: 10.1162/rest.90.&#xA;2.300"/><s v="Croninger, R.G., Rice, J.K., Rathbun, A., &amp; Nishio, M.(2007).Teacher qualifications and early learning: Effects of certification, degree, and experience on first-grade student achievement.Economics of Education Review, 26(3), 312–324.http://doi.org/10.101"/><s v="Knobe, J. (2003). Intentional Action and Side Effects in Ordinary Language. Analysis, 63, 190-193."/><s v="Nahmias, E., Morris, S. G., Nadelhoffer, T., &amp; Turner, J. (2006). Is incompatibilism intuitive? Philosophy and Phenomenological Research, 73(1), 28-53"/><s v="Knobe, J., &amp; Burra, A. (2006). The folk concepts of intention and intentional action: A cross-cultural study. Journal of Cognition and Culture, 6(1), 113-132."/><s v="Nichols, S. (2006). Folk intuitions on free will. Journal of Cognition and Culture, 6(1), 57-86."/><s v="Nadelhoffer, T. (2006). Bad acts, blameworthy agents, and intentional actions: Some problems for juror impartiality. Philosophical explorations, 9(2), 203-219."/><s v="Nichols, S., &amp; Knobe, J. (2007). Moral responsibility and determinism: The cognitive science of folk intuitions. Nous, 41(4), 663-685."/><s v="Nahmias, E., Coates, D. J., &amp; Kvaran, T. (2007). Free will, moral responsibility, and mechanism: Experiments on folk intuitions. Midwest studies in Philosophy, 31(1), 214-242."/><s v="Livengood, J., &amp; Machery, E. (2007). The folk probably don't think what you think they think: Experiments on causation by absence. Midwest Studies in Philosophy, 31(1), 107-127."/><s v="Greene, J. D., Morelli, S. A., Lowenberg, K., Nystrom, L. E., &amp; Cohen, J. D. (2008). Cognitive load selectively interferes with utilitarian moral judgment. Cognition, 107(3), 1144-1154."/><s v="Gonnerman, C. (2008). Reading conflicted minds: An empirical follow-up to Knobe and Roedder. Philosophical Psychology, 21(2), 193-205."/><s v="Nadelhoffer, T., &amp; Feltz, A. (2008). The actor–observer bias and moral intuitions: Adding fuel to Sinnott-Armstrong’s fire. Neuroethics, 1, 133-144."/><s v="Knobe, J. (2003). Intentional action in folk psychology: An experimental investigation. Philosophical Psychology, 16(2), 309-324."/><s v="Hitchcock, C., &amp; Knobe, J. (2009). Cause and norm. The Journal of Philosophy, 106(11), 587-612."/><s v="Roxborough, C., &amp; Cumby, J. (2009). Folk psychological concepts: Causation. Philosophical Psychology, 22(2), 205-213."/><s v="Nadelhoffer, T., Kvaran, T., &amp; Nahmias, E. (2009). Temperament and intuition: A commentary on Feltz and Cokely. Consciousness and cognition, 18(1), 351-355."/><s v="De Brigard, F. (2010). If you like it, does it matter if it's real?. Philosophical Psychology, 23(1), 43-57."/><s v="Beebe, J. R., &amp; Buckwalter, W. (2010). The epistemic side‐effect effect. Mind &amp; Language, 25(4), 474-498."/><s v="Sytsma, J., &amp; Machery, E. (2010). Two conceptions of subjective experience. Philosophical studies, 151, 299-327."/><s v="Alicke, M. D., Rose, D., &amp; Bloom, D. (2011). Causation, norm violation, and culpable control. The Journal of Philosophy, 108(12), 670-696."/><s v="Reuter, K. (2011). Distinguishing the appearance from the reality of pain. Journal of Consciousness Studies, 18(9-10), 94-109."/><s v="Sarkissian, H., Park, J., Tien, D., Wright, J. C., &amp; Knobe, J. (2011). Folk moral relativism. Mind &amp; Language, 26(4), 482-505."/><s v="Paxton, J. M., Ungar, L., &amp; Greene, J. D. (2012). Reflection and reasoning in moral judgment. Cognitive science, 36(1), 163-177."/><s v="Machery, E., Mallon, R., Nichols, S., &amp; Stich, S. P. (2004). Semantics, cross-cultural style. Cognition, 92(3), B1-B12."/><s v="May, J., &amp; Holton, R. (2012). What in the world is weakness of will?. Philosophical Studies, 157, 341-360."/><s v="Nagel, J., San Juan, V., &amp; Mar, R. A. (2013). Lay denial of knowledge for justified true beliefs. Cognition, 129(3), 652-661."/><s v="Beebe, J. R., &amp; Shea, J. (2013). Gettierized Knobe effects. Episteme, 10(3), 219-240."/><s v="Rose, D., &amp; Nichols, S. (2013). The lesson of bypassing. Review of Philosophy and Psychology, 4, 599-619."/><s v="Murray, D., &amp; Nahmias, E. (2014). Explaining away incompatibilist intuitions. Philosophy and Phenomenological Research, 88(2), 434-467."/><s v="Grau, C., &amp; Pury, C. L. (2014). Attitudes towards reference and replaceability. Review of Philosophy and Psychology, 5(2), 155-168"/><s v="Liao, S. Y., Strohminger, N., &amp; Sripada, C. S. (2014). Empirically investigating imaginative resistance. British Journal of Aesthetics, 54(3), 339-355."/><s v="Björnsson, G., Eriksson, J., Strandberg, C., Olinder, R. F., &amp; Björklund, F. (2015). Motivational internalism and folk intuitions. Philosophical Psychology, 28(5), 715–734. "/><s v="Björnsson, G., Eriksson, J., Strandberg, C., Olinder, R. F., &amp; Björklund, F. (2015). Motivational internalism and folk intuitions. Philosophical Psychology, 28(5), 715–734."/><s v="Buckwalter, W., &amp; Schaffer, J. (2015). Knowledge, stakes, and mistakes. Noûs, 49(2), 201-234."/><s v="Knobe, J. (2004). Intention, intentional action and moral considerations. Analysis, 64(282), 181-187."/><s v="Kominsky, J. F., Phillips, J., Gerstenberg, T., Lagnado, D., &amp; Knobe, J. (2015). Causal superseding. Cognition, 137, 196-209."/><s v="Nichols, S. (2004). After objectivity: An empirical study of moral judgment. Philosophical Psychology, 17(1), 3-26. Chicago."/><s v="Nadelhoffer, T. (2004). Blame, badness, andintentional action: A reply to Knobe and Mendlow. Journal of Theoretical and Philosophical Psychology, 24, 259–269."/><s v="Nahmias, E., Morris, S., Nadelhoffer, T., and Turner, J. (2005). Surveying Freedom: Folk Intuitions About Free Will and Moral Responsibility. Philosophical Psychology, 18(5), 561-584."/><s v="McCann, H. J. (2005). Intentional action and intending: Recent empirical studies. Philosophical Psychology, 18(6), 737-748."/><s v="Nadelhoffer, T. (2005). Skill, luck, control, and intentional action. Philosophical Psychology, 18(3), 341-352."/><s v="Knobe, J., &amp; Burra, A. (2006). The folk concepts of intention andintentional action: A cross-cultural study. Journal of Cognition and Culture, 6(1), 113-132."/><s v="Dai, X., Wertenbroch, K., &amp; Brendl, C. M. (2008). The value heuristic in judgments of relative frequency. Psychological Science, 19(1), 18."/><s v="Aryani, A., Isbilen, E. S., &amp; Christiansen, M. H. (2020). Affective arousal links sound to meaning. Psychological science, 31(8), 978-986."/><s v="Dale, R., &amp; Duran, N. D. (2011). The cognitive dynamics of negated sentence verification. Cognitive science, 35(5), 983-996."/><s v="Daw, N. D., Gershman, S. J., Seymour, B., Dayan, P., &amp; Dolan, R. J. (2011). Model-based influences on humans' choices and striatal prediction errors. Neuron, 69(6), 1204-1215."/><s v="Dehaene, S., Nakamura, K., Jobert, A., Kuroki, C., Ogawa, S., &amp; Cohen, L. (2010). Why do children make mirror errors in reading? Neural correlates of mirror invariance in the visual word form area. Neuroimage, 49(2), 1837-1848."/><s v="Djärv, K., Zehr, J., &amp; Schwarz, F. (2018). Cognitive vs. emotive factives: An experimental differentiation. In Proceedings of Sinn und Bedeutung (Vol. 21, No. 1, pp. 367-386)."/><s v="Dubey, R., &amp; Griffiths, T. L. (2020). Reconciling novelty and complexity through a rational analysis of curiosity. Psychological Review, 127(3), 455."/><s v="Durso, G. R., Briñol, P., &amp; Petty, R. E. (2016). From power to inaction: Ambivalence gives pause to the powerful. Psychological Science, 27(12), 1660-1666."/><s v="Endress, A. D., &amp; Hauser, M. D. (2009). Syntax-induced pattern deafness. Proceedings of the National Academy of Sciences, 106(49), 21001-21006."/><s v="Exline, J. J., Baumeister, R. F., Zell, A. L., Kraft, A. J., &amp; Witvliet, C. V. (2008). Not so innocent: Does seeing one's own capability for wrongdoing predict forgiveness?. Journal of Personality and Social Psychology, 94(3), 495."/><s v="Feinberg, M., &amp; Willer, R. (2013). The moral roots of environmental attitudes. Psychological science, 24(1), 56-62."/><s v="Fischer, P., Schulz-Hardt, S., &amp; Frey, D. (2008). Selective exposure and information quantity: how different information quantities moderate decision makers' preference for consistent and inconsistent information. Journal of personality and social psychol"/><s v="Atir, S., Rosenzweig, E., &amp; Dunning, D. (2015). When knowledge knows no bounds: Self-perceived expertise predicts claims of impossible knowledge. Psychological Science, 26(8), 1295-1303."/><s v="Forwood, S. E., Ahern, A., Hollands, G. J., Fletcher, P. C., &amp; Marteau, T. M. (2013). Underestimating calorie content when healthy foods are present: an averaging effect or a reference-dependent anchoring effect?. Plos one, 8(8), e71475."/><s v="Franke, M., &amp; Degen, J. (2016). Reasoning in reference games: Individual-vs. population-level probabilistic modeling. PloS one, 11(5), e0154854."/><s v="Freeman, J., &amp; Simoncelli, E. P. (2011). Metamers of the ventral stream. Nature neuroscience, 14(9), 1195-1201."/><s v="Fu, A. S., &amp; Markus, H. R. (2014). My mother and me: Why tiger mothers motivate Asian Americans but not European Americans. Personality and Social Psychology Bulletin, 40(6), 739-749."/><s v="Galperin, R. V., Hahl, O., Sterling, A. D., &amp; Guo, J. (2020). Too good to hire? Capability and inferences about commitment in labor markets. Administrative Science Quarterly, 65(2), 275-313."/><s v="García-Castro, J. D., Rodríguez-Bailón, R., &amp; Willis, G. B. (2020). Perceiving economic inequality in everyday life decreases tolerance to inequality. Journal of Experimental Social Psychology, 90, 104019."/><s v="Gibson, E., Bergen, L., &amp; Piantadosi, S. T. (2013). Rational integration of noisy evidence and prior semantic expectations in sentence interpretation. Proceedings of the National Academy of Sciences, 110(20), 8051-8056."/><s v="Gick, M. L., &amp; Holyoak, K. J. (1983). Schema induction and analogical transfer. Cognitive psychology, 15(1), 1-38."/><s v="Goff, P. A., Jackson, M. C., Di Leone, B. A. L., Culotta, C. M., &amp; DiTomasso, N. A. (2014). The essence of innocence: consequences of dehumanizing Black children. Journal of personality and social psychology, 106(4), 526."/><s v="Gong, X., Zhang, F., &amp; Fung, H. H. (2019). Are older adults more willing to donate? The roles of donation form and social relationship. The Journals of Gerontology: Series B, 74(3), 440-448."/><s v="Austerweil, J. L., &amp; Griffiths, T. L. (2011). Seeking confirmation is rational for deterministic hypotheses. Cognitive Science, 35(3), 499-526."/><s v="Gray, H. M., Gray, K., &amp; Wegner, D. M. (2007). Dimensions of mind perception. science, 315(5812), 619-619."/><s v="Gray, K., Ward, A. F., &amp; Norton, M. I. (2014). Paying it forward: generalized reciprocity and the limits of generosity. Journal of experimental psychology: General, 143(1), 247."/><s v="Greenberg, A. E., &amp; Spiller, S. A. (2016). Opportunity cost neglect attenuates the effect of choices on preferences. Psychological science, 27(1), 103-113."/><s v="Griffiths, T. L., &amp; Tenenbaum, J. B. (2006). Optimal predictions in everyday cognition. Psychological science, 17(9), 767-773."/><s v="Haimovitz, K., &amp; Dweck, C. S. (2016). What predicts children’s fixed and growth intelligence mind-sets? Not their parents’ views of intelligence but their parents’ views of failure. Psychological science, 27(6), 859-869."/><s v="Hart, Y., Dillon, M. R., Marantan, A., Cardenas, A. L., Spelke, E., &amp; Mahadevan, L. (2018). The statistical shape of geometric reasoning. Scientific reports, 8(1), 1-12."/><s v="Heck, P. R., Chabris, C. F., Watts, D. J., &amp; Meyer, M. N. (2020). Objecting to experiments even while approving of the policies or treatments they compare. Proceedings of the National Academy of Sciences, 117(32), 18948-18950."/><s v="Henderson, M. D., De Liver, Y., &amp; Gollwitzer, P. M. (2008). The effects of an implemental mind-set on attitude strength. Journal of personality and social psychology, 94(3), 396."/><s v="Balas, B. J. (2006). Texture synthesis and perception: Using computational models to study texture representations in the human visual system. Vision research, 46(3), 299-309."/><s v="Hernandez, I. A., Silverman, D. M., &amp; Destin, M. (2021). From deficit to benefit: Highlighting lower-SES students' background-specific strengths reinforces their academic persistence. Journal of Experimental Social Psychology, 92, 104080."/><s v="Hopkins, E. J., Weisberg, D. S., &amp; Taylor, J. C. (2016). The seductive allure is a reductive allure: People prefer scientific explanations that contain logically irrelevant reductive information. Cognition, 155, 67-76."/><s v="Hughes, M. L., Geraci, L., &amp; De Forrest, R. L. (2013). Aging 5 years in 5 minutes: The effect of taking a memory test on older adults’ subjective age. Psychological Science, 24(12), 2481-2488."/><s v="Huh, Y. E., Vosgerau, J., &amp; Morewedge, C. K. (2016). More similar but less satisfying: Comparing preferences for and the efficacy of within-and cross-category substitutes for food. Psychological Science, 27(6), 894-903."/><s v="Huntington‐Klein, N. (2018). College choice as a collective decision. Economic Inquiry, 56(2), 1202-1219."/><s v="Jakesch, M., French, M., Ma, X., Hancock, J. T., &amp; Naaman, M. (2019, May). AI-mediated communication: How the perception that profile text was written by AI affects trustworthiness. In Proceedings of the 2019 CHI Conference on Human Factors in Computing S"/><s v="Jara-Ettinger, J., Levy, R., Sakel, J., Huanca, T., &amp; Gibson, E. (2022). The origins of the shape bias: Evidence from the Tsimane’. Journal of Experimental Psychology: General."/><s v="Jones, L. L., &amp; Estes, Z. (2006). Roosters, robins, and alarm clocks: Aptness and conventionality in metaphor comprehension. Journal of Memory and Language, 55(1), 18-32."/><s v="Jordan, J. J., Sommers, R., Bloom, P., &amp; Rand, D. G. (2017). Why do we hate hypocrites? Evidence for a theory of false signaling. Psychological science, 28(3), 356-368."/><s v="Belding, J. N., Naufel, K. Z., &amp; Fujita, K. (2015). Using high-level construal and perceptions of changeability to promote self-change over self-protection motives in response to negative feedback. Personality and Social Psychology Bulletin, 41(6), 822-83"/><s v="Kacperczyk, O., &amp; Younkin, P. (2022). A founding penalty: evidence from an audit study on gender, entrepreneurship, and future employment. Organization Science, 33(2), 716-745."/><s v="Keysar, B., Lin, S., &amp; Barr, D. J. (2003). Limits on theory of mind use in adults. Cognition, 89(1), 25-41."/><s v="Kim, H., &amp; Markus, H. R. (1999). Deviance or uniqueness, harmony or conformity? A cultural analysis. Journal of personality and social psychology, 77(4), 785."/><s v="Kiyonaga, A., &amp; Egner, T. (2014). The working memory Stroop effect: When internal representations clash with external stimuli. Psychological science, 25(8), 1619-1629."/><s v="Ko, S. J., Sadler, M. S., &amp; Galinsky, A. D. (2015). The sound of power: Conveying and detecting hierarchical rank through voice. Psychological Science, 26(1), 3-14."/><s v="Konkle, T., &amp; Oliva, A. (2011). Canonical visual size for real-world objects. Journal of Experimental Psychology: human perception and performance, 37(1), 23."/><s v="Korman, J., &amp; Khemlani, S. (2020). Teleological generics. Cognition, 200, 104157."/><s v="Kouchaki, M., Dobson, K. S., Waytz, A., &amp; Kteily, N. S. (2018). The link between self-dehumanization and immoral behavior. Psychological science, 29(8), 1234-1246."/><s v="Kovács, Á. M., Téglás, E., &amp; Endress, A. D. (2010). The social sense: Susceptibility to others’ beliefs in human infants and adults. Science, 330(6012), 1830-1834."/><s v="Krauss, S., &amp; Wang, X. T. (2003). The psychology of the Monty Hall problem: discovering psychological mechanisms for solving a tenacious brain teaser. Journal of Experimental Psychology: General, 132(1), 3."/><s v="Birch, S. A., &amp; Bloom, P. (2007). The curse of knowledge in reasoning about false beliefs. Psychological Science, 18(5), 382-386."/><s v="Kupor, D. M., Laurin, K., &amp; Levav, J. (2015). Anticipating divine protection? Reminders of god can increase nonmoral risk taking. Psychological science, 26(4), 374-384."/><s v="Lau, G. P., Kay, A. C., &amp; Spencer, S. J. (2008). Loving those who justify inequality: the effects of system threat on attraction to women who embody benevolent sexist ideals. Psychological Science."/><s v="Levine, S., Kleiman-Weiner, M., Schulz, L., Tenenbaum, J., &amp; Cushman, F. (2020). The logic of universalization guides moral judgment. Proceedings of the National Academy of Sciences, 117(42), 26158-26169."/><s v="Lewis Jr, N. A., &amp; Oyserman, D. (2015). When does the future begin? Time metrics matter, connecting present and future selves. Psychological science, 26(6), 816-825."/><s v="Li, Q., Joo, S. J., Yeatman, J. D., &amp; Reinecke, K. (2020). Controlling for participants’ viewing distance in large-scale, psychophysical online experiments using a virtual chinrest. Scientific reports, 10(1), 1-11."/><s v="Libby, L. K., Shaeffer, E. M., &amp; Eibach, R. P. (2009). Seeing meaning in action: a bidirectional link between visual perspective and action identification level. Journal of Experimental Psychology: General, 138(4), 503."/><s v="Lin, C., Adolphs, R., &amp; Alvarez, R. M. (2018). Inferring whether officials are corruptible from looking at their faces. Psychological science, 29(11), 1807-1823."/><s v="Liverence, B. M., &amp; Scholl, B. J. (2015). Object persistence enhances spatial navigation: A case study in smartphone vision science. Psychological Science, 26(7), 955-963."/><s v="Livingston, R. W., Rosette, A. S., &amp; Washington, E. F. (2012). Can an agentic Black woman get ahead? The impact of race and interpersonal dominance on perceptions of female leaders. Psychological science, 23(4), 354-358."/><s v="Lloyd, E. P., Hugenberg, K., McConnell, A. R., Kunstman, J. W., &amp; Deska, J. C. (2017). Black and White lies: Race-based biases in deception judgments. Psychological science, 28(8), 1125-1136."/><s v="Long, B., &amp; Konkle, T. (2017). A familiar-size Stroop effect in the absence of basic-level recognition. Cognition, 168, 234-242."/><s v="Luttrell, A., Philipp-Muller, A., &amp; Petty, R. E. (2019). Challenging moral attitudes with moral messages. Psychological Science, 30(8), 1136-1150."/><s v="Maddux, W. W., Galinsky, A. D., Cuddy, A. J., &amp; Polifroni, M. (2008). When being a model minority is good... and bad: Realistic threat explains negativity toward Asian Americans. Personality and Social Psychology Bulletin, 34(1), 74-89."/><s v="Mani, A., Mullainathan, S., Shafir, E., &amp; Zhao, J. (2013). Poverty impedes cognitive function. science, 341(6149), 976-980."/><s v="Markant, D. B., &amp; Gureckis, T. M. (2014). Is it better to select or to receive? Learning via active and passive hypothesis testing. Journal of Experimental Psychology: General, 143(1), 94."/><s v="Metaxa-Kakavouli, D., Wang, K., Landay, J. A., &amp; Hancock, J. (2018, April). Gender-inclusive design: Sense of belonging and bias in web interfaces. In Proceedings of the 2018 CHI Conference on human factors in computing systems (pp. 1-6)."/><s v="Minson, J. A., Chen, F. S., &amp; Tinsley, C. H. (2020). Why won’t you listen to me? Measuring receptiveness to opposing views. Management Science, 66(7), 3069-3094."/><s v="Mirault, J., Snell, J., &amp; Grainger, J. (2018). You that read wrong again! A transposed-word effect in grammaticality judgments. Psychological Science, 29(12), 1922-1929."/><s v="Monin, B., Sawyer, P. J., &amp; Marquez, M. J. (2008). The rejection of moral rebels: resenting those who do the right thing. Journal of personality and social psychology, 95(1), 76."/><s v="Morris, A. L., &amp; Still, M. L. (2008). Now you see it, now you don't: repetition blindness for nonwords. Journal of Experimental Psychology: Learning, Memory, and Cognition, 34(1), 146."/><s v="Forti, S., &amp; Humphreys, G.W. (2008). Sensitivity to object viewpoint and action instructions during search for targets in the lower visual field. Psychological Science, 19(1), 42-48."/><s v="Schnall S., Benton J., &amp; Harvey S. (2008). With a clean conscience: Cleanliness reduces the severity of moral judgments. &lt;i&gt;Psychological Science&lt;/i&gt;, 19, 1219-1222."/><s v="SE Palmer, T Ghose (2008). Extremal edges: a powerful cue to depth perception and figure-ground organization. Psychological Science, 19.1: 77-84."/><s v="Heine, S.J., Buchtel, E.E., &amp; Norenzayan, A. (2008). What do cross‐national comparisons of personality traits tell us? The case of conscientiousness. Psychological Science, 19(4), 309-313."/><s v="Moeller, S.K., Robinson, M.D., Zabelina, D.L. (2008). Personality dominance and preferential use of the vertical dimension of space. Psychological Science, 19, 355-361."/><s v="Goschke, T., &amp; Dreisbach, G. (2008). Conflict-triggered goal shielding: response conflicts attenuate background monitoring for prospective memory cues. Psychological science, 19(1), 25–32."/><s v="LoBue,V., &amp; DeLoache, J.S. (2008). Detecting the snake in the grass: Attention to fear-relevant stimuli by adults and children. Psychological Science, 19, 284-289."/><s v="Dai, X., Wertenbroch, K., &amp; Brendl, C. M. (2008). The value heuristic in judgments of relative frequency. Psychological Science, 19, 18–19."/><s v="Estes, Z., Verges, M., &amp; Barsalou, L.W. (2008). Head up, foot down. Object words orient attention to the objects’ typical location. Psychological Science, 19(2), 93–97."/><s v="Fiedler, K. (2008). The ultimate sampling dilemma in experience-based decision making. Journal of Experimental Psychology: Learning, Memory, and Cognition, 34(1), 186."/><s v="Oberauer, Klaus. &quot;How to say no: Single-and dual-process theories of short-term recognition tested on negative probes.&quot; Journal of Experimental Psychology: Learning, Memory, and Cognition 34.3 (2008): 439"/><s v="Morris, A.L., Still, M.L. (2008). Now you see it, now you don't: Repetition blindness for nonwords. Journal of Experimental Psychology: Learning Memory and Cognition, 34(1), 146–166."/><s v="Sahakyan, L., Delaney, P. F., &amp; Waldum, E. R. (2008). Intentional forgetting is easier after two&quot; shots&quot; than one. Journal of Experimental Psychology: Learning, Memory, and Cognition, 34(2), 408."/><s v="Colzato, L.S., Bajo, M.T., van den Wildenberg, W., Paolieri, D., Nieuwenhuis, S., La Heij, W., &amp; Hommel, B. (2008). Journal of Experimental Psychology: Learning, Memory, and Cognition, 34(2), 302-312."/><s v="Bassok, M., Pedigo, S.F., &amp; Oskarsson, A.T (2008). Priming Addition Facts with Semantic Relations. Journal of Experimental Psychology: Learning, Memory, and Cognition, 34, 343-352."/><s v="Couture, M., Lafond, D., &amp; Tremblay, S. (2008). Learning correct responses and errors in the hebb repetition effect: Two faces of the same coin. Journal of Experimental Psychology: Learning, Memory, and Cognition, 34(3), 524-532."/><s v="Reynolds, M., &amp; Besner, D. (2008). Contextual effects on reading aloud: Evidence for pathway control. Journal of Experimental Psychology: Learning, Memory, and Cognition, 34(1), 50."/><s v="MJ Yap, DA Balota, CS Tse, D Besner. (2008) On the additive effects of stimulus quality and word frequency in lexical decision: evidence for opposing interactive influences revealed by RT distributional analyses. Journal of Experimental Psychology: Learni"/><s v="N Janssen, W Schirm, BZ Mahon, A Caramazza (2008).“Semantic Interference in a Delayed Naming Task: Evidence for the Response Exclusion Hypothesis.” Journal of Experimental Psychology: Learning Memory and Cognition, 34(1), 249-256."/><s v="Turk-Browne, N. B., Isola, P. J., Scholl, B. J., &amp; Treat, T. A. (2008). Multidimensional Visual Statistical Learning. Journal of Experimental Psychology: Learning, Memory, and Cognition, 34(2), 399–407. doi:10.1037/0278-7393.34.2.399"/><s v="Liefooghe, B., Barrouillet, P., Vandierendonck, A., &amp; Camos, V. (2008). Working memory costs of task switching. Journal of Experimental Psychology: Learning, Memory, and Cognition, 34(3), 478-494. doi: 10.1037/0278-7393.34.3.478"/><s v="White, P.A. (2008). Accounting for Occurrences: A New View of the Use of Contingency Information in Causal Judgment. Journal of Experimental Psychology: Learning, Memory, and Cognition, 34(1), 204–218."/><s v="Farrell, S. (2008). Multiple roles for time in short-term memory: Evidence from serial recall of order and timing. Journal of Experimental Psychology: Learning, Memory, and Cognition, 34(1), 128."/><s v="Pacton, S., &amp; Perruchet, P. (2008). An attention-based associative account of adjacent and nonadjacent dependency learning. Journal of Experimental Psychology: Learning, Memory, and Cognition, 34, 80-96."/><s v="Makovski, Tal; Sussman, Rachel; Jiang, Yuhong V. (2008). Orienting attention in visual working memory reduces interference from memory probes. Journal of Experimental Psychology: Learning, Memory, and Cognition, 34.2: 369-380."/><s v="Decision making and learning while taking sequential risks. Journal of Experimental Psychology: Learning, Memory, and Cognition, 34(1), 167-185."/><s v="Storm, B.C., Bjork, E.L., &amp; Bjork, R.A. 2008. Accelerated relearning after retrieval-induced forgetting: The benefit of being forgotten. Journal of Experimental Psychology: Learning, Memory, and Cognition, 34, 230-236."/><s v="B Monin, PJ Sawyer, MJ Marquez (2008). The rejection of moral rebels: resenting those who do the right thing. Journal of Personality and Social Psychology, 95.1: 76-93."/><s v="Payne, B. K. Burkley, M. A. Stokes, M. B. (2008). Why Do Implicit and Explicit Attitude Tests Diverge? The Role of Structural Fit. Journal of Personality and Social Psychology, 94, 16–31."/><s v="Soto, C.J., John, O.P., Gosling, S.D., &amp; Potter, J. (2008). The developmental psychometrics of big five self-reports: Acquiescence, factor structure, coherence, and differentiation from ages 10 to 20. Journal of Personality and Social Psychology, 94(4), 7"/><s v="Cox, C.R., Arndt, J., Pyszczynski, T., Greenberg, J., Abdollahi, A., &amp; Solomon, S. (2008). Terror management and adults' attachment to their parents: The safe haven remains. Journal of Personality and Social Psychology, 94(4), 696-717."/><s v="D Albarracín, IM Handley, K Noguchi, KC McCulloch, H Li, J Leeper, RD Brown, A Earl, WP Hart (2008). Increasing and decreasing motor and cognitive output: a model of general action and inaction goals. Journal of Personality and Social Psychology, 95.3: 51"/><s v="C Mitchell, S Nash, G Hall (2008). The intermixed-blocked effect in human perceptual learning is not the consequence of trial spacing. Journal of Experimental Psychology: Learning, Memory, and Cognition, 34.1 (2008): 237-242."/><s v="Albarracín, D., Handley, I.M., Noguchi, K., McCulloch, K.C., Li, H., Leeper, J., Brown, R.D., Earl, A., &amp; Hart, W.P. (2008). Increasing and decreasing motor and cognitive output: A model of general action and inaction goals. Journal of Personality and Soc"/><s v="Centerbar, D.B., Schnall, S., Clore, G.L., &amp; Garvin, E.D. (2008). Affective incoherence: When affective concepts and embodied reactions clash. Journal of Personality and Social Psychology, 94(4), 560-578. doi: 10.1037/0022-3514.94.4.560"/><s v="Amodio, D. M., Devine, P. G., &amp; Harmon-Jones, E. (2008). Individual differences in the regulation of intergroup bias: The role of conflict monitoring and neural signals for control. Journal of Personality and Social Psychology, 94(1), 60-74."/><s v="Harmon-Jones, E., Harmon-Jones, C., Fearn, M., Sigelman, J.D., &amp; Johnson, P. (2008). Left frontal cortical activation and spreading of alternatives: Test of the action-based model of dissonance. Journal of Personality and Social Psychology, 94(1), 1-15."/><s v="van Dijk, E., van Kleef, G.A., Steinel, W., &amp; van Beest, I. (2008). A social functional approach to emotions in bargaining: When communicating anger pays and when it backfires. Journal of Personality and Social Psychology, 94(4), 600-614."/><s v="Lemay, E.P., &amp; Clark, M.S. Walking on eggshells: How expressing relationship insecurities perpetuates them. Journal of Personality and Social Psychology, 95(2), 420-441."/><s v="How the head liberates the heart: projection of communal responsiveness guides relationship promotion. Journal of Personality and Social Psychology, 95(4), 647-671."/><s v="Lemay, E.P., &amp; Clark, M.S. How the head liberates the heart: projection of communal responsiveness guides relationship promotion. Journal of Personality and Social Psychology, 95(4), 647-671."/><s v="Berry, C.J., Shanks, D.R., &amp; Henson, R.N. A single-system account of the relationship between priming, recognition, and fluency. Journal of Experimental Psychology: Learning, Memory, and Cognition, 34(1), 97-111."/><s v="Ersner-Hershfield, H. H., Mikels, J. A., Sullivan, S. J., &amp; Carstensen, L. L. (2008). Poignancy: mixed emotional experience in the face of meaningful endings. Journal of Personality and Social Psychology, 94(1), 158-167."/><s v="Correll, J. (2008). 1/f noise and effort on implicit measures of bias. Journal of Personality and Social Psychology, 94, 48-59."/><s v="Förster, J., Liberman, N., &amp; Kuschel, S. (2008). The effect of global versus local processing styles on assimilation versus contrast in social judgment. Journal of Personality and Social Psychology, 94, 579-599."/><s v="JJ Exline, RF Baumeister, AL Zell, AJ Kraft, CV Witvliet (2008). Not so innocent: does seeing one's own capacity for wrongdoing predict forgiveness? Journal of Personality and Social Psychology: 94.3: 495-515."/><s v="JL Risen, T Gilovich (2008). Why people are reluctant to tempt fate. Journal of Personality and Social Psychology, 95.2: 293-307."/><s v="Tracy, J.L., &amp; Robins, R.W. (2008). The nonverbal expression of pride: Evidence for cross-cultural recognition. Journal of Personality and Social Psychology, 94(3), 516-530."/><s v="Beaman, C.P., Neath, I., &amp; Suprenant, A.M. (2008). Modeling Distributions of Immediate Memory Effects: No Strategies Needed? Journal of Experimental Psychology: LMC, 34 (1), 219 - 239."/><s v="KE Stanovich, RF West (2008). On the relative independence of thinking biases and cognitive ability. Journal of Personality and Social Psychology, 94(4):672-95. doi: 10.1037/0022-3514.94.4.672."/><s v="Blankenship, K. L., &amp; Wegener, D. T. (2008). Opening the mind to close it: Considering a message in light of important values increases message processing and later resistance to change. Journal of Personality and Social Psychology, 94, 196-213."/><s v="Morrison, Kimberly Rios, and Dale T. Miller. &quot;Distinguishing between silent and vocal minorities: Not all deviants feel marginal.&quot; Journal of Personality and Social Psychology 94.5 (2008): 871"/><s v="Koo, M., &amp; Fishbach, A. (2008). Dynamics of self-regulation: How (un)accomplished goal actions affect motivation. Journal of Personality and Social Psychology, 94(2), 183-195."/><s v="Dodson, C.S., Darragh, J., &amp; Williams, A. (2008). Stereotypes and retrieval-provoked illusory source recollections. Journal of Experimental Psychology: Learning, Memory, and Cognition, 34(3), 460-477."/><s v="MD Henderson, Y de Liver, PM Gollwitzer (2008). The effects of an implemental mind-set on attitude strength. Journal of Personality and Social Psychology, 94.3: 396-411."/><s v="Shnabel, Nurit, and Arie Nadler. &quot;A needs-based model of reconciliation: satisfying the differential emotional needs of victim and perpetrator as a key to promoting reconciliation.&quot; Journal of personality and social psychology 94.1 (2008): 116."/><s v="Rule, N., &amp; Ambady, N. (2008). The face of success: Inferences from chief executive officers' appearance predict company profits. Psychological Science 19(2), 109-111."/><s v="P Fischer, S Schulz-Hardt, D Frey (2008). Selective exposure and information quantity: how different information quantities moderate decision makers' preference for consistent and inconsistent information. Journal of Personality and Social Psychology, 94."/><s v="Fischer, P., Greitemeyer, T., &amp; Frey, D. (2008). Self-regulation and selective exposure: The impact of depleted self-regulation resources on confirmatory information processing. Journal of Personality and Social Psychology, 94(3), 382-395."/><s v="P.A. Goff, C.M. Steele, &amp; P.G. Davies, 2008. The space between us: Stereotype threat and distance in interracial contexts. Journal of Personality and Social Psychology, 94, 91-107."/><s v="Eastwick, P. W., &amp; Finkel, E. J. (2008). Sex differences in mate preferences revisited: Do people know what they initially desire in a romantic partner?. Journal Of Personality And Social Psychology, 94(2), 245-264. doi:10.1037/0022-3514.94.2.245"/><s v="Weidemann, C.T., Huber, D.E., &amp; Shiffrin, R.M. (2008). Prime diagnosticity in short-term repetition priming: Is primed evidence discounted, even when it reliably indicates the correct answer? Journal of Experimental Psychology: Learning, Memory, and Cogni"/><s v="Murray, S.L., Derrick, J.L., Leder, S., &amp; Holmes, J.G. (2008). Balancing connectedness and self-protection goals in close relationships: A levels-of-processing perspective on risk regulation. Journal of Personality and Social Psychology, 94(3), 429-459."/><s v="McCrea, SM. (2008). Self-handicapping, excuse making, and counterfactual thinking: Consequences for self-esteem and future motivation. Journal of Personality and Social Psychology, 95(2), 274-292"/><s v="Purdie-Vaughns, V., Steele, C.M., Davies, P.G., Ditlmann, R., &amp; Crosby, J.R. (2008). Social identity contingencies: How diversity cues signal threat or safety for african americans in mainstream institutions. Journal of Personality and Social Psychology, "/><s v="Kidd, D. C., &amp; Castano, E. (2013). Reading literary fiction improves theory of mind. Science, 342(6156), 377-380. Study "/><s v="Kidd, D. C., &amp; Castano, E. (2013). Reading literary fiction improves theory of mind. Science, 342(6156), 377-380. Study 3"/><s v="Kidd, D. C., &amp; Castano, E. (2013). Reading literary fiction improves theory of mind. Science, 342(6156), 377-380. Study 5"/><s v="Wang, X. T., &amp; Dvorak, R. D. (2010). Sweet future: Fluctuating blood glucose levels affect future discounting. Psychological Science, 21(2), 183-188."/><s v="Roelofs, A. (2008). Tracing attention and the activation flow in spoken word planning using eye movements. Journal of Experimental Psychology: Learning, Memory, and Cognition, 34(2), 353-368."/><s v="Ganor-Stern, D., &amp; Tzelgov, J. (2008). Across-notation automatic numerical processing. Journal of Experimental Psychology: Learning, Memory, and Cognition, 34(2), 430-437."/><s v="Alter, A.A., &amp; Oppenheimer, D.M. (2008). Effects of fluency on psychological distance and mental construal (or why New York is a large city, but New York is a civilized jungle). Psychological Science, 19, 161-167."/><s v="Dessalegn, B. &amp; Landau, B. (2008). More than meets the eye: The role of language in binding visual properties. Psychological Science, 19(2), 189-195."/><s v="Eitam, B., Hassin, R. R., &amp; Schul, Y. (2008). Nonconscious goal pursuit in novel environments: The case of implicit learning. Psychological Science, 19, 261-267."/><s v="Bannard, C., &amp; Matthews, D. (2008). Stored word sequences in language learning: The effect of familiarity on children's repetition of four-word combinations. Psychological science, 19(3), 241-248."/><s v="Mirman, D., &amp; Magnuson, J. S. (2008). Attractor dynamics and semantic neighborhood density: Processing is slowed by near neighbors and speeded by distant neighbors. Journal of Experimental Psychology: Learning, Memory, and Cognition, 34, 65-79."/><s v="Farris, C., Treat, T.A., Viken, R.J., &amp; McFall, R.M. (2008). Perceptual mechanisms that characterize gender differences in decoding women's sexual intent. Psychological Science, 19(4), 348-354."/><s v="Janiszewski, C., D. Uy. 2008. Anchor precision influences the amount of adjustment. Psychological Science, 19,121–127."/><s v="C McKinstry, R Dale, MJ Spivey (2008). Action dynamics reveal parallel competition in decision making. Psychological Science, 19.1: 22-24."/><s v="Armor, D.A., Massey, C., &amp; Sackett, A.M. 2008. Prescribed optimism: Is it right to be wrong about the future? Psychological Science, 19, 329-331."/><s v="Addis, D.R., Wong, A.T., &amp; Schacter, D.L. (2008). Age-related changes in the episodic simulation of future events. Psychological Science, 19(1), 33-41."/><s v="Nurmsoo, E., &amp; Bloom, P. (2008). Preschoolers' Perspective Taking in Word Learning Do They Blindly Follow Eye Gaze?. Psychological Science, 19(3), 211-215."/><s v="Vul, E., &amp; Pashler, H. (2008). Measuring the crowd within: Probabilistic representations within individuals. Psychological Science, 19, 645-647."/><s v="Vul, E., Nieuwenstein, M., &amp; Kanwisher, N. (2008). Temporal selection is suppressed, delayed, and diffused during the attentional blink. Psychological Science, 19(1), 55-61."/><s v="Masicampo, E.J., &amp; Baumeister, R.F. (2008). Toward a physiology of dual-process reasoning and judgment: Lemonade, willpower, and expensive rule-based analysis. Psychological Science, 19(3), 255-260."/><s v="Marsh, J.E., Vachon, F., &amp; Jones, D.M. (2008). When does between-sequence phonological similarity promote irrelevant sound disruption? Journal of Experimental Psychology: Learning, Memory, and Cognition, 34(1), 243-248."/><s v="Hajcak, G., &amp; Foti, D. (2008). Errors are aversive: Defensive motivation and the error-related negativity. Psychological science, 19(2), 103-108."/><s v="Tabibnia, G., Satpute, A.B., Lieberman, M.D. (2008). The sunny side of fairness: Preference for fairness activates reward circuitry (and disregarding unfairness activates self-control circuitry). Psychological Science, 19(4), 339-347."/><s v="Alvarez, G.A. &amp; Oliva, A. (2008). The representation of simple ensemble visual features outside the focus of attention. Psychological Science, 19(4), 392-398."/><s v="Woodman, G. F., Kang, M. S., Thompson, K., &amp; Schall, J. D. (2008). The effect of visual search efficiency on response preparation: neurophysiological evidence for discrete flow. Psychological science, 19(2), 128-136."/><s v="Lau, G.P., Kay, A.C., &amp; Spencer, S.J. (2008). Loving those who justify inequality: The effects of system threat on attraction to women who embody benevolent sexist ideals. Psychological Science, 19, 20-21."/><s v="Deary, I. J., Batty, G. D., &amp; Gale, C. R. (2008). Bright children become enlightened adults. Psychological science, 19(1), 1-6."/><s v="Winawer, Huk, and Boroditsky (2008). A Motion aftereffect from still photographs depicting motion. Psychological Science, 19, 276-283."/><s v="Richeson, J. A., &amp; Trawalter, S. (2008). The threat of appearing prejudiced and race-based attentional biases. Psychological Science, 19(2), 98-102."/><s v="Campbell, J.I., &amp; Robert, N.D. (2008). Bidirectional associations in multiplication memory: Conditions of negative and positive transfer. Journal of Experimental Psychology: Learning, Memory, and Cognition, 34(3), 546-555."/><s v="Alais, D., &amp; Burr, D. (2004). The ventriloquist effect results from near-optimal bimodal integration. Current biology, 14(3), 257-262."/><s v="Blair, K. S., Smith, B. W., Mitchell, D. G., Morton, J., Vythilingam, M., Pessoa, L., ... &amp; Blair, R. J. R. (2007). Modulation of emotion by cognition and cognition by emotion. Neuroimage, 35(1), 430-440."/><s v="Najemnik, J., &amp; Geisler, W. S. (2005). Optimal eye movement strategies in visual search. Nature, 434(7031), 387-391."/><s v="Nekmat, E., Gower, K. K., Zhou, S., &amp; Metzger, M. (2019). Connective-collective action on social media: Moderated mediation of cognitive elaboration and perceived source credibility on personalness of source. Communication Research, 46(1), 62-87."/><s v="Ngo, C. T., Horner, A. J., Newcombe, N. S., &amp; Olson, I. R. (2019). Development of holistic episodic recollection. Psychological science, 30(12), 1696-1706."/><s v="Nook, E. C., Schleider, J. L., &amp; Somerville, L. H. (2017). A linguistic signature of psychological distancing in emotion regulation. Journal of Experimental Psychology: General, 146(3), 337."/><s v="O'Brien, E. (2015). Mapping out past and future minds: The perceived trajectory of rationality versus emotionality over time. Journal of Experimental Psychology: General, 144(3), 624."/><s v="Oh, D., Buck, E. A., &amp; Todorov, A. (2019). Revealing hidden gender biases in competence impressions of faces. Psychological Science, 30(1), 65-79."/><s v="Okan, Y., Garcia-Retamero, R., Cokely, E. T., &amp; Maldonado, A. (2018). Biasing and debiasing health decisions with bar graphs: Costs and benefits of graph literacy. Quarterly Journal of Experimental Psychology, 71(12), 2506-2519."/><s v="O’Keefe, P. A., Dweck, C. S., &amp; Walton, G. M. (2018). Implicit theories of interest: Finding your passion or developing it?. Psychological science, 29(10), 1653-1664."/><s v="Okonofua, J. A., Paunesku, D., &amp; Walton, G. M. (2016). Brief intervention to encourage empathic discipline cuts suspension rates in half among adolescents. Proceedings of the National Academy of Sciences, 113(19), 5221-5226."/><s v="Otto, R. A., Skatova, A., Madlon-Kay, S., &amp; Daw, N. (2014). Cognitive Control Mode Predicts Behavioral Expression of Model-Based Reinforcement-Learning. In Proceedings of the Annual Meeting of the Cognitive Science Society (Vol. 36, No. 36)."/><s v="Blankenship, K. L., &amp; Wegener, D. T. (2008). Opening the mind to close it: considering a message in light of important values increases message processing and later resistance to change. Journal of Personality and Social Psychology, 94(2), 196."/><s v="Payne, J. D., Stickgold, R., Swanberg, K., &amp; Kensinger, E. A. (2008). Sleep preferentially enhances memory for emotional components of scenes. Psychological science, 19(8), 781-788."/><s v="Peer, E., Rothschild, D., Gordon, A., Evernden, Z., &amp; Damer, E. (2022). Data quality of platforms and panels for online behavioral research. Behavior Research Methods, 54(4), 1643-1662."/><s v="Petersen, M. B. (2017). Healthy out-group members are represented psychologically as infected in-group members. Psychological Science, 28(12), 1857-1863."/><s v="Piff, P. K., Stancato, D. M., Côté, S., Mendoza-Denton, R., &amp; Keltner, D. (2012). Higher social class predicts increased unethical behavior. Proceedings of the National Academy of Sciences, 109(11), 4086-4091."/><s v="Pilditch, T. D., Fenton, N., &amp; Lagnado, D. (2019). The zero-sum fallacy in evidence evaluation. Psychological science, 30(2), 250-260."/><s v="Porter, S. C., Rheinschmidt-Same, M., &amp; Richeson, J. A. (2016). Inferring identity from language: Linguistic intergroup bias informs social categorization. Psychological science, 27(1), 94-102."/><s v="Bourrat, P., Baumard, N., &amp; McKay, R. (2011). Surveillance cues enhance moral condemnation. Evolutionary Psychology, 9(2), 147470491100900206."/><s v="Proudfoot, D., Kay, A. C., &amp; Koval, C. Z. (2015). A gender bias in the attribution of creativity: Archival and experimental evidence for the perceived association between masculinity and creative thinking. Psychological science, 26(11), 1751-1761."/><s v="Ranzini, M., Dehaene, S., Piazza, M., &amp; Hubbard, E. M. (2009). Neural mechanisms of attentional shifts due to irrelevant spatial and numerical cues. Neuropsychologia, 47(12), 2615-2624."/><s v="Read, D., &amp; Scholten, M. (2012). Tradeoffs between sequences: Weighing accumulated outcomes against outcome-adjusted delays. Journal of Experimental Psychology: Learning, Memory, and Cognition, 38(6), 1675."/><s v="Reinecke, K., Yeh, T., Miratrix, L., Mardiko, R., Zhao, Y., Liu, J., &amp; Gajos, K. Z. (2013, April). Predicting users' first impressions of website aesthetics with a quantification of perceived visual complexity and colorfulness. In Proceedings of the SIGCH"/><s v="Reis, H. T., Lee, K. Y., O'Keefe, S. D., &amp; Clark, M. S. (2018). Perceived partner responsiveness promotes intellectual humility. Journal of Experimental Social Psychology, 79, 21-33."/><s v="Richter, F. R., &amp; Yeung, N. (2012). Memory and cognitive control in task switching. Psychological Science, 23(10), 1256-1263."/><s v="Risen, J. L., &amp; Gilovich, T. (2008). Why people are reluctant to tempt fate. Journal of personality and social psychology, 95(2), 293."/><s v="Rogers, T., Zeckhauser, R., Gino, F., Norton, M. I., &amp; Schweitzer, M. E. (2017). Artful paltering: The risks and rewards of using truthful statements to mislead others. Journal of personality and social psychology, 112(3), 456."/><s v="Rottman, J., &amp; Young, L. (2019). Specks of dirt and tons of pain: Dosage distinguishes impurity from harm. Psychological Science, 30(8), 1151-1160."/><s v="Brady, T. F., &amp; Alvarez, G. A. (2011). Hierarchical encoding in visual working memory: Ensemble statistics bias memory for individual items. Psychological science, 22(3), 384-392."/><s v="Rychlowska, M., Jack, R. E., Garrod, O. G., Schyns, P. G., Martin, J. D., &amp; Niedenthal, P. M. (2017). Functional smiles: Tools for love, sympathy, and war. Psychological science, 28(9), 1259-1270."/><s v="Santello, M., Flanders, M., &amp; Soechting, J. F. (1998). Postural hand synergies for tool use. Journal of neuroscience, 18(23), 10105-10115."/><s v="Savani, K., Markus, H. R., Naidu, N. V. R., Kumar, S., &amp; Berlia, N. (2010). What counts as a choice? US Americans are more likely than Indians to construe actions as choices. Psychological Science, 21(3), 391-398."/><s v="Savani, K., &amp; Rattan, A. (2012). A choice mind-set increases the acceptance and maintenance of wealth inequality. Psychological science, 23(7), 796-804."/><s v="Schaerer, M., Swaab, R. I., &amp; Galinsky, A. D. (2015). Anchors weigh more than power: Why absolute powerlessness liberates negotiators to achieve better outcomes. Psychological science, 26(2), 170-181."/><s v="Schechtman, E., Laufer, O., &amp; Paz, R. (2010). Negative valence widens generalization of learning. Journal of Neuroscience, 30(31), 10460-10464."/><s v="Schnall, S., Benton, J., &amp; Harvey, S. (2008). With a clean conscience: Cleanliness reduces the severity of moral judgments. Psychological science, 19(12), 1219-1222."/><s v="Scopelliti, I., Loewenstein, G., &amp; Vosgerau, J. (2015). You call it “Self-Exuberance”; I call it “Bragging” miscalibrated predictions of emotional responses to self-promotion. Psychological science, 26(6), 903-914."/><s v="Semrow, M., Zou, L. X., Liu, S., &amp; Cheryan, S. (2020). Gay Asian Americans are seen as more American than Asian Americans who are presumed straight. Social Psychological and Personality Science, 11(3), 336-344."/><s v="Brady, T. F., Konkle, T., Alvarez, G. A., &amp; Oliva, A. (2013). Real-world objects are not represented as bound units: independent forgetting of different object details from visual memory. Journal of Experimental Psychology: General, 142(3), 791."/><s v="Shah, A. K., Shafir, E., &amp; Mullainathan, S. (2015). Scarcity frames value. Psychological science, 26(4), 402-412."/><s v="Sharif, M. A., &amp; Oppenheimer, D. M. (2016). The effect of relative encoding on memory-based judgments. Psychological science, 27(8), 1136-1145."/><s v="Shariff, A. F., Greene, J. D., Karremans, J. C., Luguri, J. B., Clark, C. J., Schooler, J. W., ... &amp; Vohs, K. D. (2014). Free will and punishment: A mechanistic view of human nature reduces retribution. Psychological science, 25(8), 1563-1570."/><s v="Shavit, Y. Z., Chi, K., &amp; Carstensen, L. L. (2022). Age and Time Horizons Are Associated With Preferences for Helping Colleagues. Work, Aging and Retirement."/><s v="Sheppes, G., Scheibe, S., Suri, G., &amp; Gross, J. J. (2011). Emotion-regulation choice. Psychological science, 22(11), 1391-1396."/><s v="Sherman, G. D., Haidt, J., &amp; Clore, G. L. (2012). The faintest speck of dirt: Disgust enhances the detection of impurity. Psychological Science, 23(12), 1506-1514."/><s v="Sloman, S. A., &amp; Rabb, N. (2016). Your understanding is my understanding: Evidence for a community of knowledge. Psychological science, 27(11), 1451-1460."/><s v="Sofer, C., Dotsch, R., Wigboldus, D. H., &amp; Todorov, A. (2015). What is typical is good: The influence of face typicality on perceived trustworthiness. Psychological Science, 26(1), 39-47."/><s v="Stavrova, O., Ehlebracht, D., &amp; Vohs, K. D. (2020). Victims, perpetrators, or both? The vicious cycle of disrespect and cynical beliefs about human nature. Journal of Experimental Psychology: General, 149(9), 1736."/><s v="Brandone, A. C., Gelman, S. A., &amp; Hedglen, J. (2015). Children's developing intuitions about the truth conditions and implications of novel generics versus quantified statements. Cognitive science, 39(4), 711-738."/><s v="Storm, B. C., &amp; Stone, S. M. (2015). Saving-enhanced memory: The benefits of saving on the learning and remembering of new information. Psychological Science, 26(2), 182-188."/><s v="Störmer, V. S., &amp; Alvarez, G. A. (2016). Attention alters perceived attractiveness. Psychological Science, 27(4), 563-571."/><s v="Suppes, P., &amp; Schlag-Rey, M. (1965). Observable changes of hypotheses under positive reinforcement. Science, 148(3670), 661-662."/><s v="Tamir, D. I., &amp; Mitchell, J. P. (2012). Disclosing information about the self is intrinsically rewarding. Proceedings of the National Academy of Sciences, 109(21), 8038-8043."/><s v="Tarampi, M. R., Heydari, N., &amp; Hegarty, M. (2016). A tale of two types of perspective taking: Sex differences in spatial ability. Psychological Science, 27(11), 1507-1516."/><s v="Tieu, L., Yatsushiro, K., Cremers, A., Romoli, J., Sauerland, U., &amp; Chemla, E. (2017). On the role of alternatives in the acquisition of simple and complex disjunctions in French and Japanese. Journal of Semantics, 34(1), 127-152."/><s v="Todd, A. R., Thiem, K. C., &amp; Neel, R. (2016). Does seeing faces of young black boys facilitate the identification of threatening stimuli?. Psychological science, 27(3), 384-393."/><s v="Tribushinina, E. (2011). Once again on norms and comparison classes. Linguistics, 49(3), 525–553."/><s v="Tworek, C. M., &amp; Cimpian, A. (2016). Why do people tend to infer “ought” from “is”? The role of biases in explanation. Psychological Science, 27(8), 1109-1122."/><s v="Brown-Iannuzzi, J. L., Dotsch, R., Cooley, E., &amp; Payne, B. K. (2017). The relationship between mental representations of welfare recipients and attitudes toward welfare. Psychological science, 28(1), 92-103."/><s v="Van Koningsbruggen, G. M., Hartmann, T., Eden, A., &amp; Veling, H. (2017). Spontaneous hedonic reactions to social media cues. Cyberpsychology, Behavior, and Social Networking, 20(5), 334-340."/><s v="Vasilyeva, N., Blanchard, T., &amp; Lombrozo, T. (2018). Stable causal relationships are better causal relationships. Cognitive Science, 42(4), 1265-1296."/><s v="Romero Verdugo, P., van Lieshout, L. L., de Lange, F. P., &amp; Cools, R. (2020). Choice boosts curiosity. Psychological Science, 09567976221082637."/><s v="Vohs, K. D., Mead, N. L., &amp; Goode, M. R. (2006). The psychological consequences of money. science, 314(5802), 1154-1156."/><s v="Vohs, K. D., Sengupta, J., &amp; Dahl, D. W. (2014). The price had better be right: Women’s reactions to sexual stimuli vary with market factors. Psychological science, 25(1), 278-283."/><s v="Ter Wal, M., Linde-Domingo, J., Lifanov, J., Roux, F., Kolibius, L. D., Gollwitzer, S., ... &amp; Wimber, M. (2021). Theta rhythmicity governs human behavior and hippocampal signals during memory-dependent tasks. Nature communications, 12(1), 1-15."/><s v="Wilkins, C. L., &amp; Kaiser, C. R. (2014). Racial progress as threat to the status hierarchy: Implications for perceptions of anti-White bias. Psychological science, 25(2), 439-446."/><s v="Wilson, T. D., Reinhard, D. A., Westgate, E. C., Gilbert, D. T., Ellerbeck, N., Hahn, C., ... &amp; Shaked, A. (2014). Just think: The challenges of the disengaged mind. Science, 345(6192), 75-77."/><s v="Wiltermuth, S. S. (2011). Cheating more when the spoils are split. Organizational Behavior and Human Decision Processes, 115(2), 157-168."/><s v="Xu, Y., &amp; Franconeri, S. L. (2015). Capacity for visual features in mental rotation. Psychological science, 26(8), 1241-1251."/><s v="Yang, F., Choi, Y. J., Misch, A., Yang, X., &amp; Dunham, Y. (2018). In defense of the commons: Young children negatively evaluate and sanction free riders. Psychological science, 29(10), 1598-1611."/><s v="Yeshurun, Y., &amp; Levy, L. (2003). Transient spatial attention degrades temporal resolution. Psychological Science, 14(3), 225-231."/><s v="Yousif, S. R., Aboody, R., &amp; Keil, F. C. (2019). The illusion of consensus: A failure to distinguish between true and false consensus. Psychological Science, 30(8), 1195-1204."/><s v="Zangger, C., &amp; Widmer, J. (2020). Choosing what is best for one’s children? Experimental evidence on parents’ responsiveness to childcare subsidies and their preferences for different childcare arrangements. Early childhood research quarterly, 51, 110-123"/><s v="Zaval, L., Markowitz, E. M., &amp; Weber, E. U. (2015). How will I be remembered? Conserving the environment for the sake of one’s legacy. Psychological science, 26(2), 231-236."/><s v="Zhao, M., Bülthoff, H. H., &amp; Bülthoff, I. (2016). Beyond faces and expertise: Facelike holistic processing of nonface objects in the absence of expertise. Psychological science, 27(2), 213-222."/><s v="Cao, J., Kleiman-Weiner, M., &amp; Banaji, M. R. (2019). People make the same Bayesian judgment they criticize in others. Psychological Science, 30(1), 20-31."/><s v="Catarino, A., Küpper, C. S., Werner-Seidler, A., Dalgleish, T., &amp; Anderson, M. C. (2015). Failing to forget: Inhibitory-control deficits compromise memory suppression in posttraumatic stress disorder. Psychological science, 26(5), 604-616."/><s v="Albarracín, D., Handley, I. M., Noguchi, K., McCulloch, K. C., Li, H., Leeper, J., ... &amp; Hart, W. P. (2008). Increasing and decreasing motor and cognitive output: a model of general action and inaction goals. Journal of Personality and Social Psychology, "/><s v="Charpentier, C. J., De Neve, J. E., Li, X., Roiser, J. P., &amp; Sharot, T. (2016). Models of affective decision making: how do feelings predict choice?. Psychological science, 27(6), 763-775."/><s v="Child, S., Oakhill, J., &amp; Garnham, A. (2018). You’re the emotional one: the role of perspective for emotion processing in reading comprehension. Language, cognition and neuroscience, 33(7), 878-889."/><s v="Chopra, S., Tessler, M. H., &amp; Goodman, N. D. (2019, July). The first crank of the cultural ratchet: Learning and transmitting concepts through language. In CogSci (pp. 226-232)."/><s v="Chou, E. Y., Parmar, B. L., &amp; Galinsky, A. D. (2016). Economic insecurity increases physical pain. Psychological Science, 27(4), 443-454."/><s v="Cohen, M. A., Alvarez, G. A., &amp; Nakayama, K. (2011). Natural-scene perception requires attention. Psychological science, 22(9), 1165-1172."/><s v="Correll, S. J., Benard, S., &amp; Paik, I. (2007). Getting a job: Is there a motherhood penalty?. American journal of sociology, 112(5), 1297-1338."/><s v="Craig, M. A., &amp; Richeson, J. A. (2014). On the precipice of a “majority-minority” America: Perceived status threat from the racial demographic shift affects White Americans’ political ideology. Psychological science, 25(6), 1189-1197."/><s v="Critcher, C. R., Inbar, Y., &amp; Pizarro, D. A. (2013). How quick decisions illuminate moral character. Social Psychological and Personality Science, 4(3), 308-315."/><s v="Daffner, K. R., Scinto, L. F., Calvo, V., Faust, R., Mesulam, M. M., West, W. C., &amp; Holcomb, P. J. (2000). The influence of stimulus deviance on electrophysiologic and behavioral responses to novel events. Journal of Cognitive Neuroscience, 12(3), 393-406"/><s v="Rand, D. G., Greene, J. D., &amp; Nowak, M. A. (2012). Spontaneous giving and calculated greed. Nature, 489(7416), 427-430."/><s v="Derex, M., Beugin, M. P., Godelle, B., &amp; Raymond, M. (2013). Experimental evidence for the influence of group size on cultural complexity. Nature, 503(7476), 389-391."/><s v="Hauser, O. P., Rand, D. G., Peysakhovich, A., &amp; Nowak, M. A. (2014). Cooperating with the future. Nature, 511(7508), 220-223."/><s v="Nishi, A., Shirado, H., Rand, D. G., &amp; Christakis, N. A. (2015). Inequality and visibility of wealth in experimental social networks. Nature, 526(7573), 426-429."/><s v="Janssen, M. A., Holahan, R., Lee, A., &amp; Ostrom, E. (2010). Lab experiments for the study of social-ecological systems. Science, 328(5978), 613-617."/><s v="Lee, S. W., &amp; Schwarz, N. (2010). Washing away postdecisional dissonance. Science, 328(5979), 709-709."/><s v="Ackerman, J. M., Nocera, C. C., &amp; Bargh, J. A. (2010). Incidental haptic sensations influence social judgments and decisions. Science, 328(5986), 1712-1715."/><s v="Pyc, M. A., &amp; Rawson, K. A. (2010). Why testing improves memory: Mediator effectiveness hypothesis. Science, 330(6002), 335-335."/><s v="Morewedge, C. K., Huh, Y. E., &amp; Vosgerau, J. (2010). Thought for food: Imagined consumption reduces actual consumption. Science, 330(6010), 1530-1533."/><s v="Karpicke, J. D., &amp; Blunt, J. R. (2011). Retrieval practice produces more learning than elaborative studying with concept mapping. Science, 331(6018), 772-775."/><s v="Ramirez, G., &amp; Beilock, S. L. (2011). Writing about testing worries boosts exam performance in the classroom. science, 331(6014), 211-213."/><s v="Sparrow, B., Liu, J., &amp; Wegner, D. M. (2011). Google effects on memory: Cognitive consequences of having information at our fingertips. science, 333(6043), 776-778."/><s v="Balafoutas, L., &amp; Sutter, M. (2012). Affirmative action policies promote women and do not harm efficiency in the laboratory. Science, 335(6068), 579-582."/><s v="Gervais, W. M., &amp; Norenzayan, A. (2012). Analytic thinking promotes religious disbelief. Science, 336(6080), 493-496."/><s v="Duncan, K., Sadanand, A., &amp; Davachi, L. (2012). Memory’s penumbra: episodic memory decisions induce lingering mnemonic biases. Science, 337(6093), 485-487."/><s v="Shah, A. K., Mullainathan, S., &amp; Shafir, E. (2012). Some consequences of having too little. Science, 338(6107), 682-685."/><s v="Aviezer, H., Trope, Y., &amp; Todorov, A. (2012). Body cues, not facial expressions, discriminate between intense positive and negative emotions. Science, 338(6111), 1225-1229."/><s v="Kidd, D. C., &amp; Castano, E. (2013). Reading literary fiction improves theory of mind. Science, 342(6156), 377-380."/><s v="Gneezy, U., Keenan, E. A., &amp; Gneezy, A. (2014). Avoiding overhead aversion in charity. Science, 346(6209), 632-635."/><s v="Inbar, Y., Pizarro, D. A., Knobe, J., &amp; Bloom, P. (2009). Disgust sensitivity predicts intuitive disapproval of gays. Emotion, 9(3), 435–439. https://doi.org/10.1037/a0015960"/><s v="Schwarz, N., Strack, F., &amp; Mai, H. P. (1991). Assimilation and contrast effects in part-whole question sequences: A conversational logic analysis. Public Opinion Quarterly, 55, 3–23. doi:10.1086/269239 Study 1"/><s v="Miyamoto, Y., &amp; Kitayama, S. (2002). Cultural variation in correspondence bias: The critical role of attitude diagnosticity of socially constrained behavior. Journal of Personality and Social Psychology, 83, 1239–1248. doi:10.1037/0022-3514.83.5.1239 Stud"/><s v="Knobe, J. (2003). Intentional action and side effects in ordinary language. Analysis, 63(3), 190-194. Study 1"/><s v="Knobe, J. (2006). The concept of intentional action: A case study in the uses of folk psychology. Philosophical Studies, 130, 203–231. doi:10.1007/s11098-004-4510-0 Study 1"/><s v="Hauser, M. D., Cushman, F. A., Young, L., Jin, R., &amp; Mikhail, J. M. (2007). A dissociation between moral judgments and justifications. Mind &amp; Language, 22, 1–21. doi:10.1111/ j.1468-0017.2006.00297.x Scenarios 1 and 2"/><s v="Ross, L., Greene, D., &amp; House, P. (1977). The “false consensus effect”: An egocentric bias in social perception and attribution processes. Journal of Experimental Social Psychology, 13, 279–301. doi:10.1016/0022-1031(77)90049-X Study 1 - supermarket scena"/><s v="Ross, L., Greene, D., &amp; House, P. (1977). The “false consensus effect”: An egocentric bias in social perception and attribution processes. Journal of Experimental Social Psychology, 13, 279–301. doi:10.1016/0022-1031(77)90049-X Study 1 - traffic tickets"/><s v="Ross, L., Greene, D., &amp; House, P. (1977). The “false consensus effect”: An egocentric bias in social perception and attribution processes. Journal of Experimental Social Psychology, 13, 279–301. doi:10.1016/0022-1031(77)90049-X Study 1"/><s v="Gray, K., &amp; Wegner, D. M. (2009). Moral typecasting: Divergent perceptions of moral agents and moral patients. Journal of Personality and Social Psychology, 96, 505–520. doi:10.1037/a0013748 Study 1a"/><s v="Norenzayan, A., Smith, E. E., Kim, B. J., &amp; Nisbett, R. E. (2002). Cultural preferences for formal versus intuitive reasoning. Cognitive Science, 26, 653–684. doi:10.1207/ s15516709cog2605_4 Study 2"/><s v="Norenzayan, A., Smith, E. E., Kim, B. J., &amp; Nisbett, R. E. (2002). Cultural preferences for formal versus intuitive reasoning. Cognitive Science, 26, 653–684. doi:10.1207/ s15516709cog2605_4 Study 3"/><s v="Hsee, C. K. (1998). Less is better: When low-value options are valued more highly than high-value options. Journal of Behavioral Decision Making, 11, 107–121. doi:10.1002/(SICI)1099-0771(199806)11:2&lt;107::AIDBDM292&gt;3.0.CO;2-Y Study 1"/><s v="Huang, Y., Tse, C. S., &amp; Cho, K. W. (2014). Living in the north is not necessarily favorable: Different metaphoric associations between cardinal direction and valence in Hong Kong and in the United States. European Journal of Social Psychology, 44, 360–36"/><s v="Tversky, A., &amp; Kahneman, D. (1981). The framing of decisions and the psychology of choice. Science, 211, 453–458. doi:10.1126/science.7455683 Study 10"/><s v="Graham, J., Haidt, J., &amp; Nosek, B. A. (2009). Liberals and conservatives rely on different sets of moral foundations Journal of Personality and Social Psychology, 96, 1029– 1046. doi:10.1037/a0015141 Study 1"/><s v="Graham, J., Haidt, J., &amp; Nosek, B. A. (2009). Liberals andconservatives rely on different sets of moral foundations Journal of Personality and Social Psychology, 96, 1029– 1046. doi:10.1037/a0015141 Study 1"/><s v="Hauser, M. D., Cushman, F. A., Young, L., Jin, R., &amp; Mikhail, J. M. (2007). A dissociation between moral judgments and justifications. Mind &amp; Language, 22, 1–21. doi:10.1111/j.1468-0017.2006.00297.x Study 1, Scenarios 3 and 4"/><s v="Risen, J. L., &amp; Gilovich, T. (2008). Why people are reluctant to  tempt fate. Journal of Personality and Social Psychology, 95, 293–307. doi:10.1037/0022-3514.95.2.293 Study 2"/><s v="Bauer, M. A., Wilkie, J. E., Kim, J. K., &amp; Bodenhausen, G. V. (2012). Cuing consumerism: Situational materialism undermines personal and social well-being. Psychological Science, 23, 517–523. doi:10.1177/0956797611429579 Study 4"/><s v="Critcher, C. R., &amp; Gilovich, T. (2008). Incidental environmental anchors. Journal of Behavioral Decision Making, 21, 241–251. doi:10.1002/bdm.586 Study 2"/><s v="Giessner, S. R., &amp; Schubert, T. W. (2007). High in the hierarchy: How vertical location and judgments of leaders’ power are interrelated. Organizational Behavior and Human Decision Processes, 104, 30–44. doi:10.1016/j .obhdp.2006.10.001 Study 1a"/><s v="Tversky, A., &amp; Gati, I. (1978). Studies of similarity. Cognition and Categorization, 1, 79–98. Study 2"/><s v="Zhong, C.-B., &amp; Liljenquist, K. (2006). Washing away your sins: Threatened morality and physical cleansing. Science, 313, 1451–1452. doi:10.1126/science.1130726 Study 2"/><s v="Kay, A. C., Laurin, K., Fitzsimons, G. M., &amp; Landau, M. J. (2014). A functional basis for structure-seeking: Exposure to structure promotes willingness to engage in motivated action. Journal of Experimental Psychology: General, 143, 486–491. doi:10.1037/a"/><s v="Van Lange, P. A. M., Otten, W., De Bruin, E. M. N., &amp; Joireman, J. A. (1997). Development of prosocial, individualistic, and competitive orientations: Theory and preliminary evidence. Journal of Personality and Social Psychology, 73, 733–746. doi:10.1037/"/><s v="Zaval, L., Keenan, E. A., Johnson, E. J., &amp; Weber, E. U. (2014). How warm days increase belief in global warming. Nature Climate Change, 4, 143–147. doi:10.1038/nclimate2093 Study 3a"/><s v="Alter, A. L., Oppenheimer, D. M., Epley, N., &amp; Eyre, R. N. (2007). Overcoming intuition: Metacognitive difficulty activates analytic reasoning. Journal of Experimental Psychology: General, 136, 569–576. doi:10.1037/0096- 3445.136.4.569 Study 4"/><s v="Anderson, C., Kraus, M. W., Galinsky, A. D., &amp; Keltner, D. (2012). The local-ladder effect: Social status and subjective well-being. Psychological Science, 23, 764–771. doi:10.1177/0956797611434537 Study 3"/><s v="Rottenstreich, Y., &amp; Hsee, C. K. (2001). Money, kisses, and electric shocks: On the affective psychology of risk. Psychological Science, 12, 185–190. doi:10.1111/1467- 9280.00334 Study 1"/><s v="Shafir, E. (1993). Choosing versus rejecting: Why some options are both better and worse than others. Memory &amp; Cognition, 21, 546–556. doi:10.3758/BF03197186 Study 1"/><s v="Savani, K., Markus, H. R., Naidu, N. V. R., Kumar, S., &amp; Berlia, N. (2010). What counts as a choice? U.S. Americans are more likely than Indians to construe actions as choices. Psychological Science, 21, 391–398. doi:10 .1177/0956797609359908 Study 5"/></sharedItems></cacheField><cacheField name="doi_o"><sharedItems containsBlank="1" containsMixedTypes="1" containsNumber="1" containsInteger="1"><s v="without URL prefix, so starting with 10.xx"/><s v="10.1111/j.1467-9280.2008.02061.x"/><s v="10.1111/j.1468-0068.2010.00795.x"/><s v="10.1016/j.obhdp.2004.12.002"/><s v="10.1007/s11858-016-0819-3"/><s v="10.1111/lang.12161"/><s v="10.4148/1944-9771.1299"/><s v="10.1037/pspi0000109"/><s v="10.1016/j.jsams.2017.06.007"/><s v="10.1017/S1355617717001059"/><s v="10.2307/25148791"/><s v="10.1016/j.jsp.2021.09.004"/><s v="10.1016/j.learninstruc.2018.05.004"/><s v="10.3102/0013189X13507104"/><s v="10.1017/S0272263114000126"/><s v="10.1037/met0000511"/><s v="10.1016/S2215-0366(21)00241-8"/><s v="10.1038/s41467-018-06785-y"/><s v="10.1016/j.ijinfomgt.2018.03.001"/><s v="10.1002/jaba.946"/><s v="10.1111/j.1467-9280.2007.01961.x"/><s v="10.1521/soco.2008.26.2.143"/><s v="10.1177/0956797613478614"/><s v="10.1016/j.jenvp.2022.101868"/><s v="10.1002/bin.1659"/><s v="10.1016/j.drugalcdep.2021.108610"/><s v="10.1002/jeab.432"/><s v="10.1016/j.paid.2021.111472"/><s v="10.1016/j.learninstruc.2018.04.006"/><s v="10.1016/j.jarmac.2021.08.001"/><s v="10.1080/23273798.2020.1810292"/><s v="10.1016/j.system.2004.01.001"/><s v="10.3138/cmlr.65.3.395"/><s v="10.1002/jeab.705"/><s v="10.1016/j.psychres.2017.09.048"/><s v="10.1177/0267658310386439"/><s v="10.1111/1467-6281.00073"/><s v="10.1037/a0025345"/><s v="10.1016/j.obhdp.2018.10.004"/><m/><s v="10.1002/pam.21702"/><s v="10.18653/v1/2023.acl-long.864"/><s v="10.1080/13523260.2020.1868836"/><s v="10.18653/v1/2023.acl-long.865"/><s v="10.18653/v1/2023.acl-long.866"/><s v="10.1016/j.jpsychires.2008.07.004"/><s v="10.1162/rest.90.2.300"/><s v="10.1075/ijcl.19131.lar"/><s v="https://doi.org/10.1075/ijcl.19131.lar"/><s v="10.1017/S1366728914000273"/><s v="10.1075/resla.17019.loz"/><s v="10.1111/0023-8333.00112"/><s v="10.1038/s41598-024-61469-6"/><s v="https://escholarship.org/uc/item/0qf9t9pc"/><s v="10.1016/j.econedurev.2005.05.008"/><s v="10.1111/j.1540-5885.2010.00778.x"/><s v="10.1089/cyber.2015.0311"/><s v="10.1037/0021-9010.77.4.419"/><s v="10.1016/j.learninstruc.2014.08.004"/><s v="10.1016/0030-5073(76)90005-2"/><s v="10.1037/a0019006"/><s v="10.1006/obhd.1994.1063"/><s v="10.1007/s10857-015-9324-9"/><s v="10.1177/1948550611432938"/><s v="10.1016/j.biopsycho.2018.08.007"/><s v="10.1145/3105726.3106182"/><s v="10.1109/TSE.2016.2527791"/><s v="10.1007/s10802-020-00712-w"/><s v="10.1086/648381"/><s v="10.1007/s40732-020-00453-8"/><s v="10.1016/j.appet.2020.104808"/><s v="10.1037/pspp0000263"/><s v="10.1177/1948550619843931"/><s v="10.1093/geront/gnac158"/><s v="10.1038/s41598-022-24919-7"/><s v="10.1038/s41598-022-24919-8"/><s v="10.1038/s41598-022-24919-9"/><s v="10.1037/lhb0000532"/><s v="10.3233/JAD-2009-1163"/><s v="10.1186/s40163-021-00141-0"/><s v="10.1177/2F10986111211035002"/><s v="10.1017/S0007123421000557"/><s v="10.1007/s11150-021-09593-4"/><s v="10.1007/s11150-021-09593-5"/><s v="10.1007/s11150-021-09593-6"/><s v="10.1007/s11150-021-09593-7"/><s v="10.1007/s11150-021-09593-8"/><s v="10.1007/s11150-021-09593-9"/><s v="10.1007/s11150-021-09593-10"/><s v="10.1007/s11150-021-09593-11"/><s v="10.1007/s11150-021-09593-12"/><s v="10.1007/s11150-021-09593-13"/><s v="10.37237/relay/010204"/><s v="10.1073/pnas.212066811"/><s v="10.1038/s41586-022-04452-3"/><s v="10.1007/s10826-019-01370-3"/><s v="10.1002/jaba.968"/><s v="10.1073/pnas.2 015539118"/><s v="10.3758/BF03211160"/><s v="10.1075/jslp.22013.tel"/><s v="10.1080/10496491.2022.2108189"/><s v="10.1111/psyp.12132"/><s v="10.1002/smj.201"/><s v="10.1177/2167702614545216"/><s v="10.1016/j.cortex.2014.02.013"/><s v="10.51548/joctec-2021-016"/><s v="10.3982/ECTA12807"/><s v="10.1111/j.1467-9280.2006.01721.x"/><s v="10.1073/pnas.2218961120"/><s v="10.1037/0022-3514.92.2.325"/><s v="10.1037/0022-3514.74.3.774"/><s v="10.1037/0022-3514.85.1.33"/><s v="10.1037/0096-3445.136.2.241"/><s v="10.1111/j.1467-9280.2007.02004.x"/><s v="10.1086/268936"/><s v="10.1037/0022-3514.71.2.230"/><s v="10.1037/1089-2699.6.1.101"/><s v="10.1037//0022-3514.83.1.44"/><s v="10.1126/science.7455683"/><s v="10.1017/s1930297500001170"/><s v="10.1177/0956797611414726"/><s v="10.1177/01461672952111004"/><s v="10.1037/0022-3514.94.1.48"/><s v="10.1037/a0021524"/><s v="10.1111/j.1467-9280.2009.02426.x"/><s v="10.1027/1864-9335/a000147"/><s v="10.1037/0022-3514.45.4.805"/><s v="10.1016/j.jesp.2011.11.012"/><s v="10.1037/0022-3514.82.5.792"/><s v="10.1037/a0023527"/><s v="10.1037/h0054651"/><s v="10.1016/s0010-0277(99)00073-6"/><s v="10.1016/0010-0285(73)90033-9"/><s v="10.1111/j.1467-9280.2006.01824.x"/><s v="10.1177/0956797611435919"/><s v="10.1037/a0029288"/><s v="10.1016/j.jesp.2010.05.014"/><s v="10.1016/j.jesp.2009.03.009"/><s v="10.1037/a0019689"/><s v="10.1177/0146167215610520"/><s v="10.1111/j.1467-9280.2006.01704.x"/><s v="10.1016/j.jesp.2005.05.001"/><s v="10.1073/pnas.1519401113"/><s v="10.1073/pnas.1805327115"/><s v="10.1073/pnas.1601280113"/><s v="10.1073/pnas.1516868113"/><s v="10.1073/pnas.1706913114"/><s v="10.1073/pnas.1516047113"/><s v="10.1073/pnas.1505067112"/><s v="10.1073/pnas.1722664115"/><s v="10.1073/pnas.1620542114"/><s v="10.1073/pnas.1701916114"/><s v="10.1073/pnas.1511536112"/><s v="10.1073/pnas.1508932113"/><s v="10.1073/pnas.1606574113"/><s v="10.1073/pnas.1607330114"/><s v="10.1073/pnas.1616921114"/><s v="10.1073/pnas.1717092115"/><s v="10.1073/pnas.1610834113"/><s v="10.1073/pnas.1805284115"/><s v="10.1073/pnas.1501592112"/><s v="10.1073/pnas.1517662112"/><s v="10.1073/pnas.1707040114"/><s v="10.1073/pnas.1705238114"/><s v="10.1073/pnas.1704032114"/><s v="10.1073/pnas.1706253114"/><s v="10.1073/pnas.1707719114"/><s v="10.1073/pnas.1523586113"/><s v="10.3389/fpsyg.2014.01276"/><s v="10.1016/j.euroecorev.2004.01.004"/><s v="10.1257/ma c.20130176"/><s v="10.1002/soej.12223"/><s v="10.1257/mac.1.1. 146"/><s v="10.1162/REST_a_00258"/><s v="10.1162/rest.90. 2.300"/><s v="10.1111/1467-8284.00419"/><s v="10.1111/j.1933-1592.2006.tb00603.x"/><s v="10.1163/156853706776931222"/><s v="10.1163/156853706776931385"/><s v="10.1080/13869790600641905"/><s v="10.1111/j.1468-0068.2007.00666.x"/><s v="10.1111/j.1475-4975.2007.00158.x"/><s v="10.1111/j.1475-4975.2007.00150.x"/><s v="10.1016/j.cognition.2007.11.004"/><s v="10.1080/09515080801978777"/><s v="10.1007/s12152-008-9015-7"/><s v="10.1080/09515080307771"/><s v="10.5840/jphil20091061128"/><s v="10.1080/09515080902802769"/><s v="10.1016/j.concog.2008.11.006"/><s v="10.1080/09515080903532290"/><s v="10.1111/j.1468-0017.2010.01398.x"/><s v="10.1007/s11098-009-9439-x"/><s v="10.5840/jphil20111081238"/><s v="10.1111/j.1468-0017.2011.01428.x"/><s v="10.1111/j.1551-6709.2011.01210.x"/><s v="10.1016/j.cognition.2003.10.003"/><s v="10.1007/s11098-010-9651-8"/><s v="10.1016/j.cognition.2013.02.008"/><s v="10.1017/epi.2013.23"/><s v="10.1007/s13164-013-0154-3"/><s v="10.1111/j.1933-1592.2012.00609.x"/><s v="10.1007/s13164-013-0162-3"/><s v="10.1093/aesthj/ayu027"/><s v="10.1080/09515089.2014.894431"/><s v="10.1111/nous.12017"/><s v="10.1111/j.1467-8284.2004.00481.x"/><s v="10.1016/j.cognition.2015.01.013"/><s v="10.1080/0951508042000202354"/><s v="10.1037/h0091247"/><s v="10.1080/09515080500264180"/><s v="10.1080/09515080500355236"/><s v="10.1080/09515080500177309"/><s v="10.1111/j.1467-9280.2008.02039.x"/><s v="10.1177/0956797620927967"/><s v="10.1111/j.1551-6709.2010.01164.x"/><s v="10.1016/j.neuron.2011.02.027"/><s v="10.1016/j.neuroimage.2009.09.024"/><s v="djärv_2018"/><s v="10.1037/rev0000175"/><s v="10.1177/0956797616669947"/><s v="10.1073/pnas.0908963106"/><s v="10.1037/0022-3514.94.3.495"/><s v="10.1177/0956797612449177"/><s v="10.1037/0022-3514.94.2.94.2.231"/><s v="10.1177/0956797615588195"/><s v="10.1371/journal.pone.0071475"/><s v="10.1371/journal.pone.0154854"/><s v="10.1038/nn.2889"/><s v="10.1177/0146167214524992"/><s v="10.1177/0001839219840022"/><s v="10.1016/j.jesp.2020.104019"/><s v="10.1073/pnas.1216438110"/><s v="10.1016/0010-0285(83)90002-6"/><s v="10.1037/a0035663"/><s v="10.1093/geronb/gbx099"/><s v="10.1111/j.1551-6709.2010.01161.x"/><s v="10.1126/science.1134475"/><s v="10.1037/a0031047"/><s v="10.1177/0956797615608267"/><s v="10.1111/j.1467-9280.2006.01780.x"/><s v="10.1177/0956797616639727"/><s v="10.1038/s41598-018-30314-y"/><s v="10.1073/pnas.2009030117"/><s v="10.1037/0022-3514.94.3.396 (1)"/><s v="10.1037/0022-3514.94.3.396"/><s v="10.1016/j.visres.2005.04.013"/><s v="10.1016/j.jesp.2020.104080"/><s v="10.1016/j.cognition.2016.06.011"/><s v="10.1177/0956797613494853"/><s v="10.1177/0956797616640705"/><s v="10.1111/ecin.12470"/><s v="10.1145/3290605.3300469"/><s v="10.1037/xge0001195"/><s v="10.1016/j.jml.2006.02.004"/><s v="10.1177/0956797616685771"/><s v="10.1177/0146167215580776"/><s v="10.1287/orsc.2021.1456"/><s v="10.1016/s0010-0277(03)00064-7"/><s v="10.1037/0022-3514.77.4.785"/><s v="10.1177/0956797614536739"/><s v="10.1177/0956797614553009"/><s v="10.1037/a0020413"/><s v="10.1016/j.cognition.2019.104157"/><s v="10.1177/0956797618760784"/><s v="10.1126/science.1190792"/><s v="10.1037/0096-3445.132.1.3"/><s v="10.1111/j.1467-9280.2007.01909.x"/><s v="10.1177/0956797614563108"/><s v="10.1111/j.1467-9280.2008.02040.x"/><s v="10.1073/pnas.2014505117"/><s v="10.1177/0956797615572231"/><s v="10.1038/s41598-019-57204-1"/><s v="10.1037/a0016795"/><s v="10.1177/0956797618788882"/><s v="10.1177/0956797614547705"/><s v="10.1177/0956797611428079"/><s v="10.1177/0956797617705399"/><s v="10.1016/j.cognition.2017.06.025"/><s v="10.1177/0956797619854706"/><s v="10.1177/0146167207309195"/><s v="10.1126/science.1238041"/><s v="10.1037/a003210894"/><s v="10.1145/3173574.3174188"/><s v="10.1287/mnsc.2019.3362"/><s v="10.1177/0956797618806296"/><s v="10.1037/0022-3514.95.1.76"/><s v="10.1037/0278-7393.34.1.146"/><s v="10.1111/j.1467-9280.2008.02044.x"/><s v="10.1111/j.1467-9280.2008.02227.x"/><s v="10.1111/j.1467-9280.2008.02049.x"/><s v="10.1111/j.1467-9280.2008.02085.x"/><s v="10.1111/j.1467-9280.2008.02093.x"/><s v="10.1111/j.1467-9280.2008.02042.x"/><s v="10.1111/j.1467-9280.2008.02081.x"/><s v="10.1111/j.1467-9280.2008.02051.x"/><s v="10.1037/0278-7393.34.1.186"/><s v="10.1037/0278-7393.34.3.439"/><s v="10.1037/0278-7393.34.2.408"/><s v="10.1037/0278-7393.34.2.302"/><s v="10.1037/0278-7393.34.2.343"/><s v="10.1037/0278-7393.34.3.524"/><s v="10.1037/0278-7393.34.1.50"/><s v="10.1037/0278-7393.34.3.495"/><s v="10.1037/0278-7393.34.1.249"/><s v="10.1037/0278-7393.34.2.399"/><s v="10.1037/0278-7393.34.3.478"/><s v="10.1037/0278-7393.34.1.204"/><s v="10.1037/0278-7393.34.1.128"/><s v="10.1037/0278-7393.34.1.80"/><s v="10.1037/0278-7393.34.2.369"/><s v="10.1037/0278-7393.34.1.167"/><s v="10.1037/0278-7393.34.1.230"/><s v="10.1037/0022-3514.94.1.16"/><s v="10.1037/0022-3514.94.4.718"/><s v="10.1037/0022-3514.94.4.696"/><s v="10.1037/a0012833"/><s v="10.1037/0278-7393.34.1.237"/><s v="10.1037/0022-3514.94.4.560"/><s v="10.1037/0022-3514.94.3.545"/><s v="10.1037/0022-3514.94.1.1"/><s v="10.1037/0022-3514.94.4.600"/><s v="10.1037/0022-3514.95.2.420"/><s v="10.1037/0022-3514.94.4.647"/><s v="10.1037/0278-7393.34.1.97"/><s v="10.1037/0022-3514.94.1.158"/><s v="10.1037/0022-3514.94.4.579"/><s v="10.1037/0022-3514.95.2.293"/><s v="10.1037/0022-3514.94.3.516"/><s v="10.1037/0278-7393.34.1.219"/><s v="10.1037/0022-3514.94.4.672"/><s v="10.1037/0022-3514.94.2.94.2.196"/><s v="10.1037/0022-3514.94.5.871"/><s v="10.1037/0022-3514.94.2.183"/><s v="10.1037/0278-7393.34.3.460"/><s v="10.1037/0022-3514.94.1.116"/><s v="10.1111/j.1467-9280.2008.02054.x"/><s v="10.1037/0022-3514.94.3.382"/><s v="10.1037/0022-3514.94.1.91"/><s v="10.1037/0022-3514.94.2.245"/><s v="10.1037/0278-7393.34.2.257"/><s v="10.1037/0022-3514.94.3.429"/><s v="10.1037/0022-3514.95.2.274"/><s v="10.1037/0022-3514.94.4.615"/><s v="10.1126/science.1239918"/><s v="10.1016/j.jtbi.2005.02.010"/><s v="10.1037/0278-7393.34.2.353"/><s v="10.1037/0278-7393.34.2.430"/><s v="10.1111/j.1467-9280.2008.02062.x"/><s v="10.1111/j.1467-9280.2008.02066.x"/><s v="10.1111/j.1467-9280.2008.02078.x"/><s v="10.1111/j.1467-9280.2008.02075.x"/><s v="10.1037/0278-7393.34.1.65"/><s v="10.1111/j.1467-9280.2008.02092.x"/><s v="10.1111/j.1467-9280.2008.02057.x"/><s v="10.1111/j.1467-9280.2008.02041.x"/><s v="10.1111/j.1467-9280.2008.02089.x"/><s v="10.1111/j.1467-9280.2008.02043.x"/><s v="10.1111/j.1467-9280.2008.02069.x"/><s v="10.1111/j.1467-9280.2008.02136.x"/><s v="10.1111/j.1467-9280.2008.02046.x"/><s v="10.1111/j.1467-9280.2008.02077.x"/><s v="10.1037/0278-7393.34.1.243"/><s v="10.1111/j.1467-9280.2008.02053.x"/><s v="10.1111/j.1467-9280.2008.02091.x"/><s v="10.1111/j.1467-9280.2008.02098.x"/><s v="10.1111/j.1467-9280.2008.02058.x"/><s v="10.1111/j.1467-9280.2008.02036.x"/><s v="10.1111/j.1467-9280.2008.02080.x"/><s v="10.1111/j.1467-9280.2008.02052.x"/><s v="10.1037/0278-7393.34.3.546"/><s v="10.1016/j.cub.2004.01.029"/><s v="10.1016/j.neuroimage.2006.11.048"/><s v="10.1038/nature03390"/><s v="10.1177/0093650215609676"/><s v="10.1177/0956797619879441"/><s v="10.1037/xge0000263"/><s v="10.1037/xge0000064"/><s v="10.1177/0956797618813092"/><s v="10.1177/1747021817744546"/><s v="10.1177/0956797618780643"/><s v="10.1073/pnas.1523698113"/><s v="10.1162/jocn_a_00709"/><s v="10.1111/j.1467-9280.2008.02157.x"/><s v="10.3758/s13428-021-01694-3"/><s v="10.1177/0956797617728270"/><s v="10.1073/pnas.1118373109"/><s v="10.1177/0956797618818484"/><s v="10.1177/0956797615612202"/><s v="10.1177/147470491100900206"/><s v="10.1177/0956797615598739"/><s v="10.1016/j.neuropsychologia.2009.05.011"/><s v="10.1037/a0028216"/><s v="10.1145/2470654.2481281"/><s v="10.1016/j.jesp.2018.05.006"/><s v="10.1177/0956797612444613"/><s v="10.1037/pspi0000081"/><s v="10.1177/0956797619855382"/><s v="10.1177/0956797610397956"/><s v="10.1177/0956797617706082"/><s v="10.1523/JNEUROSCI.18-23-10105.1998"/><s v="10.1177/0956797609359908"/><s v="10.1177/0956797611434540"/><s v="10.1177/0956797614558718"/><s v="10.1523/JNEUROSCI.2377-10.2010"/><s v="10.1177/0956797615573516"/><s v="10.1177/1948550619849426"/><s v="10.1037/a0029649"/><s v="10.1177/0956797614563958"/><s v="10.1177/0956797616651973"/><s v="10.1177/0956797614534693"/><s v="10.1093/workar/waac024"/><s v="10.1177/0956797611418350"/><s v="10.1177/0956797612445318"/><s v="10.1177/0956797616662271"/><s v="10.1177/0956797614554955"/><s v="10.1037/xge0000738"/><s v="10.1111/cogs.12176"/><s v="10.1177/0956797614559285"/><s v="10.1177/0956797616630964"/><s v="10.1126/science.148.3670.661"/><s v="10.1073/pnas.1202129109"/><s v="10.1177/0956797616667459"/><s v="10.1093/jos/ffw010"/><s v="10.1177/0956797615624492"/><s v="10.1515/ling.2011.016"/><s v="10.1177/0956797616650875"/><s v="10.1177/0956797616674999"/><s v="10.1089/cyber.2016.0530"/><s v="10.1111/cogs.12605"/><s v="10.1177/09567976221082637"/><s v="10.1126/science.1132491"/><s v="10.1177/0956797613502732"/><s v="10.1038/s41467-021-27323-3"/><s v="10.1177/0956797613508412"/><s v="10.1126/science.1250830"/><s v="10.1016/j.obhdp.2010.10.001"/><s v="10.1177/0956797615585002"/><s v="10.1177/0956797618779061"/><s v="10.1111/1467-9280.02436"/><s v="10.1177/0956797619856844"/><s v="10.1016/j.ecresq.2019.10.004"/><s v="10.1177/0956797614561266"/><s v="10.1177/0956797615617779"/><s v="10.1177/0956797618805750"/><s v="10.1177/0956797615569889"/><s v="10.1177/0956797616634654"/><s v="10.1080/23273798.2018.1431397"/><s v="10.1177/0956797615625640"/><s v="10.1177/0956797611419168"/><s v="10.1086/511799"/><s v="10.1177/0956797614527113"/><s v="10.1177/1948550612457688"/><s v="10.1162/089892900562219"/><s v="10.1038/nature11467"/><s v="10.1038/nature12774"/><s v="10.1038/nature13530"/><s v="10.1038/nature15392"/><s v="10.1126/science.1183532"/><s v="10.1126/science.1186799"/><s v="10.1126/science.1189993"/><s v="10.1126/science.1191465"/><s v="10.1126/science.1195701"/><s v="10.1126/science.1199327"/><s v="10.1126/science.1199427"/><s v="10.1126/science.1207745"/><s v="10.1126/science.1211180"/><s v="10.1126/science.1215647"/><s v="10.1126/science.1221936"/><s v="10.1126/science.1222426"/><s v="10.1126/science.1224313"/><s v="10.1126/science.1253932"/><s v="10.1037/a0015960"/><s v="10.1086/269239"/><s v="10.1037/0022-3514.83.5.1239"/><n v="3329308.0"/><s v="10.1007/s11098-004-4510-0"/><s v="10.1111/ j.1468-0017.2006.00297.x"/><s v="10.1016/0022-1031(77)90049-X"/><s v="10.1037/a0013748"/><s v="10.1207/ s15516709cog2605_4"/><s v="10.1002/(SICI)1099-0771(199806)11:2%3C107::AID-BDM292%3E3.0.CO;2-Y"/><s v="10.1002/ejsp.2013"/><s v="10.1037/a0015141"/><s v="10.1177/0956797611429579"/><s v="10.1002/bdm.586"/><s v="10.1016/j .obhdp.2006.10.001"/><s v="10.1126/science.1130726"/><s v="10.1037/a0034462"/><s v="10.1037/0022-3514.73.4.733"/><s v="10.1038/nclimate2093"/><s v="10.1037/0096- 3445.136.4.569"/><s v="10.1177/0956797611434537"/><s v="10.1111/1467- 9280.00334"/><s v="10.3758/BF03197186"/></sharedItems></cacheField><cacheField name="study_o"><sharedItems containsBlank="1" containsMixedTypes="1" containsNumber="1" containsInteger="1"><s v="Number of study in paper, e.g., 1 or 2A"/><n v="1.0"/><m/><n v="2.0"/><n v="3.0"/><s v="1c"/><n v="6.0"/><s v="1, 2, 3"/><s v="n/a"/><s v="2A"/><n v="4.0"/><n v="5.0"/><s v="2b"/><n v="7.0"/><n v="9.0"/><n v="8.0"/><s v="2c"/><s v="1+2"/><s v="1,3"/><s v="1b"/><s v="3a"/><s v="4b"/><s v="1a"/><s v="5a"/><s v="2b+P10"/><s v="4a"/><s v="1 (younger adults only)"/><s v="5B"/><s v="Supp. 4"/><s v="1b-1c"/><s v="supplement -- 3 with study 1 images"/><s v="1,5"/><s v="replicating control condition only for 2 DVs: gist and details"/><s v="1 (laboratory experiment)"/><s v="Scenarios 1 &amp; 2"/><s v="1 &amp; 2"/><n v="10.0"/><s v="3 &amp; 4"/><s v="1 (3 &amp; 4)"/></sharedItems></cacheField><cacheField name="file_o" numFmtId="0"><sharedItems containsBlank="1"><s v="file-name for O PDF - only edit if DOI is missing"/><s v="10.1111--j.1467-9280.2008.02061.x.pdf"/><s v="10.1111--j.1468-0068.2010.00795.x.pdf"/><s v="10.1016--j.obhdp.2004.12.002.pdf"/><s v="10.1007--s11858-016-0819-3.pdf"/><s v="10.1111--lang.12161.pdf"/><s v="10.4148--1944-9771.1299.pdf"/><s v="10.1037--pspi0000109.pdf"/><s v="10.1016--j.jsams.2017.06.007.pdf"/><s v="10.1017--s1355617717001059.pdf"/><s v="10.2307--25148791.pdf"/><s v="10.1016--j.jsp.2021.09.004.pdf"/><s v="10.1016--j.learninstruc.2018.05.004.pdf"/><s v="10.3102--0013189x13507104.pdf"/><s v="10.1017--s0272263114000126.pdf"/><s v="10.1037--met0000511.pdf"/><s v="10.1016--s2215-0366(21)00241-8.pdf"/><s v="10.1038--s41467-018-06785-y.pdf"/><s v="10.1016--j.ijinfomgt.2018.03.001.pdf"/><s v="10.1002--jaba.946.pdf"/><s v="10.1111--j.1467-9280.2007.01961.x.pdf"/><s v="10.1521--soco.2008.26.2.143.pdf"/><s v="10.1177--0956797613478614.pdf"/><s v="10.1016--j.jenvp.2022.101868.pdf"/><s v="10.1002--bin.1659.pdf"/><s v="10.1016--j.drugalcdep.2021.108610.pdf"/><s v="10.1002--jeab.432.pdf"/><s v="10.1016--j.paid.2021.111472.pdf"/><s v="10.1016--j.learninstruc.2018.04.006.pdf"/><s v="10.1016--j.jarmac.2021.08.001.pdf"/><s v="10.1080--23273798.2020.1810292.pdf"/><s v="10.1016--j.system.2004.01.001.pdf"/><s v="10.3138--cmlr.65.3.395.pdf"/><s v="10.1002--jeab.705.pdf"/><s v="10.1016--j.psychres.2017.09.048.pdf"/><s v="10.1177--0267658310386439.pdf"/><s v="10.1111--1467-6281.00073.pdf"/><s v="10.1037--a0025345.pdf"/><s v="10.1016--j.obhdp.2018.10.004.pdf"/><s v="Construct Validity of the Behavior Assessment System for Children.pdf"/><s v="thekeep.eiu.edu--theses--4783.pdf"/><s v="10.1002--pam.21702.pdf"/><s v="10.18653--v1--2023.acl-long.864.pdf"/><s v="10.1080--13523260.2020.1868836.pdf"/><s v="10.1016--j.jpsychires.2008.07.004.pdf"/><s v="10.1162--rest.90.2.300.pdf"/><s v="10.1075--ijcl.19131.lar.pdf"/><s v="10.1017--s1366728914000273.pdf"/><s v="scholars.indianastate.eduetds--2136.pdf"/><s v="10.1075--resla.17019.loz.pdf"/><s v="10.1111--0023-8333.00112.pdf"/><s v="10.1038--s41598-024-61469-6.pdf"/><s v="escholarship.org--uc--item--0qf9t9pc.pdf"/><s v="Brooke, J. H. (1991). Science and religion-Some historical perspectives.pdf"/><s v="10.1016--j.econedurev.2005.05.008.pdf"/><s v="10.1111--j.1540-5885.2010.00778.x.pdf"/><s v="10.1089--cyber.2015.0311.pdf"/><s v="10.1037--0021-9010.77.4.419.pdf"/><s v="10.1016--j.learninstruc.2014.08.004.pdf"/><s v="10.1016--0030-5073(76)90005-2.pdf"/><s v="10.1037--a0019006.pdf"/><s v="10.1006--obhd.1994.1063.pdf"/><s v="10.1007--s10857-015-9324-9.pdf"/><s v="10.1177--1948550611432938.pdf"/><s v="10.1016--j.biopsycho.2018.08.007.pdf"/><s v="10.1145--3105726.3106182.pdf"/><s v="10.1109--tse.2016.2527791.pdf"/><s v="10.1007--s10802-020-00712-w.pdf"/><s v="10.1086--648381.pdf"/><s v="10.1007--s40732-020-00432-8.pdf"/><s v="10.1016--j.appet.2020.104808.pdf"/><s v="10.1037--pspp0000263.pdf"/><s v="10.1177--1948550619843931.pdf"/><s v="10.1093--geront--gnac158.pdf"/><s v="10.1038--s41598-022-24919-7.pdf"/><s v="10.1037--lhb0000532.pdf"/><s v="10.3233--jad-2009-1163.pdf"/><s v="10.1186--s40163-021-00141-0.pdf"/><s v="10.1177--2f10986111211035002.pdf"/><s v="10.1017--s0007123421000557.pdf"/><s v="10.1007--s11150-021-09593-4.pdf"/><s v="10.37237--relay--010204.pdf"/><s v="10.1073--pnas.212066811.pdf"/><s v="10.1038--s41586-022-04452-3.pdf"/><s v="10.1007--s10826-019-01370-3.pdf"/><s v="10.1002--jaba.968.pdf"/><s v="10.1073--pnas.2 015539118.pdf"/><s v="10.3758--bf03211160.pdf"/><s v="10.1075--jslp.22013.tel.pdf"/><s v="10.1080--10496491.2022.2108189.pdf"/><s v="10.1111--psyp.12132.pdf"/><s v="10.1002--smj.201.pdf"/><s v="10.1177--2167702614545216.pdf"/><s v="10.1016--j.cortex.2014.02.013.pdf"/><s v="10.51548--joctec-2021-016.pdf"/><s v="10.3982--ecta12807.pdf"/><s v="10.1111--j.1467-9280.2006.01721.x.pdf"/><s v="10.1073--pnas.2218961120.pdf"/><s v="10.1037--0022-3514.92.2.325.pdf"/><s v="10.1037--0022-3514.74.3.774.pdf"/><s v="10.1037--0022-3514.85.1.33.pdf"/><s v="10.1037--0096-3445.136.2.241.pdf"/><s v="10.1111--j.1467-9280.2007.02004.x.pdf"/><s v="10.1086--268936.pdf"/><s v="10.1037--0022-3514.71.2.230.pdf"/><s v="10.1037--1089-2699.6.1.101.pdf"/><m/><s v="10.1126--science.7455683.pdf"/><s v="10.1017--s1930297500001170.pdf"/><s v="10.1177--0956797611414726.pdf"/><s v="10.1177--01461672952111004.pdf"/><s v="10.1037--0022-3514.94.1.48.pdf"/><s v="10.1037--a0021524.pdf"/><s v="10.1111--j.1467-9280.2009.02426.x.pdf"/><s v="10.1027--1864-9335--a000147.pdf"/><s v="10.1037--0022-3514.45.4.805.pdf"/><s v="10.1016--j.jesp.2011.11.012.pdf"/><s v="10.1037--0022-3514.82.5.792.pdf"/><s v="10.1037--a0023527.pdf"/><s v="10.1037--h0054651.pdf"/><s v="10.1016--s0010-0277(99)00073-6.pdf"/><s v="10.1016--0010-0285(73)90033-9.pdf"/><s v="10.1111--j.1467-9280.2006.01824.x.pdf"/><s v="10.1177--0956797611435919.pdf"/><s v="10.1037--a0029288.pdf"/><s v="10.1016--j.jesp.2010.05.014.pdf"/><s v="10.1016--j.jesp.2009.03.009.pdf"/><s v="10.1037--a0019689.pdf"/><s v="10.1177--0146167215610520.pdf"/><s v="10.1111--j.1467-9280.2006.01704.x.pdf"/><s v="10.1016--j.jesp.2005.05.001.pdf"/><s v="10.1073--pnas.1519401113.pdf"/><s v="10.1073--pnas.1805327115.pdf"/><s v="10.1073--pnas.1601280113.pdf"/><s v="10.1073--pnas.1516868113.pdf"/><s v="10.1073--pnas.1706913114.pdf"/><s v="10.1073--pnas.1516047113.pdf"/><s v="10.1073--pnas.1505067112.pdf"/><s v="10.1073--pnas.1722664115.pdf"/><s v="10.1073--pnas.1620542114.pdf"/><s v="10.1073--pnas.1701916114.pdf"/><s v="10.1073--pnas.1511536112.pdf"/><s v="10.1073--pnas.1508932113.pdf"/><s v="10.1073--pnas.1606574113.pdf"/><s v="10.1073--pnas.1607330114.pdf"/><s v="10.1073--pnas.1616921114.pdf"/><s v="10.1073--pnas.1717092115.pdf"/><s v="10.1073--pnas.1610834113.pdf"/><s v="10.1073--pnas.1805284115.pdf"/><s v="10.1073--pnas.1501592112.pdf"/><s v="10.1073--pnas.1517662112.pdf"/><s v="10.1073--pnas.1707040114.pdf"/><s v="10.1073--pnas.1705238114.pdf"/><s v="10.1073--pnas.1704032114.pdf"/><s v="10.1073--pnas.1706253114.pdf"/><s v="10.1073--pnas.1707719114.pdf"/><s v="10.1073--pnas.1523586113.pdf"/><s v="10.3389--fpsyg.2014.01276.pdf"/><s v="10.1016--j.euroecorev.2004.01.004.pdf"/><s v="10.1257--ma c.20130176.pdf"/><s v="10.1002--soej.12223.pdf"/><s v="10.1257--mac.1.1. 146.pdf"/><s v="10.1162--rest_a_00258.pdf"/><s v="10.1162--rest.90. 2.300.pdf"/><s v="10.1111--1467-8284.00419.pdf"/><s v="10.1111--j.1933-1592.2006.tb00603.x.pdf"/><s v="10.1163--156853706776931222.pdf"/><s v="10.1163--156853706776931385.pdf"/><s v="10.1080--13869790600641905.pdf"/><s v="10.1111--j.1468-0068.2007.00666.x.pdf"/><s v="10.1111--j.1475-4975.2007.00158.x.pdf"/><s v="10.1111--j.1475-4975.2007.00150.x.pdf"/><s v="10.1016--j.cognition.2007.11.004.pdf"/><s v="10.1080--09515080801978777.pdf"/><s v="10.1007--s12152-008-9015-7.pdf"/><s v="10.1080--09515080307771.pdf"/><s v="10.5840--jphil20091061128.pdf"/><s v="10.1080--09515080902802769.pdf"/><s v="10.1016--j.concog.2008.11.006.pdf"/><s v="10.1080--09515080903532290.pdf"/><s v="10.1111--j.1468-0017.2010.01398.x.pdf"/><s v="10.1007--s11098-009-9439-x.pdf"/><s v="10.5840--jphil20111081238.pdf"/><s v=".pdf"/><s v="10.1111--j.1468-0017.2011.01428.x.pdf"/><s v="10.1111--j.1551-6709.2011.01210.x.pdf"/><s v="10.1016--j.cognition.2003.10.003.pdf"/><s v="10.1007--s11098-010-9651-8.pdf"/><s v="10.1016--j.cognition.2013.02.008.pdf"/><s v="10.1017--epi.2013.23.pdf"/><s v="10.1007--s13164-013-0154-3.pdf"/><s v="10.1111--j.1933-1592.2012.00609.x.pdf"/><s v="10.1007--s13164-013-0162-3.pdf"/><s v="10.1093--aesthj--ayu027.pdf"/><s v="10.1080--09515089.2014.894431.pdf"/><s v="10.1111--nous.12017.pdf"/><s v="10.1111--j.1467-8284.2004.00481.x.pdf"/><s v="10.1016--j.cognition.2015.01.013.pdf"/><s v="10.1080--0951508042000202354.pdf"/><s v="10.1037--h0091247.pdf"/><s v="10.1080--09515080500264180.pdf"/><s v="10.1080--09515080500355236.pdf"/><s v="10.1080--09515080500177309.pdf"/><s v="10.1111--j.1467-9280.2008.02039.x.pdf"/><s v="10.1177--0956797620927967.pdf"/><s v="10.1111--j.1551-6709.2010.01164.x.pdf"/><s v="10.1016--j.neuron.2011.02.027.pdf"/><s v="10.1016--j.neuroimage.2009.09.024.pdf"/><s v="djärv_2018.pdf"/><s v="10.1037--rev0000175.pdf"/><s v="10.1177--0956797616669947.pdf"/><s v="10.1073--pnas.0908963106.pdf"/><s v="10.1037--0022-3514.94.3.495.pdf"/><s v="10.1177--0956797612449177.pdf"/><s v="10.1037--0022-3514.94.2.94.2.231.pdf"/><s v="10.1177--0956797615588195.pdf"/><s v="10.1371--journal.pone.0071475.pdf"/><s v="10.1371--journal.pone.0154854.pdf"/><s v="10.1038--nn.2889.pdf"/><s v="10.1177--0146167214524992.pdf"/><s v="10.1177--0001839219840022.pdf"/><s v="10.1016--j.jesp.2020.104019.pdf"/><s v="10.1073--pnas.1216438110.pdf"/><s v="10.1016--0010-0285(83)90002-6.pdf"/><s v="10.1037--a0035663.pdf"/><s v="10.1093--geronb--gbx099.pdf"/><s v="10.1111--j.1551-6709.2010.01161.x.pdf"/><s v="10.1126--science.1134475.pdf"/><s v="10.1037--a0031047.pdf"/><s v="10.1177--0956797615608267.pdf"/><s v="10.1111--j.1467-9280.2006.01780.x.pdf"/><s v="10.1177--0956797616639727.pdf"/><s v="10.1038--s41598-018-30314-y.pdf"/><s v="10.1073--pnas.2009030117.pdf"/><s v="10.1037--0022-3514.94.3.396 (1).pdf"/><s v="10.1037--0022-3514.94.3.396.pdf"/><s v="10.1016--j.visres.2005.04.013.pdf"/><s v="10.1016--j.jesp.2020.104080.pdf"/><s v="10.1016--j.cognition.2016.06.011.pdf"/><s v="10.1177--0956797613494853.pdf"/><s v="10.1177--0956797616640705.pdf"/><s v="10.1111--ecin.12470.pdf"/><s v="10.1145--3290605.3300469.pdf"/><s v="10.1037--xge0001195.pdf"/><s v="10.1016--j.jml.2006.02.004.pdf"/><s v="10.1177--0956797616685771.pdf"/><s v="10.1177--0146167215580776.pdf"/><s v="10.1287--orsc.2021.1456.pdf"/><s v="10.1016--s0010-0277(03)00064-7.pdf"/><s v="10.1037--0022-3514.77.4.785.pdf"/><s v="10.1177--0956797614536739.pdf"/><s v="10.1177--0956797614553009.pdf"/><s v="10.1037--a0020413.pdf"/><s v="10.1016--j.cognition.2019.104157.pdf"/><s v="10.1177--0956797618760784.pdf"/><s v="10.1126--science.1190792.pdf"/><s v="10.1037--0096-3445.132.1.3.pdf"/><s v="10.1111--j.1467-9280.2007.01909.x.pdf"/><s v="10.1177--0956797614563108.pdf"/><s v="10.1111--j.1467-9280.2008.02040.x.pdf"/><s v="10.1073--pnas.2014505117.pdf"/><s v="10.1177--0956797615572231.pdf"/><s v="10.1038--s41598-019-57204-1.pdf"/><s v="10.1037--a0016795.pdf"/><s v="10.1177--0956797618788882.pdf"/><s v="10.1177--0956797614547705.pdf"/><s v="10.1177--0956797611428079.pdf"/><s v="10.1177--0956797617705399.pdf"/><s v="10.1016--j.cognition.2017.06.025.pdf"/><s v="10.1177--0956797619854706.pdf"/><s v="10.1177--0146167207309195.pdf"/><s v="10.1126--science.1238041.pdf"/><s v="10.1037--a003210894.pdf"/><s v="10.1145--3173574.3174188.pdf"/><s v="10.1287--mnsc.2019.3362.pdf"/><s v="10.1177--0956797618806296.pdf"/><s v="10.1037--0022-3514.95.1.76.pdf"/><s v="10.1037--0278-7393.34.1.146.pdf"/><s v="10.1111--j.1467-9280.2008.02044.x.pdf"/><s v="10.1111--j.1467-9280.2008.02227.x.pdf"/><s v="10.1111--j.1467-9280.2008.02049.x.pdf"/><s v="10.1111--j.1467-9280.2008.02085.x.pdf"/><s v="10.1111--j.1467-9280.2008.02093.x.pdf"/><s v="10.1111--j.1467-9280.2008.02042.x.pdf"/><s v="10.1111--j.1467-9280.2008.02081.x.pdf"/><s v="10.1111--j.1467-9280.2008.02051.x.pdf"/><s v="10.1037--0278-7393.34.1.186.pdf"/><s v="10.1037--0278-7393.34.3.439.pdf"/><s v="10.1037--0278-7393.34.2.408.pdf"/><s v="10.1037--0278-7393.34.2.302.pdf"/><s v="10.1037--0278-7393.34.2.343.pdf"/><s v="10.1037--0278-7393.34.3.524.pdf"/><s v="10.1037--0278-7393.34.1.50.pdf"/><s v="10.1037--0278-7393.34.3.495.pdf"/><s v="10.1037--0278-7393.34.1.249.pdf"/><s v="10.1037--0278-7393.34.2.399.pdf"/><s v="10.1037--0278-7393.34.3.478.pdf"/><s v="10.1037--0278-7393.34.1.204.pdf"/><s v="10.1037--0278-7393.34.1.128.pdf"/><s v="10.1037--0278-7393.34.1.80.pdf"/><s v="10.1037--0278-7393.34.2.369.pdf"/><s v="10.1037--0278-7393.34.1.167.pdf"/><s v="10.1037--0278-7393.34.1.230.pdf"/><s v="10.1037--0022-3514.94.1.16.pdf"/><s v="10.1037--0022-3514.94.4.718.pdf"/><s v="10.1037--0022-3514.94.4.696.pdf"/><s v="10.1037--a0012833.pdf"/><s v="10.1037--0278-7393.34.1.237.pdf"/><s v="10.1037--0022-3514.94.4.560.pdf"/><s v="10.1037--0022-3514.94.3.545.pdf"/><s v="10.1037--0022-3514.94.1.1.pdf"/><s v="10.1037--0022-3514.94.4.600.pdf"/><s v="10.1037--0022-3514.95.2.420.pdf"/><s v="10.1037--0022-3514.94.4.647.pdf"/><s v="10.1037--0278-7393.34.1.97.pdf"/><s v="10.1037--0022-3514.94.1.158.pdf"/><s v="10.1037--0022-3514.94.4.579.pdf"/><s v="10.1037--0022-3514.95.2.293.pdf"/><s v="10.1037--0022-3514.94.3.516.pdf"/><s v="10.1037--0278-7393.34.1.219.pdf"/><s v="10.1037--0022-3514.94.4.672.pdf"/><s v="10.1037--0022-3514.94.2.94.2.196.pdf"/><s v="10.1037--0022-3514.94.5.871.pdf"/><s v="10.1037--0022-3514.94.2.183.pdf"/><s v="10.1037--0278-7393.34.3.460.pdf"/><s v="10.1037--0022-3514.94.1.116.pdf"/><s v="10.1111--j.1467-9280.2008.02054.x.pdf"/><s v="10.1037--0022-3514.94.3.382.pdf"/><s v="10.1037--0022-3514.94.1.91.pdf"/><s v="10.1037--0022-3514.94.2.245.pdf"/><s v="10.1037--0278-7393.34.2.257.pdf"/><s v="10.1037--0022-3514.94.3.429.pdf"/><s v="10.1037--0022-3514.95.2.274.pdf"/><s v="10.1037--0022-3514.94.4.615.pdf"/><s v="10.1126--science.1239918.pdf"/><s v="10.1177--0956797609358096.pdf"/><s v="10.1037--0278-7393.34.2.353.pdf"/><s v="10.1037--0278-7393.34.2.430.pdf"/><s v="10.1111--j.1467-9280.2008.02062.x.pdf"/><s v="10.1111--j.1467-9280.2008.02066.x.pdf"/><s v="10.1111--j.1467-9280.2008.02078.x.pdf"/><s v="10.1111--j.1467-9280.2008.02075.x.pdf"/><s v="10.1037--0278-7393.34.1.65.pdf"/><s v="10.1111--j.1467-9280.2008.02092.x.pdf"/><s v="10.1111--j.1467-9280.2008.02057.x.pdf"/><s v="10.1111--j.1467-9280.2008.02041.x.pdf"/><s v="10.1111--j.1467-9280.2008.02089.x.pdf"/><s v="10.1111--j.1467-9280.2008.02043.x.pdf"/><s v="10.1111--j.1467-9280.2008.02069.x.pdf"/><s v="10.1111--j.1467-9280.2008.02136.x.pdf"/><s v="10.1111--j.1467-9280.2008.02046.x.pdf"/><s v="10.1111--j.1467-9280.2008.02077.x.pdf"/><s v="10.1037--0278-7393.34.1.243.pdf"/><s v="10.1111--j.1467-9280.2008.02053.x.pdf"/><s v="10.1111--j.1467-9280.2008.02091.x.pdf"/><s v="10.1111--j.1467-9280.2008.02098.x.pdf"/><s v="10.1111--j.1467-9280.2008.02058.x.pdf"/><s v="10.1111--j.1467-9280.2008.02036.x.pdf"/><s v="10.1111--j.1467-9280.2008.02080.x.pdf"/><s v="10.1111--j.1467-9280.2008.02052.x.pdf"/><s v="10.1037--0278-7393.34.3.546.pdf"/><s v="10.1016--j.cub.2004.01.029.pdf"/><s v="10.1016--j.neuroimage.2006.11.048.pdf"/><s v="10.1038--nature03390.pdf"/><s v="10.1177--0093650215609676.pdf"/><s v="10.1177--0956797619879441.pdf"/><s v="10.1037--xge0000263.pdf"/><s v="10.1037--xge0000064.pdf"/><s v="10.1177--0956797618813092.pdf"/><s v="10.1177--1747021817744546.pdf"/><s v="10.1177--0956797618780643.pdf"/><s v="10.1073--pnas.1523698113.pdf"/><s v="10.1162--jocn_a_00709.pdf"/><s v="10.1111--j.1467-9280.2008.02157.x.pdf"/><s v="10.3758--s13428-021-01694-3.pdf"/><s v="10.1177--0956797617728270.pdf"/><s v="10.1073--pnas.1118373109.pdf"/><s v="10.1177--0956797618818484.pdf"/><s v="10.1177--0956797615612202.pdf"/><s v="10.1177--147470491100900206.pdf"/><s v="10.1177--0956797615598739.pdf"/><s v="10.1016--j.neuropsychologia.2009.05.011.pdf"/><s v="10.1037--a0028216.pdf"/><s v="10.1145--2470654.2481281.pdf"/><s v="10.1016--j.jesp.2018.05.006.pdf"/><s v="10.1177--0956797612444613.pdf"/><s v="10.1037--pspi0000081.pdf"/><s v="10.1177--0956797619855382.pdf"/><s v="10.1177--0956797610397956.pdf"/><s v="10.1177--0956797617706082.pdf"/><s v="10.1523--jneurosci.18-23-10105.1998.pdf"/><s v="10.1177--0956797609359908.pdf"/><s v="10.1177--0956797611434540.pdf"/><s v="10.1177--0956797614558718.pdf"/><s v="10.1523--jneurosci.2377-10.2010.pdf"/><s v="10.1177--0956797615573516.pdf"/><s v="10.1177--1948550619849426.pdf"/><s v="10.1037--a0029649.pdf"/><s v="10.1177--0956797614563958.pdf"/><s v="10.1177--0956797616651973.pdf"/><s v="10.1177--0956797614534693.pdf"/><s v="10.1093--workar--waac024.pdf"/><s v="10.1177--0956797611418350.pdf"/><s v="10.1177--0956797612445318.pdf"/><s v="10.1177--0956797616662271.pdf"/><s v="10.1177--0956797614554955.pdf"/><s v="10.1037--xge0000738.pdf"/><s v="10.1111--cogs.12176.pdf"/><s v="10.1177--0956797614559285.pdf"/><s v="10.1177--0956797616630964.pdf"/><s v="10.1126--science.148.3670.661.pdf"/><s v="10.1073--pnas.1202129109.pdf"/><s v="10.1177--0956797616667459.pdf"/><s v="10.1093--jos--ffw010.pdf"/><s v="10.1177--0956797615624492.pdf"/><s v="10.1515--ling.2011.016.pdf"/><s v="10.1177--0956797616650875.pdf"/><s v="10.1177--0956797616674999.pdf"/><s v="10.1089--cyber.2016.0530.pdf"/><s v="10.1111--cogs.12605.pdf"/><s v="10.1177--09567976221082637.pdf"/><s v="10.1126--science.1132491.pdf"/><s v="10.1177--0956797613502732.pdf"/><s v="10.1038--s41467-021-27323-3.pdf"/><s v="10.1177--0956797613508412.pdf"/><s v="10.1126--science.1250830.pdf"/><s v="10.1016--j.obhdp.2010.10.001.pdf"/><s v="10.1177--0956797615585002.pdf"/><s v="10.1177--0956797618779061.pdf"/><s v="10.1111--1467-9280.02436.pdf"/><s v="10.1177--0956797619856844.pdf"/><s v="10.1016--j.ecresq.2019.10.004.pdf"/><s v="10.1177--0956797614561266.pdf"/><s v="10.1177--0956797615617779.pdf"/><s v="10.1177--0956797618805750.pdf"/><s v="10.1177--0956797615569889.pdf"/><s v="10.1177--0956797616634654.pdf"/><s v="10.1080--23273798.2018.1431397.pdf"/><s v="10.1177--0956797615625640.pdf"/><s v="10.1177--0956797611419168.pdf"/><s v="10.1086--511799.pdf"/><s v="10.1177--0956797614527113.pdf"/><s v="10.1177--1948550612457688.pdf"/><s v="10.1162--089892900562219.pdf"/><s v="10.1038--nature11467.pdf"/><s v="10.1038--nature12774.pdf"/><s v="10.1038--nature13530.pdf"/><s v="10.1038--nature15392.pdf"/><s v="10.1126--science.1183532.pdf"/><s v="10.1126--science.1186799.pdf"/><s v="10.1126--science.1189993.pdf"/><s v="10.1126--science.1191465.pdf"/><s v="10.1126--science.1195701.pdf"/><s v="10.1126--science.1199327.pdf"/><s v="10.1126--science.1199427.pdf"/><s v="10.1126--science.1207745.pdf"/><s v="10.1126--science.1211180.pdf"/><s v="10.1126--science.1215647.pdf"/><s v="10.1126--science.1221936.pdf"/><s v="10.1126--science.1222426.pdf"/><s v="10.1126--science.1224313.pdf"/><s v="10.1126--science.1253932.pdf"/><s v="10.1037--a0015960.pdf"/><s v="10.1086--269239.pdf"/><s v="10.1037--0022-3514.83.5.1239.pdf"/><s v="3329308.pdf"/><s v="10.1007--s11098-004-4510-0.pdf"/><s v="10.1111-- j.1468-0017.2006.00297.x.pdf"/><s v="10.1016--0022-1031(77)90049-x.pdf"/><s v="10.1037--a0013748.pdf"/><s v="10.1207-- s15516709cog2605_4.pdf"/><s v="10.1002--(sici)1099-0771(199806)11:2%3c107::aid-bdm292%3e3.0.co;2-y.pdf"/><s v="10.1002--ejsp.2013.pdf"/><s v="10.1037--a0015141.pdf"/><s v="10.1177--0956797611429579.pdf"/><s v="10.1002--bdm.586.pdf"/><s v="10.1016--j .obhdp.2006.10.001.pdf"/><s v="10.1126--science.1130726.pdf"/><s v="10.1037--a0034462.pdf"/><s v="10.1037--0022-3514.73.4.733.pdf"/><s v="10.1038--nclimate2093.pdf"/><s v="10.1037--0096- 3445.136.4.569.pdf"/><s v="10.1177--0956797611434537.pdf"/><s v="10.1111--1467- 9280.00334.pdf"/><s v="10.3758--bf03197186.pdf"/></sharedItems></cacheField><cacheField name="link_o" numFmtId="0"><sharedItems containsBlank="1"><m/><s v="https://drive.google.com/file/d/140WKvPe6h8fNM79ffoPo5RX6uP0flGT4/view?usp=drivesdk"/><s v="https://drive.google.com/file/d/1O4mjB0-ZSujMTJYtaAoIsXTPuhxgEF-0/view?usp=drivesdk"/><s v="https://drive.google.com/file/d/1CZ8RmInPe2eqHwf-p8tl0IQxpn8_H_C5/view?usp=drivesdk"/><s v="https://drive.google.com/file/d/1A3A0XWewbvFp536VbiCjIAYxdIJwVP-9/view?usp=drivesdk"/><s v="https://drive.google.com/file/d/1W_KvsfbanYWBQG9nzoDuqDlzFW_jUYH2/view?usp=drivesdk"/><s v="https://drive.google.com/file/d/1OByNKNsjZqSFHFFyt-o1mPqDkVmgruBu/view?usp=drivesdk"/><s v="https://drive.google.com/file/d/1DO937F2xhbz54X6xu8qtsy63K6O9mEYa/view?usp=drivesdk"/><s v="https://drive.google.com/file/d/1bOamtHkDDCeR5rldqOBSgCXc_AFZb3yD/view?usp=drivesdk"/><s v="https://drive.google.com/file/d/1EKnIsw-dolmmk1-6Kle0hKb5-wtcqfmw/view?usp=drivesdk"/><s v="https://drive.google.com/file/d/1R2VrRXYyejGfSg11kpe_vHbQr5DvYbiJ/view?usp=drivesdk"/><s v="https://drive.google.com/file/d/1RTiaFppoyqVSbs6ENCjo8xyaIVfjFhVI/view?usp=drivesdk"/><s v="https://drive.google.com/file/d/1GpQZNwn0thDz2IQRffeGzv6KDWQiKn_I/view?usp=drivesdk"/><s v="https://drive.google.com/file/d/1mMbXlq0wHwW3u94B3l_0KZ3_2GsCObmh/view?usp=drivesdk"/><s v="https://drive.google.com/file/d/1rAL0rmM0jbf9S7uX5DiL77r3bNeTGrOY/view?usp=drivesdk"/><s v="https://drive.google.com/file/d/1S1BDaMkHx3KW3osHCgZU9COckw9P0yzi/view?usp=drivesdk"/><s v="https://drive.google.com/file/d/1n-j6Aip_Ueqh39JoVXmnujoaVUR_DnRz/view?usp=drivesdk"/><s v="https://drive.google.com/file/d/15kKUsqyFArf82r6bAlXLuUVgHc1vD9sW/view?usp=drivesdk"/><s v="https://drive.google.com/file/d/1o9LFgnQOxOWMbLhy5xq59Vl4kwI6felM/view?usp=drivesdk"/><s v="https://drive.google.com/file/d/1bHfJ-3gEyIURBJhF8bZZGAbZGtPK135A/view?usp=drivesdk"/><s v="https://drive.google.com/file/d/1XHPKfkBsPhF-1p8BH_npxrU-1vPB8MEe/view?usp=drivesdk"/><s v="https://drive.google.com/file/d/1ChpFRMejJzL2Sh9so-302icQ-YIJSCTh/view?usp=drivesdk"/><s v="https://drive.google.com/file/d/145Pa13zh5Prx2VW-au4YJBMHc37TXuej/view?usp=drivesdk"/><s v="https://drive.google.com/file/d/1PO93PC_ps2XExqA6N_FX_WnXnQAPrB_Q/view?usp=drivesdk"/><s v="https://drive.google.com/file/d/1CxhrkeSaHBzp5T2m5mVKo0v0N9tNA96j/view?usp=drivesdk"/><s v="https://drive.google.com/file/d/1DrC4ktWX9HamK4DWq_tF1P_2alxXHAnN/view?usp=drivesdk"/><s v="https://drive.google.com/file/d/1oqwZUfEfzfjGZaYk1A2E8B-PU-AQ6SKz/view?usp=drivesdk"/><s v="https://drive.google.com/file/d/1GCYFeLrlGpCBF1GyjSAAd1YFst71bifH/view?usp=drivesdk"/><s v="https://drive.google.com/file/d/1woJDHccS6Df_7DkKmeLElCzqxpjoRtns/view?usp=drivesdk"/><s v="https://drive.google.com/file/d/11FrEIq8nBGRjHM8n6665RHudNtasAq_q/view?usp=drivesdk"/><s v="https://drive.google.com/file/d/11NrpozUj6QEvSuPcqdy2reV2ZmG62r_Z/view?usp=drivesdk"/><s v="https://drive.google.com/file/d/1c0WTQTFC6wVjO3perznTR_rfzhpTPGnJ/view?usp=drivesdk"/><s v="https://drive.google.com/file/d/19ZhWLN_zymp-mzX14YC7jEv-MHZn0Qb4/view?usp=drivesdk"/><s v="https://drive.google.com/file/d/1hiobo976wpKGT4ybTmzucLhLBTnypf_I/view?usp=drivesdk"/><s v="https://drive.google.com/file/d/1bB5zAUL5oQPM2ClvdBCDeAd5AlkWVp4P/view?usp=drivesdk"/><s v="https://drive.google.com/file/d/1c_xOizbgC83hFcsc5jmN-idvU1vfACNB/view?usp=drivesdk"/><s v="https://drive.google.com/file/d/1Bqp5tbqcsNPKH_QuWEI9mWZ1-DAWptGv/view?usp=drivesdk"/><s v="https://drive.google.com/file/d/1Dm7RxWVN3iiT5GipgY8Gq3dl65EkIYDu/view?usp=drivesdk"/><s v="https://drive.google.com/file/d/1_YiZ9ym1etIoqiYTErFO56HCfNn-rWNe/view?usp=drivesdk"/><e v="#N/A"/><s v="https://drive.google.com/file/d/13W9ZIRuUntMYZ1V5eqz7utx5OSyGY3y3/view?usp=drivesdk"/><s v="https://drive.google.com/file/d/1NxD4srcP8NGAkHA1AWvYHXJLyf_l73EF/view?usp=drivesdk"/><s v="https://drive.google.com/file/d/14Tmk9XIOQYVh24x1jFR4QedpIbTx_n_e/view?usp=drivesdk"/><s v="https://drive.google.com/file/d/1KC4plXYkIWysGPnao4Tklulvzel2Da4l/view?usp=drivesdk"/><s v="https://drive.google.com/file/d/1gOWd02cezb5MHlIvhprXv-TgaFt5Ij8f/view?usp=drivesdk"/><s v="https://drive.google.com/file/d/150VkxMJ6Qzq8PM52a6Vi7Y9e4ojtHPne/view?usp=drivesdk"/><s v="https://drive.google.com/file/d/1ntHR-2TST8Pa9kLmC5CL_wNP2lafijMc/view?usp=drivesdk"/><s v="https://drive.google.com/file/d/1Baedt_RF56dAcd90mHgk4WyAWq0rNUNl/view?usp=drivesdk"/><s v="https://drive.google.com/file/d/1jZb-p-3Rc26saHcNX9fyKAs8ayXvLp_G/view?usp=drivesdk"/><s v="https://drive.google.com/file/d/1h26KXyOgQpabChNDwArC5YlDBW4_cfve/view?usp=drivesdk"/><s v="https://drive.google.com/file/d/1jZTNlQnL0TIaQEtiJ7d2O9yOJIbibVXq/view?usp=drivesdk"/><s v="https://drive.google.com/file/d/1TtkPI6YvV3JyoWKI8Z0FTVrehrNka7__/view?usp=drivesdk"/><s v="https://drive.google.com/file/d/1vzu_sqHQexZD23Pac-duPSmK-pGIptlf/view?usp=drivesdk"/><s v="https://drive.google.com/file/d/1BfaybP8V5w-BiT0TlcUAV03BKBkfzWla/view?usp=drivesdk"/><s v="https://drive.google.com/file/d/1jEnrVGc2PxWYnqqR5b5QggE9HgY-tjOC/view?usp=drivesdk"/><s v="https://drive.google.com/file/d/1NV42SOubbZFwoBVl2IhhGw3jTa6CF1Ns/view?usp=drivesdk"/><s v="https://drive.google.com/file/d/1UOcUsx-QUxFrulQIBnkUuR_13YgQP2Vd/view?usp=drivesdk"/><s v="https://drive.google.com/file/d/1XtfL3wumyr6mb9iCgCxuHmUHHvQhg4yN/view?usp=drivesdk"/><s v="https://drive.google.com/file/d/1dE7-AS0QPxKoPMyquy5WhD3ojjC80SWY/view?usp=drivesdk"/><s v="https://drive.google.com/file/d/1ks4sYhMyRxNwDVYxivPVczl4gI-dQ94P/view?usp=drivesdk"/><s v="https://drive.google.com/file/d/1PYhLwP6tdLfH-XKRuD0puhoFxy-sMmFS/view?usp=drivesdk"/><s v="https://drive.google.com/file/d/1S6Y_7EBTIU64tChcmNNePtGMO2jWzVGk/view?usp=drivesdk"/><s v="https://drive.google.com/file/d/1JnjkuBqFgDqAEzZj1VnXDDzpULzqwUY4/view?usp=drivesdk"/><s v="https://drive.google.com/file/d/1H6qRZ24gIkLnBRWVbjI2jgKRf4KnrPQh/view?usp=drivesdk"/><s v="https://drive.google.com/file/d/1V8lTfv6HJ8IMLiB5gYCuvj2XX1Nry6fh/view?usp=drivesdk"/><s v="https://drive.google.com/file/d/1wq7-2vqDvzteuPzlUspBQRdnaX3rmhA1/view?usp=drivesdk"/><s v="https://drive.google.com/file/d/1NP74FAQ4UheeZ68AMDXl3P1f72HLwpaT/view?usp=drivesdk"/><s v="https://drive.google.com/file/d/1-hACoGBMYzWfW-abiG6hh6iaoZvehEax/view?usp=drivesdk"/><s v="https://drive.google.com/file/d/14GutnAtB1f13xcVqwnhfc_-RMT6AP_5B/view?usp=drivesdk"/><s v="https://drive.google.com/file/d/1JkE16HX10SxkzianGctH-9nm-XFaoMsF/view?usp=drivesdk"/><s v="https://drive.google.com/file/d/1qyGORRGdQy-kyOSM_2vtKP7-BEAhuKWX/view?usp=drivesdk"/><s v="https://drive.google.com/file/d/1v5DJu4qjqzVUJEfoj2GHrhMbmyHZ-m6z/view?usp=drivesdk"/><s v="https://drive.google.com/file/d/1mJVZEGRuGEHvjJLpaIkoRcJuDNXnANgI/view?usp=drivesdk"/><s v="https://drive.google.com/file/d/1LJ0WrqBtVRCt68G-AduIa1fUKucFOQw4/view?usp=drivesdk"/><s v="https://drive.google.com/file/d/1U7jcEsjlgt0luv4Qd8Q7JmbBb7qRDTdD/view?usp=drivesdk"/><s v="https://drive.google.com/file/d/1pRBsytrBmWb0piV5bun6Rad2j51JyzSC/view?usp=drivesdk"/><s v="https://drive.google.com/file/d/10IpKBTm-TxBYPtbdDzTDyVDz6z5jT5CF/view?usp=drivesdk"/><s v="https://drive.google.com/file/d/1jpKVfN7bQV2qYmB0hMMFd61i7NfLKBWv/view?usp=drivesdk"/><s v="https://drive.google.com/file/d/16pg9MWE7EmtXDgvjDW9mExWkGIxt2MYX/view?usp=drivesdk"/><s v="https://drive.google.com/file/d/1YQ1rwTK8fHHydlCOqvw62rr4BQnhJ7v4/view?usp=drivesdk"/><s v="https://drive.google.com/file/d/1IfVJze_D0VNVGP0qGB9jOH8T88AinA4X/view?usp=drivesdk"/><s v="https://drive.google.com/file/d/1bQdPG6N4D0o1pKlwFaURIS3ouXnJPLk2/view?usp=drivesdk"/><s v="https://drive.google.com/file/d/1EOobtRYPjKeO9_gYW4bu-_TIpK_PjuLA/view?usp=drivesdk"/><s v="https://drive.google.com/file/d/1Dle9tBaQJnicGTbi-WNIWZLHBhpRMBFu/view?usp=drivesdk"/><s v="https://drive.google.com/file/d/1NONRrVPLj3_SNxu7Ptx53k4VBPMr7tIo/view?usp=drivesdk"/><s v="https://drive.google.com/file/d/1_lgC5OmIfmdyPUatcoMBb50JoLNHFpBH/view?usp=drivesdk"/><s v="https://drive.google.com/file/d/1d65j0saCEIanzMI-38I3fhweWKRYSiw2/view?usp=drivesdk"/><s v="https://drive.google.com/file/d/1BtYypYyY-PzT4y8FLAgHXAyFQwMz4y2O/view?usp=drivesdk"/><s v="https://drive.google.com/file/d/1UoK9lGyVfG2aSVu9UX62d1KXmmkZeMsj/view?usp=drivesdk"/><s v="https://drive.google.com/file/d/19vVZNnZqbHViA7ik9IZlctpt3T8O8e-i/view?usp=drivesdk"/><s v="https://drive.google.com/file/d/1-cST4Xer2glOXMG5eTrJVkRfofzfqFTW/view?usp=drivesdk"/><s v="https://drive.google.com/file/d/1QkWM8jiVqpN5vc_zuD8HexJx-ED2mGF0/view?usp=drivesdk"/><s v="https://drive.google.com/file/d/1lp6r_eHvrdDz_Jcksbt_MrMZQFC3hwy0/view?usp=drivesdk"/><s v="https://drive.google.com/file/d/13vglHZTPgv6z9W5xPGWG5OyE_h91M3UK/view?usp=drivesdk"/><s v="https://drive.google.com/file/d/11B6RDsDdpDnOGVv1Bafc4t3LGTugpLfW/view?usp=drivesdk"/><s v="https://drive.google.com/file/d/1MFrh4TN71i6T_XH6VvEuarZ-bkTQmkjp/view?usp=drivesdk"/><s v="https://drive.google.com/file/d/14JiPB9PULLRpSMDZtQ3_0LhPcWDH6OCz/view?usp=drivesdk"/><s v="https://drive.google.com/file/d/1y96i0hMyOppZ0ZOc68SfdS2QELKNre-8/view?usp=drivesdk"/><s v="https://drive.google.com/file/d/1gBF1OSh84_PEaQuwMpzqMOVewrJw3LKJ/view?usp=drivesdk"/><s v="https://drive.google.com/file/d/1jvY3Sgds8iuvtsLXHlpUqcaSBliH2tJV/view?usp=drivesdk"/><s v="https://drive.google.com/file/d/1Q7xyjTHCXVBDAcscenEerggpt0mO62P6/view?usp=drivesdk"/><s v="https://drive.google.com/file/d/1D8E42YuXrxlGwF61UWB4V8lYywAWr8dY/view?usp=drivesdk"/><s v="https://drive.google.com/file/d/15Wsn7yRLOjnPIu3oOYbA1lhbZIRp1-8K/view?usp=drivesdk"/><s v="https://drive.google.com/file/d/151z21j0N9goJiyhqVea_1u4UA83qXS6l/view?usp=drivesdk"/><s v="https://drive.google.com/file/d/1k_ITkShMoY3bps8YyiRV8_CnbYN3486s/view?usp=drivesdk"/><s v="https://drive.google.com/file/d/120bw0itAYyHMiW9T7e3mTuddlQMPW3x8/view?usp=drivesdk"/><s v="https://drive.google.com/file/d/1KdKryH9Qx-Olx2xYcWf9zZPlU9JsWLmq/view?usp=drivesdk"/><s v="https://drive.google.com/file/d/1htcfPlWHtz8E91jbq14ETkimhcWUSyMj/view?usp=drivesdk"/><s v="https://drive.google.com/file/d/1M2bQUYW3MLXQBgi-vbBlJhTa0bUosI7r/view?usp=drivesdk"/><s v="https://drive.google.com/file/d/1DouZu51tYUlHCJt3ED5926-nk58IBtuY/view?usp=drivesdk"/><s v="https://drive.google.com/file/d/12hPE3_ROkrr-EwAg8DQR8e8OYrtwuoYT/view?usp=drivesdk"/><s v="https://drive.google.com/file/d/1Sg7pV5-MRMEfG7acPaIDjV0AQ3yqElU4/view?usp=drivesdk"/><s v="https://drive.google.com/file/d/1dqYztlMOBsUY1H2Tadvsh9mJOiZQ1nVh/view?usp=drivesdk"/><s v="https://drive.google.com/file/d/1Nb1xwSCq02ajI3h9-mZBwiuifn_7H1iR/view?usp=drivesdk"/><s v="https://drive.google.com/file/d/1VbP_Ewf88OEuvCt9ZwvGSNNhhGDSj19O/view?usp=drivesdk"/><s v="https://drive.google.com/file/d/1acuUVGe9a1FY0NzYPbpq8pAnbZKrjA2v/view?usp=drivesdk"/><s v="https://drive.google.com/file/d/1yhJ17uggr6j5uXr73Jms5KP35M6RDUxL/view?usp=drivesdk"/><s v="https://drive.google.com/file/d/1QDNRrzD1VCOwR4bsx3QJgYLm2e6VV-no/view?usp=drivesdk"/><s v="https://drive.google.com/file/d/16SOoUfTCSMe7mtchsl8axpkAxtRIR28i/view?usp=drivesdk"/><s v="https://drive.google.com/file/d/1-SOOgACp6dnzzYdlh2PFI-ANnAwmf5c6/view?usp=drivesdk"/><s v="https://drive.google.com/file/d/1p9X3tD24EWbnOA_5MSM9HTgujzLisIGn/view?usp=drivesdk"/><s v="https://drive.google.com/file/d/14h-UnLvc59XK91wSbRiIAUMtz5chtiz5/view?usp=drivesdk"/><s v="https://drive.google.com/file/d/1VcKqsyqYAl_exqLf4Zk_sKFNXaU3WlBH/view?usp=drivesdk"/><s v="https://drive.google.com/file/d/1vcCVkrjNwZHH8glmh9tGMygAb5DPf3dE/view?usp=drivesdk"/><s v="https://drive.google.com/file/d/1eGcl00TFvqtXToShjh3zwuqo-qNHAocO/view?usp=drivesdk"/><s v="https://drive.google.com/file/d/13E6exELEtdG2RSbqcPYafnphBAN0Qwtm/view?usp=drivesdk"/><s v="https://drive.google.com/file/d/1_IO4PdoMe7l8Q03W9hLBkKiHGidC5w-t/view?usp=drivesdk"/><s v="https://drive.google.com/file/d/1xUlRe3MC-gZV8Zhd6NQNLSAYxUKd-bXT/view?usp=drivesdk"/><s v="https://drive.google.com/file/d/1-8o-L3-LBDg-R5swBEF53YfzOD1dWuZJ/view?usp=drivesdk"/><s v="https://drive.google.com/file/d/1y_lQGjVlo6Fl18TxXjJCuEtRwnUYubwf/view?usp=drivesdk"/><s v="https://drive.google.com/file/d/105cRk7vC72JK1EA9WyGiYPQkLW7C53Ad/view?usp=drivesdk"/><s v="https://drive.google.com/file/d/1DQ-5qEEOtHAV_EO0dtcKuZKTfy6PHQQl/view?usp=drivesdk"/><s v="https://drive.google.com/file/d/1BbeoZ9CdBUXQMwPbOQkLBdsayafNFSX2/view?usp=drivesdk"/><s v="https://drive.google.com/file/d/1yHD_X4W7fLNjPrkn11Gu0-mHGcNqrpws/view?usp=drivesdk"/><s v="https://drive.google.com/file/d/1xfxst9Oa-ge7wewPL4HMH7DqgvOPP20b/view?usp=drivesdk"/><s v="https://drive.google.com/file/d/1E11EGVsEk8jXG4anLcX1DKLgm7aqhOmU/view?usp=drivesdk"/><s v="https://drive.google.com/file/d/1sCCY3KYGCCE3zAn1qtYymO7af6DAj-0M/view?usp=drivesdk"/><s v="https://drive.google.com/file/d/1eLY3wQhNqme2S7a_tXRX4gHwGifvXW1x/view?usp=drivesdk"/><s v="https://drive.google.com/file/d/1n72rgjSW6FtAclFquHlO8O2BBvlTnJas/view?usp=drivesdk"/><s v="https://drive.google.com/file/d/1AHAkX3IHAtNC1ywt3EKJgEjl7TvUilkM/view?usp=drivesdk"/><s v="https://drive.google.com/file/d/1wOKjiL59sTbYJAZUPb-UPMjoPu-4HWDV/view?usp=drivesdk"/><s v="https://drive.google.com/file/d/1GUMHnYj_hycM2gMFNTbvEGwdonZHVaEU/view?usp=drivesdk"/><s v="https://drive.google.com/file/d/1OmM2z06gBM63n800JtLoY_5328h0Kj-q/view?usp=drivesdk"/><s v="https://drive.google.com/file/d/1c91FKEwUnH0eT_Uzixr-mWli2LJ6mmul/view?usp=drivesdk"/><s v="https://drive.google.com/file/d/1n0koQ1yLwfPYdmBREVehxKIdhjOoUZSg/view?usp=drivesdk"/><s v="https://drive.google.com/file/d/1X_8gLoQL8UM8XESII7U1_3XXVMeR9N2z/view?usp=drivesdk"/><s v="https://drive.google.com/file/d/1VFtyqV5el7EJVeHaibxWMy34k9LMhbzJ/view?usp=drivesdk"/><s v="https://drive.google.com/file/d/1Z4TItg9VScF62xlkgC_PoPtT-7Vv0iWy/view?usp=drivesdk"/><s v="https://drive.google.com/file/d/1r8gz_OQgXRQyPABeOEgFy2rbZa10e60I/view?usp=drivesdk"/><s v="https://drive.google.com/file/d/1p1O3cA89Rortn-b4c3if2MEMXd31m4nv/view?usp=drivesdk"/><s v="https://drive.google.com/file/d/1egXsfHxw3enkl4JvCEY0lfs0BTX1O2u3/view?usp=drivesdk"/><s v="https://drive.google.com/file/d/1n2AFbrWCoSyUJoEu2sdAqSUYEEqLi3-i/view?usp=drivesdk"/><s v="https://drive.google.com/file/d/1j22rPSmrajVUMaZJ7ZQ_3oBwSfmIAktN/view?usp=drivesdk"/><s v="https://drive.google.com/file/d/1KgVy8pDNXw_rUPEflxR0eTSRI8bSGPLS/view?usp=drivesdk"/><s v="https://drive.google.com/file/d/1VjQnWh7tIM7zl21GEg_LipSiXaJr91Ht/view?usp=drivesdk"/><s v="https://drive.google.com/file/d/17CimGUvhLJDkg1bbuFUCRcNLQJR1151z/view?usp=drivesdk"/><s v="https://drive.google.com/file/d/1CSCUNAQZCt3s32RgzUwXe6pe5scvK0yY/view?usp=drivesdk"/><s v="https://drive.google.com/file/d/1EqvEPwgwndawziGmIPqgl3yNKOI51OAS/view?usp=drivesdk"/><s v="https://drive.google.com/file/d/1MSm1yoidPn8M-5atsMIFyyg354c4jcsA/view?usp=drivesdk"/><s v="https://drive.google.com/file/d/11AH2LlIZsd9ZFfFjWFxFf5MBHzmbtt8i/view?usp=drivesdk"/><s v="https://drive.google.com/file/d/10xyzPhQJ8BoXAmXBEBA_mIn8qqh_KbTE/view?usp=drivesdk"/><s v="https://drive.google.com/file/d/1tNde2WsKCKtTxCH7EfB-a1TjXERl50pJ/view?usp=drivesdk"/><s v="https://drive.google.com/file/d/1_KweoGhNrt_00Umu1vsjHfibTm4z9cNE/view?usp=drivesdk"/><s v="https://drive.google.com/file/d/1XAdHa8ntbQreOrtrubV-Qgfz8m_7szBt/view?usp=drivesdk"/><s v="https://drive.google.com/file/d/1Y8W4Pu0XmqnQ5lA-X7ANKZNlSBzl4UGP/view?usp=drivesdk"/><s v="https://drive.google.com/file/d/1KGwRGETP91kM9JQ1Lkln3MN4JSxyj4OW/view?usp=drivesdk"/><s v="https://drive.google.com/file/d/1Mbtg5W4r7YUV6SqGN7Y6QssV1kBq9eYn/view?usp=drivesdk"/><s v="https://drive.google.com/file/d/16qY0dLq9qys2p0JL-JepbP82uCNsmR0S/view?usp=drivesdk"/><s v="https://drive.google.com/file/d/15WVNsHu4qw18Mufo3UCjKv6cq2gXORb0/view?usp=drivesdk"/><s v="https://drive.google.com/file/d/1G4gv0ySakjef__T9l4MU6vM4mSqIKpQf/view?usp=drivesdk"/><s v="https://drive.google.com/file/d/1esh5oqCpj4F374ZeOWGrHgAoZG4Cbaxf/view?usp=drivesdk"/><s v="https://drive.google.com/file/d/1NZ8v6491Ny_LbUh8osKtj88hF7RAiobW/view?usp=drivesdk"/><s v="https://drive.google.com/file/d/1iPMC-k9xrxfHtNZFhdKSSGpPAPPmY3J4/view?usp=drivesdk"/><s v="https://drive.google.com/file/d/1FBVDq-txued5VjX89SxjAxiqVp_WzRYr/view?usp=drivesdk"/><s v="https://drive.google.com/file/d/1jf3ctwxwUpc5AYKxlkNN-odE2ElrZuqN/view?usp=drivesdk"/><s v="https://drive.google.com/file/d/1V4dif0GlZHpTSBPr0wrGGqKPzj36JjUm/view?usp=drivesdk"/><s v="https://drive.google.com/file/d/1Q-7NFLR9V_1Z9QaSQGnQmRUgw6UigOsQ/view?usp=drivesdk"/><s v="https://drive.google.com/file/d/1tY7SvX2n-lCVOB9eR5KtC31EmD0a4uX2/view?usp=drivesdk"/><s v="https://drive.google.com/file/d/1-XMlXEjoIspJ3kqVPF-O6pr1PklAU4DF/view?usp=drivesdk"/><s v="https://drive.google.com/file/d/1TdFZluOSkUInT8sXikux3vYR7IOX4RMk/view?usp=drivesdk"/><s v="https://drive.google.com/file/d/1peHj2qn55XShERDto7FmUKmKRW04vw25/view?usp=drivesdk"/><s v="https://drive.google.com/file/d/1iXbJmAfK9HnzZ8oDPYgQfHqZeVcgywaq/view?usp=drivesdk"/><s v="https://drive.google.com/file/d/1pcJJj-dcZ2YUNw-3w1ykB27KPj9Bj-By/view?usp=drivesdk"/><s v="https://drive.google.com/file/d/1kb4iozdFSFtKZKGvaK7sOkqlr4kI2jg5/view?usp=drivesdk"/><s v="https://drive.google.com/file/d/1xs7muWdyYdblxSMymp-O09c44czfutsh/view?usp=drivesdk"/><s v="https://drive.google.com/file/d/1sQtBrEeqN1XM_1Qv0mJvDeDfWVWHohWY/view?usp=drivesdk"/><s v="https://drive.google.com/file/d/1vevfUy0iTc6NQfF1T-jwqjcTM_yHdsf0/view?usp=drivesdk"/><s v="https://drive.google.com/file/d/1_iGxIOrj5vzUvhOaCiFYGOOkUVaaRx4p/view?usp=drivesdk"/><s v="https://drive.google.com/file/d/17zk5ntmJwRuglkdI2KDBsmDyHp9ZT9nk/view?usp=drivesdk"/><s v="https://drive.google.com/file/d/1zG4Fc_IEv6joOTyPj0JeBdLMNt-6vqsC/view?usp=drivesdk"/><s v="https://drive.google.com/file/d/1siDzTCg5TAqWvx1F7jfvqWF5y01jo9l6/view?usp=drivesdk"/><s v="https://drive.google.com/file/d/1KEBKYl19fq4HtJxW3DL6KczxjYJ94hp2/view?usp=drivesdk"/><s v="https://drive.google.com/file/d/15kuHQf8erGaSOBxt1lOz994u1DIsHk_v/view?usp=drivesdk"/><s v="https://drive.google.com/file/d/1kCe7dne_GNfNSHLYlAzOzBcQn9yFuOr2/view?usp=drivesdk"/><s v="https://drive.google.com/file/d/1awPCjIHvs8ahIhOincmP_HaNxC6Wg3ei/view?usp=drivesdk"/><s v="https://drive.google.com/file/d/1yWq9VA17bviusA1-gmEWYWL7w6FHKyMI/view?usp=drivesdk"/><s v="https://drive.google.com/file/d/1Dc0I6mdR5VNlZdfy9Q6SxLCujdERpq1s/view?usp=drivesdk"/><s v="https://drive.google.com/file/d/1wEFZG_VXnD2cJrOMtVKNCAqucbV5WQV9/view?usp=drivesdk"/><s v="https://drive.google.com/file/d/17yvRZkdBULPZU-hy9QprgZuJeonQfAel/view?usp=drivesdk"/><s v="https://drive.google.com/file/d/1dU1UjhKXuYwEUy9G1SAQvFWoiujBUM-l/view?usp=drivesdk"/><s v="https://drive.google.com/file/d/1F1gmEthZ6jBt549BBg-rdg_5OVDXWokk/view?usp=drivesdk"/><s v="https://drive.google.com/file/d/1VgMcBc_Zck2mNomOuS1CZVLBzdiV_nWC/view?usp=drivesdk"/><s v="https://drive.google.com/file/d/1X_Hzp8yt2P-QO2WO8iH4EPgoVRh7R4xM/view?usp=drivesdk"/><s v="https://drive.google.com/file/d/1G_aU3PGCjrrMgJwOfzq2w1nbmT82GsuJ/view?usp=drivesdk"/><s v="https://drive.google.com/file/d/1nonM8jExC1mVvcGqlH7dSp0-DAzLBLtm/view?usp=drivesdk"/><s v="https://drive.google.com/file/d/12p5OEsz_Kqdr2WrmlHbpY-_JFlSEkooC/view?usp=drivesdk"/><s v="https://drive.google.com/file/d/1rj178it8sQtHMyNzyb90GXfEk1Hk5YnN/view?usp=drivesdk"/><s v="https://drive.google.com/file/d/1sVDcE0S8Au1V2yPyjhNJC-dbCas3mbhd/view?usp=drivesdk"/><s v="https://drive.google.com/file/d/1v5J8Cnv26X6sTt4VLBH9e2mvCWSnQGm4/view?usp=drivesdk"/><s v="https://drive.google.com/file/d/15DQQpECVr9NdJZ7O7RNWRdNwXQ6KQeXe/view?usp=drivesdk"/><s v="https://drive.google.com/file/d/1tE6_KVQyfFVpIfIuz7dnWR1i8_me3TIT/view?usp=drivesdk"/><s v="https://drive.google.com/file/d/10y7q496AX6_0sM8VYpwXFE_CfW3qWVER/view?usp=drivesdk"/><s v="https://drive.google.com/file/d/1-nd1hGa7j_Vwr7C63vLyw8Doq1Jw9jdo/view?usp=drivesdk"/><s v="https://drive.google.com/file/d/1MkAewK7ChXvXFt_yHeQBeosTp7ozsocw/view?usp=drivesdk"/><s v="https://drive.google.com/file/d/1oAjR8vSHaozIl7e-9ozgY9hFTpEChKb7/view?usp=drivesdk"/><s v="https://drive.google.com/file/d/1gbKPV2rhuEZ5YY7sLWcOmdMsnKF1lOwO/view?usp=drivesdk"/><s v="https://drive.google.com/file/d/1HOPgbT8B7cSul5cTHeEI8GnCvj5F-kiw/view?usp=drivesdk"/><s v="https://drive.google.com/file/d/1UjvynnYEPZHicucFMnLs5zd6tciLP1ET/view?usp=drivesdk"/><s v="https://drive.google.com/file/d/1VK50exEXQ_rClong6zFoFteT2CKKkjmO/view?usp=drivesdk"/><s v="https://drive.google.com/file/d/1CjT1O6wWYuXyGwX2IDXgjfNdv5kWTW3m/view?usp=drivesdk"/><s v="https://drive.google.com/file/d/1Y64s8GHxNrRvDcvruC4sJnxL8xzdZcO-/view?usp=drivesdk"/><s v="https://drive.google.com/file/d/1mu475Zzy_-pzVxpT6L8wHxxpOPeohqGN/view?usp=drivesdk"/><s v="https://drive.google.com/file/d/1JcrIIJziv9H4c66sUbolfvMwbkPdlR44/view?usp=drivesdk"/><s v="https://drive.google.com/file/d/1zdQKRoaKTgqYFpQsFj5QvQQ6FD0ed3fh/view?usp=drivesdk"/><s v="https://drive.google.com/file/d/1ZJao6drmlp_5iFzVLwLBVxZ7mZzQpGwX/view?usp=drivesdk"/><s v="https://drive.google.com/file/d/1OF9OzNZ0RezTr91hWpWHMHWrXH9SCFAS/view?usp=drivesdk"/><s v="https://drive.google.com/file/d/1_UEC3DvYLPby3ewaxAHguC5Mm0ainire/view?usp=drivesdk"/><s v="https://drive.google.com/file/d/1RLxYB-xp9gCuylzG8fMEpa5rGt6OdoMh/view?usp=drivesdk"/><s v="https://drive.google.com/file/d/133wAd9ADUXthw033LGhcEhvxSj0cXryx/view?usp=drivesdk"/><s v="https://drive.google.com/file/d/1mWjj8mxrG8UD8YXr2nZ-cGzIZBtUwLal/view?usp=drivesdk"/><s v="https://drive.google.com/file/d/11YlCMyN4uuL8Bm15aAIWE8inJeqhHaiW/view?usp=drivesdk"/><s v="https://drive.google.com/file/d/1tL5SefgazspPrHDE7uspX1rbNInieF1Y/view?usp=drivesdk"/><s v="https://drive.google.com/file/d/18nULESXZN8TdVjSkyh5ultgqH2EvBSm0/view?usp=drivesdk"/><s v="https://drive.google.com/file/d/117IKlIHBXRWO7KM1helymQPvsGoEIXdX/view?usp=drivesdk"/><s v="https://drive.google.com/file/d/1W2aCwE3Z8jN-Xdqb3awaTWO-3SquFMRh/view?usp=drivesdk"/><s v="https://drive.google.com/file/d/1lHQosDuo6gaE1kApTnMYX-PdVa7g5c2f/view?usp=drivesdk"/><s v="https://drive.google.com/file/d/1_3kOREsSMo-zmS04srVes69SaYsErPmR/view?usp=drivesdk"/><s v="https://drive.google.com/file/d/1lOqUFhZvkowPd-Ne3aczCZ30vQ08jqm-/view?usp=drivesdk"/><s v="https://drive.google.com/file/d/1v6kgKeSqXz-kIHf5HXexB2cCnGBup8pu/view?usp=drivesdk"/><s v="https://drive.google.com/file/d/1e5Wm6ChazDKUJftaKFfLoaBKNbaofYfP/view?usp=drivesdk"/><s v="https://drive.google.com/file/d/14l2Iyllp2BRKK4GUgjOnaxtE-5V5_oxZ/view?usp=drivesdk"/><s v="https://drive.google.com/file/d/1sQ8SgRlBMbqW6PR-9YQps9sVh-rL9tXw/view?usp=drivesdk"/><s v="https://drive.google.com/file/d/1AFvmNMhSk-QV-2cVhQI1IIbAhqjPhXWN/view?usp=drivesdk"/><s v="https://drive.google.com/file/d/1eermV6x-0NkuxwsqnprduFouBUdTshGn/view?usp=drivesdk"/><s v="https://drive.google.com/file/d/19BYjzsMkYCiipD-HEqq4sHumZDCTO5SQ/view?usp=drivesdk"/><s v="https://drive.google.com/file/d/1c-T-gBsf13rctIADi3rUqpv_LDEac7l1/view?usp=drivesdk"/><s v="https://drive.google.com/file/d/1ZRJcq-rd4pEQb0DmJ1HQenA2-OH5dbEb/view?usp=drivesdk"/><s v="https://drive.google.com/file/d/1s3htODPJ-fx2SsrGMPuuPnrS-QkOjVmW/view?usp=drivesdk"/><s v="https://drive.google.com/file/d/1vD03nf0a0BC3Ui7dZPBwsHBn8uBFVmTS/view?usp=drivesdk"/><s v="https://drive.google.com/file/d/17x3I7jUwdIldQm5GP-fj0zgsKCgIUoRP/view?usp=drivesdk"/><s v="https://drive.google.com/file/d/1Chyql9h2DEg41XAYeRupg6Etz-OFp0us/view?usp=drivesdk"/><s v="https://drive.google.com/file/d/1uSaalqURvSDrwFTwn8d56akyZ5pLqmJn/view?usp=drivesdk"/><s v="https://drive.google.com/file/d/1vWGgcW4pZ3FoyQKsaRTBIF-qNoze2NOS/view?usp=drivesdk"/><s v="https://drive.google.com/file/d/1CNUuCil5aZVO_tdA1GgelrRiq8I7q6J4/view?usp=drivesdk"/><s v="https://drive.google.com/file/d/1cd2Q3usXoNSUYACYaL4eodYUxZsj-SOb/view?usp=drivesdk"/><s v="https://drive.google.com/file/d/1OSEYoq50TRvyqkjozHLp1CtvXHG-6rLL/view?usp=drivesdk"/><s v="https://drive.google.com/file/d/1nhF9YyHcpfCFAHZNSHYOdrHjNY6W4OdA/view?usp=drivesdk"/><s v="https://drive.google.com/file/d/1-ByeeNB55CftwPMrOwFmhKHJtA2Cargu/view?usp=drivesdk"/><s v="https://drive.google.com/file/d/10tpM-QAfI0H0NH6vAvH9VLJJki0FnCbu/view?usp=drivesdk"/><s v="https://drive.google.com/file/d/18ZlWgEtYOKx4ampRaantI27kYPgBvB4J/view?usp=drivesdk"/><s v="https://drive.google.com/file/d/1hMU234raFGJtbZQ16uhu9mUFuosskYBK/view?usp=drivesdk"/><s v="https://drive.google.com/file/d/18dLuHsJaHfEuFpmJ9coLBrlcbxYHVgpG/view?usp=drivesdk"/><s v="https://drive.google.com/file/d/1yCifhK2ZQwpUZAjclr5TAmGCQqTbBrUa/view?usp=drivesdk"/><s v="https://drive.google.com/file/d/13eFbDRsrT4E_alMlB_gHi3f-ptev6t5p/view?usp=drivesdk"/><s v="https://drive.google.com/file/d/1a_-X1vjB6N4-IwfcVsM4fHxFavXCK8pH/view?usp=drivesdk"/><s v="https://drive.google.com/file/d/1Pb_juPmIU_Q7VY9NrSeQKbDclKBuO2i4/view?usp=drivesdk"/><s v="https://drive.google.com/file/d/18geCDJ5bRB3bpM43MHvE6GJwLIjojiV3/view?usp=drivesdk"/><s v="https://drive.google.com/file/d/1S_1bC54b_CF_KpBDtwLxeDYcQEWMTRW_/view?usp=drivesdk"/><s v="https://drive.google.com/file/d/12yIYc8a3z4MzJ_-PiAeu39d1ppwYynMI/view?usp=drivesdk"/><s v="https://drive.google.com/file/d/1St2O5UfYoWXX1n7crfXuAdRXy1k6nYoo/view?usp=drivesdk"/><s v="https://drive.google.com/file/d/1KanaZYJkrnwi0ABQ2gUtWRMUjQnhMt0r/view?usp=drivesdk"/><s v="https://drive.google.com/file/d/14KU35or-OxTWODmUyKwRoB3qwuTQZobO/view?usp=drivesdk"/><s v="https://drive.google.com/file/d/1qNTfBnw7SpCi3blakzyKQFcGYOfOx3la/view?usp=drivesdk"/><s v="https://drive.google.com/file/d/1OXOz_E9VpKDoMyophO2ymVaA6QjHkMCY/view?usp=drivesdk"/><s v="https://drive.google.com/file/d/1WZ-wmp0ZBZO-MwxvYanAL8j3J4k47183/view?usp=drivesdk"/><s v="https://drive.google.com/file/d/1H1LGxInHGwZQlib48Sk8tAS3t5eXTLL_/view?usp=drivesdk"/><s v="https://drive.google.com/file/d/1-FUitYcnAKMu52rxwYLJUGd9TwUYmGfa/view?usp=drivesdk"/><s v="https://drive.google.com/file/d/1RWYs4BxngJFHCjARwIfsUfl_7-oYLebS/view?usp=drivesdk"/><s v="https://drive.google.com/file/d/1HlSsul-f2PZvtm7eAB3JNvLefgA9BMVI/view?usp=drivesdk"/><s v="https://drive.google.com/file/d/1xJDFi9AZRlHlZ8zxZ8pogfKFGSJiXpeB/view?usp=drivesdk"/><s v="https://drive.google.com/file/d/1XqhWmKG3ZvoLJmLnPSVfonhhVjkaOyOo/view?usp=drivesdk"/><s v="https://drive.google.com/file/d/1cOFI1sWmcyfR3tFVOvV90FUY4g-TwC4Z/view?usp=drivesdk"/><s v="https://drive.google.com/file/d/128D_xuWagaOC3zKfGWUi8CFf7zReyViC/view?usp=drivesdk"/><s v="https://drive.google.com/file/d/1jBszlwOALWIwLYvif4D3xVGXucPXKUwU/view?usp=drivesdk"/><s v="https://drive.google.com/file/d/13XRIYgF2yNC1qLHSQBITGa6oU0w9njVk/view?usp=drivesdk"/><s v="https://drive.google.com/file/d/1btjIxPMyuU5I6jNMm9c2DuyFxN8Pze7t/view?usp=drivesdk"/><s v="https://drive.google.com/file/d/1EbrmM7VFUrWNPY8NxA_ziNU_qOGIUYVa/view?usp=drivesdk"/><s v="https://drive.google.com/file/d/12OzFlZKms2M0ZvYy4yTBRvGof4FqM1Ud/view?usp=drivesdk"/><s v="https://drive.google.com/file/d/1ycY8rorKC9FDqVeTFdgVQQrTEuktcPox/view?usp=drivesdk"/><s v="https://drive.google.com/file/d/1G9_olsUh3tpfcqhh1KX72VpE0keeAnj7/view?usp=drivesdk"/><s v="https://drive.google.com/file/d/1y0oKhgHFMs_nXH4ufYi5ZaxDoesUnD71/view?usp=drivesdk"/><s v="https://drive.google.com/file/d/1NiPCpcI4sxnM3OTJQdqenG265Dkr8hRb/view?usp=drivesdk"/><s v="https://drive.google.com/file/d/1VkkAzt4eeAeZtV2ewwPlwMagejOBaOcs/view?usp=drivesdk"/><s v="https://drive.google.com/file/d/1Lf2mJhcl4k2IlhscpNWAcWIYn_DN1RLo/view?usp=drivesdk"/><s v="https://drive.google.com/file/d/16eIzUB6LjNl3GMULG3vB5p7EO1iC0SJ3/view?usp=drivesdk"/><s v="https://drive.google.com/file/d/15LyeMLPtv2yK2REXBqDLC63QQhUXXDVm/view?usp=drivesdk"/><s v="https://drive.google.com/file/d/1fP-Dr1DLCnPl-2Ya6EGtFK2aCF6SWr93/view?usp=drivesdk"/><s v="https://drive.google.com/file/d/1iTGkXjtQ0EE8-v45xZZ-Yv9zhQVAt2Pn/view?usp=drivesdk"/><s v="https://drive.google.com/file/d/1yQorPB990ECp--s5Y810aRf0XfraQ5Wv/view?usp=drivesdk"/><s v="https://drive.google.com/file/d/1_PDJ9HJdyc65HgAxy4hirK9FdTGjmJt6/view?usp=drivesdk"/><s v="https://drive.google.com/file/d/1uUa0wmROI0qE2xnTwxRVDmnwcW2lORPw/view?usp=drivesdk"/><s v="https://drive.google.com/file/d/1HpcHlK2DyzZieaRbX6Fr0ov7Mf_R671v/view?usp=drivesdk"/><s v="https://drive.google.com/file/d/1YjgU1oCfPf7_yAtASpZhwJS4TVj_g8CU/view?usp=drivesdk"/><s v="https://drive.google.com/file/d/17-wgGNPZwtL6rEYJQatdPfEg3Zj4LlVp/view?usp=drivesdk"/><s v="https://drive.google.com/file/d/16Fdz5Q4hZTnIAAvzSPJ1UmDOOND5AaDe/view?usp=drivesdk"/><s v="https://drive.google.com/file/d/1GCFNtGI_d_CgIPtrM02hpi0r-UNQaVqq/view?usp=drivesdk"/><s v="https://drive.google.com/file/d/1UTh20eT7TkvvPfQekHv-og8JNZ7R1WP8/view?usp=drivesdk"/><s v="https://drive.google.com/file/d/1EGlmFl81-d1oxiKpGgGytIRbyZhEQLuV/view?usp=drivesdk"/><s v="https://drive.google.com/file/d/1y8mrTT7_nUvHiOOj_Est9-y7QPFPn7bM/view?usp=drivesdk"/><s v="https://drive.google.com/file/d/16CJXCd6Rzqik5rD_iyUPgxYh8MalzPm4/view?usp=drivesdk"/><s v="https://drive.google.com/file/d/1FHV-u9hbFTbf5tQRw4AZBWXvlnvbsJuW/view?usp=drivesdk"/><s v="https://drive.google.com/file/d/1TnJyaUoRrpzVV53y8GXds5wdlyuM-9mX/view?usp=drivesdk"/><s v="https://drive.google.com/file/d/1Gkz07e_5xnoHy7zdKAHfWY6layqbA2lX/view?usp=drivesdk"/><s v="https://drive.google.com/file/d/1IyaF2VJcgVfWLGGRX0Pw4RnInw7LvfCb/view?usp=drivesdk"/><s v="https://drive.google.com/file/d/11evBHOPkYEq9tia_AUJzn9cHtIQOUcWa/view?usp=drivesdk"/><s v="https://drive.google.com/file/d/1mE5XaAsbpzpaVByGMY_Y-yHafY0h2G_x/view?usp=drivesdk"/><s v="https://drive.google.com/file/d/1UKyZSyadeWWKlD03-UFjhlFvSy-jY0H-/view?usp=drivesdk"/><s v="https://drive.google.com/file/d/1n-xkjkrGpKzc0Ew4FDfG-BXhbw4Koezu/view?usp=drivesdk"/><s v="https://drive.google.com/file/d/19DaZ3U3kDTGt8DNgyBPYTrh0pbrw_vwe/view?usp=drivesdk"/><s v="https://drive.google.com/file/d/12RwvQLmV6wPAqPP_X6JgA8Qo27g_8SJK/view?usp=drivesdk"/><s v="https://drive.google.com/file/d/1je9cw-vS4o0h7s6-W5SXMCb_uEat2QOt/view?usp=drivesdk"/><s v="https://drive.google.com/file/d/1TOZ9euIliRhkN1zDzYb6v8ankkIXs-ya/view?usp=drivesdk"/><s v="https://drive.google.com/file/d/1HdBN17kLB5Dti11EcyS-dTKrGQBVVhsc/view?usp=drivesdk"/><s v="https://drive.google.com/file/d/1Ic6aADz9FFftbyqRAxUFmh-o53coOang/view?usp=drivesdk"/><s v="https://drive.google.com/file/d/1eQcmhUZAM11qxH-mwM6jAouV_rCECXvM/view?usp=drivesdk"/><s v="https://drive.google.com/file/d/1ILNp7MaC4OusbPANu-7wOS3KK98RWdcz/view?usp=drivesdk"/><s v="https://drive.google.com/file/d/1pIRTLjdO33Sfa_G2JWHQXUfeh-daVV5W/view?usp=drivesdk"/><s v="https://drive.google.com/file/d/1a05JoYmLdyaqZqx1lMlnobPSBoVtshdG/view?usp=drivesdk"/><s v="https://drive.google.com/file/d/1VyZodnC88TkBiX9hwQqLISstx0--OlF9/view?usp=drivesdk"/><s v="https://drive.google.com/file/d/1r4PVlL83grqiq4UZ0to7L57VLrbdB9hi/view?usp=drivesdk"/><s v="https://drive.google.com/file/d/1u2KiampcOcT7G124TEOiIzae-KDknBmd/view?usp=drivesdk"/><s v="https://drive.google.com/file/d/10N0LzNT1GTgGgvA6UUZUXzIdwFBBm26w/view?usp=drivesdk"/><s v="https://drive.google.com/file/d/1dnoOFsITQ-OlW3SSnEP3gasruwHVCneM/view?usp=drivesdk"/><s v="https://drive.google.com/file/d/1mWHWKkVq6BilZwniJ1YPf3kKFnahjts7/view?usp=drivesdk"/><s v="https://drive.google.com/file/d/18ezWy7djA945zL8CbFQlhWO8EZS4wwS1/view?usp=drivesdk"/><s v="https://drive.google.com/file/d/1ytNNieBfW6njVZa_pFpdio4LUZmKmvXl/view?usp=drivesdk"/><s v="https://drive.google.com/file/d/1GJ1TkFgZk1zziaW-LwEzlbPoGlAfjX81/view?usp=drivesdk"/><s v="https://drive.google.com/file/d/15z0y7asIfplDps5d3R71GhEJxQWqBU9w/view?usp=drivesdk"/><s v="https://drive.google.com/file/d/122eQrKxq-6WpHqYSHCbu_61qufpfQpP1/view?usp=drivesdk"/><s v="https://drive.google.com/file/d/1-SaG8WiDfkM6zwdVOonoQg1W2TXK8F2W/view?usp=drivesdk"/><s v="https://drive.google.com/file/d/19KQFSemeD8gmmrYhmcTweZW1cifRjRsN/view?usp=drivesdk"/><s v="https://drive.google.com/file/d/1UOMf-snqsk6_xm9569d5Yr7tIrEVriap/view?usp=drivesdk"/><s v="https://drive.google.com/file/d/1VxdhYWAzQnqcs07E_QIp8DFonsZrBpYe/view?usp=drivesdk"/><s v="https://drive.google.com/file/d/1-STrPNxtwFZUvuNyyXDlz1bTmYscRd6t/view?usp=drivesdk"/><s v="https://drive.google.com/file/d/15VbpcEsW9L5op3IMpHA4I2dI5ndZgOpe/view?usp=drivesdk"/><s v="https://drive.google.com/file/d/1WsASGCOfsob-mQCui8A8AumUCdwI1vZt/view?usp=drivesdk"/><s v="https://drive.google.com/file/d/1WwYYCOA_x1mX6TzeKfrhq1RdbnoCXoh0/view?usp=drivesdk"/><s v="https://drive.google.com/file/d/12tOopuzKbG82LEOynQuHYZ8im59EjTth/view?usp=drivesdk"/><s v="https://drive.google.com/file/d/15X7saP8VbSJHXa2xOtcgFcOKjQJFaUYh/view?usp=drivesdk"/><s v="https://drive.google.com/file/d/1XfDlpkvCBdw9lQuqmsbfM7aoNwvrAoip/view?usp=drivesdk"/><s v="https://drive.google.com/file/d/1z9vM-OymRrqp1u2xxHltR_nTYkRN8Bhe/view?usp=drivesdk"/><s v="https://drive.google.com/file/d/1qgt58xRKt3k8Eix4-bV5OBupJ4bQXEgg/view?usp=drivesdk"/><s v="https://drive.google.com/file/d/1tLDYZKQb4z1ZUitzltLK7vgv1To8FFUF/view?usp=drivesdk"/><s v="https://drive.google.com/file/d/1vmwxHTrl9F3n9CjnCny5Gv7aZ_iSmn06/view?usp=drivesdk"/><s v="https://drive.google.com/file/d/1UsMzRx5dAyBC19d7_59BtDW0beEzge2i/view?usp=drivesdk"/><s v="https://drive.google.com/file/d/1DqdONyqsLP1eg0rgW71wKdPbcflRStOn/view?usp=drivesdk"/><s v="https://drive.google.com/file/d/1oLyXVFY64dU4qE6_b-iVXYa7asikLA1e/view?usp=drivesdk"/><s v="https://drive.google.com/file/d/1M2npXIoOra27xHNDnCsNwFJwuHLFn-QY/view?usp=drivesdk"/><s v="https://drive.google.com/file/d/1SrRdwzLZMo2zK6deXcTRyDZ9oh1TesUR/view?usp=drivesdk"/><s v="https://drive.google.com/file/d/1XTFfWFGSOorXaSHUTepn_NywZP0WRrna/view?usp=drivesdk"/><s v="https://drive.google.com/file/d/1dyQ7iPpa5tauqQ87v1ICVpmTb96xwrHK/view?usp=drivesdk"/><s v="https://drive.google.com/file/d/1dqZfs8CV4bFuIXsJrOSHM-_BKTXKhfGR/view?usp=drivesdk"/><s v="https://drive.google.com/file/d/1tRDHk6OnUXVNfn6Ll53VYpaT5vuJ4llq/view?usp=drivesdk"/><s v="https://drive.google.com/file/d/1Ql7nMbQXZeIyS5tduYv7gRTiVRXJB9Dk/view?usp=drivesdk"/><s v="https://drive.google.com/file/d/12tiBV9g0PDIUv5jLNU3H9ESLvqe3_su6/view?usp=drivesdk"/><s v="https://drive.google.com/file/d/13EC3dwbwBg7gIijxdeeANvWmpAfQ8_ke/view?usp=drivesdk"/><s v="https://drive.google.com/file/d/1zRO2wTJdLmK-BV5hxThrZO8prUdJXbH2/view?usp=drivesdk"/><s v="https://drive.google.com/file/d/1PBsIeDN2jr1Pq3CNrSLb1Xsyr21P2pXL/view?usp=drivesdk"/><s v="https://drive.google.com/file/d/1VNZVfi392roXkffFia5wqQeCQjwEpyCc/view?usp=drivesdk"/><s v="https://drive.google.com/file/d/1pWRSPkrpkB4P8JrAypP4cdltGfovv0wT/view?usp=drivesdk"/><s v="https://drive.google.com/file/d/1Oz7Zj6fZnvvCizj-IHEQF-K0o27fi6QN/view?usp=drivesdk"/><s v="https://drive.google.com/file/d/1Q984rmQXqbwrrnMY-wB5jcpYKEpb-2Qg/view?usp=drivesdk"/><s v="https://drive.google.com/file/d/1-BRDJtnfY2i7YBG-IeupwHTxHic0hQnP/view?usp=drivesdk"/><s v="https://drive.google.com/file/d/1d70WNl03Y6R-FQ2zFUG_7JzLtb7KIhMn/view?usp=drivesdk"/><s v="https://drive.google.com/file/d/1VohCyZYrYeQ8wnGKTyDD2fOk8y16yZw3/view?usp=drivesdk"/><s v="https://drive.google.com/file/d/1pCInedMgb6ub4Ncim1wJ4bHJ2ouwc85m/view?usp=drivesdk"/><s v="https://drive.google.com/file/d/1Wo_ZWAFaujgNZeZ0tdEdLIIUT-PUrDAy/view?usp=drivesdk"/><s v="https://drive.google.com/file/d/1IK98kxqzXUKr6oiSy5Yh1iZIS2v8ZtnC/view?usp=drivesdk"/><s v="https://drive.google.com/file/d/1gQEP5IJLffmqgeBD8cJqZD1njhiICXaO/view?usp=drivesdk"/><s v="https://drive.google.com/file/d/1bbOr5sJJaSFgt-aKadq5yMvKA8ywD97U/view?usp=drivesdk"/><s v="https://drive.google.com/file/d/1YxSLKvJhCAZvjLwh2Dxi3CO9YKNSkWkP/view?usp=drivesdk"/><s v="https://drive.google.com/file/d/1GTnjtSM79S6hEZLXrpWxGtZd34NCBmBN/view?usp=drivesdk"/><s v="https://drive.google.com/file/d/1ITD043otUXSzSXwJBI77ZEGc7YfO0lXl/view?usp=drivesdk"/><s v="https://drive.google.com/file/d/10j2TatiM7HXzQ8gGJAAToPEOpY8k8IgA/view?usp=drivesdk"/><s v="https://drive.google.com/file/d/104J0KhnQN8hx7uBldyQ1evQEW8N7petE/view?usp=drivesdk"/><s v="https://drive.google.com/file/d/1tMrBtPVk07Vt3IgjI_4ese_KDvqQCuKK/view?usp=drivesdk"/><s v="https://drive.google.com/file/d/1CX-X4yZPIliMfb05V-exrVifx5i5gyZu/view?usp=drivesdk"/><s v="https://drive.google.com/file/d/1e8g4jGrxeuAKV2niPFAdDVB88LKnVgdm/view?usp=drivesdk"/><s v="https://drive.google.com/file/d/1VCKoEhCkZgWeNPsAklTrHzvyEtDe0UpM/view?usp=drivesdk"/><s v="https://drive.google.com/file/d/1tNWBEIyqVAkKjP7KUoSu2t3rEj4DPo_A/view?usp=drivesdk"/><s v="https://drive.google.com/file/d/1JoVItYnEA8vA70xzVLnQEC3dgxMW-0on/view?usp=drivesdk"/><s v="https://drive.google.com/file/d/14jCdpBA20GeEpZdlt1OEEDrVjc2kp6h7/view?usp=drivesdk"/><s v="https://drive.google.com/file/d/1HOf675tEXfG2bMnJOIiHzWGLlDbzEY3d/view?usp=drivesdk"/><s v="https://drive.google.com/file/d/1ATJxg7zUvA3Wg_XCJFG6phaq9LgMmPHW/view?usp=drivesdk"/><s v="https://drive.google.com/file/d/1jx9eMAYbx0cHukSi87PadaXFTzz1n_mq/view?usp=drivesdk"/><s v="https://drive.google.com/file/d/1dcM9NQdz9QH53PQ7hkiNVOhT5nBAY9Vn/view?usp=drivesdk"/><s v="https://drive.google.com/file/d/17KV68RT0MMeGKz0n7gj1Dsmt7YXSfvOC/view?usp=drivesdk"/><s v="https://drive.google.com/file/d/1b6PUvKuNu674etG4K94ZBLDQXEuYuOgp/view?usp=drivesdk"/><s v="https://drive.google.com/file/d/1a3fJ6JRdrPHSo50DdCUrYLisEZcHfG31/view?usp=drivesdk"/><s v="https://drive.google.com/file/d/144ul3eCkiKHuL75LCKm6YabVN-pgBX8u/view?usp=drivesdk"/><s v="https://drive.google.com/file/d/1epyBwvNQIzhoIzncHzNCghI35bEcM7FS/view?usp=drivesdk"/><s v="https://drive.google.com/file/d/18gORVnI1F3fjlDcwB6OsrshMJDerCS2r/view?usp=drivesdk"/><s v="https://drive.google.com/file/d/1noF0-gFXnE925nL0unfvsQ-ANlXov76A/view?usp=drivesdk"/><s v="https://drive.google.com/file/d/1hgaLy7Pk7l8_uT0qzsdgGRA4OH5u_0hL/view?usp=drivesdk"/><s v="https://drive.google.com/file/d/149vWpYz3xUBwjR-0Vi63Qa-y5jEghDmg/view?usp=drivesdk"/><s v="https://drive.google.com/file/d/1LtoTK2zHVIYGFfb_cXHLXLWkOHpGikA0/view?usp=drivesdk"/><s v="https://drive.google.com/file/d/11Av49SlCGKMhtLvS_jk4226riFKcyhNh/view?usp=drivesdk"/><s v="https://drive.google.com/file/d/1xo-D0d5xWZy_-HQc9CNuFVE8l1hYTkzr/view?usp=drivesdk"/><s v="https://drive.google.com/file/d/10gwwst21XMDLdZDUQ3-UJKa2tLRTlO7K/view?usp=drivesdk"/><s v="https://drive.google.com/file/d/1MpP2-43GqkWDRpuwJ-apCbzIk2GwSMn_/view?usp=drivesdk"/><s v="https://drive.google.com/file/d/1OhQWWe3jm8WtNRylZvAGE-c4xHX8dswr/view?usp=drivesdk"/><s v="https://drive.google.com/file/d/1OIEvCCJvM-_IxEbcHAL2vNkKmVoEHa3G/view?usp=drivesdk"/><s v="https://drive.google.com/file/d/1wVhOcOsRL9M-ypPdSaPRTLv-PLlAWOf1/view?usp=drivesdk"/><s v="https://drive.google.com/file/d/1Z0u77Ei4pPZsjR5reXLadM9xd0tgKrac/view?usp=drivesdk"/><s v="https://drive.google.com/file/d/1fqDwT6f6uPiUgL_jMbCxBCBzksaDNMma/view?usp=drivesdk"/><s v="https://drive.google.com/file/d/1ETLxNzxxAx38Kbjl_2clUvwzL5DDrTd8/view?usp=drivesdk"/><s v="https://drive.google.com/file/d/1OWk3W7aLK7NhvpfeOXWbAeYjSBS6on3O/view?usp=drivesdk"/><s v="https://drive.google.com/file/d/1oYbk_RfphQEQTiM6p882mmwIrb7aGJDY/view?usp=drivesdk"/><s v="https://drive.google.com/file/d/1E9n7K_S1QjugzYn-rTEbb--ETbvudVse/view?usp=drivesdk"/><s v="https://drive.google.com/file/d/1VYqvNkQuJmP378cGj71lJ4JV-clMH0Yv/view?usp=drivesdk"/><s v="https://drive.google.com/file/d/164yvRbDzBp4QTOt60ne0zLFnKfzz6qWW/view?usp=drivesdk"/><s v="https://drive.google.com/file/d/1zCYZDaOwE-K33Jkam-tMneBjxjoNVHza/view?usp=drivesdk"/><s v="https://drive.google.com/file/d/1hlj_PiSmruASavYOS4OPpCrR4tKfol15/view?usp=drivesdk"/><s v="https://drive.google.com/file/d/1TVEae0arGcjXygxgVD8laFAM0LcnW7EM/view?usp=drivesdk"/><s v="https://drive.google.com/file/d/1KeSwecAaGUPly_0Khma5VYzCJyRIWBpt/view?usp=drivesdk"/><s v="https://drive.google.com/file/d/1QWFGg5y_FwCsYU4iJVkw7s0HZoH7av3y/view?usp=drivesdk"/><s v="https://drive.google.com/file/d/1w5TanXJyS5YVblHirQgJO5zKr4e7CFnK/view?usp=drivesdk"/><s v="https://drive.google.com/file/d/1J0gXacFjwTY8lqoRS7-Ly_0MayhAFMtY/view?usp=drivesdk"/><s v="https://drive.google.com/file/d/1X5Fe2As7h--ByO5qoa79Jna-iqMIag53/view?usp=drivesdk"/><s v="https://drive.google.com/file/d/1Z9cXGn_9cINuuX5drvoG0YLH4tFIjcZ7/view?usp=drivesdk"/><s v="https://drive.google.com/file/d/15btD8-1-iJ6kKY4YOnmEB99Ty5jn30uV/view?usp=drivesdk"/><s v="https://drive.google.com/file/d/16TKGD5uIhjmxtnz9GYQUl5frMKkhZ7vE/view?usp=drivesdk"/><s v="https://drive.google.com/file/d/1quS4MAYvEPtehwNPw-pIZVscM1NFoUOj/view?usp=drivesdk"/><s v="https://drive.google.com/file/d/1ufFlEetCWZtYqMqTTptc07s2XdkD4E4c/view?usp=drivesdk"/><s v="https://drive.google.com/file/d/1nanNymgjGLBTTIftwQHD0CPkPgFLXjko/view?usp=drivesdk"/><s v="https://drive.google.com/file/d/1kVWNkPYWfpPoaNfzdmDoKO9zV0jbI67W/view?usp=drivesdk"/><s v="https://drive.google.com/file/d/1eY8ustezkGTBEFCvn47T4iFMNEc9SoCR/view?usp=drivesdk"/><s v="LINK"/><s v="https://drive.google.com/file/d/1Mvv6lSbYDT3w1CNkuj_yKZJZyGVo8_wu/view?usp=drivesdk"/><s v="https://drive.google.com/file/d/1ExZ7juOSUgumoSt5vCuDEvgISB_mT9vX/view?usp=drivesdk"/><s v="https://drive.google.com/file/d/1FElRRlWoVi2usxTFNme1Bwz9RgmJPLKp/view?usp=drivesdk"/><s v="https://drive.google.com/file/d/1J8NYov-XHHaVlQCOR0yx9UGTvAN_EjiG/view?usp=drivesdk"/><s v="https://drive.google.com/file/d/1-E1dAlVOdBXhL1-Ucgrt44k9SzyhPTJ-/view?usp=drivesdk"/><s v="https://drive.google.com/file/d/1yPKBulDUT2sA_EL4XHrVvgND1nEVQNHI/view?usp=drivesdk"/><s v="https://drive.google.com/file/d/1evQDXWr9N4KV0RMwcCRfMKAkbspCGUUG/view?usp=drivesdk"/><s v="https://drive.google.com/file/d/1E31uybgDVJiRN0FEcJfVIX_of85BuGEz/view?usp=drivesdk"/><s v="https://drive.google.com/file/d/1AKsdj68dbJXeSGboPcfZ2uD3ua_fvFPP/view?usp=drivesdk"/><s v="https://drive.google.com/file/d/14xOP8LLETNXBDDadvwleV2pKnaxwaGBi/view?usp=drivesdk"/><s v="https://drive.google.com/file/d/19X5spXSqhBiEOOUR62_YtANpegjkcJ1f/view?usp=drivesdk"/><s v="https://drive.google.com/file/d/1nLprzUcZjsicDG7JT3icjAuAK7g2gLY1/view?usp=drivesdk"/><s v="https://drive.google.com/file/d/1VlyFF2XH_n9dzHKe2EMaqBWsh-0cgYrJ/view?usp=drivesdk"/><s v="https://drive.google.com/file/d/1Ea_lj0SN0yiXoEUsbmTc67SPDOrQH-yU/view?usp=drivesdk"/><s v="https://drive.google.com/file/d/1SP5jHd3WRyyvYJcl4eFapcMBBizKeGUl/view?usp=drivesdk"/><s v="https://drive.google.com/file/d/1Vg-OUhY15FAok2mtyokmeZIHZaqgAHg5/view?usp=drivesdk"/><s v="https://drive.google.com/file/d/1iB1iRJQEIss4hSoqw92nY3NXxa2obChZ/view?usp=drivesdk"/><s v="https://drive.google.com/file/d/1wNBIYZ5dm9n9bSFCAgoMnPNgBJBMSCyH/view?usp=drivesdk"/><s v="https://drive.google.com/file/d/19EgT43RHjwkUo0_VH9RxY_gZl2qByBLZ/view?usp=drivesdk"/><s v="https://drive.google.com/file/d/1u3UeZsgg-pu1ZHEEX1uaXHGyGnnbQIHr/view?usp=drivesdk"/><s v="https://drive.google.com/file/d/1hz1780nNZDOTtNpiczqkkXabV668BcRE/view?usp=drivesdk"/><s v="https://drive.google.com/file/d/1Wa36K9XT0urN9xsiAgUftQdgL9C9HECn/view?usp=drivesdk"/><s v="https://drive.google.com/file/d/1bUFd8EhwJ36bo-2xBlOdIPnQvw_apZ06/view?usp=drivesdk"/><s v="https://drive.google.com/file/d/1tin9nciEOGqNUz2Yx-ZnwQtqTwJGFR6v/view?usp=drivesdk"/><s v="https://drive.google.com/file/d/1H2OS8Rk6wh8PVpv13iom_WUpLu0fEeBU/view?usp=drivesdk"/><s v="https://drive.google.com/file/d/16b2RhNig_5iqWitXUKqz28-xsE4N6txd/view?usp=drivesdk"/><s v="https://drive.google.com/file/d/13LERMC05_TVKu6xv7g91wRtXxu0ET1Tj/view?usp=drivesdk"/><s v="https://drive.google.com/file/d/1EqB8fMj26KyIHeW4JSKwYFh3F2LTTq5t/view?usp=drivesdk"/><s v="https://drive.google.com/file/d/1ZIjUGgM0ZNJMwX1YUqhWIb-i5jgS1Cmy/view?usp=drivesdk"/><s v="https://drive.google.com/file/d/1KmyHkB13ZFEziyeMZJmfqm6YYEH53iJL/view?usp=drivesdk"/><s v="https://drive.google.com/file/d/1hVohJjrePDnbP3YuG-OoIFpV1SI20xvZ/view?usp=drivesdk"/><s v="https://drive.google.com/file/d/1qh6jn8CXzXmvxEifk6kq4pZRCYHNO1mu/view?usp=drivesdk"/><s v="https://drive.google.com/file/d/1j0mn959ZZSMHPHeyS9bW6vv9NzM9UaK_/view?usp=drivesdk"/><s v="https://drive.google.com/file/d/1APm26rD_UpSxwv_f7ANPXDv5utKWJ7q3/view?usp=drivesdk"/><s v="https://drive.google.com/file/d/1w2KBBoT3U7JrwQsTrJduC-AS9fihTDq0/view?usp=drivesdk"/><s v="https://drive.google.com/file/d/1VIF6kuqnOCJkukqkxuMzonIlfG0vD2p3/view?usp=drivesdk"/><s v="https://drive.google.com/file/d/1FklynAHzflh7rbxQIU4qTxOz3VBhye8B/view?usp=drivesdk"/><s v="https://drive.google.com/file/d/17HYZXEqbs5qMTOba8cEHhBhSIrnkFKeu/view?usp=drivesdk"/><s v="https://drive.google.com/file/d/1HAhZicYSIRv7N-8s64Lp9_8_UnTnmDSR/view?usp=drivesdk"/><s v="https://drive.google.com/file/d/15LBKsey4dgrPQTiibNv2Qi9TOTbc3lk1/view?usp=drivesdk"/><s v="https://drive.google.com/file/d/124BmUuJPp02lcLBvH8AsEmEsbphUT5fW/view?usp=drivesdk"/><s v="https://drive.google.com/file/d/1mbPAy1TbNwV2XOfDjz6F7ail2VgA51o4/view?usp=drivesdk"/></sharedItems></cacheField><cacheField name="ref_r" numFmtId="0"><sharedItems containsBlank="1"><s v="Copy APA style from Google Scholar (or similar), without DOI"/><s v="McRae, K., &amp; Lumian, D. S. (2023, September 28). Replication of WA Cunningham, JJ Van Bavel, IR Johnsen  (2008, PS 19 (2)). https://doi.org/10.17605/OSF.IO/2ZGF9"/><s v="Wilkenfeld, D. A., &amp; Hernández-Conde, J. V. (2017, September 12). Schaffer and Knobe Replication. https://doi.org/10.17605/OSF.IO/39XUW"/><s v="McRae, K., Lumian, D. S., &amp;  T. (2023, September 28). Materials. https://doi.org/10.17605/OSF.IO/7VGKQ"/><s v="Röseler, L., Schütz, A., Burlakovas, E., Dück, M., Fels, S., Janiczek, S., … Seida, C. (2022, September 15). Replication Mussweiler &amp; Englich, 2005, Study 2. https://doi.org/10.17605/OSF.IO/ACYKD"/><s v="Röseler, L., Schütz, A., Blank, P. A., Dück, M., Fels, S., Kupfer, J., ... &amp; Seida, C. (2021). Evidence against subliminal anchoring: Two close, highly powered, preregistered, and failed replication attempts. Journal of Experimental Social Psychology, 92,"/><s v="García-Cerdá, C., Segura, C., &amp; Ferrando, I. (2024). Influence of the Type of Mathematical Problems on Students’ and Pre-service Teachers’ Interest and Performance. A Replication and Elaboration Study. Implementation and Replication Studies in Mathematics"/><m/><s v="Huensch, A. (2024). Clarifying the role of inhibitory control in L2 phonological processing: A preregistered, close replication of Darcy et al.(2016). Studies in Second Language Acquisition, 1-21. https://doi.org/10.1017/S0272263124000238"/><s v="Saxey, M. T., LeBaron‐Black, A. B., Inman, N. F., Yorgason, J. B., &amp; Holmes, E. K. (2024). The earlier couples first discussed finances, the better? A dyadic, longitudinal replication and extension. Family Relations. https://doi.org/10.1111/fare.13030"/><s v="Bertrand, A., Kimmel, J., Duhamel, S., Puel, H., Schifano, A., &amp; Wood, É. (2024). A Replication Study to Evaluate the Effects of Awe on Humility. McGill Science Undergraduate Research Journal, 19(1), 39-45. https://doi.org/10.26443/msurj.v19i1.231"/><s v="Byrne, C., Murphy, J., &amp; Warne, J. P. (2024). Replication Study: Investigating the effects of maximal anaerobic fatigue on dynamic postural control using the Y-Balance Test. Journal of Science and Medicine in Sport. https://doi.org/10.1016/j.jsams.2024.07"/><s v="Wolf, E. J., Miller, M. W., Zhang, R., Sherva, R., Harrington, K. M., Fonda, J. R., ... &amp; Logue, M. W. (2024). No replication of Alzheimer’s disease genetics as a moderator of the association between combat exposure and PTSD risk in 138,592 combat veteran"/><s v="Hüllmann, J. A., &amp; Krebber, S. (2021). Replication Study: Investigating Media Choice and Types of Media Collections of Distributed Workers Using Digital Traces. Available at SSRN 3816626. http://dx.doi.org/10.2139/ssrn.3816626"/><s v="Gettinger, M., Kratochwill, T. R., Levin, J. R., Eubanks, A., &amp; Foy, A. (2024). Academic and behavior combined support: A single-case practice-based replication study. Journal of School Psychology, 104, 101307. https://doi.org/10.1016/j.jsp.2024.101307"/><s v="Solheim, O. J., Foldnes, N., Walgermo, B. R., Bjerke, K. K., Birkedal, I. K., Uppstad, P. H., &amp; Lundetræ, K. (2024). Closing the Gap: A Conceptual Replication of an Early Reading Intervention. Journal of Research on Educational Effectiveness, 1-23. https:"/><s v="Talbott, E., Maggin, D. M., Chua, M., Ashley, L., Chen, X., Chin, P. A., &amp; Curry, M. K. (2024). Outcome-Reporting Bias in Special Education Intervention Research Using Experimental and Quasi-Experimental Group Designs: A Conceptual Replication. Remedial a"/><s v="Gudmestad, A., Edmonds, A., Henderson, C., &amp; Lindqvist, C. (2024). The interpretation of verbal moods in Spanish: A close replication of Kanwit and Geeslin (2014). Studies in Second Language Acquisition, 1–18. https://doi.org/10.1017/S027226312400010X"/><s v="Lang, J. W. B., &amp; Bliese, P. D. (2024). The plausibility of alternative data-generating mechanisms: Comment on and attempt at replication of Dishop (2022).Psychological Methods. Advance online publication. https://doi.org/10.1037/met0000650"/><s v="Solmi, M., Lähteenvuo, M., Tanskanen, A., Corbeil, O., Mittendorfer-Rutz, E., Correll, C. U., ... &amp; Taipale, H. (2024). Antipsychotic Use and Risk of Breast Cancer in Women With Severe Mental Illness: Replication of a Nationwide Nested Case–Control Databa"/><s v="Andres, E., Chuan-Peng, H., Gerlicher, A. M., Meyer, B., Tüscher, O., &amp; Kalisch, R. (2024). Replication study on the role of dopamine-dependent prefrontal reactivations in human extinction memory retrieval. Nature Communications, 15(1), 2699. https://doi."/><s v="Xu, J., &amp; Zhang, R. (2024). Attitudinal, Normative, and Resource Factors Affecting Communication Scholars’ Data Sharing: A Replication Study. Media and Communication, 12. https://doi.org/10.17645/mac.7666"/><s v="Xu, J., &amp; Zhang, R. (2024). Attitudinal, Normative, and Resource Factors Affecting Communication Scholars’ Data Sharing: A Replication Study. Media and Communication, 12. https://doi.org/10.17645/mac.7667"/><s v="Xu, J., &amp; Zhang, R. (2024). Attitudinal, Normative, and Resource Factors Affecting Communication Scholars’ Data Sharing: A Replication Study. Media and Communication, 12. https://doi.org/10.17645/mac.7668"/><s v="Xu, J., &amp; Zhang, R. (2024). Attitudinal, Normative, and Resource Factors Affecting Communication Scholars’ Data Sharing: A Replication Study. Media and Communication, 12. https://doi.org/10.17645/mac.7669"/><s v="Chang, H., Nainani, T., &amp; Kim, J. Y. (2024). Comparison of Acquisition Criteria Applied to Individual and Sets of Tacts: A Systematic Replication. Behavior Analysis in Practice, 1-6. https://doi.org/10.1007/s40617-024-00933-1"/><s v="Robertson, C. E., Akles, M., &amp; Van Bavel, J. J.(in press). Preregistered Replication and Extension of &quot;Moral Hypocrisy: Social Groups and the Flexibility of Virtue&quot;. Psychological Science. https://doi.org/10.31234/osf.io/453js"/><s v="Xiao, Q., Elsherif, M., Chu, H. Y., Tang, M. C., Wong, T. H. A., Wu, Y., ... &amp; Feldman, G. Revisiting the positive association between loneliness and anthropomorphism with an extension to belief in free will: A Registered Report replication and extension "/><s v="Delem, M., Stauffert, N., Nguyen, N., Debarnot, U., Guillot, A., &amp; Nalborczyk, L. (2024, March 27). Does the corollary discharge provide the sensory content of inner speech? A preregistered direct replication and extension of Scott  (2013). https://doi.or"/><s v="Tedaldi, E., Syropoulos, S., &amp; Markowitz, E. M. (2024). Re-examining feelings of responsibility as a predictor of climate belief and worry: A replication across 31 countries. Journal of Environmental Psychology, 102289. https://doi.org/10.1016/j.jenvp.202"/><s v="Macias Mendoza, S. (2024). A Replication of a Systematic Review of Behavioral Interventions in Sports. [Master's thesis, Youngstown State University]. OhioLINK Electronic Theses and Dissertations Center. http://rave.ohiolink.edu/etdc/view?acc_num=ysu17147"/><s v="Stewart, J. L., Burrows, K., May, A. C., McNaughton, B. A., Smith, R., Kuplicki, R., ... &amp; Figueroa-Hall, L. (2024). C-Reactive Protein Concentrations Diverge as a Function of Substance Use Disorder: A Pre-Registered Replication in a Clinical Sample. Drug"/><s v="Fox, A. E. (2024). Immediate Reinforcement Training Has Moderate Effect on Delay Discounting Behavior in Rats: A Systematic Replication. The Psychological Record, 1-6. https://doi.org/10.1007/s40732-024-00597-x"/><s v="Fox, A.E. Immediate Reinforcement Training Has Moderate Effect on Delay Discounting Behavior in Rats: A Systematic Replication. Psychol Rec (2024). https://doi.org/10.1007/s40732-024-00597-x"/><s v="Liu, K., Wright, M. E., Cole, L. A., &amp; Warren, S. L. (2024). Bi-factor model of repetitive thinking: Replication and extension. Personality and Individual Differences, 226, 112692. https://doi.org/10.1016/j.paid.2024.112692"/><s v="Martínez, M. A., Saux, G., Londra, F., &amp; Burin, D. I. (2024). Effects of a classroom intervention on college students’ sourcing skills: replication and extension study. Discourse Processes, 1–26. https://doi.org/10.1080/0163853X.2024.2339738"/><s v="Martínez, M. A., Saux, G., Londra, F., &amp; Burin, D. I. (2024). Effects of a classroom intervention on college students’ sourcing skills: replication and extension study. Discourse Processes, 1-26."/><s v="Smołka, E., &amp; Blank, H. (2024). Double misinformation and eyewitness performance: An experimental replication. Applied Cognitive Psychology, 38(3), e4202. https://doi.org/10.1002/acp.4202"/><s v="Beyersmann, E., &amp; Grainger, J. (2024). A replication of morphological flanker effects in French. Language, Cognition and Neuroscience, 1–6. https://doi.org/10.1080/23273798.2024.2337948"/><s v="Magne, V. (2024). Replication research in the domain of perceived L2 fluency: Approximate and close replications of Kormos and Dénes (2004) and Rossiter (2009). Language Teaching, 1–9. doi:10.1017/S0261444824000120"/><s v="Magne, V. (2024). Replication research in the domain of perceived L2 fluency: Approximate and close replications of Kormos and Dénes (2004) and Rossiter (2009). Language Teaching, 1-9."/><s v="Magne, V. (2024). Replication research in the domain of perceived L2 fluency: Approximate and close replications of Kormos and Dénes (2004) and Rossiter (2009). Language Teaching, 1–9. https://doi.org/10.1017/S0261444824000120"/><s v="Cook, J. L., Baruni, R. R., Pinkston, J. W., Rapp, J. T., Miltenberger, R. G., Deshmukh, S., Walker, E., &amp; Tai, S. (2024). Comparing stimulus preference and response force in a conjugate preparation: A replication with auditory stimulation. Journal of the"/><s v="Sfärlea, A., Buhl, C., Lukas, L., &amp; Schulte‐Körne, G. (2024). Superior facial emotion recognition in adolescents with anorexia nervosa–A replication study. European Eating Disorders Review. https://doi.org/10.1002/erv.3104"/><s v="Sfärlea, A., Buhl, C., Lukas, L., &amp; Schulte‐Körne, G. (2024). Superior facial emotion recognition in adolescents with anorexia nervosa–A replication study. European Eating Disorders Review. https://doi.org/10.1002/erv.3105"/><s v="Sfärlea, A., Buhl, C., Lukas, L., &amp; Schulte‐Körne, G. (2024). Superior facial emotion recognition in adolescents with anorexia nervosa–A replication study. European Eating Disorders Review. https://doi.org/10.1002/erv.3106"/><s v="Sfärlea, A., Buhl, C., Lukas, L., &amp; Schulte‐Körne, G. (2024). Superior facial emotion recognition in adolescents with anorexia nervosa–A replication study. European Eating Disorders Review. https://doi.org/10.1002/erv.3107"/><s v="Sfärlea, A., Buhl, C., Lukas, L., &amp; Schulte‐Körne, G. (2024). Superior facial emotion recognition in adolescents with anorexia nervosa–A replication study. European Eating Disorders Review. https://doi.org/10.1002/erv.3108"/><s v="Sfärlea, A., Buhl, C., Lukas, L., &amp; Schulte‐Körne, G. (2024). Superior facial emotion recognition in adolescents with anorexia nervosa–A replication study. European Eating Disorders Review. https://doi.org/10.1002/erv.3109"/><s v="Sfärlea, A., Buhl, C., Lukas, L., &amp; Schulte‐Körne, G. (2024). Superior facial emotion recognition in adolescents with anorexia nervosa–A replication study. European Eating Disorders Review. https://doi.org/10.1002/erv.3110"/><s v="Sfärlea, A., Buhl, C., Lukas, L., &amp; Schulte‐Körne, G. (2024). Superior facial emotion recognition in adolescents with anorexia nervosa–A replication study. European Eating Disorders Review. https://doi.org/10.1002/erv.3111"/><s v="Sfärlea, A., Buhl, C., Lukas, L., &amp; Schulte‐Körne, G. (2024). Superior facial emotion recognition in adolescents with anorexia nervosa–A replication study. European Eating Disorders Review. https://doi.org/10.1002/erv.3112"/><s v="Sfärlea, A., Buhl, C., Lukas, L., &amp; Schulte‐Körne, G. (2024). Superior facial emotion recognition in adolescents with anorexia nervosa–A replication study. European Eating Disorders Review. https://doi.org/10.1002/erv.3113"/><s v="Sfärlea, A., Buhl, C., Lukas, L., &amp; Schulte‐Körne, G. (2024). Superior facial emotion recognition in adolescents with anorexia nervosa–A replication study. European Eating Disorders Review. https://doi.org/10.1002/erv.3114"/><s v="Sfärlea, A., Buhl, C., Lukas, L., &amp; Schulte‐Körne, G. (2024). Superior facial emotion recognition in adolescents with anorexia nervosa–A replication study. European Eating Disorders Review. https://doi.org/10.1002/erv.3115"/><s v="Sfärlea, A., Buhl, C., Lukas, L., &amp; Schulte‐Körne, G. (2024). Superior facial emotion recognition in adolescents with anorexia nervosa–A replication study. European Eating Disorders Review. https://doi.org/10.1002/erv.3116"/><s v="Sfärlea, A., Buhl, C., Lukas, L., &amp; Schulte‐Körne, G. (2024). Superior facial emotion recognition in adolescents with anorexia nervosa–A replication study. European Eating Disorders Review. https://doi.org/10.1002/erv.3117"/><s v="Sfärlea, A., Buhl, C., Lukas, L., &amp; Schulte‐Körne, G. (2024). Superior facial emotion recognition in adolescents with anorexia nervosa–A replication study. European Eating Disorders Review. https://doi.org/10.1002/erv.3118"/><s v="Sfärlea, A., Buhl, C., Lukas, L., &amp; Schulte‐Körne, G. (2024). Superior facial emotion recognition in adolescents with anorexia nervosa–A replication study. European Eating Disorders Review. https://doi.org/10.1002/erv.3119"/><s v="Sfärlea, A., Buhl, C., Lukas, L., &amp; Schulte‐Körne, G. (2024). Superior facial emotion recognition in adolescents with anorexia nervosa–A replication study. European Eating Disorders Review. https://doi.org/10.1002/erv.3120"/><s v="Sfärlea, A., Buhl, C., Lukas, L., &amp; Schulte‐Körne, G. (2024). Superior facial emotion recognition in adolescents with anorexia nervosa–A replication study. European Eating Disorders Review. https://doi.org/10.1002/erv.3121"/><s v="Sfärlea, A., Buhl, C., Lukas, L., &amp; Schulte‐Körne, G. (2024). Superior facial emotion recognition in adolescents with anorexia nervosa–A replication study. European Eating Disorders Review. https://doi.org/10.1002/erv.3122"/><s v="Sfärlea, A., Buhl, C., Lukas, L., &amp; Schulte‐Körne, G. (2024). Superior facial emotion recognition in adolescents with anorexia nervosa–A replication study. European Eating Disorders Review. https://doi.org/10.1002/erv.3123"/><s v="Sfärlea, A., Buhl, C., Lukas, L., &amp; Schulte‐Körne, G. (2024). Superior facial emotion recognition in adolescents with anorexia nervosa–A replication study. European Eating Disorders Review. https://doi.org/10.1002/erv.3124"/><s v="Sfärlea, A., Buhl, C., Lukas, L., &amp; Schulte‐Körne, G. (2024). Superior facial emotion recognition in adolescents with anorexia nervosa–A replication study. European Eating Disorders Review. https://doi.org/10.1002/erv.3125"/><s v="Sfärlea, A., Buhl, C., Lukas, L., &amp; Schulte‐Körne, G. (2024). Superior facial emotion recognition in adolescents with anorexia nervosa–A replication study. European Eating Disorders Review. https://doi.org/10.1002/erv.3126"/><s v="Sfärlea, A., Buhl, C., Lukas, L., &amp; Schulte‐Körne, G. (2024). Superior facial emotion recognition in adolescents with anorexia nervosa–A replication study. European Eating Disorders Review. https://doi.org/10.1002/erv.3127"/><s v="Sfärlea, A., Buhl, C., Lukas, L., &amp; Schulte‐Körne, G. (2024). Superior facial emotion recognition in adolescents with anorexia nervosa–A replication study. European Eating Disorders Review. https://doi.org/10.1002/erv.3128"/><s v="Sfärlea, A., Buhl, C., Lukas, L., &amp; Schulte‐Körne, G. (2024). Superior facial emotion recognition in adolescents with anorexia nervosa–A replication study. European Eating Disorders Review. https://doi.org/10.1002/erv.3129"/><s v="Sfärlea, A., Buhl, C., Lukas, L., &amp; Schulte‐Körne, G. (2024). Superior facial emotion recognition in adolescents with anorexia nervosa–A replication study. European Eating Disorders Review. https://doi.org/10.1002/erv.3103"/><s v="Sfärlea, A., Buhl, C., Lukas, L., &amp; Schulte‐Körne, G. (2024). Superior facial emotion recognition in adolescents with anorexia nervosa–A replication study. European Eating Disorders Review."/><s v="Parrish, K. (2024). Statistical Insignificance is not wholesale transfer in L3 Acquisition: an approximate replication of Rothman (2011). Studies in Second Language Acquisition, 1-18. https://doi.org/10.1017/S0272263124000342"/><s v="Bailey, C.D. (2024), &quot;Fraudulent Research Practices in Accounting: A Replication and Extension of Bailey, Hasselback, and Karcher (2001)&quot;, Shawver, T.J. (Ed.) Research on Professional Responsibility and Ethics in Accounting (Research on Professional Respo"/><s v="Rode, J., Jonuschies, I., Matthiesen, S., &amp; Gericke, K. (2024). Replication studies in engineering design–a feasibility study. Proceedings of the Design Society, 4, 115-124. https://doi.org/10.1017/pds.2024.14"/><s v="Evans, T. R., Kviatkovskyte, R., O'Regan, S., Adolph, S. A.,  n., Chukwudi, F. O. N., … Krzan, M. (2024, February 5). Corruption and Hierarchy: A Replication of Studies 1c and 6 of Fath &amp; Kay 2018. https://doi.org/10.31234/osf.io/68jft"/><s v="Katla, J. (2024). Replication of Construct Validity of the Behavior Assessment System for Children-Teacher Rating Scales (BASC-3 TRS) and the Adjustment Scales for Children and Adolescents (ASCA). https://thekeep.eiu.edu/theses/5025?utm_source=thekeep.eiu"/><s v="Chen, W., Dong, B., Hsieh, C.-W., Lee, M. J., Liu, N., Walker, R. M., Wang, Y., Wen, B., Wen, W., Wu, P., Wu, X., &amp; Zhang, J. (2022). A replication of &quot;an experimental test of the expectancy-disconfirmation theory of citizen satisfaction&quot;. Public Administ"/><s v="Przepiórkowski, A., Borysiak, M., &amp; Głowacki, A. (2024, May). An Argument for Symmetric Coordination from Dependency Length Minimization: A Replication Study. In Proceedings of the 2024 Joint International Conference on Computational Linguistics, Language"/><s v="Tyvoll, A. (2024). Proportionality in Public Support for Terrorism Retaliation: A Replication and Extension Study. https://keep-dev.lib.asu.edu/items/192630"/><s v="Tyvoll, A. (2024). Proportionality in Public Support for Terrorism Retaliation: A Replication and Extension Study."/><s v="Pond, N., Meeten, F., Dr, Clarke, P., Notebaert, L., &amp; Scott, R. B. (2023, September 15). The Efficacy of Attentional Bias Modification for Anxiety: A Registered Replication. https://doi.org/10.31234/osf.io/cf4xz"/><s v="Stephenson, Corinne (2024). Trends in U.S. Wage Inequality: Revising the Revisionists. A Replication Study of Autor, Katz, and Kearney (2008). Journal of Comments and Replications in Economics, Vol.3 (2024-4). https://doi.org/10.18718/81781.34"/><s v="Özkan Miller, V., &amp; Larsson, T. (2024). The effect of linguistic and extralinguistic features on EFL adverb placement: A partial replication study of Larsson et al.(2020). International Journal of Learner Corpus Research. https://doi.org/10.1075/ijlcr.000"/><s v="Ward, R., &amp; Awani, J. (2024). Bilingualism and flexibility in task switching: A close replication study. Studies in Second Language Acquisition, 1-17. https://doi.org/10.1017/S0272263124000378"/><s v="Thornton, K. B. (2024). PERCEPTIONS OF MATTERING AMONG GENERAL EDUCATION TEACHERS: REPLICATION, VALIDATION, AND EXTENSION OF THE FUNDAMENTAL ELEMENTS OF MATTERING SCALE FOR TEACHERS (FEMS-T)."/><s v="Kontkanen, J. (2024). Investigating the effect of proficiency level on the acquisition order of morphemes for L2 English learners: A replication of a corpus-based SLA study using Interlanguage Annotation."/><s v="Piniel, K. (2024). The Input, Process, and Output Anxiety Scales: An Approximate Replication Study. In: Investigating Foreign Language Anxiety. Second Language Learning and Teaching. Springer, Cham. https://doi.org/10.1007/978-3-031-55844-3_4"/><s v="Tamm, G., Koster, E. H., &amp; Hoorelbeke, K. Evaluating Theories of Repetitive Negative Thinking: Replication and Extension. http://dx.doi.org/10.31234/osf.io/kpcwv"/><s v="Sastre Gomez, V., Defina, R., Garrett, P. M., Zacks, J. M., &amp; Dennis, S. (2024). Event Distribution in Daily Life: A Replication Study. In Proceedings of the Annual Meeting of the Cognitive Science Society (Vol. 46)."/><s v="van den Brink, G., van Eyghen, H., &amp; Peels, R. (2024). Brooke on the Merton-thesis: A Direct Replication of John Hedley Brooke's Chapter on Scientific and Religious Reform. Zygon: Journal of Religion and Science, 59."/><s v="van den Brink, G., Pear, R., &amp; Peels, R. (2024). Jewish Responses to Copernican Thought: A Conceptual Replication of John Hedley Brooke's Chapter on Scientific and Religious Reform. Zygon: Journal of Religion and Science, 59."/><s v="Renbarger, R., Sulak, T., &amp; Morgan, G. (2022). The Importance of Teacher Credentials for Early Achievement: A Replication of Croninger et al. (2007) Econ. Edu. Rev. ReScience X, 1(1). Retrieved from http://rescience.org/x/article/view/8"/><s v="Bachouche, H., Hamdi-Kidar, L., &amp; Sabri, O. (2024). Empowerment strategies and their effects in digital contexts: corroboration, replication, and extension. International Journal of Advertising, 1-32. https://doi.org/10.1080/02650487.2024.2362015"/><s v="Schroeder, P. A., Collantoni, E., Lohmann, J., Butz, M. V., &amp; Plewnia, C. (2024). Virtual Reality Assessment of a High-Calorie Food Bias: Replication and Food-Specificity in Healthy Participants. Behavioural Brain Research, 115096. https://doi.org/10.1016"/><s v="Schulz-Hardt, S., Rollwage, J., Wanzel, S. K., Frisch, J. U., &amp; Häusser, J. A. (2021). Effects of process and outcome accountability on escalating commitment: A two-study replication. Journal of Experimental Psychology: Applied, 27(1), 112–124. https://do"/><s v="Loibl, K., Leuders, T. Can failure be made productive also in Bayesian reasoning? A conceptual replication study. Instr Sci (2024). https://doi.org/10.1007/s11251-024-09670-y"/><s v="Schultze, T., &amp; Schulz-Hardt, S. (2022). Does change of responsibility reduce escalating commitment? A replication and theoretical extension. Journal of Experimental Psychology: Applied, 28(1), 189–204. https://doi.org/10.1037/xap0000366"/><s v="Hennessy, S., Greer, T., Narayanan, S., &amp; Habibi, A. (2024). Unique affective profile of music-evoked nostalgia: An extension and conceptual replication of Barrett et al.’s (2010) study. Emotion, 24(8), 1803–1825. https://doi.org/10.1037/emo0001389"/><s v="Teng, X., Zhang, Y., Qi, R., Wu, Y., Mu, Z., Chow, K., &amp; Feldman, G. (2024, June 21). Revisiting the the psychology of windfall gains: Replication and extensions Registered Report of Arkes et al. (1994) Studies 1, 2, and 3. https://doi.org/10.17605/OSF.IO"/><s v="Hohensee, C., &amp; Borji, V. (2024). Preparing elementary pre-service teachers to teach early algebra: A conceptual replication study. The Journal of Mathematical Behavior, 75, 101174. https://doi.org/10.1016/j.jmathb.2024.101174"/><s v="Rife, S. C., Lambert, Q. S., Calin-Jageman, R., Adamkovic, M., Baník, G., Barberia, I., … Wiggins, B. J. (2024, July 3). Registered Replication Report: Study 3 from Trafimow and Hughes  (2012). https://doi.org/10.31234/osf.io/esu9z"/><s v="Bischoff, M. (2024). Evaluating the reliability of relative frontal alpha asymmetry as a state-dependent correlate of the stress response in a mixed-sex sample: A replication study (Master's thesis, University of Twente). Retrieved from https://purl.utwen"/><s v="Liu, D., Calver, J., &amp; Craig, M. (2024). Are a Static Analysis Tool Study's Findings Static? A Replication. In Proceedings of the 2024 on Innovation and Technology in Computer Science Education V. 1 (pp. 80-86). https://doi.org/10.1145/3649217.3653545"/><s v="Liu, D., Calver, J., &amp; Craig, M. (2024). Are a Static Analysis Tool Study's Findings Static? A Replication. In Proceedings of the 2024 on Innovation and Technology in Computer Science Education V. 1 (pp. 80-86). https://doi.org/10.1145/3649217.3653546"/><s v="Sampaio, I. B., &amp; Sampaio, A. (2024, June). Replication of a Study about the Impact of Method Chaining and Comments on Readability and Comprehension. In 2024 4th International Conference on Code Quality (ICCQ) (pp. 35-52). IEEE. https://doi.org/10.1109/IC"/><s v="Byrne, M. E., Kirschner, S., Harrewijn, A., Abend, R., Lazarov, A., Liuzzi, L., ... &amp; Pine, D. S. (2024). Eye-tracking measurement of attention bias to social threat among youth: A replication and extension study. Journal of Mood &amp; Anxiety Disorders, 1000"/><s v="Løhre, E., Chandrashekar, S. P., Mayiwar, L., &amp; Hærem, T. (2024). Uncertainty, expertise, and persuasion: A replication and extension of. Journal of Experimental Social Psychology, 113, 104619. https://doi.org/10.1016/j.jesp.2024.104619"/><s v="Ryan, M., King, H., Chesbrough, E. et al. Increasing Toy Engagement via Response Disequilibrium Theory: A Systematic Replication. Psychol Rec (2024). https://doi.org/10.1007/s40732-024-00601-4"/><s v="Dixit, U., He, J., Whited, M., Ellis, J. M., &amp; Zickgraf, H. F. (2023). Negative emotional eating patterns among American university students: A replication study. Appetite, 186, 106554."/><s v="Xu, Y., Song, J., Ren, Y., Barnhart, W. R., Dixit, U., Ji, F., Chen, C., &amp; He, J. (2024). Negative emotional eating patterns in general Chinese adults: A replication and expansion study examining group differences in eating disorder symptomatology, psycho"/><s v="Krauss, S., &amp; Orth, U. (2024). Family environment and self-esteem development in adolescence: A replication and extension. Journal of Research in Personality, 104511. https://doi.org/10.1016/j.jrp.2024.104511"/><s v="Weidmann, R., Alabdullah, A., Warkentien, J., Vesikar, S., Denehy, M. E., Yang, H., Rakhshani, A., Brent Donnellan, M., &amp; Lucas, R. E. (2024). Does Perceived Similarity Between Present and Future Self Predict Well-Being? A Reanalysis and Replication of. S"/><s v="Patt, S. (2024). Age-Related Microaggressions: A Semi-Replication. https://cornerstone.lib.mnsu.edu/cgi/viewcontent.cgi?article=2424&amp;context=etds"/><s v="Akselevich, V., &amp; Gilaie-Dotan, S. (2024). Positive and negative facial valence perception are modulated differently by eccentricity in the parafovea: Replication from KDEF to NimStim. Scientific reports, 14(1), 13757. https://doi.org/10.1038/s41598-024-6"/><s v="Dolin, L., Stratton, J., &amp; Donatien, J. (2024). A Test of the Generalizability of a New Guilty Plea Decision-making Model Grounded in Fuzzy Trace Theory: A replication of Zottoli, Helm et al.(2023; Study 3). https://digitalcommons.montclair.edu/student-re"/><s v="Lacey, C., Paterson, T., Gawryluk, J. R., &amp; Alzheimer’s Disease Neuroimaging Initiative. (2024). Impact of APOE-ε alleles on brain structure and cognitive function in healthy older adults: A VBM and DTI replication study. Plos one, 19(4), e0292576. https:"/><s v="Langton, S., Ruiter, S., &amp; Verlaan, T. (2023). Describing the scale and composition of calls for police service: A replication and extension using open data. Police Practice and Research, 24(5), 523-538. https://doi.org/10.1080/15614263.2022.2102494"/><s v="Nivette, A., Nägel, C., &amp; Gilbert, E. (2023). Examining the effects of the killing of George Floyd by police in the United States on attitudes of Black Londoners: a replication. Police Practice and Research, 24(5), 575–596. https://doi.org/10.1080/1561426"/><s v="Balsa, A., Bloomfield, J. &amp; Cid, A. The Conceptual Replication of Crianza Positiva E-Messaging Program During the COVID-19 Pandemic: Too Much or Too Little Information?. J Fam Econ Iss (2024). https://doi.org/10.1007/s10834-024-09975-7"/><s v="Balsa, A., Bloomfield, J. &amp; Cid, A. The Conceptual Replication of Crianza Positiva E-Messaging Program During the COVID-19 Pandemic: Too Much or Too Little Information?. J Fam Econ Iss (2024). https://doi.org/10.1007/s10834-024-09975-8"/><s v="Balsa, A., Bloomfield, J. &amp; Cid, A. The Conceptual Replication of Crianza Positiva E-Messaging Program During the COVID-19 Pandemic: Too Much or Too Little Information?. J Fam Econ Iss (2024). https://doi.org/10.1007/s10834-024-09975-9"/><s v="Balsa, A., Bloomfield, J. &amp; Cid, A. The Conceptual Replication of Crianza Positiva E-Messaging Program During the COVID-19 Pandemic: Too Much or Too Little Information?. J Fam Econ Iss (2024). https://doi.org/10.1007/s10834-024-09975-10"/><s v="Balsa, A., Bloomfield, J. &amp; Cid, A. The Conceptual Replication of Crianza Positiva E-Messaging Program During the COVID-19 Pandemic: Too Much or Too Little Information?. J Fam Econ Iss (2024). https://doi.org/10.1007/s10834-024-09975-11"/><s v="Balsa, A., Bloomfield, J. &amp; Cid, A. The Conceptual Replication of Crianza Positiva E-Messaging Program During the COVID-19 Pandemic: Too Much or Too Little Information?. J Fam Econ Iss (2024). https://doi.org/10.1007/s10834-024-09975-12"/><s v="Balsa, A., Bloomfield, J. &amp; Cid, A. The Conceptual Replication of Crianza Positiva E-Messaging Program During the COVID-19 Pandemic: Too Much or Too Little Information?. J Fam Econ Iss (2024). https://doi.org/10.1007/s10834-024-09975-13"/><s v="Balsa, A., Bloomfield, J. &amp; Cid, A. The Conceptual Replication of Crianza Positiva E-Messaging Program During the COVID-19 Pandemic: Too Much or Too Little Information?. J Fam Econ Iss (2024). https://doi.org/10.1007/s10834-024-09975-14"/><s v="Balsa, A., Bloomfield, J. &amp; Cid, A. The Conceptual Replication of Crianza Positiva E-Messaging Program During the COVID-19 Pandemic: Too Much or Too Little Information?. J Fam Econ Iss (2024). https://doi.org/10.1007/s10834-024-09975-15"/><s v="Balsa, A., Bloomfield, J. &amp; Cid, A. The Conceptual Replication of Crianza Positiva E-Messaging Program During the COVID-19 Pandemic: Too Much or Too Little Information?. J Fam Econ Iss (2024). https://doi.org/10.1007/s10834-024-09975-16"/><s v="Menegale, M., &amp; Spricigo, L. (2024). Enhancing L2 confidence through learning diaries: A replication study on Italian lower-secondary school students. Studies in Self-Access Learning Journal, 15(2), 187–212. https://doi.org/10.37237/150205"/><s v="Metskas, A. K. (2024, June 26). Replication of a study from “Relational diversity in social portfolios predicts well-being”  (PNAS | Collins et al. 2022). https://doi.org/10.31234/osf.io/jfmsz"/><s v="Metskas, A. K. (2024, June 26). Replication of a study from “Knowledge about others reduces one’s own sense of anonymity”  (Nature | Shah &amp; LaForest 2022). https://doi.org/10.31234/osf.io/xjaty"/><s v="Pruett, M. K., Wang, X., Zhu, T., Alschech, J., &amp; Saini, M. (2024). The Co-Parenting Across Family Structures Scale: Replication for Mandarin parents. Family process, 10.1111/famp.12997. Advance online publication. https://doi.org/10.1111/famp.12997"/><s v="Seward, R., &amp; Redner, R. (2024). A replication of extended implementation and social interaction during the Step it UP! Game for adults with disabilities. Journal of Applied Behavior Analysis, 1–16. https://doi.org/10.1002/jaba.1098"/><s v="Malesky, E. J., &amp; Nguyen, T. A. (2024). Historical Communist Party Strength and Modern Party Loyalty. A Replication Study of Barceló (PNAS, 2021). Journal of Comments and Replications in Economics (JCRE), 3(2024-5), 1-27. https://doi.org/10.18718/81781.35"/><s v="Couture, C., Veilleux, C., Chinhama, S., de Boinod, O. J., Payment, B., Husereau, T., &amp; Ouellette, É. (2024). Articulatory rehearsal and phonological storage in working memory: A replication of Longoni et al. (1993). The Quantitative Methods for Psycholog"/><s v="Cesar Teló, Rosane Silveira, Ana Flávia Boeing Marcelino, Mary G O’Brien, Accent Bias in Professional Evaluations: A Conceptual Replication Study in Brazil, Applied Linguistics, 2024;, amae042, https://doi.org/10.1093/applin/amae042"/><s v="Cesar Teló, Rosane Silveira, Ana Flávia Boeing Marcelino, Mary G O’Brien, Accent Bias in Professional Evaluations: A Conceptual Replication Study in Brazil, Applied Linguistics, 2024;, amae042, https://doi.org/10.1093/applin/amae043"/><s v="Cesar Teló, Rosane Silveira, Ana Flávia Boeing Marcelino, Mary G O’Brien, Accent Bias in Professional Evaluations: A Conceptual Replication Study in Brazil, Applied Linguistics, 2024;, amae042, https://doi.org/10.1093/applin/amae044"/><s v="Fernandes, J., &amp; Segev, S. (2024). The persuasion cues that make video advertising go viral: a conceptual replication and extension comparing viral vs. Non-viral advertising. Journal of Marketing Communications, 1–27. https://doi.org/10.1080/13527266.2024"/><s v="Holbrook, A., Park, B., Baldwin, S., Riesel, A., Larson, M. J., &amp; Clayson, P. E. (2024, July 10). Psychometric Reliability of ERN and Pe Across Flanker, Stroop, and Go/No-Go Tasks: A Direct and Conceptual Replication. https://doi.org/10.31234/osf.io/xr6bn"/><s v="Lee, N., &amp; Hittmair, F. (2024). The Colors of Aliens: A Replication Study on Environmental Practices of Foreign-Owned Establishments. In Academy of Management Proceedings (Vol. 2024, No. 1, p. 19578). Valhalla, NY 10595: Academy of Management. https://doi"/><s v="MacDonald, J., Lee, S., &amp; Wilbiks, J. (2024). Generalized anxiety disorder and selective attention: An unsuccessful replication of Yiend et al.,(2015) in a student population. Visual Cognition, 1-9. https://doi.org/10.1080/13506285.2024.2343157"/><s v="Eben, C., Chen, Z., London, R. E., &amp; Verbruggen, F. (2024). Escalating frustration-A replication attempt and extension of Yu et al.(2014). Open Research Europe, 4(135), 135. https://doi.org/10.12688/openreseurope.17749.1"/><s v="Pruski, S. M. (2024). The impact of Screen Time, Social Media Use and Extraversion on Life Satisfaction among University Students: An extended replication study (Bachelor's thesis, University of Twente). Retrieved from https://purl.utwente.nl/essays/10045"/><s v="Yang, H., &amp; Zhang, W. Explaining the decline of China's labor share: A wide replication of Oberfield and Raval (2021). Journal of Applied Econometrics. https://doi.org/10.1002/jae.3082"/><s v="Teng, X., Lau, K. W., Ng, T. K., Chan, K. P., Yeung, W., Yeung, S. K., &amp; Feldman, G. Revisiting the mechanism underlying the default effect: Implicit recommendations, perceived trustworthiness, and preference uncertainty in a replication and extensions Re"/><s v="Moore, D. A., Schroeder, J., Bailey, E. R., Gershon, R., Moore, J. E., &amp; Simmons, J. P. (2024). Does thinking about God increase acceptance of artificial intelligence in decision-making? *Proceedings of the National Academy of Sciences of the United State"/><s v="Lumian, D. S., &amp; McRae, K. (2017). Preregistered Replication of “Affective Flexibility: Evaluative Processing Goals Shape Amygdala Activity”. Psychological Science, 28(9), 1193-1200. https://doi.org/10.1177/0956797617719730"/><s v="McRae, K., Lumian, D. S., &amp;  T. (2023, September 28). Data. https://doi.org/10.17605/OSF.IO/BTH36"/><s v="Cesario, J., Corker, K. S., &amp; Jelinek, S. (2013). A self-regulatory framework for message framing. Journal of Experimental Social Psychology, 49(2), 238–249. https://doi.org/10.1016/j.jesp.2012.10.014"/><s v="Murtagh, A. M., &amp; Todd, S. A. (2004). Self-regulation: A challenge to the strength model. Journal of Articles in Support of the Null Hypothesis, 3(1), 19-51. (Study 2)"/><s v="Pond et al. (2011) Study 3  "/><s v="Healey, M. K., Hasher, L., &amp; Danilova, E. I. (2011). The stability of working memory: Do previous tasks influence complex span? Journal of Experimental Psychology: General, 140(4), 573–585. https://doi.org/10.1037/a0024587"/><s v="Carter, E. C., &amp; McCullough, M. E. (2013). After a pair of self-control-intensive tasks, sucrose swishing improves subsequent working memory performance. BMC Psychology, 1(1). https://doi.org/10.1186/2050-7283-1-22"/><s v="Lurquin JH, Michaelson LE, Barker JE, Gustavson DE, von Bastian CC, Carruth NP, et al. (2016) No Evidence of the Ego-Depletion Effect across Task Characteristics and Individual Differences: A Pre-Registered Study. PLoS ONE 11 (2): e0147770. doi:10.1371/jo"/><s v="Wang, Y., &amp; Yang, L. (2014). Suppression (but not reappraisal) impairs subsequent error detection: An ERP Study of Emotion Regulation’s Resource-Depleting Effect. PLOS ONE, 9(4), e96339. https://doi.org/10.1371/journal.pone.0096339"/><s v="Klein, R. A., Ratliff, K. A., Vianello, M., Adams, R. B., Bahník, Š., Bernstein, M. J., ... &amp; Nosek, B. A. (2014). Investigating variation in replicability: A &quot;Many Labs&quot; replication project. Social Psychology, 45(3), 142–152"/><s v="Hull, J. G., Slone, L. B., Meteyer, K., &amp; Matthews, A. R. (2002). The nonconsciousness of self-consciousness. Journal of Personality and Social Psychology, 83(2), 406–424. https://doi.org/10.1037/0022-3514.83.2.406 (Study 1a)"/><s v="Hull, J. G., Slone, L. B., Meteyer, K., &amp; Matthews, A. R. (2002). The nonconsciousness of self-consciousness. Journal of Personality and Social Psychology, 83(2), 406–424. https://doi.org/10.1037/0022-3514.83.2.407  (Study 1b)"/><s v="Cesario, J., Plaks, J. E., &amp; Higgins, E. T. (2006). Automatic social behavior as motivated preparation to interact. Journal of Personality and Social Psychology, 90(6), 893–910 (study 2)"/><s v="Pashler, H., Harris, C., &amp; Coburn, N.. Elderly-Related Words Prime Slow Walking . (2011, September 15). Retrieved 04:36, September 23, 2017 from http://www.PsychFileDrawer.org/replication.php?attempt=MTU%3D"/><s v="Doyen, S., Klein, O., Pichon, C., &amp; Cleeremans, A. (2012). Behavioral priming: it’s all in the mind, but whose mind? PLOS ONE, 7(1), e29081. https://doi.org/10.1371/journal.pone.0029081"/><s v="Madurski, C., &amp; LeBel, E. P. (2014). Making sense of the noise: Replication difficulties of Correll’s (2008) modulation of 1/f noise in a racial bias task. Psychonomic Bulletin &amp; Review, 22(4), 1135–1141. https://doi.org/10.3758/s13423-014-0757-4"/><s v="Wagenmakers, E., Wetzels, R., Borsboom, D., Van Der Maas, H. L. J., &amp; Kievit, R. A. (2012). An agenda for purely confirmatory research. Perspectives on Psychological Science, 7(6), 632–638. https://doi.org/10.1177/1745691612463078"/><s v="Ebersole, C. R., Atherton, O. E., Belanger, A. L., Skulborstad, H. M., Allen, J. M., Banks, J. B., ... &amp; Nosek, B. A. (2016). Many Labs 3: Evaluating participant pool quality across the academic semester via replication. Journal of Experimental Social Psy"/><s v="Connors, S., Khamitov, M., Moroz, S., Campbell, L., &amp; Henderson, C. (2016). Time, money, and happiness: Does putting a price on time affect our ability to smell the roses? Journal of Experimental Social Psychology, 67, 60–64. https://doi.org/10.1016/j.jes"/><s v="Wortman, J., Donnellan, M. B., &amp; Lucas, R. E. (2014). Can physical warmth (or coldness) predict trait loneliness? A replication of Bargh and Shalev (2012). Archives of Scientific Psychology, 2(1), 13–19. https://doi.org/10.1037/arc0000007"/><s v="LeBel, E. P., &amp; Campbell, L. (2013). Heightened sensitivity to temperature cues in individuals with high anxious attachment. Psychological Science, 24(10), 2128–2130. https://doi.org/10.1177/0956797613486983 (Study 1)"/><s v="LeBel, E. P., &amp; Campbell, L. (2013). Heightened sensitivity to temperature cues in individuals with high anxious attachment. Psychological Science, 24(10), 2128–2130. https://doi.org/10.1177/0956797613486983 (Study 2)"/><s v="Wagge, J. R., Baciu, C., Banas, K., Nadler, J. T., Schwarz, S., Weisberg, Y. J., … Grahe, J. E. (2018, June 22). A Demonstration of the Collaborative Replication and Education Project: Replication Attempts of the Red-Romance Effect. https://doi.org/10.312"/><s v="Banas, K. (2014, June 17). Replication of Elliot et al.  (2010) for CREP at the University of Edinburgh. https://doi.org/10.17605/OSF.IO/DQV9Y"/><s v="Crawford, J. (2016, May 2). Syntax and output files for Cheung &amp; Heine 2015 study 3 replication. https://doi.org/10.17605/OSF.IO/E9D3K"/><s v="Röseler, L., Bögler, H. L., Koßmann, L., Krueger, S., Bickenbach, S., Bühler, R., … Ponader, S. (2023, July 11). Results Report: Replication of Epley and Gilovich  (2006, Study 2a). https://doi.org/10.17605/OSF.IO/FMD75"/><s v="Röseler, L., Schütz, A., Burlakovas, E., Dück, M., Fels, S., Janiczek, S., … Seida, C. (2022, September 15). Replication of Reitsma-van Rooijen and Daamen  (2006). https://doi.org/10.17605/OSF.IO/GH52K"/><s v="Holzmeister, F., Johannesson, M., Camerer, C. F., Chen, Y., Ho, T. H., Hoogeveen, S., ... &amp; Dreber, A. (2024). Examining the replicability of online experiments selected by a decision market. Nature Human Behaviour, 1-15."/><s v="Mahlke, J., Weaver, A., Hall, M. M., Koenig, B., Poulter, L., Lee, A. A., … Gentry, A. (2018, April 27). Huang  (2014) Replication. https://doi.org/10.17605/OSF.IO/J8A4P"/><s v="Song, Z. (2022). The Relationship between Government and Private Consumption: A Replication Study of Fiorito and Kollintzas (2004). Journal of Comments and Replications in Economics, Vol 1(2022-1). DOI: 10.18718/81781.23"/><s v="Oraby, R. (2022). The Possible Unemployment Cost of Average Inflation Below a&#xA;Credible Target:A Replication Study of Svensson (2015). Journal of Comments and Replications in&#xA;Economics, Vol 1(2022-2). DOI: 10.18718/81781.24"/><s v="von Blanckenburg, K., Tebbe, E., Iseke, A. (2023). Giving and taking&#xA;in dictator games – differences by gender? A replication study of Chowdhury et al. (2017). Journal&#xA;of Comments and Replications in Economics, Vol 2(2023-1). DOI: 10.18718/81781.27"/><s v="Gay, V. (2023). Culture: An Empirical Investigation of Beliefs, Work, and Fertility: A Verification and Reproduction of Fernández and Fogli (2009). Journal of Comments and&#xA;Replications in Economics, Vol 2(2023-2). DOI: 10.18718/81781.28"/><s v="Haller, S. A., Flaherty, E. T., Balsvik, R. (2023). Knowledge Transfers&#xA;from Multinational to Domestic Firms: Evidence from Worker Mobility. A Replication Study of Poole (Review of Economics and Statistics, 2013). Journal of Comments and Replications in E"/><s v="Stephenson, C. (2024). Trends in U.S. Wage Inequality: Revising the Revisionists. A Replication Study of Autor, Katz, and Kearney (2008). Journal of Comments and Replications&#xA;in Economics, Vol.3 (2024-4). DOI: 10.18718/81781.34"/><s v="Röseler, L., Bögler, H. L., Koßmann, L., Krueger, S., Bickenbach, S., Bühler, R., … Ponader, S. (2023, July 11). Results Report: Replication of Epley and Gilovich  (2006, Study 2c). https://doi.org/10.17605/OSF.IO/Q6TV8"/><s v="Renbarger, R., Sulak, T., &amp; Morgan, G. (2022). The Importance of Teacher Credentials for Early Achievement: A Replication of Croninger et al. (2007) Econ. Edu. Rev. ReScience X, 1(1). https://doi.org/10.5281/zenodo.6426882"/><s v="Djordjević, S., &amp; IJzerman, H. (2015). Weight as an Embodiment of Importance: Replications and Extensions. https://dx.doi.org/10.2139/ssrn.2586261"/><s v="Djordjević, S., &amp; IJzerman, H. (2015, March 7). Weight as an Embodiment of Importance: Replications and Extensions. https://doi.org/10.17605/OSF.IO/RTN9S"/><s v="Adams, D., Koenig, B., Sanders, C., Jackson, D., &amp; Davis, C. (2018, December 4). Response Effort on Cleanliness Priming for Moral Judgements. https://doi.org/10.17605/OSF.IO/UXAJG"/><s v="Cova, F., Strickland, B., Abatista, A., Allard, A., Andow, J., Attie, M., Beebe, J., Berniūnas, R., Boudesseul, J., Colombo, M., Cushman, F., Diaz, R., N'Djaye Nikolai van Dongen, N., Dranseika, V., Earp, B. D., Torres, A. G., Hannikainen, I., Hernández-C"/><s v="Boyce, V., Mathur, M., &amp; Frank, M. C. (2023). Eleven years of student replication projects provide evidence on the correlates of replicability in psychology. Royal Society Open Science, 10(11), 231240. https://doi.org/10.1098/rsos.231240"/><s v="Boyce, V., Mathur, M., &amp; Frank, M. C. (2023). Eleven years of student replication projects provide evidence on the correlates of replicability in psychology. Royal Society Open Science, 10(11), 231240. https://doi.org/10.1098/rsos.231065"/><s v="Boyce, V., Mathur, M., &amp; Frank, M. C. (2023). Eleven years of student replication projects provide evidence on the correlates of replicability in psychology. Royal Society Open Science, 10(11), 231240. https://doi.org/10.1098/rsos.231091"/><s v="Boyce, V., Mathur, M., &amp; Frank, M. C. (2023). Eleven years of student replication projects provide evidence on the correlates of replicability in psychology. Royal Society Open Science, 10(11), 231240. https://doi.org/10.1098/rsos.231092"/><s v="Boyce, V., Mathur, M., &amp; Frank, M. C. (2023). Eleven years of student replication projects provide evidence on the correlates of replicability in psychology. Royal Society Open Science, 10(11), 231240. https://doi.org/10.1098/rsos.231093"/><s v="Boyce, V., Mathur, M., &amp; Frank, M. C. (2023). Eleven years of student replication projects provide evidence on the correlates of replicability in psychology. Royal Society Open Science, 10(11), 231240. https://doi.org/10.1098/rsos.231094"/><s v="Boyce, V., Mathur, M., &amp; Frank, M. C. (2023). Eleven years of student replication projects provide evidence on the correlates of replicability in psychology. Royal Society Open Science, 10(11), 231240. https://doi.org/10.1098/rsos.231095"/><s v="Boyce, V., Mathur, M., &amp; Frank, M. C. (2023). Eleven years of student replication projects provide evidence on the correlates of replicability in psychology. Royal Society Open Science, 10(11), 231240. https://doi.org/10.1098/rsos.231096"/><s v="Boyce, V., Mathur, M., &amp; Frank, M. C. (2023). Eleven years of student replication projects provide evidence on the correlates of replicability in psychology. Royal Society Open Science, 10(11), 231240. https://doi.org/10.1098/rsos.231097"/><s v="Boyce, V., Mathur, M., &amp; Frank, M. C. (2023). Eleven years of student replication projects provide evidence on the correlates of replicability in psychology. Royal Society Open Science, 10(11), 231240. https://doi.org/10.1098/rsos.231098"/><s v="Boyce, V., Mathur, M., &amp; Frank, M. C. (2023). Eleven years of student replication projects provide evidence on the correlates of replicability in psychology. Royal Society Open Science, 10(11), 231240. https://doi.org/10.1098/rsos.231099"/><s v="Boyce, V., Mathur, M., &amp; Frank, M. C. (2023). Eleven years of student replication projects provide evidence on the correlates of replicability in psychology. Royal Society Open Science, 10(11), 231240. https://doi.org/10.1098/rsos.231100"/><s v="Boyce, V., Mathur, M., &amp; Frank, M. C. (2023). Eleven years of student replication projects provide evidence on the correlates of replicability in psychology. Royal Society Open Science, 10(11), 231240. https://doi.org/10.1098/rsos.231066"/><s v="Boyce, V., Mathur, M., &amp; Frank, M. C. (2023). Eleven years of student replication projects provide evidence on the correlates of replicability in psychology. Royal Society Open Science, 10(11), 231240. https://doi.org/10.1098/rsos.231101"/><s v="Boyce, V., Mathur, M., &amp; Frank, M. C. (2023). Eleven years of student replication projects provide evidence on the correlates of replicability in psychology. Royal Society Open Science, 10(11), 231240. https://doi.org/10.1098/rsos.231102"/><s v="Boyce, V., Mathur, M., &amp; Frank, M. C. (2023). Eleven years of student replication projects provide evidence on the correlates of replicability in psychology. Royal Society Open Science, 10(11), 231240. https://doi.org/10.1098/rsos.231103"/><s v="Boyce, V., Mathur, M., &amp; Frank, M. C. (2023). Eleven years of student replication projects provide evidence on the correlates of replicability in psychology. Royal Society Open Science, 10(11), 231240. https://doi.org/10.1098/rsos.231104"/><s v="Boyce, V., Mathur, M., &amp; Frank, M. C. (2023). Eleven years of student replication projects provide evidence on the correlates of replicability in psychology. Royal Society Open Science, 10(11), 231240. https://doi.org/10.1098/rsos.231105"/><s v="Boyce, V., Mathur, M., &amp; Frank, M. C. (2023). Eleven years of student replication projects provide evidence on the correlates of replicability in psychology. Royal Society Open Science, 10(11), 231240. https://doi.org/10.1098/rsos.231106"/><s v="Boyce, V., Mathur, M., &amp; Frank, M. C. (2023). Eleven years of student replication projects provide evidence on the correlates of replicability in psychology. Royal Society Open Science, 10(11), 231240. https://doi.org/10.1098/rsos.231107"/><s v="Boyce, V., Mathur, M., &amp; Frank, M. C. (2023). Eleven years of student replication projects provide evidence on the correlates of replicability in psychology. Royal Society Open Science, 10(11), 231240. https://doi.org/10.1098/rsos.231108"/><s v="Boyce, V., Mathur, M., &amp; Frank, M. C. (2023). Eleven years of student replication projects provide evidence on the correlates of replicability in psychology. Royal Society Open Science, 10(11), 231240. https://doi.org/10.1098/rsos.231109"/><s v="Boyce, V., Mathur, M., &amp; Frank, M. C. (2023). Eleven years of student replication projects provide evidence on the correlates of replicability in psychology. Royal Society Open Science, 10(11), 231240. https://doi.org/10.1098/rsos.231110"/><s v="Boyce, V., Mathur, M., &amp; Frank, M. C. (2023). Eleven years of student replication projects provide evidence on the correlates of replicability in psychology. Royal Society Open Science, 10(11), 231240. https://doi.org/10.1098/rsos.231067"/><s v="Boyce, V., Mathur, M., &amp; Frank, M. C. (2023). Eleven years of student replication projects provide evidence on the correlates of replicability in psychology. Royal Society Open Science, 10(11), 231240. https://doi.org/10.1098/rsos.231111"/><s v="Boyce, V., Mathur, M., &amp; Frank, M. C. (2023). Eleven years of student replication projects provide evidence on the correlates of replicability in psychology. Royal Society Open Science, 10(11), 231240. https://doi.org/10.1098/rsos.231112"/><s v="Boyce, V., Mathur, M., &amp; Frank, M. C. (2023). Eleven years of student replication projects provide evidence on the correlates of replicability in psychology. Royal Society Open Science, 10(11), 231240. https://doi.org/10.1098/rsos.231113"/><s v="Boyce, V., Mathur, M., &amp; Frank, M. C. (2023). Eleven years of student replication projects provide evidence on the correlates of replicability in psychology. Royal Society Open Science, 10(11), 231240. https://doi.org/10.1098/rsos.231114"/><s v="Boyce, V., Mathur, M., &amp; Frank, M. C. (2023). Eleven years of student replication projects provide evidence on the correlates of replicability in psychology. Royal Society Open Science, 10(11), 231240. https://doi.org/10.1098/rsos.231115"/><s v="Boyce, V., Mathur, M., &amp; Frank, M. C. (2023). Eleven years of student replication projects provide evidence on the correlates of replicability in psychology. Royal Society Open Science, 10(11), 231240. https://doi.org/10.1098/rsos.231116"/><s v="Boyce, V., Mathur, M., &amp; Frank, M. C. (2023). Eleven years of student replication projects provide evidence on the correlates of replicability in psychology. Royal Society Open Science, 10(11), 231240. https://doi.org/10.1098/rsos.231117"/><s v="Boyce, V., Mathur, M., &amp; Frank, M. C. (2023). Eleven years of student replication projects provide evidence on the correlates of replicability in psychology. Royal Society Open Science, 10(11), 231240. https://doi.org/10.1098/rsos.231118"/><s v="Boyce, V., Mathur, M., &amp; Frank, M. C. (2023). Eleven years of student replication projects provide evidence on the correlates of replicability in psychology. Royal Society Open Science, 10(11), 231240. https://doi.org/10.1098/rsos.231119"/><s v="Boyce, V., Mathur, M., &amp; Frank, M. C. (2023). Eleven years of student replication projects provide evidence on the correlates of replicability in psychology. Royal Society Open Science, 10(11), 231240. https://doi.org/10.1098/rsos.231120"/><s v="Boyce, V., Mathur, M., &amp; Frank, M. C. (2023). Eleven years of student replication projects provide evidence on the correlates of replicability in psychology. Royal Society Open Science, 10(11), 231240. https://doi.org/10.1098/rsos.231068"/><s v="Boyce, V., Mathur, M., &amp; Frank, M. C. (2023). Eleven years of student replication projects provide evidence on the correlates of replicability in psychology. Royal Society Open Science, 10(11), 231240. https://doi.org/10.1098/rsos.231121"/><s v="Boyce, V., Mathur, M., &amp; Frank, M. C. (2023). Eleven years of student replication projects provide evidence on the correlates of replicability in psychology. Royal Society Open Science, 10(11), 231240. https://doi.org/10.1098/rsos.231122"/><s v="Boyce, V., Mathur, M., &amp; Frank, M. C. (2023). Eleven years of student replication projects provide evidence on the correlates of replicability in psychology. Royal Society Open Science, 10(11), 231240. https://doi.org/10.1098/rsos.231123"/><s v="Boyce, V., Mathur, M., &amp; Frank, M. C. (2023). Eleven years of student replication projects provide evidence on the correlates of replicability in psychology. Royal Society Open Science, 10(11), 231240. https://doi.org/10.1098/rsos.231124"/><s v="Boyce, V., Mathur, M., &amp; Frank, M. C. (2023). Eleven years of student replication projects provide evidence on the correlates of replicability in psychology. Royal Society Open Science, 10(11), 231240. https://doi.org/10.1098/rsos.231125"/><s v="Boyce, V., Mathur, M., &amp; Frank, M. C. (2023). Eleven years of student replication projects provide evidence on the correlates of replicability in psychology. Royal Society Open Science, 10(11), 231240. https://doi.org/10.1098/rsos.231126"/><s v="Boyce, V., Mathur, M., &amp; Frank, M. C. (2023). Eleven years of student replication projects provide evidence on the correlates of replicability in psychology. Royal Society Open Science, 10(11), 231240. https://doi.org/10.1098/rsos.231127"/><s v="Boyce, V., Mathur, M., &amp; Frank, M. C. (2023). Eleven years of student replication projects provide evidence on the correlates of replicability in psychology. Royal Society Open Science, 10(11), 231240. https://doi.org/10.1098/rsos.231128"/><s v="Boyce, V., Mathur, M., &amp; Frank, M. C. (2023). Eleven years of student replication projects provide evidence on the correlates of replicability in psychology. Royal Society Open Science, 10(11), 231240. https://doi.org/10.1098/rsos.231129"/><s v="Boyce, V., Mathur, M., &amp; Frank, M. C. (2023). Eleven years of student replication projects provide evidence on the correlates of replicability in psychology. Royal Society Open Science, 10(11), 231240. https://doi.org/10.1098/rsos.231130"/><s v="Boyce, V., Mathur, M., &amp; Frank, M. C. (2023). Eleven years of student replication projects provide evidence on the correlates of replicability in psychology. Royal Society Open Science, 10(11), 231240. https://doi.org/10.1098/rsos.231069"/><s v="Boyce, V., Mathur, M., &amp; Frank, M. C. (2023). Eleven years of student replication projects provide evidence on the correlates of replicability in psychology. Royal Society Open Science, 10(11), 231240. https://doi.org/10.1098/rsos.231131"/><s v="Boyce, V., Mathur, M., &amp; Frank, M. C. (2023). Eleven years of student replication projects provide evidence on the correlates of replicability in psychology. Royal Society Open Science, 10(11), 231240. https://doi.org/10.1098/rsos.231132"/><s v="Boyce, V., Mathur, M., &amp; Frank, M. C. (2023). Eleven years of student replication projects provide evidence on the correlates of replicability in psychology. Royal Society Open Science, 10(11), 231240. https://doi.org/10.1098/rsos.231133"/><s v="Boyce, V., Mathur, M., &amp; Frank, M. C. (2023). Eleven years of student replication projects provide evidence on the correlates of replicability in psychology. Royal Society Open Science, 10(11), 231240. https://doi.org/10.1098/rsos.231134"/><s v="Boyce, V., Mathur, M., &amp; Frank, M. C. (2023). Eleven years of student replication projects provide evidence on the correlates of replicability in psychology. Royal Society Open Science, 10(11), 231240. https://doi.org/10.1098/rsos.231135"/><s v="Boyce, V., Mathur, M., &amp; Frank, M. C. (2023). Eleven years of student replication projects provide evidence on the correlates of replicability in psychology. Royal Society Open Science, 10(11), 231240. https://doi.org/10.1098/rsos.231136"/><s v="Boyce, V., Mathur, M., &amp; Frank, M. C. (2023). Eleven years of student replication projects provide evidence on the correlates of replicability in psychology. Royal Society Open Science, 10(11), 231240. https://doi.org/10.1098/rsos.231137"/><s v="Boyce, V., Mathur, M., &amp; Frank, M. C. (2023). Eleven years of student replication projects provide evidence on the correlates of replicability in psychology. Royal Society Open Science, 10(11), 231240. https://doi.org/10.1098/rsos.231138"/><s v="Boyce, V., Mathur, M., &amp; Frank, M. C. (2023). Eleven years of student replication projects provide evidence on the correlates of replicability in psychology. Royal Society Open Science, 10(11), 231240. https://doi.org/10.1098/rsos.231139"/><s v="Boyce, V., Mathur, M., &amp; Frank, M. C. (2023). Eleven years of student replication projects provide evidence on the correlates of replicability in psychology. Royal Society Open Science, 10(11), 231240. https://doi.org/10.1098/rsos.231070"/><s v="Boyce, V., Mathur, M., &amp; Frank, M. C. (2023). Eleven years of student replication projects provide evidence on the correlates of replicability in psychology. Royal Society Open Science, 10(11), 231240. https://doi.org/10.1098/rsos.231140"/><s v="Boyce, V., Mathur, M., &amp; Frank, M. C. (2023). Eleven years of student replication projects provide evidence on the correlates of replicability in psychology. Royal Society Open Science, 10(11), 231240. https://doi.org/10.1098/rsos.231141"/><s v="Boyce, V., Mathur, M., &amp; Frank, M. C. (2023). Eleven years of student replication projects provide evidence on the correlates of replicability in psychology. Royal Society Open Science, 10(11), 231240. https://doi.org/10.1098/rsos.231142"/><s v="Boyce, V., Mathur, M., &amp; Frank, M. C. (2023). Eleven years of student replication projects provide evidence on the correlates of replicability in psychology. Royal Society Open Science, 10(11), 231240. https://doi.org/10.1098/rsos.231143"/><s v="Boyce, V., Mathur, M., &amp; Frank, M. C. (2023). Eleven years of student replication projects provide evidence on the correlates of replicability in psychology. Royal Society Open Science, 10(11), 231240. https://doi.org/10.1098/rsos.231144"/><s v="Boyce, V., Mathur, M., &amp; Frank, M. C. (2023). Eleven years of student replication projects provide evidence on the correlates of replicability in psychology. Royal Society Open Science, 10(11), 231240. https://doi.org/10.1098/rsos.231145"/><s v="Boyce, V., Mathur, M., &amp; Frank, M. C. (2023). Eleven years of student replication projects provide evidence on the correlates of replicability in psychology. Royal Society Open Science, 10(11), 231240. https://doi.org/10.1098/rsos.231146"/><s v="Boyce, V., Mathur, M., &amp; Frank, M. C. (2023). Eleven years of student replication projects provide evidence on the correlates of replicability in psychology. Royal Society Open Science, 10(11), 231240. https://doi.org/10.1098/rsos.231147"/><s v="Boyce, V., Mathur, M., &amp; Frank, M. C. (2023). Eleven years of student replication projects provide evidence on the correlates of replicability in psychology. Royal Society Open Science, 10(11), 231240. https://doi.org/10.1098/rsos.231148"/><s v="Boyce, V., Mathur, M., &amp; Frank, M. C. (2023). Eleven years of student replication projects provide evidence on the correlates of replicability in psychology. Royal Society Open Science, 10(11), 231240. https://doi.org/10.1098/rsos.231149"/><s v="Boyce, V., Mathur, M., &amp; Frank, M. C. (2023). Eleven years of student replication projects provide evidence on the correlates of replicability in psychology. Royal Society Open Science, 10(11), 231240. https://doi.org/10.1098/rsos.231150"/><s v="Boyce, V., Mathur, M., &amp; Frank, M. C. (2023). Eleven years of student replication projects provide evidence on the correlates of replicability in psychology. Royal Society Open Science, 10(11), 231240. https://doi.org/10.1098/rsos.231151"/><s v="Boyce, V., Mathur, M., &amp; Frank, M. C. (2023). Eleven years of student replication projects provide evidence on the correlates of replicability in psychology. Royal Society Open Science, 10(11), 231240. https://doi.org/10.1098/rsos.231152"/><s v="Boyce, V., Mathur, M., &amp; Frank, M. C. (2023). Eleven years of student replication projects provide evidence on the correlates of replicability in psychology. Royal Society Open Science, 10(11), 231240. https://doi.org/10.1098/rsos.231153"/><s v="Boyce, V., Mathur, M., &amp; Frank, M. C. (2023). Eleven years of student replication projects provide evidence on the correlates of replicability in psychology. Royal Society Open Science, 10(11), 231240. https://doi.org/10.1098/rsos.231154"/><s v="Boyce, V., Mathur, M., &amp; Frank, M. C. (2023). Eleven years of student replication projects provide evidence on the correlates of replicability in psychology. Royal Society Open Science, 10(11), 231240. https://doi.org/10.1098/rsos.231155"/><s v="Boyce, V., Mathur, M., &amp; Frank, M. C. (2023). Eleven years of student replication projects provide evidence on the correlates of replicability in psychology. Royal Society Open Science, 10(11), 231240. https://doi.org/10.1098/rsos.231156"/><s v="Boyce, V., Mathur, M., &amp; Frank, M. C. (2023). Eleven years of student replication projects provide evidence on the correlates of replicability in psychology. Royal Society Open Science, 10(11), 231240. https://doi.org/10.1098/rsos.231157"/><s v="Boyce, V., Mathur, M., &amp; Frank, M. C. (2023). Eleven years of student replication projects provide evidence on the correlates of replicability in psychology. Royal Society Open Science, 10(11), 231240. https://doi.org/10.1098/rsos.231158"/><s v="Boyce, V., Mathur, M., &amp; Frank, M. C. (2023). Eleven years of student replication projects provide evidence on the correlates of replicability in psychology. Royal Society Open Science, 10(11), 231240. https://doi.org/10.1098/rsos.231159"/><s v="Dorrough, A. R., &amp; Fiedler, S. (2023, September 28). Replication of S Forti, GW Humphreys (2008, PS 19(1)). Retrieved from osf.io/tf8ky"/><s v="Cheung, F., Donnellan, B., &amp; Johnson, D. J. (2023, September 28). Replication of Schnall, Benton, &amp; Harvey (2008, PS). Retrieved from osf.io/apidb"/><s v="Saxe, R., Vélez, N., &amp; Johnston, W. (2023, September 28). Replication of Palmer &amp; Ghose (2008, PS). Retrieved from osf.io/0aifq"/><s v="Lazarevic, L. B., &amp; Knezevic, G. (2023, September 28). Replication of SJ Heine, EE Buchtel, A Norenzayan (2008, PS 19(4), exp 1). Retrieved from osf.io/siaqe"/><s v="Levitan, C., &amp; Fernández, B. (2023, September 28). Replication of SK Moeller, MD Robinson, DL Zabelina (2008, Psychological Science, Experiment 2). Retrieved from osf.io/tg2wd"/><s v="Costantini, G., &amp; Perugini, M. (2023, September 28). Replication of Goschke &amp; Dreisbach (2008, PS). Retrieved from osf.io/bk53t"/><s v="Cramblet Alvarez, L. D., Martinez, T., Zuni, K., Tapia, M., &amp; Pipitone, R. N. (2023, September 28). Replication of LoBue &amp; DeLoache (2008, PS, Study 3). Retrieved from osf.io/sd7kg"/><s v="Fuchs, H., Estel, V., &amp; Goellner, L. (2016, August 19). Replication of Dai, Wertenbroch, &amp; Brendl (2008, PS, Study 1). Retrieved from osf.io/q7f6w"/><s v="Renkewitz, F., &amp; Müller, S. M. (2023, September 28). Replication of Estes, Verges, &amp; Barsalou (2008, PS, Study 1). Retrieved from osf.io/vwnit"/><s v="Glöckner, A., &amp; Jekel, M. (2023, September 28). Replication of K Fiedler (2008, JEPLMC, Exp 2). Retrieved from osf.io/hp27x"/><s v="Neijenhuijs, K. I., Luteijn, I., Bosch, A., van der Hulst, M., Dorsthorst, A. t, van de Ven, M., &amp; Weerdmeester, J. W. (2023, September 28). Replication of K Oberauer (2008, JEPLMC 34(3), Exp 3). Retrieved from osf.io/gcj7x"/><s v="Goodbourn, P. T. (2023, September 28). Replication of Morris and Still (2008). Retrieved from osf.io/rmvk5"/><s v="Fiedler, S., &amp; May, M. (2023, September 28). Replication of Sahakyan et al. (2008, JEP:LMC, Study 3). Retrieved from osf.io/bzdr2"/><s v="Kappes, H. B. (2023, September 28). Replication of LS Colzato, MT Bajo, W van den Wildenberg, D Paolieri, S Nieuwenhuis, W La Heij, B Hommel (2008, JEPLMC 34(2), Exp. 3). Retrieved from osf.io/p9thw"/><s v="Hung, C. O., Lin, L., &amp; Tsang, S. (2023, September 28). Replication of M Bassok, SF Pedigo, AT Oskarsson (2008, JEPLMC, Study 1). Retrieved from osf.io/sqim7"/><s v="Roebke, M. A., &amp; Della Penna, N. (2023, September 28). Replication of Couture, Lafond, and Tremblay (2008, JEPLMC 34(3)). Retrieved from osf.io/k9gp6"/><s v="Lai, C. K., &amp; Simpson, W. B. (2023, September 28). Replication of Reynolds &amp; Besner (2008, JEP:LMC, Study 5). Retrieved from osf.io/hasfu"/><s v="Chartier, C. R., &amp; Nervi, T. (2023, September 28). Replication of MJ Yap, DA Balota, CS Tse, D Besner (2008, JEPLMC 34(3), Exp 4). Retrieved from osf.io/ahpik"/><s v="Galak, J. (2023, September 28). Replication of Janssen and colleagues (2008, JEP:LMC, Study 1). Retrieved from osf.io/uhpyr"/><s v="Ostkamp, L., &amp; Jäkel, F. (2023, September 28). Replication of Turk-Browne, Isola, Scholl, Treat (2008, JEP:LMC, Study 4b). Retrieved from osf.io/ujhlw"/><s v="Plessow, F., Möschl, M., &amp; Pavel, M. (2023, September 28). Replication of Liefooghe, Barrouillet, Vandierendonck, &amp; Camos (2008, JEPLMC, Experiment 4). Retrieved from osf.io/4dvzb"/><s v="Müller, S. M., &amp; Renkewitz, F. (2023, September 28). Replication of White (2008, JEP:LMC, Study 3). Retrieved from osf.io/rhbqj"/><s v="Olsson, C., &amp; Saxe, R. (2023, September 28). Replication of Farrell (2008, JEP:LMC, Study 2). Retrieved from osf.io/swrhy"/><s v="Jahn, G. (2023, September 28). Replication of Pacton &amp; Perruchet (2008, JEP:LMC, Study 4b). Retrieved from osf.io/vmz2e"/><s v="Moore, K. (2023, September 28). Replication of Makovski, Sussman, &amp; Jiang (2008, JEP:LMC). Retrieved from osf.io/0pxro"/><s v="Forsell, E., Heikensten, E. K., Dreber, A., &amp; Johannesson, M. (2023, September 28). Replication of TJ Pleskac (2008, JEPLMC 34(1)). Retrieved from osf.io/38ges"/><s v="Callahan, S. P. (2023, September 28). Replication of BC Storm, EL Bjork, RA Bjork (2008, JEPLMC 34(1), Exp 1). Retrieved from osf.io/8j9cg"/><s v="Frank, M. C., &amp; Holubar, T. (2023, September 28). Replication of Monin, Sawyer, &amp; Marquez (2008, JPSP 95(1), Exp. 4). Retrieved from osf.io/pz0my"/><s v="Vianello, M. (2023, September 28). Replication of Payne, Burkley &amp; Stokes (2008, JPSP, Study 4). Retrieved from osf.io/rc6mv"/><s v="Soderberg, C. K. (2023, September 28). Replication of CJ Soto, OP John, SD Gosling, J Potter (2008, JPSP 94(4)). Retrieved from osf.io/kez47"/><s v="Wissink, J., Hoogendoorn, G. E. A. M., Brohmer, H., Verschoor, M., Zeelenberg, M., &amp; Krijnen, J. M. T. (2016, August 19). Replication of CR Cox, J Arndt, T Pyszczynski, J Greenberg, A Abdollahi, S Solomon (2008, JPSP 94(4), Exp. 6). Retrieved from osf.io/"/><s v="Frank, M. C., Kim, S. K., &amp; Lee, K. J. (2023, September 28). Replication of Albarracín et al. (2008, JPSP). Retrieved from osf.io/vy1bc"/><s v="Lakens, D. (2023, September 28). Replication of Mitchell, Nash, &amp; Hall (2008, JEP:LMC). Retrieved from osf.io/4xdkk"/><s v="Voracek, M., &amp; Sonnleitner, C. (2016, August 19). Replication of D Albarracín, IM Handley, K Noguchi, KC McCulloch, H Li, J Leeper, RD Brown, A Earl, WP Hart (2008, JPSP 95(3), Exp. 7). Retrieved from osf.io/rgm6p"/><s v="Humphries, D., Brown, K., DeGaetano, M., Mainard, H., Attridge, P. R., Brown, B. T., &amp; Hicks, G. (2023, September 28). Replication of Centerbar, Schnall, Clore, &amp; Garvin (2008, JPSP, Study 5). Retrieved from osf.io/l8srm"/><s v="Johnson-Grey, K. M., Hayes, T. B., &amp; Graham, J. (2023, September 28). Replication of Amodio, Devine, &amp; Harmon-Jones (2008, JPSP, Study 2). Retrieved from osf.io/wkgpq"/><s v="Gable, P. A., &amp; Mechin, N. (2023, September 28). Replication of E Harmon-Jones, C Harmon-Jones, M Fearn, JD Sigelman, P Johnson (2008, JPSP 94(1), Exp. 2). Retrieved from osf.io/su6bm"/><s v="Voracek, M., &amp; Slowik, A. (2023, September 28). Replication of E van Dijk, GA van Kleef, W Steinel, I van Beest (2008, JPSP 94(4), Exp. 3). Retrieved from osf.io/xtsq6"/><s v="Baranski, E. (2023, September 28). Replication of Lemay and Clark (2008, JPSP 95(2), Exp 5). Retrieved from osf.io/ke43j"/><s v="Marigold, D. C., Forest, A. L., &amp; Anderson, J. (2023, September 28). Replication of Lemay and Clark (2008, JPSP 95(4), Exp 5). Retrieved from osf.io/h84qd"/><s v="Meixner, J. M., &amp; Brüning, J. (2023, September 28). Replication of CJ Berry, DR Shanks, RN Henson (2008, JEPLMC 34(1), Exp 1). Retrieved from osf.io/atgp5"/><s v="Talhelm, T., Eggleston, C., &amp; Lee, M. (2023, September 28). Replication of Ersner-Hershfield et al. (2008, JPSP, Study 2). Retrieved from osf.io/sq8k9"/><s v="LeBel, E. P. (2023, September 28). Replication of Correll (2008, JPSP, Study 2). Retrieved from osf.io/fejxb"/><s v="Reinhard, D. A. (2023, September 28). Replication of J Förster, N Liberman, &amp; S Kuschel (2008, JPSP, Study 1). Retrieved from osf.io/mxryb"/><s v="Lin, S. C., &amp; Frank, M. C. (2023, September 28). Replication of Exline et al. (2008, JPSP, Study 7). Retrieved from osf.io/imrx2"/><s v="Frank, M. C., &amp; Mathur, M. B. (2023, September 28). Replication of Risen &amp; Gilovich (2008, JPSP). Retrieved from osf.io/sg3su"/><s v="Sullivan, G. B. (2023, September 28). Replication of Tracy and Robins (2008, JPSP, Exp 4). Retrieved from osf.io/qthf2"/><s v="Kleinberg, B., &amp; Kunkels, Y. K. (2023, September 28). Replication of Beaman, Neath, &amp; Suprenant (2008, JEP:LMC, Experiment 2). Retrieved from osf.io/6n3bm"/><s v="Baranski, E. (2023, September 28). Replication of Stanovich and West (2008, JPSP 94(4), Exp. 8). Retrieved from osf.io/7ux8p"/><s v="Lemm, K. M. (2023, September 28). Replication of Blankenship &amp; Wegener (2008, JPSP, Study 5A). Retrieved from osf.io/2gx4k"/><s v="Motyl, M., &amp; Nosek, B. A. (2023, September 28). Replication of Morrison &amp; Miller (2008, JPSP, Study 3). Retrieved from osf.io/nhwv5"/><s v="Kidwell, M., &amp; Dodson, G. T. (2016, August 19). Replication of M Koo, A Fishbach (2008, JPSP 94(2), Exp. 4). Retrieved from osf.io/nr7d9"/><s v="Calhoun-Sauls, A. (2023, September 28). Replication of CS Dodson, J Darragh, A Williams (2008, JEPLMC 34(3), Exp. 3). Retrieved from osf.io/c5pbg"/><s v="Lane, K. A., &amp; Gazarian, D. (2016, August 19). Replication of Henderson, de Liver, &amp; Gollwitzer (2008, JPSP, Expt. 5). Retrieved from osf.io/79dey"/><s v="Gilbert, E. A. (2023, September 28). Replication of Shnabel &amp; Nadler (2008, JPSP, Study 4). Retrieved from osf.io/xse7q"/><s v="Talhelm, T., Eggleston, C., &amp; Lee, M. (2023, September 28). Replication of Rule &amp; Ambady (2008, PS, Study 1). Retrieved from osf.io/r5gpv"/><s v="Ratliff, K. A. (2023, September 28). Replication of Fischer et al. (2008, JPSP, Study 4). Retrieved from osf.io/v8vft"/><s v="Galliani, E. M. (2023, September 28). Replication of Fischer, Greitemeyer, &amp; Frey (2008, JPSP, Study 2). Retrieved from osf.io/j8bpa"/><s v="Kelso, K., Gampa, A., Wright, E. C., Spencer, N. B., &amp; Welsh, A. (2023, September 28). Replication of Goff, Steele, and Davies (JPSP, 2008, Study 4). Retrieved from osf.io/abxcj"/><s v="Selterman, D. F., Chagnon, E., &amp; Mackinnon, S. P. (2023, September 28). Replication of Eastwick &amp; Finkel (2008, JPSP). Retrieved from osf.io/ng6cc"/><s v="Miller, J. K., PhD. (2023, September 28). Replication of Weidemann, Huber, and Shiffrin (2008, JEPLMC, Exp 4). Retrieved from osf.io/ne9dy"/><s v="Sinclair, H. C., Goldberg, R. M., Wu, S., &amp; Smith, M. M. (2016, August 19). Replication of SL Murray, JL Derrick, S Leder, JG Holmes (2008, JPSP 94(3), Exp. 8). Retrieved from osf.io/cxmf6"/><s v="Chartier, C. R., &amp; Perna, O. K. (2023, September 28). Replication of SM McCrea (2008, JPSP 95(2), Exp. 5). Retrieved from osf.io/mua6d"/><s v="Schmidt, K. (2023, September 28). Secondary Replication of V Purdie-Vaughns, CM Steele, PG Davies, R Ditlmann, JR Crosby (2008, JPSP 94(4), Exp. 3)."/><s v="Dixit, U., He, J., Whited, M., Ellis, J. M., &amp; Zickgraf, H. F. (2023). Negative emotional eating patterns among American university students : A replication study. Appetite, 186, 106554. "/><s v="Xu, Y., Song, J., Ren, Y., Barnhart, W. R., Dixit, U., Ji, F., Chen, C., &amp; He, J. (2024). Negative emotional eating patterns in general Chinese adults : A replication and expansion study examining group differences in eating disorder symptomatology, psych"/><s v="Panero, M. E., Weisberg, D. S., Black, J. E., Goldstein, T. R., Barnes, J. L., Brownell, H., &amp; Winner, E. (2016). Does reading a single passage of literary fiction really improve theory of mind? An attempt at replication. Journal of Personality and Social"/><s v="Dijkstra, K., Verkoeijen, P., van Kuijk, I., Yee Chow, S., Bakker, A., &amp; Zwaan, R. (2015). Leidt het lezen van literaire fictie tot meer empathie? : een replicatiestudie van Kidd en Castano (2013). De Psycholoog, 50(10), 10–21. Retrieved from http://hdl.h"/><s v="Lange, F., &amp; Eggert, F. (2014). Sweet delusion. Glucose drinks fail to counteract ego depletion. Appetite, 75, 54–63. https://doi.org/10.1016/j.appet.2013.12.020"/><s v="Van Rijn, H., &amp; Scholz, S. (2023, September 28). Replication of A Roelofs (2008, JEPLMC 34(2), Exp 3). Retrieved from osf.io/qwkum"/><s v="Shaki, S. (2023, September 28). Replication of D Ganor-Stern, J Tzelgov (2008, JEPLMC 34(2), Exp. 2). Retrieved from osf.io/vmipw"/><s v="Foster, J. D. (2023, September 28). Replication of Alter &amp; Oppenheimmer (2008, PS, Study 2B). Retrieved from osf.io/kegmc"/><s v="Fitneva, S. A. (2023, September 28). Replication of Dessalegn &amp; Landau (2008, PS, Study 4). Retrieved from osf.io/iajp5"/><s v="Prenoveau, J. M., &amp; Kirkhart, M. W. (2023, September 28). Replication of Eitam, Hassin, &amp; Schul (2008, PS, Study 2). Retrieved from osf.io/edcr7"/><s v="Bosco, F., &amp; Field, J. G. (2016, August 19). Replication of Mirman &amp; Magnuson (2008, JEP:LMC, Study 2). Retrieved from osf.io/rvkc5"/><s v="Attwood, A. S., Andy, Easey, K., Penton-Voak, I., &amp; Munafo, M. R. (2016, August 19). Replication of C Farris, TA Treat, RJ Viken, and RM McFall (2008, PS 19(4)). Retrieved from osf.io/7dyp5"/><s v="Chandler, J. J. (2016, August 19). Replication of Janiszewski &amp; Uy (2008, PS, Study 4b). Retrieved from osf.io/aaudl"/><s v="Saxe, R., Vélez, N., &amp; Feather, J. (2016, August 19). Replication of McKinstry, Dale, &amp; Spivey (2008, PS). Retrieved from osf.io/d0n81"/><s v="Lassetter, B., Brandt, M. J., van ’t Veer, A. E., &amp; Mehta, P. (2023, September 28). Replication of Armor, Massey &amp; Sackett (2008, PS, Study 1). Retrieved from osf.io/qlzap"/><s v="Vásquez-Echeverría, A. (2023, September 28). Replication of DR Addis, AT Wong, DL Schacter (2008, PS 19(1)). Retrieved from osf.io/yaeu7"/><s v="Brown, B. T., Kleinberg, B., Hicks, G., Bentley, H., Attridge, P. R., Eboigbe, S., … Brown, K. (2023, September 28). Replication of Nurmsoo &amp; Bloom (2008, PS, Study 1). Retrieved from osf.io/aczvt"/><s v="steegen, sara, vanpaemel, wolf, tuerlinckx, francis, &amp; Dewitte, L. (2023, September 28). Replication of Vul &amp; Pashler (Psych Science, 2008). Retrieved from osf.io/ivfu6"/><s v="Barnett-Cowan, M. (2023, September 28). Replication of Vul et al (2008, PS, Study 1). Retrieved from osf.io/rzjvn"/><s v="Osborne, C., Vuu, G., &amp; Henninger, F. (2023, September 28). Replication of EJ Masicampo, RF Baumeister (2008, PS 19(3)). Retrieved from osf.io/3h29d"/><s v="Ricker, A. A., &amp; Saide, A. (2023, September 28). Replication of JI Campbell, ND Robert (2008, JEPLMC 34(3), Exp 3). Retrieved from osf.io/gxvd3"/><s v="Lewis, M., &amp; Pitts, M. (2023, September 28). Replication of Hajcak &amp; Foti (2008, PS, Study 1)."/><s v="Beer, J. S., Rigney, A. E., &amp; Flagan, T. (2016, August 19). Replication of G Tabibnia, AB Satpute, MD Lieberman (2008, PS 19(4)). Retrieved from osf.io/94j6h"/><s v="Schlegelmilch, R., &amp; van den Bergh, D. (2023, September 28). Replication of GA Alvarez, A Oliva (2008, PS 19(4), Exp. 3). Retrieved from osf.io/dnaxe"/><s v="Stieger, S., &amp; Kuhlmann, T. (2023, September 28). Replication of GP Lau, AC Kay, SJ Spencer (2008, PS 19(1)). Retrieved from osf.io/fxqsk"/><s v="Levitan, C., Errington, T. M., &amp; Gampa, A. (2023, September 28). Replication of Winawer, Huk, &amp; Boroditsky (Psychological Science, 2008). Retrieved from osf.io/mjasz"/><s v="Lai, C. K. (2023). Replication of Richeson &amp; Trawalter (2008, PS, Study 1). Retrieved from osf.io/c5fza"/><s v="Boyce, V., Mathur, M., &amp; Frank, M. C. (2023). Eleven years of student replication projects provide evidence on the correlates of replicability in psychology. Royal Society Open Science, 10(11), 231240. https://doi.org/10.1098/rsos.231063"/><s v="Boyce, V., Mathur, M., &amp; Frank, M. C. (2023). Eleven years of student replication projects provide evidence on the correlates of replicability in psychology. Royal Society Open Science, 10(11), 231240. https://doi.org/10.1098/rsos.231071"/><s v="Boyce, V., Mathur, M., &amp; Frank, M. C. (2023). Eleven years of student replication projects provide evidence on the correlates of replicability in psychology. Royal Society Open Science, 10(11), 231240. https://doi.org/10.1098/rsos.231160"/><s v="Boyce, V., Mathur, M., &amp; Frank, M. C. (2023). Eleven years of student replication projects provide evidence on the correlates of replicability in psychology. Royal Society Open Science, 10(11), 231240. https://doi.org/10.1098/rsos.231161"/><s v="Boyce, V., Mathur, M., &amp; Frank, M. C. (2023). Eleven years of student replication projects provide evidence on the correlates of replicability in psychology. Royal Society Open Science, 10(11), 231240. https://doi.org/10.1098/rsos.231162"/><s v="Boyce, V., Mathur, M., &amp; Frank, M. C. (2023). Eleven years of student replication projects provide evidence on the correlates of replicability in psychology. Royal Society Open Science, 10(11), 231240. https://doi.org/10.1098/rsos.231163"/><s v="Boyce, V., Mathur, M., &amp; Frank, M. C. (2023). Eleven years of student replication projects provide evidence on the correlates of replicability in psychology. Royal Society Open Science, 10(11), 231240. https://doi.org/10.1098/rsos.231164"/><s v="Boyce, V., Mathur, M., &amp; Frank, M. C. (2023). Eleven years of student replication projects provide evidence on the correlates of replicability in psychology. Royal Society Open Science, 10(11), 231240. https://doi.org/10.1098/rsos.231165"/><s v="Boyce, V., Mathur, M., &amp; Frank, M. C. (2023). Eleven years of student replication projects provide evidence on the correlates of replicability in psychology. Royal Society Open Science, 10(11), 231240. https://doi.org/10.1098/rsos.231166"/><s v="Boyce, V., Mathur, M., &amp; Frank, M. C. (2023). Eleven years of student replication projects provide evidence on the correlates of replicability in psychology. Royal Society Open Science, 10(11), 231240. https://doi.org/10.1098/rsos.231167"/><s v="Boyce, V., Mathur, M., &amp; Frank, M. C. (2023). Eleven years of student replication projects provide evidence on the correlates of replicability in psychology. Royal Society Open Science, 10(11), 231240. https://doi.org/10.1098/rsos.231168"/><s v="Boyce, V., Mathur, M., &amp; Frank, M. C. (2023). Eleven years of student replication projects provide evidence on the correlates of replicability in psychology. Royal Society Open Science, 10(11), 231240. https://doi.org/10.1098/rsos.231169"/><s v="Boyce, V., Mathur, M., &amp; Frank, M. C. (2023). Eleven years of student replication projects provide evidence on the correlates of replicability in psychology. Royal Society Open Science, 10(11), 231240. https://doi.org/10.1098/rsos.231072"/><s v="Boyce, V., Mathur, M., &amp; Frank, M. C. (2023). Eleven years of student replication projects provide evidence on the correlates of replicability in psychology. Royal Society Open Science, 10(11), 231240. https://doi.org/10.1098/rsos.231170"/><s v="Boyce, V., Mathur, M., &amp; Frank, M. C. (2023). Eleven years of student replication projects provide evidence on the correlates of replicability in psychology. Royal Society Open Science, 10(11), 231240. https://doi.org/10.1098/rsos.231171"/><s v="Boyce, V., Mathur, M., &amp; Frank, M. C. (2023). Eleven years of student replication projects provide evidence on the correlates of replicability in psychology. Royal Society Open Science, 10(11), 231240. https://doi.org/10.1098/rsos.231172"/><s v="Boyce, V., Mathur, M., &amp; Frank, M. C. (2023). Eleven years of student replication projects provide evidence on the correlates of replicability in psychology. Royal Society Open Science, 10(11), 231240. https://doi.org/10.1098/rsos.231173"/><s v="Boyce, V., Mathur, M., &amp; Frank, M. C. (2023). Eleven years of student replication projects provide evidence on the correlates of replicability in psychology. Royal Society Open Science, 10(11), 231240. https://doi.org/10.1098/rsos.231174"/><s v="Boyce, V., Mathur, M., &amp; Frank, M. C. (2023). Eleven years of student replication projects provide evidence on the correlates of replicability in psychology. Royal Society Open Science, 10(11), 231240. https://doi.org/10.1098/rsos.231176"/><s v="Boyce, V., Mathur, M., &amp; Frank, M. C. (2023). Eleven years of student replication projects provide evidence on the correlates of replicability in psychology. Royal Society Open Science, 10(11), 231240. https://doi.org/10.1098/rsos.231178"/><s v="Boyce, V., Mathur, M., &amp; Frank, M. C. (2023). Eleven years of student replication projects provide evidence on the correlates of replicability in psychology. Royal Society Open Science, 10(11), 231240. https://doi.org/10.1098/rsos.231177"/><s v="Boyce, V., Mathur, M., &amp; Frank, M. C. (2023). Eleven years of student replication projects provide evidence on the correlates of replicability in psychology. Royal Society Open Science, 10(11), 231240. https://doi.org/10.1098/rsos.231175"/><s v="Boyce, V., Mathur, M., &amp; Frank, M. C. (2023). Eleven years of student replication projects provide evidence on the correlates of replicability in psychology. Royal Society Open Science, 10(11), 231240. https://doi.org/10.1098/rsos.231179"/><s v="Boyce, V., Mathur, M., &amp; Frank, M. C. (2023). Eleven years of student replication projects provide evidence on the correlates of replicability in psychology. Royal Society Open Science, 10(11), 231240. https://doi.org/10.1098/rsos.231073"/><s v="Boyce, V., Mathur, M., &amp; Frank, M. C. (2023). Eleven years of student replication projects provide evidence on the correlates of replicability in psychology. Royal Society Open Science, 10(11), 231240. https://doi.org/10.1098/rsos.231180"/><s v="Boyce, V., Mathur, M., &amp; Frank, M. C. (2023). Eleven years of student replication projects provide evidence on the correlates of replicability in psychology. Royal Society Open Science, 10(11), 231240. https://doi.org/10.1098/rsos.231181"/><s v="Boyce, V., Mathur, M., &amp; Frank, M. C. (2023). Eleven years of student replication projects provide evidence on the correlates of replicability in psychology. Royal Society Open Science, 10(11), 231240. https://doi.org/10.1098/rsos.231182"/><s v="Boyce, V., Mathur, M., &amp; Frank, M. C. (2023). Eleven years of student replication projects provide evidence on the correlates of replicability in psychology. Royal Society Open Science, 10(11), 231240. https://doi.org/10.1098/rsos.231183"/><s v="Boyce, V., Mathur, M., &amp; Frank, M. C. (2023). Eleven years of student replication projects provide evidence on the correlates of replicability in psychology. Royal Society Open Science, 10(11), 231240. https://doi.org/10.1098/rsos.231184"/><s v="Boyce, V., Mathur, M., &amp; Frank, M. C. (2023). Eleven years of student replication projects provide evidence on the correlates of replicability in psychology. Royal Society Open Science, 10(11), 231240. https://doi.org/10.1098/rsos.231185"/><s v="Boyce, V., Mathur, M., &amp; Frank, M. C. (2023). Eleven years of student replication projects provide evidence on the correlates of replicability in psychology. Royal Society Open Science, 10(11), 231240. https://doi.org/10.1098/rsos.231186"/><s v="Boyce, V., Mathur, M., &amp; Frank, M. C. (2023). Eleven years of student replication projects provide evidence on the correlates of replicability in psychology. Royal Society Open Science, 10(11), 231240. https://doi.org/10.1098/rsos.231187"/><s v="Boyce, V., Mathur, M., &amp; Frank, M. C. (2023). Eleven years of student replication projects provide evidence on the correlates of replicability in psychology. Royal Society Open Science, 10(11), 231240. https://doi.org/10.1098/rsos.231188"/><s v="Boyce, V., Mathur, M., &amp; Frank, M. C. (2023). Eleven years of student replication projects provide evidence on the correlates of replicability in psychology. Royal Society Open Science, 10(11), 231240. https://doi.org/10.1098/rsos.231074"/><s v="Boyce, V., Mathur, M., &amp; Frank, M. C. (2023). Eleven years of student replication projects provide evidence on the correlates of replicability in psychology. Royal Society Open Science, 10(11), 231240. https://doi.org/10.1098/rsos.231189"/><s v="Boyce, V., Mathur, M., &amp; Frank, M. C. (2023). Eleven years of student replication projects provide evidence on the correlates of replicability in psychology. Royal Society Open Science, 10(11), 231240. https://doi.org/10.1098/rsos.231190"/><s v="Boyce, V., Mathur, M., &amp; Frank, M. C. (2023). Eleven years of student replication projects provide evidence on the correlates of replicability in psychology. Royal Society Open Science, 10(11), 231240. https://doi.org/10.1098/rsos.231191"/><s v="Boyce, V., Mathur, M., &amp; Frank, M. C. (2023). Eleven years of student replication projects provide evidence on the correlates of replicability in psychology. Royal Society Open Science, 10(11), 231240. https://doi.org/10.1098/rsos.231192"/><s v="Boyce, V., Mathur, M., &amp; Frank, M. C. (2023). Eleven years of student replication projects provide evidence on the correlates of replicability in psychology. Royal Society Open Science, 10(11), 231240. https://doi.org/10.1098/rsos.231193"/><s v="Boyce, V., Mathur, M., &amp; Frank, M. C. (2023). Eleven years of student replication projects provide evidence on the correlates of replicability in psychology. Royal Society Open Science, 10(11), 231240. https://doi.org/10.1098/rsos.231194"/><s v="Boyce, V., Mathur, M., &amp; Frank, M. C. (2023). Eleven years of student replication projects provide evidence on the correlates of replicability in psychology. Royal Society Open Science, 10(11), 231240. https://doi.org/10.1098/rsos.231195"/><s v="Boyce, V., Mathur, M., &amp; Frank, M. C. (2023). Eleven years of student replication projects provide evidence on the correlates of replicability in psychology. Royal Society Open Science, 10(11), 231240. https://doi.org/10.1098/rsos.231196"/><s v="Boyce, V., Mathur, M., &amp; Frank, M. C. (2023). Eleven years of student replication projects provide evidence on the correlates of replicability in psychology. Royal Society Open Science, 10(11), 231240. https://doi.org/10.1098/rsos.231197"/><s v="Boyce, V., Mathur, M., &amp; Frank, M. C. (2023). Eleven years of student replication projects provide evidence on the correlates of replicability in psychology. Royal Society Open Science, 10(11), 231240. https://doi.org/10.1098/rsos.231198"/><s v="Boyce, V., Mathur, M., &amp; Frank, M. C. (2023). Eleven years of student replication projects provide evidence on the correlates of replicability in psychology. Royal Society Open Science, 10(11), 231240. https://doi.org/10.1098/rsos.231199"/><s v="Boyce, V., Mathur, M., &amp; Frank, M. C. (2023). Eleven years of student replication projects provide evidence on the correlates of replicability in psychology. Royal Society Open Science, 10(11), 231240. https://doi.org/10.1098/rsos.231200"/><s v="Boyce, V., Mathur, M., &amp; Frank, M. C. (2023). Eleven years of student replication projects provide evidence on the correlates of replicability in psychology. Royal Society Open Science, 10(11), 231240. https://doi.org/10.1098/rsos.231201"/><s v="Boyce, V., Mathur, M., &amp; Frank, M. C. (2023). Eleven years of student replication projects provide evidence on the correlates of replicability in psychology. Royal Society Open Science, 10(11), 231240. https://doi.org/10.1098/rsos.231202"/><s v="Boyce, V., Mathur, M., &amp; Frank, M. C. (2023). Eleven years of student replication projects provide evidence on the correlates of replicability in psychology. Royal Society Open Science, 10(11), 231240. https://doi.org/10.1098/rsos.231203"/><s v="Boyce, V., Mathur, M., &amp; Frank, M. C. (2023). Eleven years of student replication projects provide evidence on the correlates of replicability in psychology. Royal Society Open Science, 10(11), 231240. https://doi.org/10.1098/rsos.231204"/><s v="Boyce, V., Mathur, M., &amp; Frank, M. C. (2023). Eleven years of student replication projects provide evidence on the correlates of replicability in psychology. Royal Society Open Science, 10(11), 231240. https://doi.org/10.1098/rsos.231205"/><s v="Boyce, V., Mathur, M., &amp; Frank, M. C. (2023). Eleven years of student replication projects provide evidence on the correlates of replicability in psychology. Royal Society Open Science, 10(11), 231240. https://doi.org/10.1098/rsos.231206"/><s v="Boyce, V., Mathur, M., &amp; Frank, M. C. (2023). Eleven years of student replication projects provide evidence on the correlates of replicability in psychology. Royal Society Open Science, 10(11), 231240. https://doi.org/10.1098/rsos.231207"/><s v="Boyce, V., Mathur, M., &amp; Frank, M. C. (2023). Eleven years of student replication projects provide evidence on the correlates of replicability in psychology. Royal Society Open Science, 10(11), 231240. https://doi.org/10.1098/rsos.231208"/><s v="Boyce, V., Mathur, M., &amp; Frank, M. C. (2023). Eleven years of student replication projects provide evidence on the correlates of replicability in psychology. Royal Society Open Science, 10(11), 231240. https://doi.org/10.1098/rsos.231209"/><s v="Boyce, V., Mathur, M., &amp; Frank, M. C. (2023). Eleven years of student replication projects provide evidence on the correlates of replicability in psychology. Royal Society Open Science, 10(11), 231240. https://doi.org/10.1098/rsos.231210"/><s v="Boyce, V., Mathur, M., &amp; Frank, M. C. (2023). Eleven years of student replication projects provide evidence on the correlates of replicability in psychology. Royal Society Open Science, 10(11), 231240. https://doi.org/10.1098/rsos.231211"/><s v="Boyce, V., Mathur, M., &amp; Frank, M. C. (2023). Eleven years of student replication projects provide evidence on the correlates of replicability in psychology. Royal Society Open Science, 10(11), 231240. https://doi.org/10.1098/rsos.231212"/><s v="Boyce, V., Mathur, M., &amp; Frank, M. C. (2023). Eleven years of student replication projects provide evidence on the correlates of replicability in psychology. Royal Society Open Science, 10(11), 231240. https://doi.org/10.1098/rsos.231213"/><s v="Boyce, V., Mathur, M., &amp; Frank, M. C. (2023). Eleven years of student replication projects provide evidence on the correlates of replicability in psychology. Royal Society Open Science, 10(11), 231240. https://doi.org/10.1098/rsos.231214"/><s v="Boyce, V., Mathur, M., &amp; Frank, M. C. (2023). Eleven years of student replication projects provide evidence on the correlates of replicability in psychology. Royal Society Open Science, 10(11), 231240. https://doi.org/10.1098/rsos.231076"/><s v="Boyce, V., Mathur, M., &amp; Frank, M. C. (2023). Eleven years of student replication projects provide evidence on the correlates of replicability in psychology. Royal Society Open Science, 10(11), 231240. https://doi.org/10.1098/rsos.231215"/><s v="Boyce, V., Mathur, M., &amp; Frank, M. C. (2023). Eleven years of student replication projects provide evidence on the correlates of replicability in psychology. Royal Society Open Science, 10(11), 231240. https://doi.org/10.1098/rsos.231216"/><s v="Boyce, V., Mathur, M., &amp; Frank, M. C. (2023). Eleven years of student replication projects provide evidence on the correlates of replicability in psychology. Royal Society Open Science, 10(11), 231240. https://doi.org/10.1098/rsos.231217"/><s v="Boyce, V., Mathur, M., &amp; Frank, M. C. (2023). Eleven years of student replication projects provide evidence on the correlates of replicability in psychology. Royal Society Open Science, 10(11), 231240. https://doi.org/10.1098/rsos.231218"/><s v="Boyce, V., Mathur, M., &amp; Frank, M. C. (2023). Eleven years of student replication projects provide evidence on the correlates of replicability in psychology. Royal Society Open Science, 10(11), 231240. https://doi.org/10.1098/rsos.231219"/><s v="Boyce, V., Mathur, M., &amp; Frank, M. C. (2023). Eleven years of student replication projects provide evidence on the correlates of replicability in psychology. Royal Society Open Science, 10(11), 231240. https://doi.org/10.1098/rsos.231220"/><s v="Boyce, V., Mathur, M., &amp; Frank, M. C. (2023). Eleven years of student replication projects provide evidence on the correlates of replicability in psychology. Royal Society Open Science, 10(11), 231240. https://doi.org/10.1098/rsos.231221"/><s v="Boyce, V., Mathur, M., &amp; Frank, M. C. (2023). Eleven years of student replication projects provide evidence on the correlates of replicability in psychology. Royal Society Open Science, 10(11), 231240. https://doi.org/10.1098/rsos.231222"/><s v="Boyce, V., Mathur, M., &amp; Frank, M. C. (2023). Eleven years of student replication projects provide evidence on the correlates of replicability in psychology. Royal Society Open Science, 10(11), 231240. https://doi.org/10.1098/rsos.231223"/><s v="Boyce, V., Mathur, M., &amp; Frank, M. C. (2023). Eleven years of student replication projects provide evidence on the correlates of replicability in psychology. Royal Society Open Science, 10(11), 231240. https://doi.org/10.1098/rsos.231224"/><s v="Boyce, V., Mathur, M., &amp; Frank, M. C. (2023). Eleven years of student replication projects provide evidence on the correlates of replicability in psychology. Royal Society Open Science, 10(11), 231240. https://doi.org/10.1098/rsos.231077"/><s v="Boyce, V., Mathur, M., &amp; Frank, M. C. (2023). Eleven years of student replication projects provide evidence on the correlates of replicability in psychology. Royal Society Open Science, 10(11), 231240. https://doi.org/10.1098/rsos.231078"/><s v="Boyce, V., Mathur, M., &amp; Frank, M. C. (2023). Eleven years of student replication projects provide evidence on the correlates of replicability in psychology. Royal Society Open Science, 10(11), 231240. https://doi.org/10.1098/rsos.231225"/><s v="Boyce, V., Mathur, M., &amp; Frank, M. C. (2023). Eleven years of student replication projects provide evidence on the correlates of replicability in psychology. Royal Society Open Science, 10(11), 231240. https://doi.org/10.1098/rsos.231226"/><s v="Boyce, V., Mathur, M., &amp; Frank, M. C. (2023). Eleven years of student replication projects provide evidence on the correlates of replicability in psychology. Royal Society Open Science, 10(11), 231240. https://doi.org/10.1098/rsos.231227"/><s v="Boyce, V., Mathur, M., &amp; Frank, M. C. (2023). Eleven years of student replication projects provide evidence on the correlates of replicability in psychology. Royal Society Open Science, 10(11), 231240. https://doi.org/10.1098/rsos.231228"/><s v="Boyce, V., Mathur, M., &amp; Frank, M. C. (2023). Eleven years of student replication projects provide evidence on the correlates of replicability in psychology. Royal Society Open Science, 10(11), 231240. https://doi.org/10.1098/rsos.231229"/><s v="Boyce, V., Mathur, M., &amp; Frank, M. C. (2023). Eleven years of student replication projects provide evidence on the correlates of replicability in psychology. Royal Society Open Science, 10(11), 231240. https://doi.org/10.1098/rsos.231230"/><s v="Boyce, V., Mathur, M., &amp; Frank, M. C. (2023). Eleven years of student replication projects provide evidence on the correlates of replicability in psychology. Royal Society Open Science, 10(11), 231240. https://doi.org/10.1098/rsos.231231"/><s v="Boyce, V., Mathur, M., &amp; Frank, M. C. (2023). Eleven years of student replication projects provide evidence on the correlates of replicability in psychology. Royal Society Open Science, 10(11), 231240. https://doi.org/10.1098/rsos.231232"/><s v="Boyce, V., Mathur, M., &amp; Frank, M. C. (2023). Eleven years of student replication projects provide evidence on the correlates of replicability in psychology. Royal Society Open Science, 10(11), 231240. https://doi.org/10.1098/rsos.231233"/><s v="Boyce, V., Mathur, M., &amp; Frank, M. C. (2023). Eleven years of student replication projects provide evidence on the correlates of replicability in psychology. Royal Society Open Science, 10(11), 231240. https://doi.org/10.1098/rsos.231234"/><s v="Boyce, V., Mathur, M., &amp; Frank, M. C. (2023). Eleven years of student replication projects provide evidence on the correlates of replicability in psychology. Royal Society Open Science, 10(11), 231240. https://doi.org/10.1098/rsos.231235"/><s v="Boyce, V., Mathur, M., &amp; Frank, M. C. (2023). Eleven years of student replication projects provide evidence on the correlates of replicability in psychology. Royal Society Open Science, 10(11), 231240. https://doi.org/10.1098/rsos.231236"/><s v="Boyce, V., Mathur, M., &amp; Frank, M. C. (2023). Eleven years of student replication projects provide evidence on the correlates of replicability in psychology. Royal Society Open Science, 10(11), 231240. https://doi.org/10.1098/rsos.231237"/><s v="Boyce, V., Mathur, M., &amp; Frank, M. C. (2023). Eleven years of student replication projects provide evidence on the correlates of replicability in psychology. Royal Society Open Science, 10(11), 231240. https://doi.org/10.1098/rsos.231238"/><s v="Boyce, V., Mathur, M., &amp; Frank, M. C. (2023). Eleven years of student replication projects provide evidence on the correlates of replicability in psychology. Royal Society Open Science, 10(11), 231240. https://doi.org/10.1098/rsos.231239"/><s v="Boyce, V., Mathur, M., &amp; Frank, M. C. (2023). Eleven years of student replication projects provide evidence on the correlates of replicability in psychology. Royal Society Open Science, 10(11), 231240. https://doi.org/10.1098/rsos.231079"/><s v="Boyce, V., Mathur, M., &amp; Frank, M. C. (2023). Eleven years of student replication projects provide evidence on the correlates of replicability in psychology. Royal Society Open Science, 10(11), 231240. https://doi.org/10.1098/rsos.231080"/><s v="Boyce, V., Mathur, M., &amp; Frank, M. C. (2023). Eleven years of student replication projects provide evidence on the correlates of replicability in psychology. Royal Society Open Science, 10(11), 231240. https://doi.org/10.1098/rsos.231064"/><s v="Boyce, V., Mathur, M., &amp; Frank, M. C. (2023). Eleven years of student replication projects provide evidence on the correlates of replicability in psychology. Royal Society Open Science, 10(11), 231240. https://doi.org/10.1098/rsos.231081"/><s v="Boyce, V., Mathur, M., &amp; Frank, M. C. (2023). Eleven years of student replication projects provide evidence on the correlates of replicability in psychology. Royal Society Open Science, 10(11), 231240. https://doi.org/10.1098/rsos.231082"/><s v="Boyce, V., Mathur, M., &amp; Frank, M. C. (2023). Eleven years of student replication projects provide evidence on the correlates of replicability in psychology. Royal Society Open Science, 10(11), 231240. https://doi.org/10.1098/rsos.231083"/><s v="Boyce, V., Mathur, M., &amp; Frank, M. C. (2023). Eleven years of student replication projects provide evidence on the correlates of replicability in psychology. Royal Society Open Science, 10(11), 231240. https://doi.org/10.1098/rsos.231084"/><s v="Boyce, V., Mathur, M., &amp; Frank, M. C. (2023). Eleven years of student replication projects provide evidence on the correlates of replicability in psychology. Royal Society Open Science, 10(11), 231240. https://doi.org/10.1098/rsos.231085"/><s v="Boyce, V., Mathur, M., &amp; Frank, M. C. (2023). Eleven years of student replication projects provide evidence on the correlates of replicability in psychology. Royal Society Open Science, 10(11), 231240. https://doi.org/10.1098/rsos.231086"/><s v="Boyce, V., Mathur, M., &amp; Frank, M. C. (2023). Eleven years of student replication projects provide evidence on the correlates of replicability in psychology. Royal Society Open Science, 10(11), 231240. https://doi.org/10.1098/rsos.231087"/><s v="Boyce, V., Mathur, M., &amp; Frank, M. C. (2023). Eleven years of student replication projects provide evidence on the correlates of replicability in psychology. Royal Society Open Science, 10(11), 231240. https://doi.org/10.1098/rsos.231088"/><s v="Boyce, V., Mathur, M., &amp; Frank, M. C. (2023). Eleven years of student replication projects provide evidence on the correlates of replicability in psychology. Royal Society Open Science, 10(11), 231240. https://doi.org/10.1098/rsos.231089"/><s v="Camerer, C. F., Dreber, A., Holzmeister, F., Ho, T. H., Huber, J., Johannesson, M., ... &amp; Wu, H. (2018). Evaluating the replicability of social science experiments in Nature and Science between 2010 and 2015. Nature human behaviour, 2(9), 637-644."/><s v="Klein, R. A., Vianello, M., Hasselman, F., Adams, B. G., Adams Jr, R. B., Alper, S., ... &amp; Sowden, W. (2018). Many Labs 2: Investigating variation in replicability across samples and settings. Advances in Methods and Practices in Psychological Science, 1("/></sharedItems></cacheField><cacheField name="doi_r" numFmtId="0"><sharedItems containsBlank="1"><s v="without URL prefix, so starting with 10.xx"/><s v="10.17605/OSF.IO/2ZGF9"/><s v="10.17605/OSF.IO/39XUW"/><s v="10.17605/OSF.IO/7VGKQ"/><s v="10.17605/OSF.IO/ACYKD"/><s v="10.1016/j.jesp.2020.104066"/><s v="10.1163/26670127-bja10017"/><m/><s v="10.1017/S0272263124000238"/><s v="10.1111/fare.13030"/><s v="10.26443/msurj.v19i1.231"/><s v="10.1016/j.jsams.2024.07.018"/><s v="10.1038/s44220-024-00225-1"/><s v="10.2139/ssrn.3816626"/><s v="10.1016/j.jsp.2024.101307"/><s v="10.1080/19345747.2024.2333734"/><s v="10.1177/07419325241240067"/><s v="10.1017/S027226312400010X"/><s v="10.1037/met0000650"/><s v="10.1093/schbul/sbae058"/><s v="10.1038/s41467-024-46936-y"/><s v="10.17645/mac.7666"/><s v="10.17645/mac.7667"/><s v="10.17645/mac.7668"/><s v="10.17645/mac.7669"/><s v="10.1007/s40617-024-00933-1"/><s v="10.1177/09567976241246552"/><s v="10.1037/cns0000401"/><s v="10.1177/0956797613478614"/><s v="10.1016/j.jenvp.2024.102289"/><s v="10.1016/j.drugalcdep.2024.111323"/><s v="10.1007/s40732-024-00597-x"/><s v="10.1016/j.paid.2024.112692"/><s v="10.1080/0163853X.2024.2339738"/><s v="10.1002/acp.4202"/><s v="10.1080/23273798.2024.2337948"/><s v="10.1017/S0261444824000120"/><s v="10.1002/jeab.915"/><s v="10.1002/erv.3103"/><s v="10.1017/S0272263124000342"/><s v="10.1108/S1574-076520240000026005"/><s v="10.1017/pds.2024.14"/><s v="10.31234/osf.io/68jft"/><s v="10.1111/padm.12860"/><s v="NA"/><s v="https://aclanthology.org/2024.lrec-main.91"/><s v="10.31234/osf.io/cf4xz"/><s v="10.18718/81781.34"/><s v="10.1075/ijlcr.00046.ozk"/><s v="10.1017/S0272263124000378"/><s v="10.1007/978-3-031-55844-3_4"/><s v="10.31234/osf.io/kpcwv"/><s v="10.16995/zygon.11497"/><s v="10.16995/zygon.11499"/><s v="10.1080/02650487.2024.2362015"/><s v="10.1016/j.bbr.2024.115096"/><s v="10.1037/xap0000321"/><s v="10.1007/s11251-024-09670-y"/><s v="10.1037/xap0000366"/><s v="10.1037/emo0001389"/><s v="10.17605/OSF.IO/B25TR"/><s v="10.1016/j.jmathb.2024.101174"/><s v="10.31234/osf.io/esu9z"/><s v="10.1145/3649217.3653545"/><s v="10.1109/ICCQ60895.2024.10576941"/><s v="10.1016/j.xjmad.2024.100075"/><s v="10.1016/j.jesp.2024.104619"/><s v="10.1007/s40732-024-00601-4"/><s v="10.1016/j.appet.2023.106554"/><s v="0.1016/j.appet.2023.10655"/><s v="10.1016/j.eatbeh.2024.101899"/><s v="10.1016/j.jrp.2024.104511"/><s v="10.1177/19485506241257971"/><s v="10.1038/s41598-024-63724-2"/><s v="10.1371/journal.pone.0292576"/><s v="10.1080/15614263.2022.2102494"/><s v="10.1080/15614263.2023.2185241"/><s v="10.1007/s10834-024-09975-7"/><s v="10.1007/s10834-024-09975-8"/><s v="10.1007/s10834-024-09975-9"/><s v="10.1007/s10834-024-09975-10"/><s v="10.1007/s10834-024-09975-11"/><s v="10.1007/s10834-024-09975-12"/><s v="10.1007/s10834-024-09975-13"/><s v="10.1007/s10834-024-09975-14"/><s v="10.1007/s10834-024-09975-15"/><s v="10.1007/s10834-024-09975-16"/><s v="10.37237/150205"/><s v="10.31234/osf.io/jfmsz"/><s v="10.31234/osf.io/xjaty"/><s v="10.1111/famp.12997"/><s v="10.1002/jaba.1098"/><s v="10.18718/81781.35%0A"/><s v="10.20982/tqmp.20.1.r001"/><s v="10.1093/applin/amae042"/><s v="10.1080/13527266.2024.2376918"/><s v="10.31234/osf.io/xr6bn"/><s v="10.5465/AMPROC.2024.19578abstract"/><s v="10.1080/13506285.2024.2343157"/><s v="10.12688/openreseurope.17749.1"/><s v="10.1002/jae.3082"/><s v="10.17605/OSF.IO/E5K4J"/><s v="10.1073/pnas.2402315121"/><s v="10.1073/pnas.2402315122"/><s v="10.1073/pnas.2402315123"/><s v="10.1073/pnas.2402315126"/><s v="10.1073/pnas.2402315128"/><s v="10.1073/pnas.2402315129"/><s v="10.1177/0956797617719730"/><s v="10.17605/OSF.IO/BTH36"/><s v="10.1016/j.jesp.2012.10.014"/><s v="10.1037/a0024587"/><s v="10.1186/2050-7283-1-22"/><s v="10.1371/journal.pone.0147770"/><s v="10.1371/journal.pone.0096339"/><s v="10.1027/1864-9335/a000178"/><s v="10.1037/0022-3514.83.2.406"/><s v="10.1037/0022-3514.90.6.893"/><s v="10.1371/journal.pone.0029081"/><s v="10.3758/s13423-014-0757-4"/><s v="10.1177/1745691612463078"/><s v="10.1016/j.jesp.2015.10.012"/><s v="10.1016/j.jesp.2015.08.005"/><s v="10.1037/arc0000007"/><s v="10.1177/0956797613486983"/><s v="10.17605/OSF.IO/DQV9Y"/><s v="10.17605/OSF.IO/E9D3K"/><s v="10.17605/OSF.IO/FMD75"/><s v="10.17605/OSF.IO/GH52K"/><s v="10.17605/OSF.IO/J8A4P"/><s v="10.18718/81781.23"/><s v="10.18718/81781.24"/><s v="10.18718/81781.27"/><s v="10.18718/81781.28"/><s v="10.18718/81781.29"/><s v="10.17605/OSF.IO/Q6TV8"/><s v="10.5281/zenodo.6426882"/><s v="10.2139/ssrn.2586261"/><s v="10.17605/OSF.IO/RTN9S"/><s v="10.17605/OSF.IO/UXAJG"/><s v="10.1007/s13164-018-0400-9"/><s v="10.1098/rsos.231240"/><s v="10.1126/science.aac4716"/><s v="10.1027/1864-9335/a000186"/><s v="10.17605/OSF.IO/ETG7C"/><s v="10.1037/pspa0000064"/><s v="10.1016/j.appet.2013.12.020"/><s v="10.17605/OSF.IO/HPK2M"/><s v="10.17605/OSF.IO%2FVK6D9"/><s v="10.3389/fpsyg.2014.00786"/><s v="10.17605/OSF.IO/73PND"/><s v="10.17605/OSF.IO/VQZX9"/><s v="10.1098/rsos.231063"/><s v="10.1098/rsos.231071"/><s v="10.1098/rsos.231160"/><s v="10.1098/rsos.231161"/><s v="10.1098/rsos.231162"/><s v="10.1098/rsos.231163"/><s v="10.1098/rsos.231164"/><s v="10.1098/rsos.231165"/><s v="10.1098/rsos.231166"/><s v="10.1098/rsos.231167"/><s v="10.1098/rsos.231168"/><s v="10.1098/rsos.231169"/><s v="10.1098/rsos.231072"/><s v="10.1098/rsos.231170"/><s v="10.1098/rsos.231171"/><s v="10.1098/rsos.231172"/><s v="10.1098/rsos.231173"/><s v="10.1098/rsos.231174"/><s v="10.1098/rsos.231176"/><s v="10.1098/rsos.231178"/><s v="10.1098/rsos.231177"/><s v="10.1098/rsos.231175"/><s v="10.1098/rsos.231179"/><s v="10.1098/rsos.231073"/><s v="10.1098/rsos.231180"/><s v="10.1098/rsos.231181"/><s v="10.1098/rsos.231182"/><s v="10.1098/rsos.231183"/><s v="10.1098/rsos.231184"/><s v="10.1098/rsos.231185"/><s v="10.1098/rsos.231186"/><s v="10.1098/rsos.231187"/><s v="10.1098/rsos.231188"/><s v="10.1098/rsos.231074"/><s v="10.1098/rsos.231189"/><s v="10.1098/rsos.231190"/><s v="10.1098/rsos.231191"/><s v="10.1098/rsos.231192"/><s v="10.1098/rsos.231193"/><s v="10.1098/rsos.231194"/><s v="10.1098/rsos.231195"/><s v="10.1098/rsos.231196"/><s v="10.1098/rsos.231197"/><s v="10.1098/rsos.231198"/><s v="10.1098/rsos.231199"/><s v="10.1098/rsos.231200"/><s v="10.1098/rsos.231201"/><s v="10.1098/rsos.231202"/><s v="10.1098/rsos.231203"/><s v="10.1098/rsos.231204"/><s v="10.1098/rsos.231205"/><s v="10.1098/rsos.231206"/><s v="10.1098/rsos.231207"/><s v="10.1098/rsos.231208"/><s v="10.1098/rsos.231209"/><s v="10.1098/rsos.231210"/><s v="10.1098/rsos.231211"/><s v="10.1098/rsos.231212"/><s v="10.1098/rsos.231213"/><s v="10.1098/rsos.231214"/><s v="10.1098/rsos.231076"/><s v="10.1098/rsos.231215"/><s v="10.1098/rsos.231216"/><s v="10.1098/rsos.231217"/><s v="10.1098/rsos.231218"/><s v="10.1098/rsos.231219"/><s v="10.1098/rsos.231220"/><s v="10.1098/rsos.231221"/><s v="10.1098/rsos.231222"/><s v="10.1098/rsos.231223"/><s v="10.1098/rsos.231224"/><s v="10.1098/rsos.231077"/><s v="10.1098/rsos.231078"/><s v="10.1098/rsos.231225"/><s v="10.1098/rsos.231226"/><s v="10.1098/rsos.231227"/><s v="10.1098/rsos.231228"/><s v="10.1098/rsos.231229"/><s v="10.1098/rsos.231230"/><s v="10.1098/rsos.231231"/><s v="10.1098/rsos.231232"/><s v="10.1098/rsos.231233"/><s v="10.1098/rsos.231234"/><s v="10.1098/rsos.231235"/><s v="10.1098/rsos.231236"/><s v="10.1098/rsos.231237"/><s v="10.1098/rsos.231238"/><s v="10.1098/rsos.231239"/><s v="10.1098/rsos.231079"/><s v="10.1098/rsos.231080"/><s v="10.1098/rsos.231064"/><s v="10.1098/rsos.231081"/><s v="10.1098/rsos.231082"/><s v="10.1098/rsos.231083"/><s v="10.1098/rsos.231084"/><s v="10.1098/rsos.231085"/><s v="10.1098/rsos.231086"/><s v="10.1098/rsos.231087"/><s v="10.1098/rsos.231088"/><s v="10.1098/rsos.231089"/><s v="10.1038/s41562-018-0399-z"/><s v="10.1177/2515245918810225"/></sharedItems></cacheField><cacheField name="url_r" numFmtId="0"><sharedItems containsBlank="1"><s v="Link to R results - only when DOI missing or for aggregate report"/><m/><s v="https://thekeep.eiu.edu/theses/5025"/><s v="https://thekeep.eiu.edu/theses/5025/?utm_source=thekeep.eiu.edu%2Ftheses%2F5025&amp;utm_medium=PDF&amp;utm_campaign=PDFCoverPages"/><s v="https://aclanthology.org/2024.lrec-main.91"/><s v="https://digitalcommons.memphis.edu/etd/3538/"/><s v="https://helda.helsinki.fi/bitstreams/b16ebd43-f83b-42c9-9996-adf6735845c1/download"/><s v="https://escholarship.org/uc/item/8p5673qn"/><s v="10.1016/j.appet.2023.106554"/><s v="https://cornerstone.lib.mnsu.edu/etds/1424/"/><s v="https://digitalcommons.montclair.edu/student-research-symposium/2024/poster01/21/"/><s v="https://osf.io/y36m8"/><s v="https://osf.io/ct89g/"/><s v="https://osf.io/sejyp "/><s v="https://osf.io/4ewkh"/><s v="N/A"/><s v="NA"/><s v="https://osf.io/d5e7b"/><s v="https://osf.io/9fcjx"/><s v="https://rpubs.com/lrborchers/450894"/><s v="http://dx.doi.org/10.1027/1864-9335/a000186"/><s v="https://rstudio-pubs-static.s3.amazonaws.com/817655_c94c0f2142fc466fa36a6790ee3fcdde.html"/><s v="https://osf.io/v3e2z"/><s v="http://rpubs.com/kimiasaadatian/replicationreport"/><s v="https://rpubs.com/cgarton/975073"/><s v="https://osf.io/p5hvr"/><s v="https://osf.io/v6zk8"/><s v="https://osf.io/z6rfa"/><s v="https://osf.io/ab9q3"/><s v="https://osf.io/agxwv"/><s v="https://osf.io/jpwd3"/><s v="https://osf.io/wj3bm"/><s v="https://osf.io/7d3ha"/><s v="https://osf.io/szcuk"/><s v="https://osf.io/kchf9 "/><s v="https://osf.io/2mtr3 "/><s v="https://osf.io/67mzc"/><s v="https://osf.io/knh6y "/><s v="https://osf.io/jubxw"/><s v="https://osf.io/9hn4c"/><s v="https://osf.io/jnq7e"/><s v="https://osf.io/zj5n3"/><s v="https://osf.io/k2teb"/><s v="https://osf.io/mgjxv"/><s v="https://osf.io/j8pbk"/><s v="https://osf.io/84fyw"/><s v="https://osf.io/drvhe"/><s v="https://osf.io/r4dve "/><s v="https://osf.io/s48ht  "/><s v="https://osf.io/5uw3j"/><s v="https://osf.io/367yu"/><s v="https://osf.io/s73x6"/><s v="https://osf.io/qwked"/><s v="https://osf.io/7ch92 "/></sharedItems></cacheField><cacheField name="study_r"><sharedItems containsBlank="1" containsMixedTypes="1" containsNumber="1" containsInteger="1"><s v="Number of study in paper, e.g., 1 or 2A"/><n v="1.0"/><m/><n v="2.0"/><s v="1 &amp; 2 (Meta)"/><s v="10.1016/j.eatbeh.2024.101899"/><n v="3.0"/><s v="n/a"/><s v="2A"/><n v="4.0"/><n v="5.0"/><s v="2b"/><s v="5 (Typo Version)"/><s v="05 (as labeled in the Many Labs supplement)."/><s v="1a"/><s v="1b"/><s v="12 (as labeled in the Many Labs supplement)."/><s v="02 (as labeled in the Many Labs supplement)."/><s v="04 (as labeled in the Many Labs supplement)."/><s v="09 (as labeled in the Many Labs supplement)."/><s v="03 (as labeled in the Many Labs supplement)."/><s v="4.6 (as labeled in Many Labs 3 supplement)."/><s v="4.7 (as labeled in Many Labs 3 supplement)."/><s v="4.8 (as labeled in Many Labs 3 supplement)."/><s v="4.9 (as labeled in Many Labs 3 supplement)."/><s v="4.1 (as labeled in Many Labs 3 supplement)."/><s v="4.2 (as labeled in Many Labs 3 supplement)."/><s v="4.3 (as labeled in Many Labs 3 supplement)."/><s v="4.5 (as labeled in Many Labs 3 supplement)."/><s v="10 (as labeled in the Many Labs supplement)."/><s v="11 (as labeled in the Many Labs supplement)."/><s v="01 (as labeled in the Many Labs supplement)."/><n v="6.0"/><s v="3b"/><n v="8.0"/><n v="7.0"/><s v="7b"/><n v="11.0"/><n v="12.0"/><n v="15.0"/><n v="16.0"/><n v="17.0"/><n v="18.0"/><n v="20.0"/><n v="21.0"/><n v="22.0"/><n v="23.0"/><n v="24.0"/><n v="25.0"/><n v="26.0"/><n v="27.0"/><n v="29.0"/><n v="31.0"/><n v="32.0"/><n v="33.0"/><n v="34.0"/><n v="35.0"/><n v="36.0"/><n v="37.0"/><n v="38.0"/><n v="39.0"/><n v="40.0"/><n v="9.0"/><s v="NA"/><s v="Fuchs, H., Estel, V., &amp; Goellner, L. (2016, August 19). Replication of Dai, Wertenbroch, &amp; Brendl (2008, PS, Study 1). Retrieved from osf.io/q7f6w"/><s v="Kappes, H. B. (2023, September 28). Replication of LS Colzato, MT Bajo, W van den Wildenberg, D Paolieri, S Nieuwenhuis, W La Heij, B Hommel (2008, JEPLMC 34(2), Exp. 3). Retrieved from osf.io/p9thw"/><s v="Hung, C. O., Lin, L., &amp; Tsang, S. (2023, September 28). Replication of M Bassok, SF Pedigo, AT Oskarsson (2008, JEPLMC, Study 1). Retrieved from osf.io/sqim7"/><s v="Lai, C. K., &amp; Simpson, W. B. (2023, September 28). Replication of Reynolds &amp; Besner (2008, JEP:LMC, Study 5). Retrieved from osf.io/hasfu"/><s v="Frank, M. C., &amp; Holubar, T. (2023, September 28). Replication of Monin, Sawyer, &amp; Marquez (2008, JPSP 95(1), Exp. 4). Retrieved from osf.io/pz0my"/><s v="Frank, M. C., Kim, S. K., &amp; Lee, K. J. (2023, September 28). Replication of Albarracín et al. (2008, JPSP). Retrieved from osf.io/vy1bc"/><s v="Lakens, D. (2023, September 28). Replication of Mitchell, Nash, &amp; Hall (2008, JEP:LMC). Retrieved from osf.io/4xdkk"/><s v="Voracek, M., &amp; Sonnleitner, C. (2016, August 19). Replication of D Albarracín, IM Handley, K Noguchi, KC McCulloch, H Li, J Leeper, RD Brown, A Earl, WP Hart (2008, JPSP 95(3), Exp. 7). Retrieved from osf.io/rgm6p"/><s v="Baranski, E. (2023, September 28). Replication of Lemay and Clark (2008, JPSP 95(2), Exp 5). Retrieved from osf.io/ke43j"/><s v="Talhelm, T., Eggleston, C., &amp; Lee, M. (2023, September 28). Replication of Ersner-Hershfield et al. (2008, JPSP, Study 2). Retrieved from osf.io/sq8k9"/><s v="LeBel, E. P. (2023, September 28). Replication of Correll (2008, JPSP, Study 2). Retrieved from osf.io/fejxb"/><s v="Sullivan, G. B. (2023, September 28). Replication of Tracy and Robins (2008, JPSP, Exp 4). Retrieved from osf.io/qthf2"/><s v="Baranski, E. (2023, September 28). Replication of Stanovich and West (2008, JPSP 94(4), Exp. 8). Retrieved from osf.io/7ux8p"/><s v="Motyl, M., &amp; Nosek, B. A. (2023, September 28). Replication of Morrison &amp; Miller (2008, JPSP, Study 3). Retrieved from osf.io/nhwv5"/><s v="Kidwell, M., &amp; Dodson, G. T. (2016, August 19). Replication of M Koo, A Fishbach (2008, JPSP 94(2), Exp. 4). Retrieved from osf.io/nr7d9"/><s v="Lane, K. A., &amp; Gazarian, D. (2016, August 19). Replication of Henderson, de Liver, &amp; Gollwitzer (2008, JPSP, Expt. 5). Retrieved from osf.io/79dey"/><s v="Talhelm, T., Eggleston, C., &amp; Lee, M. (2023, September 28). Replication of Rule &amp; Ambady (2008, PS, Study 1). Retrieved from osf.io/r5gpv"/><s v="Galliani, E. M. (2023, September 28). Replication of Fischer, Greitemeyer, &amp; Frey (2008, JPSP, Study 2). Retrieved from osf.io/j8bpa"/><s v="Selterman, D. F., Chagnon, E., &amp; Mackinnon, S. P. (2023, September 28). Replication of Eastwick &amp; Finkel (2008, JPSP). Retrieved from osf.io/ng6cc"/><s v="Miller, J. K., PhD. (2023, September 28). Replication of Weidemann, Huber, and Shiffrin (2008, JEPLMC, Exp 4). Retrieved from osf.io/ne9dy"/><s v="Sinclair, H. C., Goldberg, R. M., Wu, S., &amp; Smith, M. M. (2016, August 19). Replication of SL Murray, JL Derrick, S Leder, JG Holmes (2008, JPSP 94(3), Exp. 8). Retrieved from osf.io/cxmf6"/><s v="Chartier, C. R., &amp; Perna, O. K. (2023, September 28). Replication of SM McCrea (2008, JPSP 95(2), Exp. 5). Retrieved from osf.io/mua6d"/><s v="Schmidt, K. (2023, September 28). Secondary Replication of V Purdie-Vaughns, CM Steele, PG Davies, R Ditlmann, JR Crosby (2008, JPSP 94(4), Exp. 3)."/><s v="Van Rijn, H., &amp; Scholz, S. (2023, September 28). Replication of A Roelofs (2008, JEPLMC 34(2), Exp 3). Retrieved from osf.io/qwkum"/><s v="Shaki, S. (2023, September 28). Replication of D Ganor-Stern, J Tzelgov (2008, JEPLMC 34(2), Exp. 2). Retrieved from osf.io/vmipw"/><s v="Foster, J. D. (2023, September 28). Replication of Alter &amp; Oppenheimmer (2008, PS, Study 2B). Retrieved from osf.io/kegmc"/><s v="Fitneva, S. A. (2023, September 28). Replication of Dessalegn &amp; Landau (2008, PS, Study 4). Retrieved from osf.io/iajp5"/><s v="Prenoveau, J. M., &amp; Kirkhart, M. W. (2023, September 28). Replication of Eitam, Hassin, &amp; Schul (2008, PS, Study 2). Retrieved from osf.io/edcr7"/><s v="Bosco, F., &amp; Field, J. G. (2016, August 19). Replication of Mirman &amp; Magnuson (2008, JEP:LMC, Study 2). Retrieved from osf.io/rvkc5"/><s v="S+T22axe, R., Vélez, N., &amp; Feather, J. (2016, August 19). Replication of McKinstry, Dale, &amp; Spivey (2008, PS). Retrieved from osf.io/d0n81"/><s v="Lassetter, B., Brandt, M. J., van ’t Veer, A. E., &amp; Mehta, P. (2023, September 28). Replication of Armor, Massey &amp; Sackett (2008, PS, Study 1). Retrieved from osf.io/qlzap"/><s v="Vásquez-Echeverría, A. (2023, September 28). Replication of DR Addis, AT Wong, DL Schacter (2008, PS 19(1)). Retrieved from osf.io/yaeu7"/><s v="Brown, B. T., Kleinberg, B., Hicks, G., Bentley, H., Attridge, P. R., Eboigbe, S., … Brown, K. (2023, September 28). Replication of Nurmsoo &amp; Bloom (2008, PS, Study 1). Retrieved from osf.io/aczvt"/><s v="steegen, sara, vanpaemel, wolf, tuerlinckx, francis, &amp; Dewitte, L. (2023, September 28). Replication of Vul &amp; Pashler (Psych Science, 2008). Retrieved from osf.io/ivfu6"/><s v="Barnett-Cowan, M. (2023, September 28). Replication of Vul et al (2008, PS, Study 1). Retrieved from osf.io/rzjvn"/><s v="Osborne, C., Vuu, G., &amp; Henninger, F. (2023, September 28). Replication of EJ Masicampo, RF Baumeister (2008, PS 19(3)). Retrieved from osf.io/3h29d"/><s v="Ricker, A. A., &amp; Saide, A. (2023, September 28). Replication of JI Campbell, ND Robert (2008, JEPLMC 34(3), Exp 3). Retrieved from osf.io/gxvd3"/><s v="Lewis, M., &amp; Pitts, M. (2023, September 28). Replication of Hajcak &amp; Foti (2008, PS, Study 1)."/><s v="Beer, J. S., Rigney, A. E., &amp; Flagan, T. (2016, August 19). Replication of G Tabibnia, AB Satpute, MD Lieberman (2008, PS 19(4)). Retrieved from osf.io/94j6h"/><s v="Schlegelmilch, R., &amp; van den Bergh, D. (2023, September 28). Replication of GA Alvarez, A Oliva (2008, PS 19(4), Exp. 3). Retrieved from osf.io/dnaxe"/><s v="Stieger, S., &amp; Kuhlmann, T. (2023, September 28). Replication of GP Lau, AC Kay, SJ Spencer (2008, PS 19(1)). Retrieved from osf.io/fxqsk"/><s v="Levitan, C., Errington, T. M., &amp; Gampa, A. (2023, September 28). Replication of Winawer, Huk, &amp; Boroditsky (Psychological Science, 2008). Retrieved from osf.io/mjasz"/><n v="13.0"/><n v="14.0"/><n v="10.0"/><n v="19.0"/><n v="28.0"/><n v="30.0"/></sharedItems></cacheField><cacheField name="file_r" numFmtId="0"><sharedItems containsBlank="1"><s v="file-name for R PDF - only edit if DOI is missing"/><s v="10.17605--osf.io--2zgf9.pdf"/><s v="10.17605--osf.io--39xuw.pdf"/><s v="10.17605--osf.io--7vgkq.pdf"/><s v="10.17605--osf.io--acykd.pdf"/><s v="10.1163--26670127-bja10017.pdf"/><m/><s v="10.1017--s0272263124000238.pdf"/><s v=".pdf"/><s v="10.26443--msurj.v19i1.231.pdf"/><s v="10.1016--j.jsams.2024.07.018.pdf"/><s v="10.1038--s44220-024-00225-1.pdf"/><s v="10.2139--ssrn.3816626.pdf"/><s v="10.1016--j.jsp.2024.101307.pdf"/><s v="10.1080--19345747.2024.2333734.pdf"/><s v="10.1177--07419325241240067.pdf"/><s v="10.1017--s027226312400010x.pdf"/><s v="10.1037--met0000650.pdf"/><s v="10.17605--osf.io--e5k4j.pdf"/><s v="10.1038--s41467-024-46936-y.pdf"/><s v="10.17645--mac.7666.pdf"/><s v="10.17645--mac.7667.pdf"/><s v="10.17645--mac.7668.pdf"/><s v="10.17645--mac.7669.pdf"/><s v="10.1007--s40617-024-00933-1.pdf"/><s v="10.1177--09567976241246552.pdf"/><s v="10.1037--cns0000401.pdf"/><s v="10.1177--0956797613478614.pdf"/><s v="10.1016--j.jenvp.2024.102289.pdf"/><s v="1-s2.0-S0272494424000628-main.pdf"/><s v="mendoza.2024.pdf"/><s v="10.1016--j.drugalcdep.2024.111323.pdf"/><s v="1-s2.0-S0376871624002448-main.pdf"/><s v="10.1007--s40732-024-00597-x.pdf"/><s v="10.1080--0163853x.2024.2339738.pdf"/><s v="10.1002--acp.4202.pdf"/><s v="additional_studies31_1_replication.pdf"/><s v="10.1080--23273798.2024.2337948.pdf"/><s v="10.1002--jeab.915.pdf"/><s v="10.1017--s0272263124000342.pdf"/><s v="10.1108--s1574-076520240000026005.pdf"/><s v="10.1017--pds.2024.14.pdf"/><s v="thekeep.eiu.edu--theses--5025.pdf"/><s v="10.1111--padm.12860.pdf"/><s v="2024.lrec-main.91.pdf"/><s v="aclanthology.org--2024.lrec-main.91.pdf"/><s v="10.31234--osf.io--cf4xz.pdf"/><s v="10.18718--81781.34.pdf"/><s v="10.1075--ijlcr.00046.ozk.pdf"/><s v="10.1017--s0272263124000378.pdf"/><s v="digitalcommons.memphis.edu--etd--3538.pdf"/><s v="b16ebd43-f83b-42c9-9996-adf6735845c1.pdf.pdf"/><s v="10.1007--978-3-031-55844-3_4.pdf"/><s v="10.31234--osf.io--kpcwv.pdf"/><s v="escholarship.org--uc--item--8p5673qn.pdf"/><s v="10.16995--zygon.11497.pdf"/><s v="10.1080--02650487.2024.2362015.pdf"/><s v="10.1016--j.bbr.2024.115096.pdf"/><s v="10.1037--xap0000321.pdf"/><s v="10.1007--s11251-024-09670-y.pdf"/><s v="10.1037--xap0000366.pdf"/><s v="10.1037--emo0001389.pdf"/><s v="10.17605--osf.io--b25tr.pdf"/><s v="10.1016--j.jmathb.2024.101174.pdf"/><s v="10.31234--osf.io--esu9z.pdf"/><s v="https://essay.utwente.nl/100571/1/Bischoff_MA_BMS.pdf"/><s v="10.1145--3649217.3653545.pdf"/><s v="10.1109--iccq60895.2024.10576941.pdf"/><s v="10.1016--j.xjmad.2024.100075.pdf"/><s v="10.1016--j.jesp.2024.104619.pdf"/><s v="10.1007--s40732-024-00601-4.pdf"/><s v="10.1016--j.jrp.2024.104511.pdf"/><s v="10.1177--19485506241257971.pdf"/><s v="Age-Related Microaggressions_ A Semi-Replication.pdf"/><s v="10.1038--s41598-024-63724-2.pdf"/><s v="10.1371--journal.pone.0292576.pdf"/><s v="10.1080--15614263.2022.2102494.pdf"/><s v="10.1080--15614263.2023.2185241.pdf"/><s v="10.1007--s10834-024-09975-7.pdf"/><s v="10.37237--150205.pdf"/><s v="10.31234--osf.io--jfmsz.pdf"/><s v="10.31234--osf.io--xjaty.pdf"/><s v="10.1002--jaba.1098.pdf"/><s v="10.18718--81781.35%0a.pdf"/><s v="10.20982--tqmp.20.1.r001.pdf"/><s v="10.1093--applin--amae042.pdf"/><s v="10.1080--13527266.2024.2376918.pdf"/><s v="10.31234--osf.io--xr6bn.pdf"/><s v="10.5465--amproc.2024.19578abstract.pdf"/><s v="10.1080--13506285.2024.2343157.pdf"/><s v="10.12688--openreseurope.17749.1.pdf"/><s v="10.1002--jae.3082.pdf"/><s v="10.1073--pnas.2402315121.pdf"/><s v="10.17605--osf.io--bth36.pdf"/><s v="10.1016--j.jesp.2012.10.014.pdf"/><s v="10.1037--a0024587.pdf"/><s v="10.1186--2050-7283-1-22.pdf"/><s v="10.1371--journal.pone.0147770.pdf"/><s v="10.1371--journal.pone.0096339.pdf"/><s v="ML.web.Supplement.pdf"/><s v="10.1037--0022-3514.83.2.406.pdf"/><s v="10.1037/0022-3514.90.6.893"/><s v="10.1371--journal.pone.0029081.pdf"/><s v="10.3758--s13423-014-0757-4.pdf"/><s v="10.1177--1745691612463078.pdf"/><s v="Many_Labs_3_Evaluating_participant_pool.pdf"/><s v="10.1016--j.jesp.2015.08.005.pdf"/><s v="10.1037--arc0000007.pdf"/><s v="10.1177--0956797613486983.pdf"/><s v="10.17605--osf.io--dqv9y.pdf"/><s v="10.17605--osf.io--e9d3k.pdf"/><s v="10.17605--osf.io--fmd75.pdf"/><s v="10.17605--osf.io--gh52k.pdf"/><s v="Replication of Williams et al.pdf"/><s v="Replication of Klein and OBrien.pdf"/><s v="Replication of Jordan et al.pdf"/><s v="Replication of John et al.pdf"/><s v="Replication of Hofstetter et al.pdf"/><s v="Replication of Hoffman et al.pdf"/><s v="Replication of Halevy and Halali.pdf"/><s v="Replication of Guilbeault et al.pdf"/><s v="Replication of Gheorghiu et al.pdf"/><s v="Replication of Genschow et al.pdf"/><s v="Replication of Cote et al..pdf"/><s v="Replication of Vacharkulksemsuk et al.pdf"/><s v="Replication of Cooney et al..pdf"/><s v="Replication of Cheon and Hong.pdf"/><s v="Replication of Chao.pdf"/><s v="Replication of Boswell et al.pdf"/><s v="Replication of Baldwin and Lammers.pdf"/><s v="Replication of Atir and Ferguson.pdf"/><s v="Replication of Ames and Fiske.pdf"/><s v="Replication of Stern et al.pdf"/><s v="Replication of Reeck et al.pdf"/><s v="Replication of Rai et al.pdf"/><s v="Replication of Morris et al.pdf"/><s v="Replication of McCall et al.pdf"/><s v="Replication of Kraus et al.pdf"/><s v="Replication of Kouchaki and Gino.pdf"/><s v="10.17605--osf.io--j8a4p.pdf"/><s v="10.18718--81781.23.pdf"/><s v="10.18718--81781.24.pdf"/><s v="10.18718--81781.27.pdf"/><s v="10.18718--81781.28.pdf"/><s v="10.18718--81781.29.pdf"/><s v="10.17605--osf.io--q6tv8.pdf"/><s v="10.5281--zenodo.6426882.pdf"/><s v="10.17605--osf.io--rtn9s.pdf"/><s v="10.17605--osf.io--uxajg.pdf"/><s v="10.1007--s13164-018-0400-9.pdf"/><s v="10.1098--rsos.231240.pdf"/><s v="10.1126--science.aac4716.pdf"/><s v="10.17605--osf.io--etg7c.pdf"/><s v="10.1016--j.appet.2023.106554.pdf"/><s v="10.1016--j.eatbeh.2024.101899.pdf"/><s v="10.1037--pspa0000064.pdf"/><s v="10.1016--j.appet.2013.12.020.pdf"/><s v="10.17605--osf.io--hpk2m.pdf"/><s v="10.17605--osf.io%2fvk6d9.pdf"/><s v="10.3389--fpsyg.2014.00786.pdf"/><s v="10.17605--osf.io--73pnd.pdf"/><s v="10.17605--osf.io--vqzx9.pdf"/><s v="10.1038--s41562-018-0399-z.pdf"/><s v="Rand et al (2012) - Replication Report"/><s v="Derex et al (2013) - Replication Report.pdf"/><s v="Hauser et al (2014) - Replication Report.pdf"/><s v="Nishi et al (2015) - Replication Report"/><s v="Janssen et al (2010) - Replication Report.pdf"/><s v="Lee and Schwarz (2010) - Replication Report.pdf"/><s v="Ackerman et al (2010) - Replication Report.pdf"/><s v="Kovacs et al (2010) - Replication Report.pdf"/><s v="Pyc and Rawson (2010) - Replication Report"/><s v="Morewedge et al (2010) - Replication Report"/><s v="Karpicke and Blunt (2011) - Replication Report.pdf"/><s v="Ramirez and Beilock (2011) - Replication Report"/><s v="Sparrow et al (2011) - Replication Report"/><s v="Balafoutas and Sutter (2012) - Replication Report.pdf"/><s v="Gervais and Norenzayan (2012) - Replication Report.pdf"/><s v="Duncan et al (2012) - Replication Report.pdf"/><s v="Shah et al (2012) - Replication Report"/><s v="Aviezer et al (2012) - Replication Report.pdf"/><s v="Kidd and Castano (2013) - Replication Report.pdf"/><s v="Wilson et al (2014) - Replication Report"/><s v="Gneezy et al (2014) - Replication Report.pdf"/><s v="10.1177--2515245918810225.pdf"/></sharedItems></cacheField><cacheField name="label_r" numFmtId="0"><sharedItems containsBlank="1"><s v="How does R identify as replication in title or abstract? Usually &quot;replication&quot; but report different wording if used"/><s v="replication attempt"/><m/><s v="Replication"/><s v="Title - &quot;A replication and elaboration study&quot;&#xA;Abstract - &quot;... the process of conceptual replication of Rellensmann and Schukajlow’s (2017) research...&quot;"/><s v="A preregistered, close replication of Darcy et al. (2016)"/><s v="close replication"/><s v="dyadic, longitudinal replication and extension"/><s v="&quot;Replication&quot; in title"/><s v="Closing the Gap: A Conceptual Replication of an Early Reading Intervention"/><s v="Conceptual Replication"/><s v="A Conceptual Replication"/><s v="&quot;Comment on and Attempt at Replication&quot; in title"/><s v="The authors tested the robustness and validity of the original findings."/><s v="Systematic Replication"/><s v="The study identifies as a replication in the title."/><s v="A Systematic Replication"/><s v="Replication and extensions"/><s v="replication and extension"/><s v="Approximate and close replications of Kormos and Dénes (2004) and Rossiter (2009)"/><s v="A replication with auditory stimulation"/><s v="A replication study"/><s v="approximate replication"/><s v="&quot;Replication and extension&quot;"/><s v="As advised by Sarah, I have excluded this row since the original study and replication study in this row do not match."/><s v="A replication"/><s v="Replication of Construct Validity of the Behavior Assessment Replication of Construct Validity of the Behavior Assessment System for Children-Third Edition Teacher Rating Scales (BASC-3 System for Children-Third Edition Teacher Rating Scales (BASC-3 TRS) "/><s v="robust experimental&#xA;replications"/><s v="&quot;Replication&quot;"/><s v="&quot;Direct replication&quot;"/><s v="Registered Replication"/><s v="replication/extension"/><s v="A partial replication study of Larsson et al. (2020)"/><s v="Title - &quot;An Approximate Replication Study&quot;&#xA;Abstract - &quot;... conducting an approximate replication of Onwuegbuzie et al. in Language Learning, 50(1):87–117, 2000.&quot;"/><s v="A Direct Replication of John Hedley Brooke's Chapter on Scientific and Religious Reform"/><s v="&quot;Corrobation, replication and extension&quot;"/><s v="conceptual replication / extension"/><s v="direct replication"/><s v="replication "/><s v="two-study replication"/><s v="conceptual replication "/><s v="replication and theoretical extension"/><s v="Replication and extensions registered report"/><s v="A conceptual replication study"/><s v="Registered Replication Report"/><s v="replication study"/><s v="Replication and extension study"/><s v="Title - &quot;a replication and extension of Karmarkar and Tormala (2010)&quot;&#xA;Abstract - &quot;direct replication of Experiment 2 by Karmarkar and Tormala (2010)&quot;"/><s v="A replication and extension"/><s v="A semi-replication"/><s v="semi-replication"/><s v="Replication from KDEF to NimStim"/><s v="A replication of Zottoli, Helm et al.(2023; Study 3"/><s v="&quot;The contribution is made in replication and extension of analyses reported elsewhere in the United States.&quot;"/><s v="“A recent study [...] found that Eric Garner’s death in NYC lead to more negative attitudes towards the police in London among Black residents compared to White and Asian residents. The current study aimed to replicate this transnational effect by assessi"/><s v="title, &quot;conceptual replication&quot;"/><s v="title, &quot;replication&quot;"/><s v="A replication attempt"/><s v="experimental replication"/><s v="R does not identify as a replication in title or abstract but identifies as replication in the description of experiment 1"/><s v="R does not identify as a replication in title or abstract"/><s v="Identified as &quot;replication&quot; in the Many Labs documents."/><s v="R does not identify as a replication in title or abstract but the introduction of study 1 states that the authors &quot;attempt to replicate&quot; the effects observed by Bargh et al., (1996)"/><s v="R does not identify as a replication in title or abstract but the results section contains one headline named &quot;Analysis 1: Replication of Previous Automatic Social Behavior Effects&quot; P. 10"/><s v="replicating the original study"/><s v="confirmatory replication attempt"/><s v="close replications"/><s v="https://osf.io/ct89g/"/><s v="LINK"/><s v="Replication of Williams et al., 2016 "/><s v="&quot;Close replication&quot;"/><s v="Replication of Klein and O’Brienet al. 2018"/><s v="Replication of Jordan et al. 2016"/><s v="Replication of John et al. 2016"/><s v="Replication of Hofstetter et al. 2017"/><s v="Replication of Hoffman et al 2016"/><s v="Replication of Halevy &amp; Halali2015"/><s v="Replication of Guilbeault et al. 2018"/><s v="Replication of Gheorghiu et al. 2017"/><s v="Replication of Genschow et al. 2017"/><s v="Replication of Côte et al., 2015"/><s v="Replication of Vacharkulksemsuk et al., 2016"/><s v="Replication ofCooneyet al2016"/><s v="Replication of Cheon and Hong,2017"/><s v="Replication of Chao201"/><s v="Replication ofBoswell et al2018"/><s v="Replication of Baldwin and Lammers,2016"/><s v="Replication of Atir and Ferguson, 2018"/><s v="Replication of AmesandFiske,2015"/><s v="Replication of Stern et al, 2015"/><s v="Replication of Reeck et al 2017"/><s v="Replication of Rai et al.2017"/><s v="Replication of Morris et al. 2017"/><s v="Replication of McCall et al. 2017"/><s v="Replication of Kraus et al 2017"/><s v="Replication of Kouchaki and Gino,201"/><s v="replication with same data"/><s v="replication with new data"/><s v="&quot;This paper replicates the main analysis of Svensson (2015) with some expansion to the original analysis, mainly for the United States.&quot;"/><s v="&quot;This study attempts to replicate experimental results from Chowdhury et al. published in Southern Economic Journal (2017)&quot;"/><s v="&quot;In this article, I perform a verification and a reproduction of the main results in Fernández and Fogli (2009) [...]&quot;"/><s v="&quot;This paper replicates Poole (2013) using comprehensive Norwegian and Irish register data.&quot;"/><s v="&quot;This paper successfully replicates Autor et al. (2008) and extends their analysis through 2022.&quot;"/><s v="Online replication"/><s v="&quot;This study aimed to replicate a study prior to recent teacher education reforms [...]&quot;"/><s v="Reproducibility Project"/><s v="N/A"/><s v="very close"/><s v="close"/><s v="exact"/><s v="far"/><s v="Replication, 'exactly reproduced methodology'"/><s v="Exact replication"/><s v="replication and expansion"/><s v="we combined data from three independent research groups, each conducting either exact (Group 1) or close conceptual (Groups 2 and 3) replications of Kidd and Castano (2013)"/><s v="Experiment 1 was designed to replicate the counteracting effect of sugar consumption on ego depletion (Gailliot et al., 2007; Hagger et al., 2010). Following the protocol of Wang and Dvorak (2010),"/><s v="Very close replication"/><s v="Far replication"/><s v="Very close report"/><s v="Reproducibility Report"/><s v="Web-based replication"/><s v="aggregate replication"/></sharedItems></cacheField><cacheField name="link_r" numFmtId="0"><sharedItems containsBlank="1"><m/><s v="https://drive.google.com/file/d/15dLELTosbF1NWFYI0UOSPLIC70dnGG5S/view?usp=drivesdk"/><e v="#N/A"/><s v="https://drive.google.com/file/d/12ZFslJnsSmpbIBYf9YKunwP3Ofv14HZ-/view?usp=drivesdk"/><s v="https://drive.google.com/file/d/1iWxdhqxc4T6twXLJR2WbGMzAHqB2cMPh/view?usp=drivesdk"/><s v="https://drive.google.com/file/d/1VAdnhoiJmdHbv1LbvyIfcfg3rNALrpkj/view?usp=drivesdk"/><s v="https://drive.google.com/file/d/1VSCtSsv8HPQ12k-JKTjSEPJB-QhdOcwt/view?usp=drivesdk"/><s v="https://drive.google.com/file/d/1TJ6nnv7-YYGU9DUh1ApFGirYy6BbChHy/view?usp=drivesdk"/><s v="https://drive.google.com/file/d/1LH5FS1-bb7IdYkCgO31BjONeTKWAtRQN/view?usp=drivesdk"/><s v="https://drive.google.com/file/d/145Pa13zh5Prx2VW-au4YJBMHc37TXuej/view?usp=drivesdk"/><s v="https://drive.google.com/file/d/1y9Sta1A62b6o1louE7uCjU6m-n4q0e5j/view?usp=drivesdk"/><s v="https://drive.google.com/file/d/1vapTuoFWQvT1qaSJqcvZzdcKGuZPcOor/view?usp=drivesdk"/><s v="https://drive.google.com/file/d/1GpMdw7ZFDWpDIdg1IjCcxRYXmuDta-6_/view?usp=drivesdk"/><s v="https://drive.google.com/file/d/1Aes0K1gD14f_6QAHkD9IPsvD4OgnIJ9K/view?usp=drivesdk"/><s v="https://drive.google.com/file/d/1s7Xp1h565EAKnPa_0Zp3RnS0qmb4t53a/view?usp=drivesdk"/><s v="https://drive.google.com/file/d/1fNwzy4f6SEAeVccICF8BD0SDAIH7uPVr/view?usp=drivesdk"/><s v="https://drive.google.com/file/d/14Gn77igqT7z48cFv6fyuoc9vsjaDleJT/view?usp=drivesdk"/><s v="https://drive.google.com/file/d/1Fg206MUtjoN9d31kEAQ7bIDHvbUqwyGY/view?usp=drivesdk"/><s v="https://drive.google.com/file/d/1Zty8FHdgF4Nqed1S2bjomumBBiyC8Mfz/view?usp=drivesdk"/><s v="https://drive.google.com/file/d/1tRSJ7nCc-S4z9k7Go2ucp_tmetdfTvik/view?usp=drivesdk"/><s v="https://drive.google.com/file/d/1lyco4NN8QUadLrLaxT4tk2Kth7hjO4p_/view?usp=drivesdk"/><s v="https://drive.google.com/file/d/1mh0lOHypF2E9Nk9sQ57YmqKyEOyrqka8/view?usp=drivesdk"/><s v="https://drive.google.com/file/d/1Eufb0NfIAz03c6rDvfbVDbjGjjReVYgi/view?usp=drivesdk"/><s v="https://drive.google.com/file/d/1lAHnrSuQxWM2CdT06_FM1GDBh9d6nNTe/view?usp=drivesdk"/><s v="https://drive.google.com/file/d/1xNa3snr_hhHjS7pnwFaA2tVxjB_0VvqW/view?usp=drivesdk"/><s v="https://drive.google.com/file/d/1pi6g99iJYyhyD_0jGvDca_hbleDdekCp/view?usp=drivesdk"/><s v="https://drive.google.com/file/d/1EK0iig6kRzrCroz49dDEP_mf3A-HoVQR/view?usp=drivesdk"/><s v="https://drive.google.com/file/d/1AeJCeDtR27X7LIlQj69LZhU8lw_irjTZ/view?usp=drivesdk"/><s v="https://drive.google.com/file/d/1ljVoDtYBz0iPIIVFLmoGyAGWDfVCncq9/view?usp=drivesdk"/><s v="https://drive.google.com/file/d/1mAgtvtRNwI_LQ2ccnmAWuBfkaX8itu_d/view?usp=drivesdk"/><s v="https://drive.google.com/file/d/1VVeqTkEjSzuu9KSkYUb2Q1_BeFG8ZFes/view?usp=drivesdk"/><s v="https://drive.google.com/file/d/1DMMXxQwzUbOxshIWiT8AwdGZ588_WZ8b/view?usp=drivesdk"/><s v="https://drive.google.com/file/d/14qlQgDUVz3KRZQVXwZQMkCR0K1msJHmK/view?usp=drivesdk"/><s v="https://drive.google.com/file/d/1vDgLj9eoT-VnSILsFHRQ12VvtSFTsWUV/view?usp=drivesdk"/><s v="https://drive.google.com/file/d/1VIxHSn4IKzp_dw4xNX6RMxFlMFrB02Na/view?usp=drivesdk"/><s v="https://drive.google.com/file/d/1lBAeCGIckBPanOLBGZwhA7XjuahS_0Dx/view?usp=drivesdk"/><s v="https://drive.google.com/file/d/1JQppLKOXxrmIyxFhDZtY85ZoIv_TVdh_/view?usp=drivesdk"/><s v="https://drive.google.com/file/d/1H6X8VsyVixAViuUZ-S2dfj2OJm-VwYrl/view?usp=drivesdk"/><s v="https://drive.google.com/file/d/17sgB6ScmXf8Wli1_dKWf0wpvxkNJRZtC/view?usp=drivesdk"/><s v="https://drive.google.com/file/d/1LvmKgU-0Swex9jXhSh89rVHkVzeNMucB/view?usp=drivesdk"/><s v="https://drive.google.com/file/d/1Mxrn43qE4Nlk4SUVbyTVjT4uEEPF5pZu/view?usp=drivesdk"/><s v="https://drive.google.com/file/d/1_rFVHDaWBDKF-ni6stLki1Wt7mspwAb2/view?usp=drivesdk"/><s v="https://web.archive.org/web/20220103002744/https://github.com/eplebel/science-commons/blob/master/curated/ego-depletion/Pond%20et%20al%20(2011%2C%20Study%203)%20unpublished%20dataset%20methodological%20details.pdf"/><s v="https://drive.google.com/file/d/1GYDJkUHLj_0GiFfIztass97sMyACxxL_/view?usp=drivesdk"/><s v="https://drive.google.com/file/d/177P2xO1D22ODvu0Zcz9Ls-wtsZM0ck_y/view?usp=drivesdk"/><s v="https://drive.google.com/file/d/1UXS2QTqJQUfE_Pyj2Qy0nOdEsfBcSrJD/view?usp=drivesdk"/><s v="https://drive.google.com/file/d/1gBBT6EBomzmICcRfzrG_6jxfvMnRuQIj/view?usp=drivesdk"/><s v="https://osf.io/y36m8"/><s v="https://drive.google.com/file/d/1OuxVCUkVnVBw7IH1mtlkV9HYUNX7kOe5/view?usp=drivesdk"/><s v="https://drive.google.com/file/d/13yA5wer3pEP6DzO7ZMN-jDmSL2aYTKUo/view?usp=drivesdk"/><s v="https://drive.google.com/file/d/1p5ydRsZ4brAO2FqzQtlUbRAhPkcmRVgm/view?usp=drivesdk"/><s v="https://drive.google.com/file/d/1SA7ZP2ow52I8kFKx4p2nJ0nUspPn6as_/view?usp=drivesdk"/><s v="https://osf.io/ct89g/"/><s v="https://drive.google.com/file/d/1-xurSGJuM3s6RBApJqwPJeMlgGlC3K_D/view?usp=drivesdk"/><s v="Identified as &quot;replication&quot; in the Many Labs documents."/><s v="https://drive.google.com/file/d/1gyeq5B_qi3Jnlf4Z_IsX5vLD1Nya92z0/view?usp=drivesdk"/><s v="a near-exact replication"/><s v="https://drive.google.com/file/d/1GB5oPjHVuDXBTZ2__Had-zRIf9ZK4G7S/view?usp=drivesdk"/><s v="https://drive.google.com/file/d/1VipPphabn-Kfe9AzHC0j5FX1Fqp3bd0q/view?usp=drivesdk"/><s v="https://drive.google.com/file/d/1ricWbnnQ27T1O2HoAIXHZb1YA8sK8_s2/view?usp=drivesdk"/><s v="https://drive.google.com/file/d/1Kwdqeb9S0RNT_hHV1vR81MPGAjymnUQq/view?usp=drivesdk"/><s v="https://drive.google.com/file/d/1UFSIBKXNmPXd3__1cxrsTy9PbNax45wB/view?usp=drivesdk"/><s v="https://drive.google.com/file/d/1hjI3aqifdfXjWhQAlvKCKKtvjuncAn5M/view?usp=drivesdk"/><s v="https://osf.io/nhqgs"/><s v="https://drive.google.com/file/d/1UMAh9VGta6ExS2-Lb6GkDF4fmnI2EMeM/view?usp=drivesdk"/><s v="https://osf.io/2dem3"/><s v="https://osf.io/27cmh"/><s v="https://osf.io/g4hn3"/><s v="https://osf.io/7dybc"/><s v="https://osf.io/pnius"/><s v="https://osf.io/5ygej"/><s v="https://osf.io/js7gd"/><s v="https://osf.io/b7zek"/><s v="https://osf.io/vtz2i"/><s v="https://osf.io/n32zj"/><s v="https://osf.io/5f42t"/><s v="https://osf.io/kcwfa"/><s v="https://osf.io/a5ukz"/><s v="https://osf.io/irgbs"/><s v="https://osf.io/qm5n6"/><s v="https://osf.io/fkcn5"/><s v="https://osf.io/dh4jx"/><s v="https://osf.io/e3ry5"/><s v="https://osf.io/ktnmc"/><s v="https://osf.io/2h4vx"/><s v="https://osf.io/x7c9i"/><s v="https://osf.io/tqf2u"/><s v="https://osf.io/asn7w"/><s v="https://osf.io/xtcuv"/><s v="https://osf.io/gyn9e"/><s v="https://osf.io/k7chx"/><s v="https://osf.io/a4fmg"/><s v="https://osf.io/79y8g"/><s v="https://osf.io/6zdct"/><s v="https://osf.io/uhnd2"/><s v="https://osf.io/2pbaf"/><s v="https://osf.io/v7bjc"/><s v="https://osf.io/tarp4"/><s v="https://osf.io/wcgx5"/><s v="https://osf.io/ysxmf"/><s v="https://osf.io/zpwne"/><s v="https://osf.io/2idfu"/><s v="https://osf.io/efjn3"/><s v="https://osf.io/mv3i7"/><s v="https://osf.io/yc2fe"/><s v="https://osf.io/fw6hv"/><s v="https://osf.io/hzka3"/><s v="https://osf.io/sxnu6"/><s v="https://osf.io/es7ub"/><s v="https://osf.io/b9jtc"/><s v="https://osf.io/9uqxr"/><s v="https://osf.io/a6mje"/><s v="https://osf.io/p3gz2"/><s v="https://osf.io/v3e2z"/><s v="https://osf.io/2jwi6"/><s v="https://osf.io/68m2c"/><s v="https://osf.io/b9dpu"/><s v="https://osf.io/cjr7d"/><s v="https://osf.io/fuj2c"/><s v="https://osf.io/4peq6"/><s v="https://osf.io/5afur"/><s v="https://osf.io/9pnct"/><s v="https://osf.io/7q5us"/><s v="https://osf.io/5pjsn"/><s v="https://osf.io/3hndq"/><s v="https://osf.io/mptb2"/><s v="https://osf.io/3rxvs"/><s v="replication"/><s v="https://drive.google.com/file/d/1c8fXNnhmY13vK0FI3aMB_LAx3-JbSZd7/view?usp=drivesdk"/><s v="LINK"/><s v="http://rpubs.com/kimiasaadatian/replicationreport"/><s v="https://osf.io/q8src"/><s v="https://rpubs.com/cgarton/975073"/><s v="https://rpubs.com/brucksm/final_report"/><s v="https://osf.io/wj3bm"/><s v="https://osf.io/7d3ha"/><s v="https://rpubs.com/isabellamullen/1255746"/><s v="https://osf.io/szcuk"/><s v="https://osf.io/kchf9"/><s v="https://osf.io/mgjxv"/><s v="https://osf.io/67mzc"/><s v="https://osf.io/knh6y"/><s v="https://osf.io/jubxw"/><s v="https://osf.io/9hn4c"/><s v="https://osf.io/jnq7e"/><s v="https://osf.io/zj5n3"/><s v="https://osf.io/k2teb"/><s v="https://osf.io/j8pbk"/><s v="https://osf.io/84fyw"/><s v="https://osf.io/drvhe"/><s v="https://osf.io/r4dve"/><s v="https://osf.io/s48ht"/><s v="https://osf.io/5uw3j"/><s v="https://osf.io/367yu"/><s v="https://osf.io/s73x6"/><s v="https://osf.io/qwked"/><s v="https://osf.io/7ch92"/></sharedItems></cacheField><cacheField name="exclusion" numFmtId="0"><sharedItems containsBlank="1"><s v="Reason for study exclusion (usually only if R is not a replication)"/><m/><s v="no replication report available but only a post completion registration"/><s v="Not replicated"/><s v="original study relied on testing and neuropsychological performance (Visual Reproductions immediate recall/ Visual Reproductions delayed recall/ Verbal Paired Associates I /Verbal Paired Associates II/ Simple Reaction Time efficiency / Continuous Performa"/><s v="Even though theoretically relevant aspects of the studies are the same, the original study relied on qualitative methodology, hence there is no quantitative data to compare the studies."/><s v="N/A"/><s v="no new data was collected"/><s v="literature review"/><s v="Not a replication, just a proposal for potential replication"/><s v="Not a replication, just a proposal for potential reolication"/><s v="the two papers are not related, study diffrent topics and belongs to diffrent fields"/><s v="Email response from LR: I think the &quot;replication&quot; part is actually a reproduction because both reports use the same sources (Current Population Surveys, CPS). We will discuss if the &quot;extension&quot; part meets our inclusion criteria and get back to you if it d"/><s v="In both research articles, the authors want to investigate which linguistic variables are most important for distinguishing between adverb positions in the written data. In both cases, they report running a Random Forest classifier using R. However, no qu"/><s v="I do not consider this to be a direct replication study because the authors used a different method to overcome a methodological/conceptual limitation of the original study. Even if the phenomenon being studied is the same, the introduction of a method to"/><s v="This study and replication does not constitute a quantitative measurement of phenomena but a textual analysis where no quantitative data or effect sizes are available for meta-analysis purposes."/><s v="The replication study uses different outcome variables (o: customer orientation, r: psychological ownership) and also uses a different study design specifically mediators which the original does not "/><s v="The replication study has not yet occured"/><s v="Although R is a replication, no real quantitative analysis have done. Both of them are kind of overview and descriptive only."/><s v="There is no specified original study in the &quot;replication&quot;. The &quot;replication&quot; in this table investigates psychometric properties of the short form scale of CoPAFS, the &quot;original&quot; in this table investigates these properties in the full scale (in a different"/><s v="reproduction, not replication"/><s v="no full paper available yet"/><s v="Completely different samples (medical patients with students. Not sure about exclusion, but the closeness is questionable)"/><s v="duplicate"/><s v="The replication paper state &quot;Given the low number of observations, the results of this replication are likely unreliable. &quot;"/><s v="Very small response rate (~0%)"/><s v="There is no replication for this row neither on the OSC 2015 table or p35 replication links"/><s v="There is no replication for this entry"/><s v="No replication report / data"/><s v="No statistical outcome both in original study and replication data"/><s v="No replication. The OSF report was registered only in Dec 2024."/><s v="No replication"/><s v="The replication was not completed"/><s v="There is no matching results"/><s v="No replication results"/><s v="No replication data for experiment 2"/><s v="The results from the original and &quot;replication&quot; studies investigate the phenomenon using different dependent variables and analysis. The replication is not strictly speaking replication"/><s v="No replication data available"/><s v="No replication data available (the report does not contain information)"/><s v="There is no numerical data in the replication"/></sharedItems></cacheField><cacheField name="discipline" numFmtId="0"><sharedItems containsBlank="1"><s v="Which broad field does the finding come from - e.g., Social Psychology or Labor Economics"/><s v="Political Science"/><s v="Cognitive Psychology"/><s v="Experimental Philosophy"/><s v="Judgment and Decision Making"/><s v="Social Psychology"/><s v="Education"/><s v="Educational Sciences"/><s v="Linguistics"/><s v="Science and Medicine in Sport "/><s v="Medicine"/><s v="Communication Science"/><s v="Education Science"/><m/><s v="Methods"/><s v="Neuroscience"/><s v="Psychology"/><s v="Sports Sciences"/><s v="Differential Psychology"/><s v="Education Sciences"/><s v="Organizational Psychology"/><s v="Developmental Psychology"/><s v="Management"/><s v="Medicine (Psychiatry)"/><s v="Economics"/><s v="Psychopathology"/><s v="Political Psychology"/><s v="Marketing"/><s v="Neuroscience (biological psychology)"/><s v="Education (computer science)"/><s v="Consumer Research"/><s v="Clinical Psychology"/><s v="Evolutionary Psychology"/><s v="Judgement and Decision Making "/></sharedItems></cacheField><cacheField name="effect" numFmtId="0"><sharedItems containsBlank="1"><s v="x"/><m/><s v="Contrast sensitivity of knowledge ascription (contrastivism)"/><s v="contrastive knowledge"/><s v="subliminal anchoring"/><s v="interest in mathematics"/><s v="Production accuracy - /e/ format"/><s v="Production accuracy - /ei̯/ ~ /e/"/><s v="Production accuracy - /ei̯/ z score"/><s v="Production accuracy - Consonant accuracy"/><s v="Second Language Phonological Processing"/><s v="First Financial Discussion Effect"/><s v="maximal anaerobic fatigue"/><s v="Dynamic postural control"/><s v="Sentence reading / Reading comprehension"/><s v="Spelling"/><s v="Word reading"/><s v="Effect of time to publication (moderator variable) in outcome-reporting bias."/><s v="Effect of sample size (moderator variable) in outcome-reporting bias."/><s v="Effect of number of statistical tests (moderator variable) in outcome-reporting bias."/><s v="Effect of type of outcome measure (moderator variable) in outcome-reporting bias."/><s v="Odds ratio for publish findings"/><s v="Interpretation of sociolinguistic variation"/><s v="interpretation of verbal moods in second language learning"/><s v="Prolactin-increasing antipsychotics' effect on breast cancer&#xA;"/><s v="Prolactin-sparing antipsychotics' effect on breast cancer&#xA;"/><s v="Prolactin-Induced Breast Cancer Risk&quot;"/><s v="Fear extintion"/><s v="&quot;Dopamine-dependent prefrontal reactivations explain long-term benefit of fear extinction&quot; "/><s v="Behavioral intentions"/><s v="The nature of hipocrisy"/><s v="Motivational determinants of anthropomorphism"/><s v="Sensory attenuation"/><s v="perceived responsibility"/><s v="biomarkes of substace use diorder"/><s v="Structure of worry and rumination"/><s v="Repetitive Negative Thinking (RNT)"/><s v="misinformation effect"/><s v="discrepancy detection"/><s v="morphological family&#xA;size effects"/><s v="Response force in a conjugate preparation (VMSWO Rank 1-5 by Mean&#xA;Force Rank 1-5)"/><s v="Percentage of correct answers: Effect of emotion"/><s v="Percentage of correct answers: Effect of Task X group interaction"/><s v="Percentage of correct answers: Effect of Task X emotion interaction"/><s v="Percentage of correct answers: Effect of Task X Emotion X Group interaction"/><s v="Emotion discrimination task: Effect of emotion"/><s v="Emotion discrimination task: Effect of group"/><s v="Emotion discrimination task: Effect of emotion X group interaction"/><s v="Emotion discrimination task: Effect of group on happy faces"/><s v="Emotion discrimination task: Effect of group on sad faces"/><s v="Emotion discrimination task: Effect of group for afraid faces"/><s v="Emotion discrimination task: Effect of group for neutral faces"/><s v="Emotion discrimination task: Effect of group for angry faces"/><s v="Gender discrimination: Effect of emotion"/><s v="Gender discrimination: Effect of group"/><s v="Mean reaction time for correct answers: Effect of Task X Emotion X Group interaction"/><s v="Mean reaction time for correct answers: Effect of emotion"/><s v="Mean reaction time for correct answers: Effect of task X emotion interaction"/><s v="Mean reaction time for correct answers: Effect of group"/><s v="Misclassification analysis: Effect of Error type X group for faces being misclassified as sad"/><s v="Misclassification analysis: Effect on group for afraid faces being misclassified as sad"/><s v="Misclassification analysis: Effect on group for faces being misclassified as angry"/><s v="Misclassification analysis: Effect on group for faces being misclassified as neutral"/><s v="Misclassification analysis: Effect on group for happy faces being misclassified as neutral"/><s v="Misclassification analysis: Effect on group for sad faces being misclassified as neutral"/><s v="Misclassification analysis: Effect on group for faces being misclassified as happy"/><s v="Misclassification analysis: Effect on group for faces being misclassified as afraid"/><s v="Percentage of correct answers: Effect of task"/><s v="syntatic transfer/noun-raising"/><s v="Research misconduct"/><s v="&quot;If hierarchical, then corrupt&quot;"/><s v="Hierarchy-Corruption Association"/><s v="Attention deficit/problems"/><s v="Hyperactivity /Attention Deficit Hyperactive"/><s v="Withdrawal/Avoidant "/><s v="Conduct Problems /Delinquent "/><s v="Conduct Problems/Oppositional Defiant"/><s v="Aggression / Solitary Aggressive Provocative "/><s v="Aggression/  Solitary Aggressive Impulsive "/><s v="Externalizing/  Overactivity"/><s v=" Internalizing / Underactivity"/><s v="Expectancy-Disconfirmation Theory"/><s v="Expectancy-disconfirmation theory of citizen satisfaction"/><s v="Attention bias"/><s v="attentional bias"/><s v="wage inequality"/><s v="The transferability of language-switching skills to nonlinguistic task switching"/><s v="bilingual advantage (task switching)"/><s v="mattering scale"/><s v="Foundational factors of Mattering"/><s v="grammar acquisition"/><s v="Proficiency use of progressive (ing)"/><s v="Proficiency use of plural (plural)"/><s v="Proficiency use of copula be (be-cop)"/><s v="Proficiency use of auxiliary be (be-aux)"/><s v="Proficiency use of article (article)"/><s v="Proficiency use of irregular past (past-irreg)"/><s v="Proficiency use of regular past (past-reg)"/><s v="Proficiency use of possessive (poss)"/><s v="Proficiency use of 3rd person singular (3rd sing)"/><s v="foreign langauage learning anxiety"/><s v="effect of rumination in psychopathology"/><s v="Rumination"/><s v="Customer Empowerment"/><s v="Behavioural bias for food"/><s v="commitment escalation"/><s v="Effects of Process and Outcome Accountability on Escalating Commitment"/><s v="Problem-solving prior to instruction"/><s v="escalating commitment"/><s v="nostalgia proneness"/><s v="music-evoked nostalgia"/><s v="windfall gains"/><s v="early algebra"/><s v="Death Thought Suppression and Rebound Hypothesis:"/><s v="The role of relative frontal alpha asymmetry in shaping the stress response"/><s v="emotion stress regulation: the role of of relative frontal&#xA;alpha asymmetry"/><s v="static analysis"/><s v="static analysis errors in student programming"/><s v="Impact of Method Chains and Comment Variants on Code Readability and Comprehension "/><s v="implicit threat bias"/><s v="Attentional threat bias"/><s v="expertise persuasion incongruity effect"/><s v="Response disequilibrium"/><s v="Emotional Eating Patterns"/><s v="Negative emotional eating"/><s v="Self-esteem development"/><s v="age-related microaggressions"/><s v="n/a"/><s v="positive parenting behaviors "/><s v="self-directed learning skills"/><s v="social porfolio diversity"/><s v="perception of self and others "/><s v="Co-Parenting Across Family Structures Effect"/><s v="NA"/><s v="physical activity, step count"/><s v="war exposure and civic engagement"/><s v="Articulatory rehearsal and phonological storage"/><s v="Articulatory rehearsal and phonological storage in working memory:"/><s v="Accent bias"/><s v="accent bias and competence perception "/><s v="Event-related potential"/><s v="Error-Related Negativity (ERN)"/><s v="Environmental Practices of Foreign-Owned Establishments"/><s v="effects of proximity and effort across [...] on escalating frustration"/><s v="Escalating frustration"/><s v="default effect"/><s v="God Salience"/><s v="strength model (also known as ego-strength model or resource model)"/><s v="Use of race information in WIT"/><s v="limited resource model of executive control"/><s v="ego depletion"/><s v="Response scale range affects reported behavior and judgments"/><s v="Low vs. high category scales"/><s v="stereotype priming"/><s v="Implicit attitudes measured via IAT demonstrate biases (e.g., race, age, gender) that may differ from explicit self-reports."/><s v="Gender-Math-Stereotype"/><s v="Framing effects influence risk preferences in decision-making."/><s v="Framing effect"/><s v="Retrospective gambler’s fallacy: unlikely events are perceived as more plausible in hindsight."/><s v="Subtle exposure to the U.S. flag shifts attitudes and behaviors toward Republicanism."/><s v="flag priming"/><s v="anchoring"/><s v="Ego Depletion Effect"/><s v="implicit bias measures"/><s v="precognition"/><s v="Embodiment of weight influences judgments of importance."/><s v="Weight priming"/><s v="Communal traits influence ambient temperature perception."/><s v="Warmth priming"/><s v="Need for cognition effect"/><s v="Time is money effect"/><s v="Happiness"/><s v="Impatience"/><s v="Subjective distancing of past experiences."/><s v="Warmth-Need Effect"/><s v="trait loneliness"/><s v="Stroop effect: Interference of conflicting stimuli in serial verbal reactions."/><s v="Stroop effect"/><s v="Spatial metaphors influence temporal reasoning."/><s v="Structure mapping"/><s v="Availability heuristic"/><s v="Availability effects"/><s v="Power reduces perspective-taking"/><s v="Attachment-warmth embodiment effect"/><s v="Anxiety and Sensitivity to Temperature"/><s v="Money priming and system justification"/><s v="meer exposure effect"/><s v="Imagined contact enhances future contact intentions"/><s v="imagined context effect"/><s v="Instructional manipulation checks improve data quality and increase statistical power"/><s v="Instructional manipulation checks"/><s v="red-romance effect"/><s v="influence of color condition on perceived attractiveness"/><s v="influence of color condition on desired sexual behavior"/><s v="effect of color condition on perceived likability."/><s v="mediation model"/><s v="Anchoring-and-Adjustment Heuristic"/><s v="Anchoring and Adjustment "/><s v="Subliminial anchoring"/><s v="stereotypes"/><s v="Ecology-driven stereotypes overriding race stereotypes"/><s v="information processing"/><s v="Overestimation of decision-making time"/><s v="Uncalculating cooperation"/><s v="Uncalculating cooperation driven by reputation concerns"/><s v="disclosure"/><s v="Deliberate non-disclosure "/><s v="impression formation"/><s v="The impact of temporary vs. permanent sharing on digital disclosures "/><s v="racial bias"/><s v="Racial bias in pain assessment and treatment"/><s v="conflict resolution"/><s v="Conflict resolution and third-party intervention"/><s v="scientific communications"/><s v="Partisan Priming"/><s v="First impressions"/><s v="Competence-based bias in science communication"/><s v="free-will belief"/><s v="Free will and correspondance bias"/><s v="economic inequality"/><s v="Inequality-driven generosity gap"/><s v="romantic attraction,"/><s v="Dominance of open non-verbal displays"/><s v="fairness"/><s v="Affective forecasting error"/><s v="eating behavior"/><s v="The influence of subjective socioeconomic status (SSES) on implicit food preferences"/><s v="charitable giving"/><s v="Motivation crowding out"/><s v="craving"/><s v="Cognitive regulation of craving"/><s v="climate change"/><s v="Temporal framing on pro-environmental behavior"/><s v="gender bias"/><s v="Gender bias in professional recognition"/><s v="morality"/><s v="Intentionality bias, harm magnification"/><s v="stereotyping"/><s v="Conservatives' evaluations of counterstereotypical people"/><s v="intertemporal choice"/><s v="Search strategy and its impact on intertemporal choice"/><s v="Dehumanization"/><s v="Dehumanisation and instrumental harm"/><s v="retaliatory punishment"/><s v="Role-based flexibility in behaviour"/><s v="Impact of inequality exposure on opportunity beliefs and system justification"/><s v="racial economic equality"/><s v="Racial discrimination and racial economic equality perceptions"/><s v="unethical amnesia"/><s v="cleanliness priming effect"/><s v="Moral priming (cleanliness)"/><s v="Government and Private Consumption"/><s v="Consumption"/><s v="non-vertical long run Phillips curve"/><s v="Side effect"/><s v="intention and intentional action"/><s v="semantic intuition (cultural differences)"/><s v="imaginative resistance "/><s v="bouba-kiki"/><s v="Prime"/><s v="negative calorie illusion."/><s v="A/B Effect"/><s v="seductive allure effect"/><s v="subjective-aging effect"/><s v="Contrast effect"/><s v="Marginal effecr"/><s v="Replicant effect"/><s v="Size-Stroop effect"/><s v="moral reproach"/><s v="repetition blindness"/><s v="Visual search"/><s v="Moral judgement"/><s v="Moral judgment"/><s v="External edges"/><s v="Extremal edges"/><s v="Reference group effects"/><s v="Reference group effect"/><s v="Personality dominance"/><s v="Goal shielding"/><s v="Visual detection"/><s v="Value heuristics"/><s v="Value heuristic"/><s v="Object words orient attention"/><s v="Inhibition of return"/><s v="Inferences in probalistic world"/><s v="Inferences"/><s v="Short term recognition"/><s v="Recognition"/><s v="Directed forgetting "/><s v="Directed forgetting effect"/><s v="Inhibitory control"/><s v="Semantic relations"/><s v="Semantic alignment"/><s v="Hebb repetition effect"/><s v="Pathway control"/><s v="Phonological coding"/><s v="Additive effects"/><s v="Additive effect"/><s v="Semantic interference"/><s v="Multidimensional Visual Statistical Learning"/><s v="Visual statistical learning"/><s v="Memory in Task Switching"/><s v="Task switching"/><s v="Contingency information."/><s v="Short-term memory for time and"/><s v="order information,"/><s v="Attention in Adjacent and Nonadjacent Dependency Learning"/><s v="Attention"/><s v="VWM updating and attention"/><s v="Retro-cue"/><s v="Risk-taking paradigm in decision making"/><s v="Decision making"/><s v="Retrieval-induced forgetting"/><s v="Rejection of moral rebels"/><s v="Rebel"/><s v="Implicit and explicit attitude"/><s v="Implicit attitude"/><s v="Personality self-reports and age"/><s v="Personality traits"/><s v="Mortality salience"/><s v="Increasing and Decreasing Motor and Cognitive Output"/><s v="Word priming"/><s v="The Intermixed- Block Effect"/><s v="Intermixed– blocked effect"/><s v="Affective coherence"/><s v="Regulation of Intergroup Bias"/><s v="Prejudice"/><s v="Action-Based Model of Dissonance"/><s v="Cognitive dissonance"/><s v="Bargaining in Emotional Regulation"/><s v="Emotion regulation"/><s v="Relationship vulnerabilities"/><s v="Vulnerability"/><s v="Projected responsiveness bias"/><s v="Communal responsiveness"/><s v="Repetition priming"/><s v="Priming"/><s v="Poignancy in mixed emotions"/><s v="1/f Noise"/><s v="Social Judgement Processing"/><s v="Categorization"/><s v="Self-perceived forgiveness"/><s v="Forgiveness"/><s v="Fate temptation"/><s v="Tempting fate"/><s v="The Nonverbal Expression of Pride:"/><s v="Emotions"/><s v="Modeling Distributions of Immediate Memory Effects"/><s v="Memory"/><s v="Thinking bias"/><s v="Value- driven message processing"/><s v="Persuasion"/><s v="Minority Deviance"/><s v="Social influence"/><s v="(Un)accomplished Goal Action Effects on Motivation"/><s v="Illusory Source Recollections"/><s v="Illusory recollections"/><s v="The Effects of an Implemental Mind-Set on Attitude Strengt"/><s v="Implemental Mind-Set"/><s v="A Needs-Based Model of Reconciliation"/><s v="Appearance inferences"/><s v="Selective Exposure to Information"/><s v="Selective information exposure"/><s v="Self-Regulation and Selective Exposure"/><s v="Self-Regulation"/><s v="Stereotype threat in racial distancing"/><s v="Racial Distancing"/><s v="Sex Differences in Mate Preferences"/><s v="Sex Differences"/><s v="Self-protection in romantic relationships"/><s v="Self-esteem"/><s v="Counterfactual Thinking:"/><s v="Affect"/><s v="Social identity contingencies"/><s v="Social identity"/><s v="emotional eating"/><s v="Theory of Mind"/><s v="future (delay) discounting"/><s v="Picture–word asymmetry"/><s v="Comparative distance effect"/><s v="Automatic numerical processing"/><s v="Conceptual priming fluency"/><s v="Effect of language on vision"/><s v="Language-vision interactions"/><s v="Nonconscious goal pursuit in novel environments"/><s v="Nonconscious Goal Pursuit"/><s v="semantic neighbohood effect"/><s v="Semantic nearness"/><s v="gender differences in perceptual mechanisms"/><s v="Perception of sexual intent"/><s v="Anchor heuristics"/><s v="Numerical judgments"/><s v="optimistic bias"/><s v="Episodic memory"/><s v="preschooler’s perspective taking in word learning"/><s v="Visual perspective"/><s v="Crowd effect"/><s v="Temporal selection of visual targets"/><s v="Temporal selection"/><s v="Attraction effect"/><s v="Phonological similarity"/><s v="Error-related negativity"/><s v="Fairness preferences"/><s v="Fairness acceptance"/><s v="Representation of ensemble visual features"/><s v="Ensemble perception"/><s v="Effects of System Threat on Attraction to Women Who Embody Benevolent Sexist Ideals"/><s v="Benevolent stereotyping"/><s v="Motion aftereffect"/><s v="Motion aftereffec"/><s v="Race-based attentional bias"/><s v="Bidirectional Associations in Multiplication Memory"/><s v="Numeracy"/><s v="Emotion modulation"/><s v="Personalness of source"/><s v="Holistic recollection"/><s v="Linguistic Distancing"/><s v="Mind perception"/><s v="Within-the-bar bias"/><s v="Implicit theories of interest"/><s v="Empathic mindset"/><s v="Cognitive control"/><s v="Moral reflection"/><s v="Sleep effect on emotional memory"/><s v="Data quality on Prolific vs MTurk"/><s v="Data quality on CR vs MTurk"/><s v="Data quality"/><s v="Reasoning error"/><s v="Linguistic intergroup bias"/><s v="Stereotype"/><s v="Attentional orienting effect "/><s v="Intertemporal decisions"/><s v="Intellectual humility "/><s v="Cognitive load"/><s v="Negotiation "/><s v="Judgment"/><s v="Ensemble statistics and item memory"/><s v="Cultural Differences"/><s v="Choice Perception"/><s v="Clean Conscience"/><s v="Self-promotion"/><s v="Stigmatization"/><s v="Feature dependency"/><s v="Scarcity"/><s v="Memory-based judgments"/><s v="Free-will"/><s v="Age differences"/><s v="Community-of-knowledge hypothesis"/><s v="Face recognition"/><s v="Cynicism"/><s v="Generic language"/><s v="Saving-Enhanced Memory"/><s v="Attentional cuing"/><s v="Self-disclosure"/><s v="Sex difference"/><s v="Language acquisition"/><s v="Perception"/><s v="Hedonic Reaction"/><s v="Causal relationship"/><s v="Curiosity"/><s v="Anti-White bias"/><s v="Loneliness"/><s v="Cheating"/><s v="Mental rotation"/><s v="Cheater detection"/><s v="illusion of consensus"/><s v="Subsidizing"/><s v="Holistic processing"/><s v="Hierarchical social context "/><s v="Memory Suppression"/><s v="effect of perspective"/><s v="Emotion processing"/><s v="Learning"/><s v="Economic Insecurity"/><s v="Workplace discrimination"/><s v="Racial demographic shifts"/><s v="cooperation and public goods"/><s v="haptic priming"/><s v="Mediator Memory Effectiveness"/><s v="memory retrieval"/><s v="transactive memory,"/><s v="affirmative action"/><s v="analytic prime"/><s v="mneumonic biases"/><s v="emotion discrimination"/><s v="Assimilation and Contrast"/><s v="theoretical model"/><s v="Correspondence bias"/><s v="Perceived intentionality for side effects"/><s v="Trolley Dilemma"/><s v="False consensus"/><s v="False consensus effect"/><s v="Moral typecasting"/><s v="Less-is-better effect"/><s v="Framing"/><s v="moral foundations theory"/><s v="Trolley Dilemma: principle of double effect"/><s v="Macbeth effect"/><s v="Heat priming"/><s v="Processing fluency depending on font"/><s v="local-ladder effect"/></sharedItems></cacheField><cacheField name="tags" numFmtId="0"><sharedItems containsBlank="1"><s v="tags to increase findability - e.g. keywords from abstract"/><s v="affective flexibility, amygdala, valence, stimulus"/><s v="affective flexibility, amygdala, positive names, negative names"/><s v="Contrastivism,  knowledge, knowledge ascription, &quot;rather than&quot; clause,  contrast, context"/><s v="contrastive model, invariantist models, contextualist models, knowlege acriptions, conversational context"/><s v="anchoring, subliminal priming, judgment bias, decision-making"/><s v="Anchoring; Heuristics; Comparison; Selective accessibility; Assimilation"/><s v="mathematics, interest, students, pre-service teachers, diagnostic competence, real-world problems, performance, problem-solving"/><s v="Students"/><s v="Pre-service teachers"/><s v="language processing, inhibitory control, second language, phonological processing"/><s v="emerging adulthood; financial communication; financial conflict; financial discussion, relationship quality"/><s v="awe, humilty, vastness, world views"/><s v="humility, awe, emotion, self-concept"/><s v="Dynamic postural control, Dynamic balance, Y-Balance Test, Fatigue, Replication, Balance, Anterior reach direction, Posterolateral reach direction, Posteromedial reach direction"/><s v="Dynamic postural control, Dynamic balance, Y-Balance Test, Fatigue"/><s v="Hypothesis 1, 2, 3"/><m/><s v="Academic and Behavior Combined Support, integrated supplemental intervention , Oral reading fluency outcomes, engaged behavior, disruptive behavior"/><s v="Supplemental support, Oral reading fluency, Engagement"/><s v="reading intervention; at-risk students; reading difficulties."/><s v="Intervention vs. Control, Word reading"/><s v="Intervention vs. Control, Reading comprehension"/><s v="Intervention vs. Control, Spelling"/><s v="quantitative research methodology, meta-analysis, special education, publication bias, scientific publications"/><s v="Outcome within 2 years"/><s v="More than 2 years"/><s v="Sample size less than 100 (79)"/><s v="Sample size equal or more 100 (79)"/><s v="Number of statistical significance tests &lt; 14 (21)"/><s v="Number of statistical significance tests more or eq 14 (21)"/><s v="Academic achievement"/><s v="Socioemotional-behavioral"/><s v="language learning, second language, subjunctive, adverbial clauses, verbal moods"/><s v="consensus emergence models, inference, type I error, monte carlo, groups"/><s v="prolactin/hyperprolactinemia/schizoaffective disorder/bipolar disorder/psychotic disorder/psychiatry"/><s v="Fear extintion, vmPFC, L-DOPA"/><s v="Communication scholars, open science, theory of planned behavior"/><s v="Comprehensive Application of Behavior Analysis to Schooling model, acquisition criteria, mastery criteria, Tact training, Response maintenance"/><s v="autism spectrum disorder, false positives, listener training, mastery criteria, tact, training"/><s v="Moral hipocrisy, intergroup bias, in-group, out-group"/><s v="Anthropomorphism, agents, motivation, traits"/><s v="Perception, motor processes, speech, motor simulation"/><s v="climate change responsibility, pro-environmental attitudes, meta-analysis "/><s v="Climate change, Perceived responsibility, Proenvironmental outcomes, European social survey, Sustainability, "/><s v="behavioral interventions, sports performance"/><s v="substance use disorder,  C-reactive protein,  interleukin 8 ,  body mass index , sex differences, Cytokines"/><s v="Substance use disorder, Depression, Inflammation, Cytokines, Chemokines, Interleukin-8, Interleukin-10, C-reactive protein, Tumor necrosis factor-alpha, "/><s v="LLR, IE, CONT"/><s v="bifactor/worry/rumination/structure/repetitive thinking"/><s v="Worry, Rumination, Reflection, Big Five, Depression, Anxiety, Emotion regulation, Emotional awareness"/><s v="knowledge application task, group"/><s v="knowledge application task, phase"/><s v="knowledge application task, condition"/><s v="knowledge application task, interaction"/><s v="Near ransfer task, group"/><s v="Near ransfer task, phase"/><s v="Near ransfer task, 2 factors interaction, post test 1"/><s v="Near ransfer task, 2 factors interaction, post test 2"/><s v="Double misinformation, eyewitness memory, discrepancy detection"/><s v="discrepancy detection, eyewitness memory, misinformation availability, misinformation effect"/><s v="flanker task, morphological family&#xA;size effects, suffixes"/><s v="conjugate reinforcement, MSWO, response force, stimulus preference"/><s v="adolescence, anorexia nervosa, eating disorders, emotion recognition, emotional faces"/><s v="Anorexia nervosa (AN), Task effect"/><s v="Anorexia nervosa (AN), Emotion effect"/><s v="Anorexia nervosa (AN),  TASK   EMOTION   GROUP interaction"/><s v="Anorexia nervosa (AN),  Discrimination task, Group effect"/><s v="Anorexia nervosa (AN), TASK   Discrimination task, Emotion effect"/><s v="Anorexia nervosa (AN),  Discrimination task, Group x Emotion interaction"/><s v="Anorexia nervosa (AN),  Discrimination task, AN/HC, afraid faces"/><s v="Anorexia nervosa (AN),  RT Task"/><s v="Anorexia nervosa (AN),  Gender discrimination, Group effect"/><s v="Anorexia nervosa (AN),  RT Emotion"/><s v="Anorexia nervosa (AN),  RT, Task Emotion Interaction"/><s v="L3 acquisition, language transfer, multilingualism, statistical significance, language learning, transfer effects, linguistic theory, applied linguistics, language acquisition research, cross-linguistic influence."/><s v="Codes of ethics, questionable research practices, randomized response, research ethics, research misconduct, sensitive surveys, accounting, ethics, fraud, research, scientific method."/><s v="Corruption/Hierarchy/Organisational Design/Organisational Structure"/><s v="Corruption; hierarchy;&#xA;organisational design;&#xA;organisational structure;&#xA;replication"/><s v="NA"/><s v="Behavior Assessment System for Children-Teacher Rating Scales (BASC-3 TRS), Adjustment Scales for Children and Adolescents (ASCA), inattention, distractibility, attention deficits, hyperactivity, impulsivity"/><s v="Behavior Assessment System for Children-Teacher Rating Scales (BASC-3 TRS), Adjustment Scales for Children and Adolescents (ASCA), motor activity, restlessness, hyperactive-impulsive, attention deficit"/><s v="Behavior Assessment System for Children-Teacher Rating Scales (BASC-3 TRS), Adjustment Scales for Children and Adolescents (ASCA), social detachment, emotional distancing, anxiety-driven avoidance"/><s v="Behavior Assessment System for Children-Teacher Rating Scales (BASC-3 TRS), Adjustment Scales for Children and Adolescents (ASCA), rule-breaking, norm violations, antisocial behavior"/><s v="Behavior Assessment System for Children-Teacher Rating Scales (BASC-3 TRS), Adjustment Scales for Children and Adolescents (ASCA), disobedience, argumentative behavior, persistent defiance, noncompliance."/><s v="Behavior Assessment System for Children-Teacher Rating Scales (BASC-3 TRS), Adjustment Scales for Children and Adolescents (ASCA), hostility, provoked aggression, threatening behaviors."/><s v="Behavior Assessment System for Children-Teacher Rating Scales (BASC-3 TRS), Adjustment Scales for Children and Adolescents (ASCA), anger outbursts, impulsivity-driven aggression, impulse control."/><s v="Behavior Assessment System for Children-Teacher Rating Scales (BASC-3 TRS), Adjustment Scales for Children and Adolescents (ASCA),  hyperactivity, restlessness, disruptive behavior."/><s v="Behavior Assessment System for Children-Teacher Rating Scales (BASC-3 TRS), Adjustment Scales for Children and Adolescents (ASCA), distress, anxiety, low engagement, reduced motivation."/><s v="Expectancy-Disconfirmation Theory...public services...citizen satisfaction"/><s v="Expectancy Disconfirmation Theory, Citizen Satisfaction, Public Administration, Experimental Research, Social Psychology, Satisfaction Theory, Expectations in Public Services, Disconfirmation, Citizen Perceptions, Government Performance, Public Opinion, E"/><s v="Coordination, Dependency Length Minimization, Syntax, Stanza, Universal Dependencies"/><s v="Attention, Treatment, Randomized clinical trial, Anxiety, Worry, Generalized anxiety disorder, Attention bias, Cognitive bias modification, Attentional bias modification"/><s v="Attention,Treatment, Randomized clinical trial, Anxiety, Worry"/><s v="Wage Structure, Inequality, Technological Change, Labor Market Institutions, Minimum Wage"/><s v="Bilingual advantage, bilingualism, executive control, executive functioning, task switching"/><s v="task switching, bilingualism, executive function"/><s v="Mattering, K–12 education, teachers, meaning, teaching"/><s v="Mattering, self-esteem, health, depression, marginalization, teachers, porpuse"/><s v="Second Language Acquisition, Learner Corpus Research, Interlanguage Annotation, COREFL, acquisition order, Morpheme Order Studies, UAM Corpus Tool"/><s v="Second Language Acquisition (SLA), Interlanguage Annotation, &#xA;Morpheme Order Studies (MOS), Grammatical Morphemes, &#xA;COREFL (Corpus of English as a Foreign Language)"/><s v="language learning, anxiety, validation, scale"/><s v="Input"/><s v="Process"/><s v="Output"/><s v="Rumination; Worry; Depression; Anxiety; Network analysis; Bayesian networks; Replication"/><s v="rumination, repetitive, negative thinking, metacognitive frameworks, self-regulation"/><s v="John Hedley Brooke, Reform, Conceptual replication, Judaism, Science"/><s v="Empowerment strategies, psychological ownership, corporate attitude"/><s v="empowerment strategies, customer perception, New Product Development (NPD), consumer empowerment"/><s v="Approach bias, Behavioural bias for food, Virtual reality, VR, Motion-tracking"/><s v="Approach bias; Behavioural bias for food; Virtual reality; VR; Motion-tracking"/><s v="escalation of commitment, process accountability, outcome accountability,"/><s v="escalation of commitment, process accountability, outcome accountability"/><s v="Problem-solving prior to instruction, Conceptual replication, Bayesian reasoning, Composite instructional design, Comparison, Delaying instruction, Knowledge gap, Learning from errors, Productive failure"/><s v="escalation of commitment, responsibility effect, decision-making"/><s v="escalation of commitment; responsibility effect; decision-making"/><s v="music, emotion, nostalgia, affect, personality"/><s v="Windfall gains, bias, judgment and decision making (JDM), registered replication, choice"/><s v="Early algebra, Pre-symbolic algebraic reasoning, Elementary pre-service teachers"/><s v="terror management theory, suppression, rebound, concept accessibility, death-thought accessibility"/><s v="stress; emotion; cold pressor test; feet; cortisol; EEG; cardiovascular&#xA;"/><s v="stress; emotion; cold pressor test; feet; cortisol; EEG; cardiovascular"/><s v="Java; Web-CAT; static analysis; Checkstyle; PMD; coding style; &#xA;formatting; documentation; coding standard"/><s v="Java; Web-CAT; static analysis; Checkstyle; PMD; coding style;  formatting; documentation; coding standard, replication, style checker, error messages"/><s v="Software readability, software comprehension, software measurement, comments, method chains, experiment"/><s v="anxiety, implicit bias, attention bias, pediatric psychopathology, eye-tracking, behavioral avoidance, threat response"/><s v="Attention bias, Eye-tracking, Youth Anxiety, Irritability, Negative affect, Social Threat"/><s v="persuasion, attitudes, uncertainty, confidence, expertise"/><s v="Anxiety, threat, bias,  attention, avoidance, contingent activity, disequilibrium theory, instrumental activity"/><s v="Anxiety, threat, bias,  attention, avoidance"/><s v="Emotional over-eating, Emotional under-eating, Latent class analysis, Eating disorder, Psychological distress"/><s v="Adult eating behavior questionnaire; Disordered eating; Emotional eating; Latent class analysis."/><s v="family environment, self-esteem, adolescence, longitudinal, replication"/><s v="family environment; parenting behavior; self-esteem; childhood and adolescence; longitudinal"/><s v="identity over time, future self, well-being, life span development"/><s v="age-related microaggression, ageism, everyday ageism, ambivalent ageism, benevolent ageism, microaggression, qualitative method, older adults"/><s v="Ageism, Qualitative method, Thematic analysis"/><s v="Emotional valence, Face expression, Periphery, Replication study, Emotion perception"/><s v="shadow of the trial, guilty pleas, plea bargaining, fuzzy-trace theory, guilty plea decision-making"/><s v="Cognitive score"/><s v="VBM"/><s v="DTI"/><s v="police, calls for service, 911, demand"/><s v="protest policing; attitudes towards police; George Floyd; ethnicity; replication"/><s v="parenting, child development, parenting, stimulation, evaluation studies"/><s v="Parenting, Early Childhood, Information and Communication Technology, Behavioural Economics, Child Development"/><s v="Self-directed Learning, Language Learning, Emotions, Affect, Positive Psychology Interventions"/><s v="well-being, relationships, diversity, conversation"/><s v="social, anonymity"/><s v="Social ties, Self-perception, Self-concept, Social interactions"/><s v="Coparenting"/><s v="co-parenting, cross-cultural, family structures, measurement,&#xA;parenting"/><s v="physical activity"/><s v="Good Behavior Game, Physical Activity, Public Health, Step it UP! Game"/><s v="Conflict, Civic Engagement, Vietnam War, Historical Legacies"/><s v="phonological loop replication, word length effect, phonemic similarity, working memory, replicability predicament."/><s v="second langauge, accent"/><s v="Accentism, Speech Assessment, Workplace Performance, Competence, Treatment Preference "/><s v="Anxiety, Individual differences, EEG/ERP, Psychometrics, Error-related negativity, Error processing"/><s v="Foreign-owned establishments, environmental practices, corporate social responsibility, sustainability, green practices, international business, environmental conduct, strategic management"/><s v="Experiment 1 GAD"/><s v="Experiment 1 Control/Healthy"/><s v="Experiment 1 High Trait anxiety"/><s v="frustration, reward, response force, facial EMG"/><s v="social media use, social media engagement, social media intensity, big five personality, positive well-being, negative well-being, positive affect, negative affect, subjective well-being"/><s v="elasticity"/><s v="default effect, judgment and decision making, registered report, replication, behavioral policy, choice architecture"/><s v="artificial intelligence, religion, algorithm aversion, decision-making"/><s v="self-regulation, glucose, attention, emotion regulation, prejudice"/><s v="self-regulation, self-control, regulatory, depletion"/><s v="self regulation, self-control, thoughts, strength model"/><s v="sef regulation, intellectual performance, ego depletion, logical reasoning, information processing, Regulatory resources, complex thinking, attention regulation, emotion regulation, depleted participants"/><s v="Emotion regulation, Executive control, Limited resources, Self-regulation, Working memory"/><s v="self-control, neural, stroop task, suppression"/><s v="self-control, neural signals, error related negativity (ERN), neuroscience"/><s v="response scales, behavior reporting, social comparison, many labs"/><s v="automaticity, automatic social behavior, preparatory interaction, perception– behavior link"/><s v="IAT, implicit attitudes, implicit bias, many labs, replication"/><s v="framing effect, decision-making, risk, many labs, replication"/><s v="retrospective gambler’s fallacy, decision-making, hindsight bias"/><s v="flag priming, political attitudes, voting behavior, many labs, replication"/><s v="political psychology, priming, voting behavior, American flag"/><s v="anchoring effect, numerical estimation, cognitive bias, many labs, replication"/><s v="Ego Depletion, Self-Control, Social Psychology, Task Performance, Emotional Regulation"/><s v="1/f noise, effort, stereotyping, prejudice, Implicit racial bias, Weapon identification task"/><s v="ESP, precognition, retrocausation, Bayesian analysis, confirmatory research, extrasensory perception, erotic stimuli"/><s v="psi, parapsychology, ESP, precognition, retrocausation"/><s v="weight embodiment, importance judgments, many labs 3, replication"/><s v="communal traits, embodiment, temperature perception, social cognition"/><s v="need for cognition, message processing, persuasion, argument quality, elaboration likelihood"/><s v="Time, Money, Impatience, Happiness, Replication, Reproducibility"/><s v="Time, Money, Impatience, Happiness"/><s v="subjective distance, self-esteem, valence, temporal self-appraisal, personal past experiences."/><s v="Unconscious, Self-regulation, Embodiment, Warmth"/><s v="stroop effect, cognitive interference, attention, color-word task, selective attention."/><s v="spatial metaphors, time perception, cognitive linguistics, temporal reasoning, embodied cognition"/><s v="availability heuristic, frequency judgment, probability estimation, cognitive bias, decision-making"/><s v="power, perspective-taking, social cognition, communication"/><s v="Social proximity, attachment anxiety, physical priming,  semantic priming, priming, regression, temperature"/><s v="money, system justification, many labs, replication"/><s v="imagined contact, future intentions, many labs, replication"/><s v="IMC, satisficing, many labs, replication"/><s v="color, red, attractiveness, status, attraction"/><s v="genetic essentialism, attribution theory, legal decision making, psychological essentialism"/><s v="Anchoring effect, self-generated, replication, anchoring and adjustment, adjustment model"/><s v="anchoring-and- adjustment, heuristic, biases, self-generated"/><s v="Anchoring, Subliminal Anchoring, Subliminal Priming, Numeric Priming"/><s v="race stereotypes, life history theory, stereotype content, ecology, affordance management "/><s v="Race stereotypes, life history theory, stereotype content, ecology, affordance management"/><s v="tipping point,  change, self-insight,  judgment, information processing"/><s v="Tipping point, change, self-insight, judgment, information processing"/><s v="reputation, social evaluation, decision-making, experimental economics, moral psychology"/><s v="disclosure, transparency, trust, policy making, privacy"/><s v="disclosure, privacy, self-presentation, impression formation, social media"/><s v="racial bias, pain perception,  health care disparities, pain treatment"/><s v="Racial bias, pain perception, health care disparities, pain treatment"/><s v="conflict, dispute resolution, war and peace, incentives, social dilemma"/><s v="Conflict, dispute resolution, war and peace, incentives, social dilemma."/><s v="social networks, collective intelligence, motivated reasoning, polarization, science communication"/><s v="science communication, impression formation, social cognition"/><s v="free-will belief, interpersonal perception, correspondence bias"/><s v="inequality, income, generosity"/><s v="attraction, postural expansiveness, mate selection, nonverbal behavior, romantic relationships"/><s v="fairness, affective forecasting, decision-making"/><s v="Fairness, affective forecasting, decision-making."/><s v="subjective socioeconomic status, social class, appetite, eating behavior, food preferences"/><s v="motivation crowding out, charitable giving, multiattribute choice, attention, saliency"/><s v="cognitive strategies, craving, food, obesity, self control"/><s v="Cognitive strategies, craving, food, obesity, self-control"/><s v="climate change, temporal comparison, political ideology, attitudes, framing"/><s v="gender, gender bias, reference, judgment, evaluation"/><s v="intent, motivation, harm, blame, morality"/><s v="ideology, stereotyping, social evaluation"/><s v="temporal discounting, delay of gratification, decision making, process tracing, choice architecture"/><s v="moral, violence, dehumanization, instrumental, aggression"/><s v="punishment, evolution, reinforcement learning, game theory, commitment"/><s v="economic inequality, opportunity beliefs, policy preferences, redistribution, system justification"/><s v="economic inequality, racial disparities, socioeconomic status, racial stratification, motivated perception"/><s v="dishonesty, memory, unethical behavior, psychological dissonance, morality"/><s v="priming, moral judgment, response effort, cleanliness"/><s v="Priming, moral judgment, response effort, replication, cleanliness"/><s v="Public goods; Merit goods; Government consumption; Dynamic panel estimation"/><s v="Public goods, Merit goods, Government consumption, Consumption, Dynamic panel estimation, Crowding Out Effect "/><s v="replication; ECLS-K; teacher certification; teacher qualifications"/><s v="weight, importance, judgements, decision-making"/><s v="intentional action, side effect"/><s v="experimental philosophy"/><s v="Theory of mind, moral cognition, intention, intentional action, cross-cultural evidence, experimental philosophy"/><s v="Free will, responsibility, folk intuitions, experimental philosophy, conceptual analysis"/><s v="Moral Responsibility"/><s v="Experimental Evidence: First Phase"/><s v="free will, moral responsibility, folk intuitions"/><s v="free will"/><s v="causation by absence"/><s v="moral judgement, morality, utilitarian, cognitive control, cognitive load"/><s v="egocentric biases in mindreading, valuing"/><s v="3.1. Folk Attributions of Desires"/><s v="cause, norm"/><s v="atypicality, causality, folk psychology"/><s v="free will, moral responsibility, personality, extraversion, folk intuitions"/><s v="experience machine, Nozick, pleasure, reality, status quo bias"/><s v="epistemic side-effect"/><s v="phenomenal consciousnee, folk concept of subjective experience, hard problem of consciousness"/><s v="Study 1"/><s v="causation, norm violation, culpable control"/><s v="reality of pain, appearance of pain"/><s v="Dual-process model, Moral decision making, Moral judgment, Moral psychology, Moral reasoning, Morality, Reflection, Social intuitionist model"/><s v="Semantic intuitions, Proper names, Reference, Cultural differences, Kripke, Descriptivism;,Causal historical theory"/><s v="Akrasia  Weakness of will,  Intention, Resolution, Prototype concepts, Knobe effect"/><s v="Justified true belief, Knowledge ascription, Gettier cases, Mental state inference, Individual differences, Lay beliefs"/><s v="Knowledge ascription scores"/><s v="knobe effects"/><s v="incompatilism, bypassing"/><s v="replaceability, attitude towards refernce"/><s v="imaginative resistance "/><s v="Belief, Folk Intuitions, Moral Judgment, Motivational Internalism, Shaun Nichols, Understanding"/><s v="knowledge, stakes, mistakes "/><s v="Typo low hope, Typo high short hope"/><s v="intention, intentional action, moral considerations"/><s v="Causal reasoning, Counterfactuals, Morality, Superseding"/><s v="moral judgement, canonical moral, moral objectivity"/><s v="blame, badness, intentional action, side effect"/><s v="Free Will, Moral Responsibility, Folk Psychology"/><s v="skill, luck, control, intentional action"/><s v="Theory of mind, moral cognition, intention, intentional action, cross-cultural evidence"/><s v="moral responisbility"/><s v="blame"/><s v="praise"/><s v="Story type"/><s v="Standard True Belief versus Skeptical Pressure"/><s v="Standard True Belief vs False Belief"/><s v="Skeptical Pressure vs False Belief"/><s v="Gettier vs False belief"/><s v="Standard True Belief versus Gettier Cases"/><s v="verb type"/><s v="interaction effect, verb type"/><s v="heuristic, value, stimuli, judgment"/><s v="bouba-kiki effect, arousal, emotional mediation hypothesis, language evolution, affective iconicity, open data, open materials, preregistered"/><s v="negation, discrete and continuous processing, sentence verification, cognitive dynamics, action, pluralism"/><s v="model-based, model-free, prediction errors, choice"/><s v="mirror errors, mirror invariance, recognition, children"/><s v="semantics, experimental pragmatics, presupposition, factivity, entailment"/><s v="curiosity, exploration, rational analysis, computational model"/><s v="power, ambivalence, self-validation, action, decision time, open data"/><s v="illusions, language acquisition, modularity, perception, syntax"/><s v="forgiveness, vengefulness, humility, empathy, gender"/><s v="study 7"/><s v="morality, policymaking, personal values, scientific communication"/><s v="Study 3"/><s v="information seeking, selective exposure, information quantity, selection criterion, information direction"/><s v="study 4"/><s v="knowledge level, judgment, inference, thinking, open data"/><s v="calorie content, negative calorie illusion, healthy, food"/><s v="probabilistic pragmatics, probabilistic model, reference games, reasoning"/><s v="metamers, ventral stream, population model, stimuli"/><s v="culture, motivation, interdependence, academic achievement"/><s v="hiring, signaling, organizational commitment, credentialing, labor markets"/><s v="economic inequality, everyday life, perceived inequality, tolerance to inequality, attitudes toward redistribution"/><s v="communication, psycholinguistics, rational inference"/><s v="analogical transfer, analogical thinking, schema induction"/><s v="dehumanization, racial discrimination, police bias, intergroup processes, juvenile justice"/><s v="aging, donation, kin selection, prosocial behavior, social discounting"/><s v="confirmation bias, rational analysis, hypothesis testing, decision making, bayesian inference, determinism"/><s v="dimension, mind perception"/><s v="morality, gratitude, evolution, victims, altruism"/><s v="opportunity costs, choices, preferences, open data, open materials"/><s v="moral judgment, morality, utilitarian, cognitive control, cognitive load"/><s v="cognitive judgements, optimal predictions, perception, memory"/><s v="academic achievement, childhood development, educational psychology, motivation, open materials"/><s v="haimovitz2016_1"/><s v="haimovitz2016_2"/><s v="geometric reasoning, Eclidean, statistics, shape, planar triangles"/><s v="field experiments, A/B tests, randomized controlled trials, research ethics, pragmatic trials"/><s v="extremity, ambivalence, accessibility, mind-set, attitude strength"/><s v="attitude ambivalence"/><s v="texture, perception, computational vision, natural images"/><s v="socioeconomic status, strengths-based, adversity, academic persistence, motivation"/><s v="explanations, seductive allure, decision making"/><s v="reductive explanations"/><s v="aging, memory, subjective age, context, stereotypes"/><s v="substitution, preferences, satiation, contrast effect, categorization, open data, open materials"/><s v="choice, college, decision, education"/><s v="AI-MC, artificial Intelligence, CMC, trust"/><s v="word learning, shape bias, cross-cultural studies"/><s v="metaphor comprehension, career of metaphor, conventionality, aptness"/><s v="ease of comprehension"/><s v="moral psychology, condemnation, vignettes, deception, social signaling, open data, open materials"/><s v="construal level theory, perceived changeability, defensive information processing, self-threat, self-change, health communication"/><s v="entrepreneurship, gender inequality, field study"/><s v="theory of mind, perspective taking, egocentrism"/><s v="deviance, uniqueness, harmony, conformity, cultural values"/><s v="working memory, short-term memory, visual attention, selective attention, open materials"/><s v="Experiment 1"/><s v="social cognition, social perception, open data, open materials"/><s v="canonical perspective, canonical viewpoint, visual size, physical size, object representation"/><s v="generics, teleology, concepts, principled connections, formal explanations"/><s v="morality, self-dehumanization, repeated dishonesty, open data, preregistered"/><s v="marginally lower"/><s v="social sense, beliefs, infants, adults"/><s v="monty hall problem, tenacious brain teaser, mental models, frequency"/><s v="curse of knowledge, false belief, social cognition, reasoning"/><s v="risk taking, God, religion, risk tolerance"/><s v="system threat, benevolent sexist ideals, attraction"/><s v="moral judgment, moral development, universalization"/><s v="motivation, future, judgment, time, situated cognition, open materials"/><s v="viewing distance, psychophysical, online experiments, virtual chinrest"/><s v="visual imagery, perspective-taking, action representation, social perception"/><s v="face perception, corruption, social attribution, stereotyping, political psychology, open data, pen materials, preregistered"/><s v="study 1, corruptibility"/><s v="object persistence, spatial navigation, spatiotemporal continuity, virtual interfaces"/><s v="prejudice, racial and ethnic attitudes and relations"/><s v="intergroup dynamics, social perception, prejudice, open data"/><s v="paired samples"/><s v="object recognition, semantic access, real-world size, stroop effect"/><s v="congruency"/><s v="persuasion, morality, attitudes, attitude strength, moral conviction, open data, open materials, preregistered"/><s v="Asian Americans, model minorities, prejudice, realistic threat, emotions, attitudes"/><s v="poor, poverty, cognitive function, cognitive control"/><s v="cognitive control"/><s v="hypothesis testing, self-directed learning, category learning, Bayesian modeling, hypothesis-dependent sampling bias        "/><s v="gender-inclusive interfaces, web interface psychology, inclusive design, ambient belonging"/><s v="masculine condition"/><s v="negotiations, individual differences, judgment biases, conflict"/><s v="study 2"/><s v="transposed words, grammaticality judgments, sentence comprehension, parallel word processing, reading, open data, open materials"/><s v="moral rebels, whistleblowers, implicit moral reproach, resentment, self-affirmation"/><s v="repetition blindness, nonwords, lexical, sublexical, word recognition"/><s v="experiment 6"/><s v="Adolescent, Adult, Attention, Discrimination Learning, Eye Movements, Female, Fixation, Ocular, Humans, Male, Orientation, Probability, Psychomotor Performance, Reaction Time, Semantics, Visual Fields"/><s v="Attention, discrimination learning, eye movements, ocular, orientation, probability, semantics, visual search, dorsal stream, ventral stream"/><s v="Adult, Analysis of Variance, Communication, Conscience, Cues, Emotions [physiology], Female, Great Britain, Humans, Intuition [physiology], Judgment [physiology], Male, Morals, Social Behavior, Social Perception, Students [psychology], Young Adult"/><s v="Adult, Analysis of Variance, Communication, Conscience, Cues, Emotions, Female, Great Britain, Humans, Intuition, Judgment, Male, Morals, Social Behavior, Social Perception, Students, Young Adult, Replication, Embodiment, Cleanliness, Morality, Effect Siz"/><s v="Attention, Contrast Sensitivity, Depth Perception, Discrimination Learning, Field Dependence-Independence, Humans, Optical Illusions, Orientation, Pattern Recognition, Visual"/><s v="Attention, Contrast Sensitivity, Depth Perception, Discrimination Learning, Field Dependence-Independence,  Optical Illusions, Orientation, Pattern Recognition, Visual, Extremal edges"/><s v="Attitude, Cross-Cultural Comparison, Culture, Humans, Morals, Personality, Personality Inventory"/><s v="Attitude, Cross-Cultural Comparison, Culture, Morals, Personality, Personality Inventory, Reference group effect, perceptions of national character, Fragile State Index"/><s v="Adult, Attention, Choice Behavior, Female, Humans, Male, Metaphor, Personality, Social Dominance, Space Perception, Spatial Behavior"/><s v="Attention, Choice Behavior, Metaphor, Personality, Social Dominance, Space Perception, Spatial Behavior, verticality/power relationship,  spatial attention task"/><s v="Attention, Conflict (Psychology), Cues, Goals, Humans, Inhibition (Psychology), Intention, Memory, Short-Term, Orientation, Pattern Recognition, Visual, Psychomotor Performance, Reaction Time"/><s v="Goal shielding, attention, conflict, cues, inhibition, prespectice memory, pattern recognition"/><s v="Adult, Age Factors, Animals, Attention, Child, Preschool, Fear, Field Dependence-Independence, Humans, Pattern Recognition, Visual, Reaction Time, Snakes"/><s v="Age Factors, Animals, Attention, Preschool, Fear, Field Dependence-Independence, Pattern Recognition, Visual, Reaction Time, Snakes"/><s v="Adult, Attention, Concept Formation, Discrimination Learning, Female, Humans, Judgment, Male, Memory, Short-Term, Motivation, Pattern Recognition, Visual, Problem Solving"/><s v="Value heuristic, judgement, frequency, attention, concept formation, discrimination learning, short-term memory, pattern recognition, problem solving"/><s v="Attention, Cues, Head, Humans, Space Perception, Vocabulary"/><s v="Language and perception, mental imagery, perceptual simulation, reflexive orienting, spatial attention"/><s v="Adult, Bias (Epidemiology), Choice Behavior, Cognition, Computer Simulation, Decision Making, Decision Theory, Feedback, Psychological, Female, Humans, Judgment, Male"/><s v="Sampling, decision making, sampling bias, natural sampling, information search"/><s v="Adolescent, Adult, Association Learning, Attention, Color Perception, Cues, Discrimination Learning, Female, Humans, Male, Memory, Short-Term, Orientation, Reaction Time, Serial Learning"/><s v="Recognition, working memory, serial position curves, recollection, familiarity"/><s v="Attentional Blink, Humans, Judgment, Memory, Short-Term, Pattern Recognition, Visual, Reading, Semantics, Serial Learning, Verbal Learning"/><s v="Attention, Humans, Inhibition (Psychology), Intention, Mental Recall, Paired-Associate Learning, Psycholinguistics, Semantics, Verbal Learning"/><s v="Directed forgetting, context change, list-strength effect, spacing effect"/><s v="Adult, Attention, Color Perception, Cues, Female, Functional Laterality, Humans, Inhibition (Psychology), Male, Multilingualism, Orientation, Pattern Recognition, Visual, Psychomotor Performance, Reaction Time"/><s v="Bilingualism, inhibition, executive functions"/><s v="Adult, Attention, Female, Humans, Male, Mathematics, Mental Recall, Paired-Associate Learning, Problem Solving, Reaction Time, Semantics"/><s v="Analogy, relational priming, cognitive arithmetic, mathematical reasoning, conceptual integration"/><s v="Adult, Attention, Discrimination Learning, Humans, Memory, Short-Term, Pattern Recognition, Visual, Practice (Psychology), Probability Learning, Retention (Psychology), Serial Learning"/><s v="Hebb repetition effect, implicit memory, sequence learning, serial recall, error analysis"/><s v="Attention, Humans, Phonetics, Reaction Time, Reading, Semantics, Speech, Writing"/><s v="Pathway control hypothesis, reading aloud, exogenous control, executive control, phonology"/><s v="Adolescent, Adult, Attention, Decision Making, Discrimination Learning, Female, Humans, Male, Mental Recall, Phonetics, Reaction Time, Reading, Semantics"/><s v="Additive effects, distributional analysis, stimulus quality, word frequency, lexical decision"/><s v="Attention, Conflict (Psychology), Field Dependence-Independence, Humans, Inhibition (Psychology), Pattern Recognition, Visual, Reaction Time, Reading, Semantics"/><s v="Semantic interference effect, lexical selection by competition, picture–word interference, delayed naming, response exclusion hypothesis"/><s v="Association Learning, Color Perception, Discrimination Learning, Humans, Motion Perception, Orientation, Pattern Recognition, Visual, Perceptual Masking, Probability Learning, Problem Solving, Psychophysics"/><s v="Statistical learning, feature binding, objects, feature dimensions"/><s v="Attention, Color Perception, Decision Making, Discrimination Learning, Functional Laterality, Humans, Memory, Short-Term, Pattern Recognition, Visual, Perceptual Masking, Psychomotor Performance, Psychophysics, Reaction Time, Size Perception"/><s v="Task switching, working memory, resource sharing, complex span tasks"/><s v="Association Learning, Causality, Humans, Judgment, Likelihood Functions, Probability Learning, Problem Solving"/><s v="Cause prevalence effect"/><s v="Association Learning, Attention, Discrimination Learning, Humans, Memory, Short-Term, Pattern Recognition, Visual, Reading, Serial Learning, Speech Perception, Time Perception"/><s v="Serial recall, timing, short-term memory, recall latencies, grouping"/><s v="Association Learning, Attention, Field Dependence-Independence, Humans, Orientation, Pattern Recognition, Visual, Problem Solving, Reproducibility of Results"/><s v="Attention, statistical computation, sssociative learning, language"/><s v="Adolescent, Adult, Attention, Color Perception, Cues, Discrimination Learning, Female, Humans, Inhibition (Psychology), Male, Memory, Short-Term, Orientation, Pattern Recognition, Visual, Psychophysics, Reaction Time, Retention (Psychology)"/><s v="Visual working memory, visual attention, memory decay, memory interference, change detection, Simplified Comparison Hypothesis, Interim Interference, Probe Interference Hypothesis"/><s v="Adolescent, Adult, Association Learning, Bayes Theorem, Choice Behavior, Culture, Decision Making, Decision Theory, Female, Gambling [psychology], Health Behavior, Humans, Individuality, Male, Pattern Recognition, Visual, Psychomotor Performance, Risk-Tak"/><s v="Risk taking, learning, Bayesian, individual differences, cognitive psychometrics"/><s v="Attention, Cues, Humans, Memory, Short-Term, Mental Recall, Paired-Associate Learning, Practice (Psychology)"/><s v="Retrieval-induced forgetting, inhibition, learning, memory, forgetting"/><s v="Adult, Character, Culture, Defense Mechanisms, Female, Humans, Imagination, Judgment, Male, Morals, Prejudice, Rejection (Psychology), Self Concept, Social Conformity, Social Desirability, Social Perception, Social Responsibility"/><s v="Adolescent, Adult, Alcohol Drinking, Analysis of Variance, Attitude, Behavioral Research [methods], Cognition, Emotions, Factor Analysis, Statistical, Female, Humans, Male, Prejudice, Psychological Tests, Reproducibility of Results, Social Conformity, Soc"/><s v="Implicit, explicit, attitude, automatic, measurement, prejudice, social conformity, social perception, truth disclosure"/><s v="Adolescent, Adult, Child, Comprehension, Data Collection, Extraversion (Psychology), Female, Humans, Informed Consent, Internet, Language Development, Male, Patient Selection, Personality Development, Personality Inventory [statistics &amp; numerical data], P"/><s v="Five-factor model, personality structure, reliability, validity"/><s v="Adaptation, Psychological, Adolescent, Adult, Adult Children [psychology], Attitude to Death, Defense Mechanisms, Fear, Female, Humans, Male, Mental Recall, Middle Aged, Object Attachment, Parent-Child Relations, Self Efficacy, Social Support"/><s v="Terror management, mortality salience, adult attachment, close relationships, parents"/><s v="Attention, Awareness, Cues, Culture, Decision Making, Feeding Behavior, Female, Goals, Humans, Internal-External Control, Judgment, Male, Mental Recall, Persuasive Communication, Problem Solving, Psychomotor Performance, Semantics, Set (Psychology)"/><s v="Action goals, self-regulation, behavior"/><s v="Attention, Color Perception, Discrimination Learning, Field Dependence-Independence, Humans, Memory, Short-Term, Mental Recall, Pattern Recognition, Visual, Practice (Psychology), Psychophysics"/><s v="Perceptual learning, spaced practice, memory, discrimination"/><s v="Affect, Attention, Comprehension, Concept Formation, Conflict (Psychology), Cues, Culture, Female, Humans, Male, Memory, Short-Term, Mental Recall, Motivation, Reading, Retention (Psychology)"/><s v="Affective coherence, embodiment, affect, motor behavior, facial expression"/><s v="African Americans, Analysis of Variance, Cognition, Conflict (Psychology), European Continental Ancestry Group, Evoked Potentials, Female, Group Processes, Humans, Inhibition (Psychology), Models, Psychological, Motivation, Neuropsychology, Prejudice, Uni"/><s v="Prejudice, control, ERP, ERN, conflict monitoring"/><s v="Analysis of Variance, Attitude, Biofeedback, Psychology, Brain Mapping, Cognitive Dissonance, Decision Making, Female, Humans, Male, Models, Psychological, Prefrontal Cortex [physiology]"/><s v="Cognitive dissonance, action-based model, approach motivation, asymmetrical frontal cortical activity, neurofeedback"/><s v="Adult, Anger, Communication, Deception, Dominance-Subordination, Emotions, Fear, Female, Goals, Humans, Interpersonal Relations, Male, Motivation, Negotiating, Power (Psychology), Rejection (Psychology)"/><s v="Emotions, bargaining, deception, fairness, self-interest"/><s v="Adult, Affect, Analysis of Variance, Female, Humans, Interpersonal Relations, Male, Models, Psychological, Object Attachment, Questionnaires, Rejection (Psychology), Self Concept, Sexual Partners [psychology], Social Desirability, Social Perception, Spous"/><s v="Close relationships, egocentrism, relationship security, acceptance, emotion expression, expression-based authenticity doubts, vulnerability"/><s v="Adolescent, Adult, Communication, Data Collection, Female, Friends [psychology], Humans, Internet, Interpersonal Relations, Longitudinal Studies, Male, Marriage, Middle Aged, Projection, Questionnaires, Self Concept, Social Support, Spouses [psychology]"/><s v="Projection of responsiveness, assumed similarity, social support, communal relationships, self-disclosure"/><s v="Adult, Attention, Cues, Decision Making, Female, Humans, Judgment, Male, Memory, Short-Term, Models, Statistical, Psychomotor Performance, Reaction Time, Reading, Retention (Psychology), Serial Learning, Signal Detection, Psychological, Speech, Verbal Lea"/><s v="Fluency, repetition priming, recognition, computational model"/><s v="Adult, Age Factors, Aged, Aging [psychology], Analysis of Variance, Emotions, Female, Human Development, Humans, Imagination, Male, United States"/><s v="Aging, emotions, mixed emotions, human development, poignancy, endings, socioemotional selectivity theory, experience of ending"/><s v="African Americans, Behavioral Research [statistics &amp; numerical data], Bias (Epidemiology), European Continental Ancestry Group [psychology], Fourier Analysis, Humans, Prejudice, Reaction Time, Regression Analysis, Stereotyping"/><s v="1/f noise, effort, stereotyping, prejudice, bias, fourier analysis"/><s v="Association Learning, Attention, Concept Formation, Dominance, Cerebral, Female, Field Dependence-Independence, Generalization (Psychology), Gestalt Theory, Humans, Judgment, Male, Pattern Recognition, Visual, Psychomotor Performance, Self Concept, Social"/><s v="Assimilation and contrast; exclusion versus inclusion; processing styles"/><s v="Adolescent, Adult, Anger [physiology], Attitude, Empathy, Female, Group Processes, Guilt, Humans, Individuality, Interpersonal Relations, Male, Mental Recall [physiology], Motivation, Sex Factors, Social Behavior, Social Perception, Students [psychology]"/><s v="Culture, Female, Humans, Intuition, Judgment, Male, Motivation, Negativism, Probability, Social Environment"/><s v="Tempt fate, magical thinking, accessibility, negativity"/><s v="Adult, Affect [physiology], Africa, Western, Aged, Anger [physiology], Cross-Cultural Comparison, Emotions [physiology], Ethnic Groups [psychology], Facial Expression, Fear [psychology], Female, Happiness, Humans, Italy, Male, Middle Aged, Nonverbal Commu"/><s v="Pride, self-conscious emotion, cross-cultural, universal, emotion recognition"/><s v="Attention, Humans, Individuality, Memory, Short-Term, Models, Statistical, Phonetics, Psychomotor Performance, Semantics, Serial Learning, Verbal Learning"/><s v="Word Length Effect"/><s v="Adolescent, Adult, Aptitude, Cognition, Culture, Decision Making, Female, Humans, Judgment, Male, Probability Learning, Problem Solving, Thinking"/><s v="Thinking biases, heuristics and biases, intelligence, cognitive ability"/><s v="Attitude, Cognition, Humans, Mental Processes, Persuasive Communication, Thinking"/><s v="Values, information processing, resistance to persuasion, message, communication, attitude"/><s v="Conflict (Psychology), Culture, Female, Group Processes, Humans, Individuality, Male, Motivation, Personal Satisfaction, Social Conformity, Social Dominance, Social Identification"/><s v="Minorities, deviance, social norms"/><s v="Adolescent, Adult, Aged, Attitude, Charities [economics], Female, Fund Raising [ethics], Goals, Humans, Male, Middle Aged, Motivation, Social Control, Informal"/><s v="Goals, self-regulation, motivation, commitment, progress, charities, fund raising, social control"/><s v="Association Learning, Attention, Awareness, Humans, Illusions [psychology], Lawyers [psychology], Mental Recall, Physicians [psychology], Reading, Set (Psychology), Social Perception, Stereotyping"/><s v="Source memory, stereotypes, remember, recollection, false memory"/><s v="Adult, Attitude, Behavior [physiology], Decision Making [physiology], Female, Goals, Humans, Self Concept, Set (Psychology), Students [psychology], Task Performance and Analysis"/><s v="Adaptation, Psychological, Adult, Analysis of Variance, Conflict (Psychology), Cooperative Behavior, Emotions, Female, Humans, Israel, Male, Models, Psychological, Negotiating, Power (Psychology), Role, Social Perception"/><s v="reconciliation, conflict resolution, emotional needs, victims, perpetrators, adaptation, conflict, cooperative behavior, emotions, negotiating, social acceptance"/><s v="Adolescent, Adult, Awareness, Cues, Face, Female, Hair, Heterosexuality [psychology], Homosexuality, Male [psychology], Humans, Judgment, Male, Nonverbal Communication, Sexual Behavior, Social Perception, Stereotyping, Young Adult"/><s v="Heuristic, inference, subjective predictor, objective performance, personality traits"/><s v="Adolescent, Adult, Choice Behavior, Decision Making, Female, Humans, Male, Mental Processes, Middle Aged"/><s v="Adolescent, Adult, Cognition [physiology], Decision Making [physiology], Ego, Female, Humans, Internal-External Control, Male, Middle Aged, Motivation, Self Concept, Students [psychology]"/><s v="Self-regulation, depletion of self-regulation resources, confirmatory information processing, selective exposure, decision making, ego, internal-external control, , motivation, self concept"/><s v="African Americans, Analysis of Variance, European Continental Ancestry Group [psychology], Humans, Male, Prejudice, Social Distance, Stereotyping, United States"/><s v="Stereotype threat, racial bias, racial discrimination, social distance, prejudice"/><s v="Adult, Choice Behavior, Empathy, Female, Humans, Love, Male, Marriage [psychology], Questionnaires, Sexual Behavior [psychology], Sex differences, mate preferences, speed dating, empathy gap, a priori theories, love, partner, sexual behavior, physical att"/><s v="Sex differences, mate preferences, speed dating, empathy gap, a priori theories, love, partner, sexual behavior, physical attractiveness"/><s v="Attention, Choice Behavior, Color Perception, Data Interpretation, Statistical, Humans, Memory, Short-Term, Paired-Associate Learning, Reaction Time, Semantics"/><s v="Adolescent, Adult, Conflict (Psychology), Courtship [psychology], Female, Goals, Humans, Intention, Interpersonal Relations, Male, Models, Psychological, Questionnaires, Rejection (Psychology), Risk Reduction Behavior, Self Concept, Students [psychology],"/><s v="Relationships, risk, connectedness, self-protection, interpersonal Relations, Rejection, Risk Reduction Behavior, Self Concept"/><s v="Affect, Decision Making, Defense Mechanisms, Female, Humans, Internal-External Control, Male, Motivation, Self Concept, Social Responsibility, Thinking"/><s v="Counterfactual thinking, self-handicapping, self-protection, motivation"/><s v="Adolescent, Adult, African Continental Ancestry Group [psychology], Cues, Cultural Diversity, Female, Hierarchy, Social, Humans, Judgment, Male, Organizational Culture, Prejudice, Rejection (Psychology), Social Identification, Social Values, Stereotyping,"/><s v="Identity threat, African Americans, diversity, stigma"/><s v="Literary Fiction, Theory of Mind, Author Recognition Test, RMET"/><s v="intertemporal choice, future (delay) discounting, blood glucose"/><s v="Association Learning, Attention, Color Perception, Computer Simulation, Eye Movements, Field Dependence-Independence, Humans, Pattern Recognition, Visual, Phonetics, Reaction Time, Reading, Semantics, Verbal Behavior"/><s v="Attention, cascade processing, eye movements, word production"/><s v="Association Learning, Attention, Automatism [psychology], Comprehension, Discrimination (Psychology), Humans, Multilingualism, Paired-Associate Learning, Pattern Recognition, Visual, Problem Solving, Psychophysics, Reaction Time, Size Perception"/><s v="Automaticity, numerical processing, numerical notations"/><s v="Adult, Distance Perception, Environment, Female, Humans, Male, Perception, Questionnaires, Visual Perception"/><s v="Сonstrual level theory, distance perception, environment, perception, questionnaires, visual perception, fluency"/><s v="Child, Preschool, Cognition, Cues, Female, Humans, Language, Male"/><s v="Child, preschool, cognition, cues, language, color-location conjunctions, language-vision interactions"/><s v="Achievement, Awareness, Cues, Goals, Humans, Mental Recall, Motivation, Orientation, Pattern Recognition, Visual, Problem Solving, Reaction Time, Serial Learning, Social Environment, Unconscious (Psychology), Verbal Learning"/><s v="Achievement, Awareness, Cues, Goals, Mental Recall, Motivation, Orientation, Pattern Recognition, Visual, Problem Solving, Reaction Time, Serial Learning, Social Environment, Unconscious, Verbal Learning"/><s v="Attention, Child, Preschool, Female, Generalization (Psychology), Humans, Language Development, Male, Mental Recall, Reaction Time, Retention (Psychology), Semantics, Serial Learning, Speech Perception"/><s v="Association Learning, Attention, Humans, Inhibition (Psychology), Orientation, Reaction Time, Reading, Semantics"/><s v="Semantics, neighborhood density, word recognition, attractor networks"/><s v="Adult, Decision Making, Female, Humans, Intention, Male, Models, Psychological, Pilot Projects, Sex Factors, Sexual Behavior, Social Perception"/><s v="Decision Making, Intention, Models, Psychological, Pilot Projects, Sex Factors, Sexual Behavior, Social Perception, perception bias, choice-prediction model, GLM"/><s v="Humans, Judgment, Mathematics"/><s v="Numerical anchor, numerical judgments, bias"/><s v="Adolescent, Adult, Attention, Choice Behavior, Conflict (Psychology), Decision Making, Female, Humans, Male, Psychomotor Performance, Reaction Time, Set (Psychology), Thinking"/><s v="Choice, conflict Decision making, Female, Humans, Male, psychomotor performance, multiple response alternatives"/><s v="Affect, Attitude, Coercion, Forecasting, Humans, Time Perception"/><s v="Affect, Attitude, Coercion, Forecasting, Humans, Time Perception, predictions"/><s v="Adult, Aged, Aging [psychology], Female, Humans, Imagination, Life Change Events, Male, Mental Recall, Middle Aged, Neuropsychological Tests, Word Association Tests"/><s v="Aged, Aging, Imagination, Life Change Events, Mental Recall, Middle Aged, Neuropsychological Tests, Word Association Tests"/><s v="Attention, Child, Preschool, Comprehension, Female, Humans, Language Development, Male, Personal Construct Theory, Semantics, Verbal Learning, Visual Perception"/><s v="Attention, Preschool, Comprehension, Language Development, Personal Construct Theory, Semantics, Verbal Learning, Visual Perception"/><s v="Crowding, Humans, Models, Statistical"/><s v="Crowd effect, wisdom of the crowd, Crowding, probability"/><s v="Adolescent, Adult, Attentional Blink, Cues, Female, Humans, Inhibition (Psychology), Male, Pattern Recognition, Visual, Probability, Reaction Time, Serial Learning, Time Perception"/><s v="Temporal selection, attentional blink, stimulus onset asynchronies, efficacy, latency, precision, selective attention"/><s v="Adult, Association, Attention [physiology], Beverages, Blood Glucose [metabolism], Brain [physiology], Female, Humans, Inhibition (Psychology), Interpersonal Relations, Intuition [physiology], Judgment [physiology], Logic, Male, Motivation, Physical Exert"/><s v="Association, Attention, Beverages, Blood Glucose, Brain, Inhibition, Interpersonal Relations, Judgment, Logic, Motivation, Physical Exertion, Problem Solving, Set, dual-process reasoning"/><s v="Attention, Humans, Mental Recall, Phonetics, Psychoacoustics, Semantics, Serial Learning, Speech Perception, Verbal Learning"/><s v="Auditory distraction, phonological similarity, selective attention, free recall, serial recall"/><s v="Affect, Defense Mechanisms, Female, Humans, Male, Motivation, Time Factors, Verbal Behavior, Vocabulary"/><s v="Error-related negativity, motivation, affect, defense mechanisms, verbal behavior, vocabulary"/><s v="Adolescent, Adult, Affect, Cerebral Cortex [physiology], Conflict (Psychology), Female, Happiness, Humans, Male, Prefrontal Cortex [physiology], Reward, Social Control, Informal, Social Justice"/><s v="Affect, Cerebral Cortex, Conflict, Happiness, Prefrontal Cortex, Reward, Social Control, Informal, Social Justice, fairness, acceptance, ultimatum game"/><s v="Adolescent, Adult, Attention, Humans, Visual Perception"/><s v="Attention, Visual Perception, object tracking task, local visual features, statistical summary features"/><s v="Animals, Macaca mulatta, Macaca radiata, Neurophysiology, Reaction Time, Saccades [physiology], Visual Fields [physiology], Visual Perception"/><s v="Adolescent, Adult, Canada, Cross-Cultural Comparison, Culture, Humans, Male, Politics, Prejudice, Rationalization, Social Change, Social Desirability, Socioeconomic Factors, Stereotyping"/><s v="Prejudice, rationalization, social change, social desirability, socioeconomic factors, stereotyping, system-justification theory, benevolent stereotyping, relationship"/><s v="Adolescent, Adult, Child, Child Development, Cohort Studies, Educational Status, Female, Great Britain, Humans, Individuality, Intelligence, Male, Models, Psychological, Politics, Prejudice, Social Class, Social Justice, Social Values"/><s v="Attention, Cues, Figural Aftereffect, Humans, Imagination, Motion Perception, Orientation, Pattern Recognition, Visual, Photography, Psychophysics, Transfer (Psychology)"/><s v="Attention, Cues, Figural Aftereffect, Humans, Imagination, Motion Perception, Orientation, Pattern Recognition, Visual, Photography, Psychophysics"/><s v="Adult, Anxiety [psychology], Arousal [physiology], Attention, Attitude, Bias (Epidemiology), Facial Expression, Female, Humans, Male, Prejudice"/><s v="Attentional bias, prejudice, anxiety, dot-probe detection paradigm, threatening cues, race, motivation"/><s v="Adolescent, Adult, Female, Humans, Male, Mathematics, Mental Recall, Practice (Psychology), Problem Solving, Retention (Psychology), Transfer (Psychology)"/><s v="Arithmetic, factoring, multiplication, transfer, identical elements"/><s v="fMRI, Emotion, Attention, Stroop interference, Emotional interference"/><s v="Social media, collective action, connective action, source effects, cognitive elaboration, source credibility"/><s v="holistic recollection, memory development, pattern completion, episodic memory, open data, open materials"/><s v="Linguistic Distancing, Reappraise Negative condition"/><s v="Emotion, emotion regulation, psychological distance, language"/><s v="Mind perception; change; mental time travel; emotions; rationality"/><s v="Experiment 3"/><s v="Graph comprehension; graph design; medical decision-making; graph literacy; risk communication"/><s v="Motivation, social cognition, interest, passion, implicit self-theories"/><s v="Teacher–student relationships, empathy,  respect, school suspensions, discipline"/><s v="experiment 1, Reward × Transition × Stroop (infrequent)"/><s v="Behavior, reinforcement learning, cognitive control, decision making, individual differences, neural substrate, sequential choice, control paradigm"/><s v="Values, information processing, resistance to persuasion"/><s v="Dual-process model; Moral decision making; Moral judgment; Moral psychology; Moral reasoning; Morality; Reflection; Social intuitionist model"/><s v="after sleep"/><s v="Arousal, Attention, Circadian Rhythm, Emotions, Humans, Pattern Recognition, Visual, Retention, Sleep, Wakefulness"/><s v="Data quality, Online research, Attention, Comprehension, Reliability, Honesty, Amazon mechanical turk, Prolific"/><s v="Out-group prejudice, pathogen avoidance, disgust sensitivity, social categories, open data, open materials"/><s v="Socioeconomic status, immoral action, ethical judgment, self-interest"/><s v="experiment 2"/><s v="Zero sum, intuitive judgment, cognitive bias, evidential reasoning, probabilistic reasoning, open data, open materials"/><s v="Social category inference."/><s v="Policy ratings"/><s v="Social cognition, social perception, attitudes, intergroup dynamics, language, open data"/><s v="Stereotyped attitudes, social perception, prejudice, sex-role attitudes"/><s v="Attention, Visuospatial attention, Number processing, ERPs, early directing attention negativity, anterior directing attention negativity"/><s v="relative magnitude effect,"/><s v="Intertemporal choice, discounting, tradeoffs, sequences"/><s v="Intellectual Humility, Self-Serving Bias, Perceived Partner Responsiveness,  Interpersonal Affirmation, global-local visual processing task, self-affirmation"/><s v="Task switching and memory"/><s v="Attention, long-term memory"/><s v="Study 6"/><s v="Deception, lying, negotiation, paltering, risk"/><s v="Moral cognition, purity, harm, scope insensitivity, open data, open materials, preregistered"/><s v="Working memory, constructive memory, ensemble statistics, summary statistics"/><s v="Choice, construal, action identification, culture, India"/><s v="Participants who perceived more choice were less disturbed by wealth inequality compared to those in the control condition"/><s v="Experiment 1a"/><s v="Negotiation, power, alternatives, first offer, anchoring, negotiator focus"/><s v="Moral Judgment, Intuitive Processes, Physical Purity, Disgust and Cleanliness, Moral Intuition"/><s v="Social interaction, emotions, interpersonal relationships, judgment, social behavior, open data, open materials"/><s v="Experiment 2, emotion x condition"/><s v="Experiment 2, happy"/><s v="Experiment 2, proud"/><s v="Experiment 2, jealous"/><s v="Experiment 2, annoyed"/><s v="Experiment 2, upset"/><s v="Experiment 2, angry"/><s v="Experiment 2, inferior"/><s v="Race, sexual orientation, intersectionality, foreign stereotypes, acceptance"/><s v="Binding, visual working memory, visual long-term memory, object-based attention"/><s v="Context effects, judgment and decision making, scarcity, open data, open materials"/><s v="Memory, judgments, ordinal rank, encode, open data, open materials"/><s v="Punishment and blameworthiness."/><s v="Free will, punishment, morality, responsibility, blame, open materials"/><s v="Motivation, socioemotional selectivity theory, time horizons, work preferences, older workers"/><s v="Choice, emotion, emotion regulation, self-regulation, emotional control, self-control"/><s v="Emotions, perception, individual differences"/><s v="Cognitive processes, knowledge level, judgment, monitoring, open data, open materials"/><s v="Experiment 1, regression"/><s v="Social perception, face perception, face typicality, distinctiveness, trustworthiness, attractiveness, familiarity, open data, open materials"/><s v="Study 3, Cynicism"/><s v="Bidirectional effects, cynicism, disrespect, hostility"/><s v="Cognitive development; Concepts; Generic language; Language understanding; Language acquisition; Semantics"/><s v="Recall performance for File B"/><s v="Memory, human-computer interaction, cognition(s), forgetting"/><s v="Attention, perception, face perception, visual attention"/><s v="Self-reference, social cognition, reward, functional MRI"/><s v="Spatial ability, perspective taking, individual differences, stereotype threat, gender, open materials"/><s v="Child language acquisition, disjunction interpretation, scalar implicatures, cross-linguistic comparison, logical reasoning in children"/><s v="RTS"/><s v="Age, process dissociation, stereotyping, threat, weapon identification task"/><s v="Relative adjectives, reference points, norm-based interpretation, scale sensitivity, real-time processing"/><s v="Cognitive development, inherence heuristic, sociomoral judgments, explanation, open data, open materials, preregistered"/><s v="Stereotyped attitudes, socioeconomic status, social cognition, open data, open materials"/><s v="Social media, Facebook, self-control, temptation, craving"/><s v="Stability, Robustness, Invariance, Sensitivity, Causality, Explanation, Background conditions, Moderating variables"/><s v="Choice and preference independently enhanced curiosity"/><s v="Curiosity, choice, uncertainty, expected value, information seeking, open data, open materials, preregistered"/><s v="Money, Motivation, Behavior, Self-sufficiency, Dependency, Priming, Money reminders, Causal behavior, Interpersonal relationships, Financial strain"/><s v="Sex, judgment, decision making, sex differences, sexual economics"/><s v="Cues, Electrocorticography, Hippocampus, Humans, Magnetic Resonance Imaging, Mental Recall, Pattern Recognition, Theta Rhythm"/><s v="Does SLB endorsement moderate perceptions of anti-White bias?"/><s v="Anti-White bias, discrimination, status-legitimizing beliefs, prejudice, racial-ethnic attitudes and relations, social perception"/><s v="Attention, Electroshock, Loneliness, Pleasure"/><s v="Ethics, Cheating, Decision making, Dishonesty, Rationalization, Justification"/><s v="Mental rotation, capacity, attention, selection, tracking, eye tracking, visual working memory"/><s v="Free riding, common good, norm enforcement, moral development, cooperation, open data, open materials, preregistered"/><s v="Temporal perception, Spatial perception, Transient spatial attention, Temporal resolution, Two-flash fusion threshold"/><s v="Consensus, conformity, social learning, reasoning, open data, open materials, preregistered"/><s v="Amount of subsidies (in Swiss Francs)"/><s v="Childcare, Preferences, Choice experiment, Subsidies, Families"/><s v="Decision making, judgment, environmental effects, climate change, open data, open material"/><s v="Holistic processing, composite-face effect, expertise, face perception, Gestalt"/><s v="Processing fluency, social hierarchy, liking, asymmetry, familiarity"/><s v="study 5"/><s v="Judgment, accuracy, fairness, social cognition, base rates, open data, open materials"/><s v="Memory suppression, forgetting, trauma, PTSD, inhibitory control, thought control"/><s v="Reading; comprehension; emotion; perspective; pronouns"/><s v="Concept Learning, Cultural Ratchet, Language Transmission, Generics and Quantifiers, Boolean Concepts"/><s v="Economic insecurity, pain, sense of control"/><s v="experiment 1 inattentional blindness"/><s v="Motherhood penalty, workplace discrimination, wage gap, competence bias, hiring bias"/><s v="Political conservatism, conservative shift, demographic changes"/><s v="Decision speed, motives, moral judgment, moral character, certainty"/><s v="Social Science Replication Project, Science, Nature, Human Behavior"/><s v="social networks, inequality, wealth generation"/><s v="disgust, disgust sensitivity, moral judgment, homosexuality"/><s v="assimilation effects, contrast effects, general question, specific question, judgement"/><s v="Many Labs 2"/><s v="attitude, behaviour, correspondence, bias"/><s v="intentional action, folk psychology, prediction, explanation, control, behaviour"/><s v="double effect, moral judgments, justifications, moral dilemma"/><s v="false consensus, egocentric bias, social perception, attribution processes, choices"/><s v="morality, perception, judgment, decision making, reasoning"/><s v="cross-cultural analysis, epistemology, reasoning, concepts"/><s v="preference reversal, evaluability, dominance violation, joint and separate evaluation, willingness to pay"/><s v="cardinal direction, valence, preference, cultural differences, metaphoric associations"/><s v="decision problems, preference, perception, rational choice"/><s v="morality, ideology, liberal, conservative"/><s v="consumerism, materialism, situationism, social engagement, well-being, personal values"/><s v="basic anchoring, numeric priming, incidental anchoring, accessibility"/><s v="leadership, power, person perception, embodiment, metaphor"/><s v="physical cleansing, effect, sins, physical purity, moral purity"/><s v="structure seeking, pattern perception, self-regulation, goal pursuit, compensatory control"/><s v="prosocial, individualistic, competitive orientations, social interaction"/><s v="climate change, global warming, judgements, belief, temperature"/><s v="fluency, disfluency, dual-system processing, reasoning, judgment"/><s v="social structure, socioeconomic status, well-being"/><s v="prospect theory, affective, s-shaped, affect-rich, affect-poor, outcome"/><s v="compatibility, choosing, rejecting, enriched option, impoverished option, preference"/></sharedItems></cacheField><cacheField name="description" numFmtId="0"><sharedItems containsBlank="1"><s v="Description of the effect under investigation (e.g., x is associated with y, x leads to y), possibly a part of the original publication's title (abstract claim)"/><s v="interaction between scanning condition (positive or negative) and stimulus valence"/><m/><s v="The two conditions of the experiment involve ascribing knowledge of the very same proposition (&quot;rather than&quot; clause) and they differ only in that they pick out two different contrasts to that proposition: subject or object. "/><s v="Thief contrast codition tend to agree more compared to jewel contrast condition with knowledge ascription"/><s v="estimates for numeric judgments are assimilated toward anchor values, even when these anchors are presented subliminally and outside of conscious awareness"/><s v="Subliminally presented numerical anchors influence judgment, causing estimates to shift toward the anchor values without participants being consciously aware of the anchors."/><s v="Influence of the Type of Mathematical Problems on Students’ Interest"/><s v="Influence of the Type of Mathematical Problems on Students’ and Pre-service Teachers’ Interest and Performance"/><s v="Influence of the Type of Mathematical Problems on Pre-service Teachers’ Interest"/><s v="Influence of the Type of Mathematical Problems on Student Performance"/><s v="Influence of the Type of Mathematical Problems on Pre-service Teacher Performance"/><s v="Influence of the Type of Mathematical Problems on Student Interest*Performance relationship"/><s v="Influence of the Type of Mathematical Problems on Pre-service Teacher Interest*Performance relationship"/><s v="The study measured the production accuracy of  /e/ format using a delayed sentence repetition task."/><s v="The study measured the production accuracy of  /ei/ ~ /e/ format using a delayed sentence repetition task."/><s v="The study measured the production accuracy of  /ei/ ~ z score format using a delayed sentence repetition task."/><s v="The study measured the production accuracy for consonants using a delayed sentence repetition task."/><s v="Role of inhibitory control in L2 phonological processing (Retrieval–induced inhibition)"/><s v="Role of inhibitory control in L2 phonological processing (ABX error (vowels))"/><s v="Role of inhibitory control in L2 phonological processing (Vowel production z score)"/><s v="Role of inhibitory control in L2 phonological processing (Consonant production (max. 8))"/><s v="The study measured the perceptual processing of Spanish vowels using the speeded ABX categorization&#xA;task."/><s v="Indirect effect present for relationship quality (replication: cross-sectional, wives' answers, effect on themselves)"/><s v="Indirect effect present for relationship quality (replication: cross-sectional, wives' answers, effect on partner)"/><s v="Indirect effect present for relationship quality (replication: cross-sectional, husbands' answers, effect on themselves)"/><s v="Indirect effect present for relationship quality (replication: cross-sectional, husbands' answers, effect on partner)"/><s v="Indirect effect present for relationship quality (replication: longitudinal, wives' answers, effect on themselves)"/><s v="Indirect effect present for relationship quality (replication: longitudinal, wives' answers, effect on partner)"/><s v="Indirect effect present for relationship quality (replication: longitudinal, husbands' answers, effect on themselves)"/><s v="Indirect effect present for relationship quality (replication: longitudinal, husbands' answers, effect on partner)"/><s v="No direct effect present for relationship quality (replication: cross-sectional, wives' answers, effect on themselves)"/><s v="No direct effect present for relationship quality (replication: cross-sectional, wives' answers, effect on partner)"/><s v="No direct effect present for relationship quality (replication: cross-sectional, husbands' answers, effect on themselves)"/><s v="No direct effect present for relationship quality (replication: cross-sectional, husbands' answers, effect on partner)"/><s v="No direct effect present for relationship quality (replication: longitudinal, wives' answers, effect on themselves)"/><s v="No direct effect present for relationship quality (replication: longitudinal, wives' answers, effect on partner)"/><s v="No direct effect present for relationship quality (replication: longitudinal, husbands' answers, effect on themselves)"/><s v="No direct effect present for relationship quality (replication: longitudinal, husbands' answers, effect on partner)"/><s v="Indirect effect present for financial conflict (replication: cross-sectional, wives' answers, effect on themselves)"/><s v="Indirect effect present for financial conflict (replication: cross-sectional, wives' answers, effect on partner)"/><s v="Indirect effect present for financial conflict (replication: cross-sectional, husbands' answers, effect on themselves)"/><s v="Indirect effect present for financial conflict (replication: cross-sectional, husbands' answers, effect on partner)"/><s v="Indirect effect present for financial conflict (replication: longitudinal, wives' answers, effect on themselves)"/><s v="Indirect effect present for financial conflict (replication: longitudinal, wives' answers, effect on partner)"/><s v="Indirect effect present for financial conflict (replication: longitudinal husbands' answers, effect on themselves)"/><s v="Indirect effect present for financial conflict (replication: longitudinal husbands' answers, effect on partner)"/><s v="Direct effect present for financial conflict (replication: cross-sectional, wives' answers, effect on themselves)"/><s v="Direct effect present for financial conflict (replication: cross-sectional, wives' answers, effect on partner)"/><s v="Direct effect present for financial conflict (replication: cross-sectional, husbands' answers, effect on themselves)"/><s v="Direct effect present for financial conflict (replication: cross-sectional, husbands' answers, effect on partner)"/><s v="Direct effect present for financial conflict (replication: longitudinal, wives' answers, effect on themselves)"/><s v="Direct effect present for financial conflict (replication: longitudinal, wives' answers, effect on partner)"/><s v="Direct effect present for financial conflict (replication: longitudinal, husbands' answers, effect on themselves)"/><s v="Direct effect present for financial conflict (replication: longitudinal, husbands' answers, effect on partner)"/><s v="Effect of Financial Communication on Relationship Satisfaction"/><s v="Effect of Financial Communication on Reducing Financial Disagreements"/><s v="&quot;Inducing awe led participants to present a more balanced view of their strengths and&#xA;weaknesses to others (Study 3).&quot;"/><s v="Awe leads to humility"/><s v="Maximal anaerobic fatigue significantly reduces Y-Balance Test scores in ANT"/><s v="Investigating the effects of maximal anaerobic fatigue on dynamic postural control with Y Balance test by comparing pre-fatigue and post-fatigue (0, 10, 20 min) in anterior direction"/><s v="Maximal anaerobic fatigue significantly reduces Y-Balance Test scores in PM"/><s v="Maximal anaerobic fatigue significantly reduces Y-Balance Test scores in PL"/><s v="Dynamic postural control for ANT returned to pre-fatigue level with least significant"/><s v="Dynamic postural control for PM returned to pre-fatigue level with less"/><s v="Dynamic postural control for PL returned to pre-fatigue level with most"/><s v="Intraclass correlation coefficients for the Y-Balance Test indicate good intra-session reliability for ANT"/><s v="Intraclass correlation coefficients for the Y-Balance Test indicate best intra-session reliability for PM"/><s v="Intraclass correlation coefficients for the Y-Balance Test indicate least intra-session reliability PL"/><s v="Investigating the effects of maximal anaerobic fatigue on dynamic postural control with Y Balance test by comparing pre-fatigue and post-fatigue (0, 10, 20 min) in posteromedial direction"/><s v="Investigating the effects of maximal anaerobic fatigue on dynamic postural control with Y Balance test by comparing pre-fatigue and post-fatigue (0, 10, 20 min) in posterolateral direction"/><s v="Alzheimer’s disease genetics as a moderator of the association between combat exposure and PTSD risk"/><s v="Media Choice and Types of Media Collections"/><s v="&quot;..integrated supplemental intervention for early elementary students [...] (produces) significant improvement from baseline to intervention for both reading and behavior outcomes.&quot;"/><s v="Academic and Behavior Combined Support (ABC Support)"/><s v="The sentence reading task consisted of 10 items in which a written sentence was followed by four pictures. The child was asked to choose the picture that best corresponded to the meaning of the sentence. The correct stimuli were presented in a random orde"/><s v="Spelling was measured by 14 items. For all items, the tester read a short sentence containing the target word, for example, “It was a difficult test. Write ‘test’”. The number of correctly spelled words was measured (maximum=14).	Significant ceiling effec"/><s v="Early Reading Intervention"/><s v="&quot;Word reading was measured with 8 words ranging from easy to difficult presented on the tablet, one at a time. The words represented a variety of letters and letter sequences (CV, VC, CVC, VCC, VCC, CVCV, CVCC, CVCVC). The students were asked to read the "/><s v="The authors investigated whether the time to publication had an effect on publication bias."/><s v="The authors investigated whether the sample size had an effect on publication bias."/><s v="The authors investigated whether number of statistical tests had an effect on publication bias."/><s v="The authors investigated whether the type of outcome measure had an effect on publication bias."/><s v="Outcome-Reporting Bias in Special Education Intervention Research"/><s v="Overall odds ratio that significant and nonsignificant findings reported in special education dissertations would also be reported in corresponding journal publications"/><s v="interpretation of verbal moods in Spanish"/><s v=" interpretation of verbal moods in Spanish"/><s v="Table D1"/><s v="Figure D1A"/><s v="Figure D1B"/><s v="&quot;Long-term exposure to prolactin-increasing, but not to prolactin sparing, antipsychotics is significantly associated with increased odds of breast cancer.&quot;"/><s v="≥5 years of exposure to prolactin-increasing antipsychotics"/><s v="1–4 years of exposure to prolactin-increasing antipsychotics "/><s v="&quot;number of postextinction reactivations of an extinction learning-related vmPFC pattern (day 2)&#xA;predicts extinction memory retrieval at test (day 3).&quot;"/><s v="&quot;spontaneous post-extinction vmPFC reactivations predict extinction memory retrieval&quot; (45 MINUTES after extinction) (replication paper p. 1)"/><s v="&quot;spontaneous post-extinction vmPFC reactivations predict extinction memory retrieval&quot; (90 MINUTES after extinction) (replication paper p. 1)"/><s v="&quot;L-DOPA administration significantly enhances retrieval&quot; (replication paper p. 1)"/><s v="&quot;L-DOPA administration significantly enhances retrieval and that this is MEDIATED by enhancement of the number of vmPFC reactivations&quot; (replication paper p. 1)"/><s v="&quot;.....pharmacologically enhancing dopaminergic activity during extinction consolidation [...] improves extinction memory retrieval at test.&quot;"/><s v="&quot;Critically, L-DOPA also increases the number of vmPFC pattern reactivations, and this effect mediates the effect of L-DOPA on extinction memory retrieval. &quot;"/><s v="factors affecting psychologists’ intentions to adopt an open data badge"/><s v="Results showed the target mastery criterion required fewer sessions of tact training for 3 of 5 participants and AVCD training for both participants. "/><s v="The Operant Analysis condition requires fewer instructional trials than the Set Analysis condition."/><s v="Maintenance is similar between Operant Analysis and Set Analysis conditions."/><s v="tendency for people to consider themselves morally good while behaving selfishly (moral hypocrisy)"/><s v="positive association between loneliness and anthropomorphism"/><s v="Corollary discharge provides the sensory content of inner speech"/><s v="&quot;we find that perceived responsibility to address climate change relates to 10 different pro-environmental outcomes.&quot;"/><s v="effect of perceived responsibility to address climate change (...) on worry about chlimate change"/><s v="effect of perceived responsibility to address climate change (...) on belief climate change is caused by humans"/><s v="&quot;Within females, SUD + exhibited higher IL-8 and IL-10 but lower CRP levels than SUD-. In contrast, SUD was not associated with biomarker levels in males.&quot;"/><s v="level of C-reactive protein in femals with substance use disorder"/><s v="level of interleukin 8 in females with substance use disorder"/><s v="level of interleukin 10 in females with substance use disorder"/><s v="Immediate Reinforcement Training and Delay Discounting Behavior in Rats"/><s v="bi-factor structure of repetitive thinking with both shared variance in repetitive thinking and unique variance specific to each form of repetitive thinking, specifically worry, rumination, and reflection"/><s v="General Repetitive Thinking Facto"/><s v="Worry-Specific Factor"/><s v="Rumination-Specific Factor"/><s v="Reflection-Specific Factor"/><s v="Effects of a classroom intervention on college students’ sourcing skills"/><s v="&quot;noticing contradictions between multiple pieces of misinformation undermines credibility and decreases the effect (all relative to the effect of a single piece of misinformation).&quot;"/><s v="misinformatio aviability correlates with misinformation endorsement "/><s v="misinformatio aviability correlates with accuracy operationalisations of the misinformation effect"/><s v="&quot;we expected to see a significant effect of flanker relatedness when flankers had a true morphological relation with targets, and these effects should be significantly greater than the effects of flanker relatedness seen in the pseudo-morphological and no"/><s v="Second language fluency"/><s v="Conjugate schedules are variations of continuous reinforcement schedules where the consequent events co-vary proportionally with a specific dimension of the response. The participants apply force to a dynamometer that adjusts the clarity of visual stimuli"/><s v="Researchers showed images to the participants to make decisions on the nature of the stimulus presented. They had to indicate which emotion (happy, sad, afraid, angry, or neutral) the face expressed. The effects of the factors involved in the statistical "/><s v="Researchers showed images to the participants to make decisions on the nature of the stimulus presented. They had to decide if the person depicted was male or female. The effects of the factors involved in the statistical test are presented."/><s v="Researchers showed images to the participants to make decisions on the nature of the stimulus presented. They had to indicate which emotion (happy, sad, afraid, angry, or neutral) the face expressed. The researchers recorded the time the participant took "/><s v="Researchers showed images to the participants to make decisions on the nature of the stimulus presented. They had to indicate which emotion (happy, sad, afraid, angry, or neutral) the face expressed. Ther researchers analyzed the misclassification of face"/><s v="Superior facial emotion recognition in adolescents with anorexia nervosa"/><s v="Interaction between item type and language group on performance (semantic interpretation task)"/><s v="Evidence is provided in support of the position that third language (L3) transfer is selective, whereby, at least under certain conditions, it is driven by the typological proximity of the target L3 measured against the other previously acquired linguisti"/><s v="Effect of item type (preposed vs. postposed) on performance (semantic interpretation task)"/><s v="Effect of language group on performance (semantic interpretation task)"/><s v="Interaction between item type and language group on performance. (collocation task)"/><s v="Effect of item type (preposed vs. postposed) on performance. (collocation task)"/><s v="Effect of language group on performance (collocation task)"/><s v="This effect measures the percentage of accounting authors who admit that a portion of their own published research articles is tainted by unethical practices"/><s v="This effect measures the percentage of published research articles that accounting authors believe, based on their own perceptions, to be tainted by unethical practices,"/><s v="The effect examines whether accounting researchers attribute research malfeasance to internal motivations or external pressures"/><s v="&quot;We find that people expect more corruption to manifest among the employees of relatively more hierarchical organizations&quot;"/><s v="indirect effect of hierarchy condition through corruption perceptions, on beliefs about whether the anti-corruption petition was justified"/><s v="indirect effect of hierarchy condition through corruption perceptions, on (...) desire to sign the anti-corruption petition"/><s v="study 1c"/><s v="study 6"/><s v="BASC Attention Problems assess tendencies to be easily distracted, have difficulty focusing, and struggle to complete tasks that require sustained attention. ASCA Attention Deficit Hyperactive assesses behaviors commonly associated with Attention-Deficit/"/><s v="BASC Hyperactivity focuses on excessive motor activity, restlessness, impulsivity, and difficulty remaining still. ASCA Attention Deficit Hyperactive, as noted above, covers both inattentive and hyperactive-impulsive elements, reflecting a broader ADHD-re"/><s v="BASC Withdrawal measures a child’s tendency to pull back from social interaction, show limited involvement in activities, and appear emotionally distant or introverted. ASCA Avoidant focuses on avoidance driven by fear or anxiety, such as fear of social j"/><s v="BASC Conduct Problems identifies rule-breaking, oppositional, and potentially aggressive behaviors that violate expected social norms. ASCA Delinquent emphasizes more serious antisocial acts, potentially involving illegal activity or more severe violation"/><s v="BASC Conduct Problems is a broad measure of disruptive behaviors, which can include aggression, theft, and other norm-violating actions. ASCA Oppositional Defiant zeros in on persistent defiance, hostility, and argumentative behavior directed at authority"/><s v="BASC Aggression measures harmful or hostile actions such as fighting, threatening others, or acting violently. ASCA Solitary Aggressive Provocative highlights aggressive behaviors that seem proactively harmful and unprovoked, often initiated independently"/><s v="BASC Aggression focuses on a range of hostile or violent behaviors. ASCA Solitary Aggressive Impulsive captures impulsive, spur-of-the-moment aggressive actions that occur in isolation, reflecting poor impulse control and sudden anger outbursts."/><s v="BASC Externalizing encompasses various outwardly directed problem behaviors, including aggression, hyperactivity, and oppositionality. ASCA Overactivity focuses on excessive energy, restlessness, and an inability to settle down, highlighting the high-ener"/><s v="BASC Internalizing measures inwardly focused problems, such as anxiety, depression, somatic complaints, and social withdrawal due to emotional distress. ASCA Underactivity emphasizes low energy, low drive, and a lack of engagement in activities, reflectin"/><s v="citizens judge public services not only on experienced service quality but also on an implicit comparison&#xA;of service quality with prior expectations."/><s v="Higher expectations produce more negative disconfirmation, all else being equal (Hong Kong sample)"/><s v="Higher performance leads to more positive disconfirmation, all else being equal (Hong Kong sample)"/><s v="Positive disconfirmation (performance exceeding expectations) leads to higher satisfaction (Hong Kong sample)"/><s v="Performance directly and positively influences satisfaction, separate from its effect on disconfirmation. (Hong Kong sample)"/><s v="Expectations have a direct effect on satisfaction, separate from its effect on disformation (Hong Kong sample)"/><s v="Higher expectations produce more negative disconfirmation, all else being equal (Shenhzen sample)"/><s v="Higher performance leads to more positive disconfirmation, all else being equal. (Shenhzen sample)"/><s v="Positive disconfirmation (performance exceeding expectations) leads to higher satisfaction (Shenhzen sample)"/><s v="Performance directly and positively influences satisfaction, separate from its effect on disconfirmation. (Shenhzen sample)"/><s v="Expectations have a direct effect on satisfaction, separate from its effect on disformation (Shenhzen sample)"/><s v="When the governor is on the left the relationship between the proportion of shorter length conjuncts are positively related to the absolute difference in words and characters"/><s v="When the governor is absent the relationship between the proportion of shorter length conjuncts are positively related to the absolute difference in words and characters"/><s v="When the governor is on the right the relationship between the proportion of shorter length conjuncts are negatively related to the absolute difference in words and characters"/><s v="This effect investigates whether threat bias scores change over time across treatment conditions."/><s v="the present study tested the efficacy of such attentional training in a sample of severe&#xA;worriers over an extended period of time using psychometrically validated measures of anxiety and depression."/><s v="This effect explores whether the change in threat bias over time differs between the ARTS and Sham-ARTS groups."/><s v="This effect examines whether composite symptoms improve over time across treatment conditions."/><s v="This effect looks at whether the change in composite symptoms over time differs between the ARTS and Sham-ARTS groups."/><s v="This effect examines how block type (switch vs. non-switch) affects reaction times (global switch cost condition)"/><s v="relationship between bilingualism and improved task-switching flexibility, via  reduced global switch costs (GSC)"/><s v="This effect explores whether language status (bilingual vs. monolingual) has an impact on global switch costs (global switch cost condition)"/><s v="This interaction effect investigates how block type (switch vs. non-switch) and language status interact to affect global switch costs (global switch cost condition)"/><s v="This effect examines the difference in reaction times between switch and non-switch trials within the switch block (local switch cost)"/><s v="This effect tests whether language status (bilingual vs. monolingual) influences the local switch cost  (local switch cost condition)"/><s v="This interaction effect examines whether the relationship between switch status (switch vs. non-switch trials) and local switch costs is moderated by language status (local switch cost condition)"/><s v="Mattering is the feeling that one’s actions are significant, and that one would be missed if&#xA;one were gone"/><s v="The purpose of this study is to investigate the effect of proficiency level on the acquisition order of certain grammatical morphemes for L1 Spanish learners of L2 English"/><s v="Progressive -ing. The annotation covers OCs of the progressive verb form in&#xA;main lexical verbs occurring in finite verb phrases. Present"/><s v="Plural -s. The annotation covers OCs of the regular plural number form in nouns, while irregular nominal plurals or plural number forms with other lexical categories (adjectives) were not annotated, as done in previous MOS."/><s v="Copula be. The annotation covers OCs of copula be in finite verb phrases, so imperatives and other non-finite forms were not annotated. Copulas in the&#xA;negative form were tagged because, unlike lexical verbs, the negator does not force the verb be to appea"/><s v="Auxiliary be. The annotation covers OCs of auxiliary be, specifically in progressive and passive contexts."/><s v="Article. The annotation covers OCs of (in)definite articles (a(n)/the). Given&#xA;that the ‘zero article’ was disregarded in previous MOS, it was also disregarded here for comparative purposes. The non-suppliance of an article in an (in)definite OC was tagge"/><s v="Irregular past. The annotation covers OCs of the irregular past tense form of&#xA;lexical verbs only. Similarly to the rationale with irregular plural, cases of misformation (and also oversuppliance) are those where the learner applies the regular past -ed r"/><s v="Regular past. The annotation covers OCs of the simple past tense -(e)d form&#xA;of regular lexical verbs."/><s v="Possessive. The annotation covers OCs of the genitive structure [noun’s + NP]. Cases showing absence of the apostrophe have been marked as TLU, as we understand that the morpheme has been produced and the apostrophe represents a spelling issue."/><s v="3rd person singular. The annotation covers OCs of 3rd person singular -(e)s&#xA;forms of lexical verbs only."/><s v="Input, Process, and Output Anxiety Scales"/><s v="Input Anxiety Scales"/><s v="Process Anxiety Scales"/><s v="Output Anxiety Scales"/><s v="Rumination is a form of repetitive negative thinking with a focus on negative past experiences and feelings."/><s v="Jewish responses to Copernican thought provide evidence that social and cultural factors, in combination with theological considerations, shape the reception of scientific reform."/><s v="Customer empowerment -to-select leads to higher purchase intention (t-shirts)"/><s v="Customer empowerment -to-select leads to higher purchase intention (furniture)"/><s v="Customer empowerment -to-select leads to higher purchase intention (bicycles)"/><s v="Customer empowerment-to-select leads to higher WOM (t-shirts)"/><s v="Customer empowerment-to-select leads to higher WOM (furniture)"/><s v="Customer empowerment-to-select leads to higher WOM (bicycles)"/><s v="Customer empowerment-to-select leads to higher brand attitude (t-shirts)"/><s v="Customer empowerment-to-select leads to higher brand attitude (furniture)"/><s v="Customer empowerment-to-select leads to higher brand attitude (bicycles)"/><s v="Customer empowerment -to-create leads to higher purchase intention (t-shirts)"/><s v="Customer empowerment -to-create leads to higher purchase intention (furniture)"/><s v="Customer empowerment-to-create leads to higher WOM (t-shirts)"/><s v="Customer empowerment-to-create leads to higher WOM (furniture)"/><s v="Customer empowerment-to-create leads to higher WOM (bicycles)"/><s v="Customer empowerment-to-create leads to higher brand attitude (t-shirts)"/><s v="Customer empowerment-to-create leads to higher brand attitude (furniture)"/><s v="Customer empowerment-to-create leads to higher brand attitude (bicycles)"/><s v="The effect examines whether food objects elicit faster movement initiation compared to non-food objects (replicated condition: grasp)"/><s v="Behavioral bias for food in hand movements"/><s v="The effect examines whether food objects elicit faster movement initiation compared to non-food objects (replicated condition: push)"/><s v="This effect investigates the interaction between movement type (grasp vs. ward) and response time to objects."/><s v="This effect investigates how the type of object interacts with movement type in determining response time."/><s v="This effect examines whether grasp movements differ in execution time compared to ward movements."/><s v="This effect investigates whether the type of object (food vs. other objects) influences movement initiation or reaching times. (replication condition: grasp)"/><s v="This effect investigates whether the type of object (food vs. other objects) influences movement initiation or reaching times. (replication condition: push)"/><s v="This effect explores how the combination of object type and movement direction affects movement times."/><s v="This effect investigates whether the type of object (food vs. ball) influences collection times."/><s v="This effect examines whether there is a bias in how food objects are collected compared to other objects during different movement phases."/><s v="This effect investigates the relationship between BMI with collection time advantages for food."/><s v="The effect investigates whether objects' edibility influences their positive valence ratings compared to non-edible objects (replicated condition: high-calorie food)"/><s v="The effect investigates whether objects' edibility influences their positive valence ratings compared to non-edible objects. (replicated condition: low-calorie food)"/><s v="Whether holding decision makers accountable for the decision process decreases escalating commitment, while accountability for the decision outcomes increases it."/><s v="Effect of deescalation techniques on the allocation of resources"/><s v="Effect of deescalation techniques on the allocation of resources (outcome accountability)-planned contrasts with baseline"/><s v="Effect of deescalation techniques on the allocation of resources (process accountability vs outcome accountability) "/><s v="To progress from intuitive ideas to deep conceptual understanding, students need to become aware of&#xA;gaps in their ideas. Attempting to solve problems prior to instruction may lead to a global awareness of&#xA;knowledge gaps"/><s v="effect of type of instruction on conceptual knowledge"/><s v="effect of timing of instruction on conceptual knowledge"/><s v="effect of type of instruction on procedural skills"/><s v="effect of timing of instruction on procedural skills"/><s v="interaction of timing and type of instruction on procedural skills"/><s v="interaction of timing and type of instruction on conceptual knowledge"/><s v="Examined the role of personal responsibility and consequences of decisions in escalating commitment."/><s v="Effects of personal responsibility on escalating commitment"/><s v="Effects of decision consequences on escalating commitment"/><s v="Effects of Personal Responsibility and Decision Consequences on escalating commitment (interaction)"/><s v="Nostalgia proneness (trait-level nostalgia) is associated with stronger music-evoked nostalgia"/><s v="Effects of context-level measures on music-evoked nostalgia (arousal)"/><s v="Effects of context-level measures on music-evoked nostalgia (positive emotions)"/><s v="Effects of context-level measures on music-evoked nostalgia (mixed emotions)"/><s v="Effects of person level predictors on music-evoked nostalgia (Nostalgia proneness) "/><s v="Interaction of context-level and person-level predictors on music-evoked nostalgia (nostalgia proneness x arousal)"/><s v="windfall gains are spent more easily than other types of assets"/><s v="money earned while working hard are less likely to be spent than money earned while doing an easier job"/><s v="death thought accessibility would be greater in the Mortality Salience no delay condition than in the other three conditions (MS delay, Dental Pain delay, Dental Pain no delay)"/><s v="Frontal EEG asymmetry has been proposed as an index of emotional regulation, reflecting both state and trait components, and there is evidence that these factors influence the cortisol response to stress. Here, we asked whether cold pressor stress modulat"/><s v="2 way interaction condition x time on frontal alpha asymetry"/><s v="We examine the differences between the error rates of CS major and non-major beginners, and also examine how these patterns change over time as students progress through the CS major course sequence."/><s v="most frequent static analysis errors"/><s v="Impact of student experience levels on the most frequent errors"/><s v="relationship between overall grades and all static analysis errors"/><s v="relationship between overall grades and coding flaws"/><s v="impact of code variants on code perceived readability"/><s v="impact of code variants on code comprehension"/><s v="impact of method chains on code perceived readability"/><s v="pediatric anxiety disorders are associated with implicit threat bias, manifesting as heightened attention to negative-valence stimuli and behavioral avoidance of threatening stimuli"/><s v="The effect under investigation explores the relationship between attentional threat bias (x) and negative affectivity (y), including anxiety and irritability among youth. Specifically, the study examines how greater attention allocation to negative-valenc"/><s v="Success of persuasion depends on strategy and expertise (incongruity hypothesis)"/><s v="Experiment 2 Manipulation check Main effect"/><s v="Experiment 2 Manipulation check Certainty Conditions"/><s v="Experiment 2 Attitudes Main effect"/><s v="Experiment 2 Attitudes Certainty Conditions"/><s v="Experiment 2 Involvement Main effect"/><s v="Experiment 2 Involvement Certainty Conditions"/><s v="Relationship between predicted and actual instrumental activity (original condition: Dave) "/><s v="Relationship between predicted and actual instrumental activity (original condition: Drew) "/><s v="The study investigates patterns of emotional eating (overeating and undereating) and their association with emotional distress and disordered eating behaviors"/><s v="(Non-emotional eating)The study identified four latent patterns of negative emotional eating among Chinese young adults using Latent Class Analysis. "/><s v="(Emotional over- and under-eating)The study identified four latent patterns of negative emotional eating among Chinese young adults using Latent Class Analysis. "/><s v="(Emotional over-eating)The study identified four latent patterns of negative emotional eating among Chinese young adults using Latent Class Analysis. "/><s v="(Emotional under-eating)The study identified four latent patterns of negative emotional eating among Chinese young adults using Latent Class Analysis. "/><s v="Parental Warmth (Child Rates Mother): Family environment (x) is associated with self-esteem development (y) during adolescence."/><s v="Parental Warmth (Child Rates Father): Family environment (x) is associated with self-esteem development (y) during adolescence."/><s v="Parental Hostility (Child Rates Mother): Family environment (x) is associated with self-esteem development (y) during adolescence."/><s v="Parental Hostility (Child Rates Father): Family environment (x) is associated with self-esteem development (y) during adolescence."/><s v="Monitoring (Child Rates Mother): Family environment (x) is associated with self-esteem development (y) during adolescence."/><s v="Monitoring (Child Rates Father): Family environment (x) is associated with self-esteem development (y) during adolescence."/><s v="Involvement in Education (Child Rates Mother): Family environment (x) is associated with self-esteem development (y) during adolescence."/><s v="Parental Relationship (Mother's Rating): Family environment (x) is associated with self-esteem development (y) during adolescence."/><s v="Depression of Mother: Family environment (x) is associated with self-esteem development (y) during adolescence."/><s v="Depression of Father: Family environment (x) is associated with self-esteem development (y) during adolescence."/><s v="Economic Hardship (Father Rates Subscale A): Family environment (x) is associated with self-esteem development (y) during adolescence."/><s v="Perceived similarity over life-span is positively correlated with life satisfaction"/><s v="Perceived Similarity (Model 1): Perceived similarity between one’s present and future self is associated with greater well-being 10 years later."/><s v="Perceived Similarity (Model 2, controlling for demographics): Perceived similarity between one’s present and future self is associated with greater well-being 10 years later."/><s v="Perceived Similarity (Model 3, controlling for demographics and baseline life satisfaction): Perceived similarity between one’s present and future self is associated with greater well-being 10 years later."/><s v="The majority of older adults have experienced microagressions and find them bothersome."/><s v="microinsults: Age-related microaggressions are common and are associated with negative emotional and behavioral responses in older adults."/><s v="microassaults: Age-related microaggressions are common and are associated with negative emotional and behavioral responses in older adults."/><s v="microinvalidations: Age-related microaggressions are common and are associated with negative emotional and behavioral responses in older adults."/><s v="An effect of eccentricity and valence on accuracy and RTs, with positive valence showing highest performance across eccentricities, measures and studies"/><s v="Plea rates were similar within and different between groupings that comprised plea offers of similarly meaningful distance from the potential trial sentence (Study 3)."/><s v="Impact of APOE-ε alleles on brain structure and cognitive function in healthy older adults"/><s v="The scale and composition of emergency demand for police services "/><s v="The effect of police killings on attitudes towards the police - Satisfaction"/><s v="The effect of police killings on attitudes towards the police - Perceptions of fairness"/><s v="The effect of police killings on attitudes towards the police - Community engagement"/><s v="Crianza Positiva e-messaging program has incremental effect on the physical games."/><s v="Crianza Positiva e-messaging program has incremental effect on the didactive activities."/><s v="Crianza Positiva e-messaging program has incremental effect on the social activities."/><s v="parental time invesment in physical games improves intention to treat"/><s v="parental time invesment in didactic activites improves intention to treat"/><s v="parental time invesment in social activites improves intention to treat"/><s v="higher scores on positive parenting scales is correlated with intention to treat"/><s v="parental stress index is correlated with intention to treat"/><s v="main effect, parental involvement in physical games and intention to treat"/><s v="interaction effect, parental involvement in physical games and intention to treat * negative shocks "/><s v="main effect, parental involvment in didactic activities and intention to treat"/><s v="interaction effect, parental involvement in didactic activities and intention to treat * negative shocks "/><s v="main effect, parental involvment in social activities and intention to treat"/><s v="interaction effect,  parental involvment in social activities and intention to treat*negative shocks"/><s v="main effect, parental knowledge and intention to treat"/><s v="interaction effect, parental knowledge and intention to treat*negative shock"/><s v="main effect parental stress index and intention to treat"/><s v="interaction effect, parental stress index and intention to treat*negative shock"/><s v="Keeping a diary improves' students motivation for learning "/><s v="Variety and amount of interpersonal interactions improves well-being"/><s v="Our sense of anonymity depends not only on what people know about us but also on what we know about them."/><s v="H1: Participants in the information&#xA;condition will report a significantly&#xA;higher percentage chance of lie&#xA;detection by their ‘partner’ than&#xA;participants in the no information&#xA;condition.(entire sample)"/><s v="H2: Participants in the information&#xA;condition will report significantly&#xA;higher responses to how well they&#xA;believe they know their ‘partner’.&#xA;(entire sample)"/><s v="Knowledge of the ‘partner’&#xA;mediates the relationship between&#xA;the condition participants were&#xA;assigned to and their assessment&#xA;of the percentage chance that their&#xA;‘partner’ will detect their lie. (entire&#xA;sample)"/><s v="Participants in the information&#xA;condition will report a significantly&#xA;higher percentage chance of lie&#xA;detection by their ‘partner’ than&#xA;participants in the no information&#xA;condition.(manipulation check&#xA;passed only)"/><s v="H5: Participants in the information&#xA;condition will report significantly&#xA;higher responses to how well they&#xA;believe they know their ‘partner’.&#xA;(manipulation check passed only)"/><s v="H6: Knowledge of the ‘partner’&#xA;mediates the relationship between&#xA;the condition participants were&#xA;assigned to and their assessment&#xA;of the percentage chance that their&#xA;‘partner’ will detect their lie.&#xA;(manipulation check passed only)"/><s v="Difference in co-parenting quality between groups"/><s v="Step it UP! Game increases steps of adults with disabilities"/><s v="Conflict affected individuals tend to engage more in social organization and hold greater expressive values, at least 26 year after the individual’s exposure to the war."/><s v="Greater exposure to bombing leads to greater civic engagement years after the exposure "/><s v="Word length effect reflects the contribution of the articulatory rehearsal process"/><s v="Phonemic similarity effect reflects the phonological storage capacity."/><s v="Articulatory suppression effect"/><s v="effects of articulatory suppression  [...] upon the number of sequences recalled"/><s v="phonemic similarity  [...] upon the number of sequences recalled"/><s v="word length  [...]  upon the number of sequences recalled"/><s v="effect of phonemic similarity [..] recall performance"/><s v="word length  [...]  upon the recall performance"/><s v="effect of blocks [...] on percentage of items correctly recalled"/><s v="effect of word length [...] on percentage of items correctly recalled"/><s v="effect of unattended speech [...] on percentage of items correctly recalled"/><s v="effects of presentation rate [...] on total number of [...] correctly recalled times"/><s v="effects of phonemic similarity [...] on total number of [...] correctly recalled times"/><s v="effects of articulatory suppression [...] on total number of [...] correctly recalled times"/><s v="effects of phonemic similarity [...] percentage of items that were correctly recalled"/><s v="effects of articulatory suppression [...] percentage of items that were correctly recalled"/><s v="effects of recall delay [...] percentage of items that were correctly recalled"/><s v="Compared to English speakers, Tagalog speakers were rated as less competent."/><s v="A significant three-way interaction was driven by the competence ratings in low-performance scenarios, where both English and Tagalog speakers received higher competence ratings in low- versus high-prestige jobs, but the magnitude of this difference was g"/><s v="Compared to English speakers, Tagalog speakers were rated as less treated."/><s v="A significant three-way interaction was driven by the treatment preference ratings given to Tagalog speakers (rather than English speakers) in low-performance scenarios, where Tagalog speakers received higher ratings in low- versus high-prestige jobs."/><s v="Compared to English speakers, Tagalog speakers were rated as less comprehensible."/><s v="A significant three-way interaction between speaker L1, prestige, and performance level was driven by the ratings in low-performance scenarios, where both English and Tagalog speakers were evaluated as sounding more comprehensible in low- versus high-pres"/><s v="directly comparing the ERN and its psychometric properties when derived from the flankers [...] tasks as a function of increasing trial numbers."/><s v="directly comparing the ERN and its psychometric properties when derived from the [...] Stroop [..] tasks as a function of increasing trial numbers."/><s v="directly comparing the ERN and its psychometric properties when derived from the [...] go/no-go tasks as a function of increasing trial numbers."/><s v="Flanker Task"/><s v="Go/No-Go Task"/><s v="Stroop Task"/><s v="Generalized anxiety disorder and selective attention"/><s v="confirm RT on Proximity effect 1/4, 1/3, 1/2, 1/1"/><s v="Motivation on Proximity effect 2/4, 2/3, 2/2"/><s v="confirm RT on Proximity effect 2/4, 2/3, 2/2"/><s v="Motivation on Proximity effect 3/4, 3/3"/><s v="confirm RT on Proximity effect 3/4, 3/3"/><s v="Motivation on Proximity effect combined effect"/><s v="confirm RT on Proximity effect combined effect"/><s v="Motivation on Effort effect 4/4, 3/3, 2/2, 1/1"/><s v="confirm RT on Effort effect 4/4, 3/3, 2/2, 1/1"/><s v="Motivation on Effort effect 3/4, 2/3, 1/2 3.88"/><s v="confirm RT on Effort effect 3/4, 2/3, 1/2 3.88"/><s v="Motivation on Effort effect 2/4, 1/3"/><s v="confirm RT on Effort effect 2/4, 1/3"/><s v="Motivation on Effort effect combined effect"/><s v="confirm RT on Effort effect combined effect"/><s v="Frustration on Proximity effect 1/4, 1/3, 1/2, 1/1"/><s v="Frustration on Proximity effect 2/4, 2/3, 2/2"/><s v="Frustration on Proximity effect 3/4, 3/3"/><s v="Frustration on Proximity effect combined effect"/><s v="Frustration on Effort effect 4/4, 3/3, 2/2, 1/1"/><s v="Frustration on Effort effect 3/4, 2/3, 1/2 3.88"/><s v="Frustration on Effort effect 2/4, 1/3"/><s v="Frustration on Effort effect combined effect"/><s v="Surprise on Proximity effect 1/4, 1/3, 1/2, 1/1"/><s v="Surprise on Proximity effect 2/4, 2/3, 2/2"/><s v="Surprise on Proximity effect 3/4, 3/3"/><s v="Surprise on Proximity effect combined effect"/><s v="Surprise on Effort effect 4/4, 3/3, 2/2, 1/1"/><s v="Surprise on Effort effect 3/4, 2/3, 1/2 3.88"/><s v="Surprise on Effort effect 2/4, 1/3"/><s v="Surprise on Effort effect combined effect"/><s v="Motivation on Proximity effect 1/4, 1/3, 1/2, 1/1"/><s v="The study investigates the neural signature of escalating frustration in humans, focusing on how proximity to a blocked goal and expended effort influence frustration levels and neural activation patterns."/><s v="Extraversion predicts social media use."/><s v="The aggregate elasticity for the U.S. manufacturing sector is in the range of 0.5–0.7."/><s v="relation between willingness to be a donor and the chosen default."/><s v="relation between opinion if people ought to be a donor and the chosen default."/><s v="relation between the policymakers’ chosen default and the resulting inferences about their personal preferences."/><s v="the relation between the policymakers’ chosen default and participants’ inferences regarding the policymakers’ beliefs about whether people ought to be donors."/><s v="enrollment condtion vs probably think that employees ought to enroll in a retirement plan&#xA;"/><s v="enrollment condtion vs probably think that employees want to be enrolled"/><s v="enrollment condtion vs are probably enrolled themselves"/><s v="effect of the chosen default vs greater enrolment"/><s v="effect of the chosen default vs more likely enrollment"/><s v="Experiment 1 - Willing to be a donor"/><s v="Experiment 1 - Think people ought to be donors"/><s v="Experiment 2 - Policymakers willing"/><s v="Experiment 2 - Policymakers think people ought to be donors"/><s v="Experiment 3 - Enrolled"/><s v="Experiment 3 - Not Enrolled"/><s v="Thinking about God reduces reliance on human recommendations in favor of AI recommendations across various contexts"/><s v="God salience influence the preference between human expert and AI recommendations across 24 different daily tasks"/><s v="God salience influence the preference between human expert and AI recommendations about mutual fund"/><s v="God salience influence the preference between human expert and AI recommendations of songs listened"/><s v="God salience influence the preference between human expert and AI recommendations in medical decision context"/><s v="Perception of AI as &quot;black box&quot; influences the choise of investment to the mutual fund recommended by human and AI because of the similarity in mysteriousness between God and AI "/><s v="Algorithm aversion was weaker among participants reminded of God when choosing mutual funds."/><s v="God salience increases preference for AI recommendations in music selection."/><s v="The impact of God salience on AI acceptance is mediated by feelings of smallness and belief in human imperfection."/><s v="God salience weakens algorithm aversion across mysterious and non-mysterious conditions."/><s v="self-control relies on glucose as a limited energy source"/><s v="Participants with no emotional control"/><s v="Participants with decrease emotional control"/><s v="Participants with increase emotional control"/><s v="Self regulation is associated with logical reasoning and other information processing"/><s v="This study investigates how performing tasks requiring executive control depletes the capacity for subsequent tasks that also require self-control."/><s v="Controlling the focus of visual attention undermines performance on subsequent tests of working memory span, reverse digit span, and response inhibition."/><s v="manipulation check to determine whether subjects in the control condition attempted to regulate their emotions"/><s v="Behavioral measures"/><s v="manipulation check to determine whether subjects in the suppression condition attempted to regulate their emotions"/><s v="Mediation of Stroop Interference"/><s v="Error-related negativity (ERN)"/><s v="The replication tested whether the range of response categories influences reported TV watching behavior and its perceived importance. Participants in the high-category range reported significantly higher TV consumption (M = 4.87, SD = 1.12) compared to t"/><s v="Whether the activation or priming of an elderly stereotype affects participants' walking speed."/><s v="The replication tested implicit biases using the IAT and compared them with explicit attitudes. It found robust effects consistent with the original: race bias (d = 0.71) and gender-science stereotypes (d = 0.72)."/><s v="gender stereotypes and attitudes and identification with mathematics"/><s v="The replication tested framing effects on risk preferences. It confirmed the original finding: participants were risk-averse in the gain frame (e.g., Program A: 200 lives saved) and risk-seeking in the loss frame (e.g., Program B: 400 lives lost)."/><s v="Results showed no significant retrospective gambler’s fallacy effect, as the data violated the normality assumption. Effect size: d = 0.02, p = .27."/><s v="The replication tested the flag priming effect on political attitudes and behaviors, finding no significant results: Cohen's d = 0.04, p = .32."/><s v="anchoring effect: high anchors led to significantly higher numerical estimates"/><s v="anchoring - mt. everest"/><s v="anchoring - chicago"/><s v="anchoring - distance to nyc"/><s v="anchoring - babies born"/><s v="Ego depletion occurs when self-control resources are depleted after an initial task, reducing performance on subsequent tasks requiring self-regulation."/><s v="Effort causally affects the emission of 1/f noise."/><s v="Participants’ ability to correctly predict the location of erotic pictures"/><s v="Precognitive detection of erotic stimuli: Future events influence current cognition and affect (retroactive influence)."/><s v="Participants’ ability to correctly predict the location of non-erotic pictures"/><s v="Replicated the effect of clipboard weight on perceived importance. No significant differences were observed (p = .54)."/><s v="Replicated the original study testing if communal traits affect temperature perception. The replication failed to detect the effect."/><s v="The replication tested the impact of need for cognition on message evaluation, showing that individuals high in need for cognition evaluate strong arguments more favorably and are less influenced by weak arguments compared to those low in need for cogniti"/><s v="Thinking about time as money reduces enjoyment and increases impatience during leisure activities; financial compensation moderates these effects."/><s v="we investigate how the impatience that results from placing a price on time impairs individuals' ability to derive happiness from pleasurable experiences."/><s v="The replication tested whether people feel closer to positive past experiences and farther from negative ones, with high self-esteem individuals showing stronger distancing effects for negative outcomes."/><s v="The study investigates how physical warmth (e.g., holding a warm object) increases the need for emotional warmth, such as seeking social connection."/><s v="feelings of social warmth or coldness can be induced by experiences of physical warmth or coldness, and vice versa. Here we show that people tend to self-regulate their feelings of social warmth through applications of physical warmth, apparently without "/><s v="The replication tested whether naming ink colors is slower when the ink spells incongruent color words, demonstrating the cognitive interference effect caused by automatic reading processes."/><s v="The replication tested whether using spatial metaphors to describe time affects reasoning about temporal sequences. For example, participants exposed to spatial frames of reference (e.g., “ahead,” “behind”) processed temporal questions differently, suppor"/><s v="The replication tested whether individuals overestimate the frequency or likelihood of events that are more easily retrievable from memory, demonstrating the availability heuristic. For example, participants judged more frequent exposure to names of famou"/><s v="The replication tested whether individuals primed with high power are less likely to consider others' perspectives during communication tasks compared to individuals primed with low power."/><s v="Attachment anxiety positively predicts sensitivity to temperature cues in first study"/><s v="warm-temperature desirability ratings  the Reflection Condition × Attachment Anxiety interaction was significant"/><s v="attachment anxiety and desirability ratings of warm-temperature refreshments were positively related in the romantic-breakup condition"/><s v="attachment anxiety and desirability ratings of warm-temperature refreshments were unrelated in the ordinary-event condition"/><s v="Attachment anxiety positively predicts sensitivity to temperature cues in second study"/><s v="The replication tested whether money priming increases system justification. It did not replicate: d = -0.02, p = .43, indicating differences from the original study."/><s v="The replication tested whether imagining positive contact with an outgroup increases intentions to engage in future intergroup contact. It found a small but statistically significant effect: d = .13, p &lt; .001​ML.web.Supplement (1)"/><s v="Attachment anxiety positively predicts sensitivity to temperature cues in corrected study"/><s v="The replication tested whether instructional manipulation checks (IMCs) reduce noise and improve data reliability. The effect was confirmed with key statistical results: e.g., F(1, 113) = 3.55, p = .06 for data reliability among participants passing the I"/><s v="effect of red on attractiveness perceptions"/><s v="color not only has aesthetic value but can carry meaning&#xA;and impact psychological functioning in subtle, important, and provocative ways"/><s v="effect of red on sexual attraction"/><s v="effect of red on overall likability judgements"/><s v="main effect of condition on the applicability of the insanity defense"/><s v="to test whether genetic ascriptions affect people’s judgments&#xA;because they expect perpetrators to have stronger impulses&#xA;toward violence or have less control of their impulses."/><s v="main effect of condition for the diminished capacity defense"/><s v="main effect of condition on the intoxication defense"/><s v="main effect of condition on the sentencing"/><s v="significant effect of condition on perceived conscious control"/><s v="effect of condition on perceived recidivism "/><s v="effect of condition on perceived intention to kill"/><s v="effect of condition on criminal responsibility"/><s v="effect of condition on causal locus"/><s v="effect of condition on causal stability"/><s v="effect of condition on causal specificity"/><s v="effect of condition on causal control"/><s v="effect of condition on causal malleability"/><s v="The magnitude of adjustment-based anchoring is moderated by the need for cognition with low NFC leading to less adjustment from self-generated anchors"/><s v="High Need for Cognition (NFC) individuals adjust more from self-generated anchors."/><s v="Subliminally presented anchor values influence probability estimates under time pressure"/><s v="In a series of studies, we demonstrate that (i) individuals possess ecology-driven stereotypes; (ii) these stereotypes are not derivative of race stereotypes; and (iii) the application of race stereotypes to targets is greatly diminished when more immedia"/><s v="This effect investigates how ecological conditions (e.g., harsh vs. resource-rich environments) shape behavior, leading to ecology-driven stereotypes, often linked to race."/><s v="People do not fully appreciate this immediacy of judgment, in-stead assuming that they and others will consider more infor- mation before forming conclusions than they and others actually do. This discrepancy in perceived versus actual information use rev"/><s v="The effect being investigated is the discrepancy between the expected and actual number of paintings participants believe they need to see in order to form a verdict on whether they like or dislike a painting style."/><s v="In both experiments, we find that participants are more likely to engage in uncalculating cooperation when their decision-making process is observable to others. Furthermore, we confirm that people who engage in un-calculating cooperation are perceived as"/><s v="The effect being investigated is how observability of decision-making influences uncalculating cooperation when reputation is at stake."/><s v="Seven experiments explore people’s decisions to withhold or disclose personal information—and the wisdom of such decisions. Declining a request to disclose often makes a worse impression even than divulging unsavory personal information. Moreover, those w"/><s v="The effect being invesigated is whether deliberate non-disclosure is judged more negatively than inadvertent non-disclosure, influencing interpersonal preferences (e.g., dating interest)."/><s v="Relative to traditional, offline forms of communication, there is an enhanced permanence to digital sharing. Digital disclosures can come back to haunt, making it challenging for people to manage the impressions they make upon others. Nine studies show th"/><s v="The effect being investigated is whether temporary sharing of selfies reduces privacy concerns, leading to increased disinhibition in disclosures"/><s v="The present work examines beliefs associated with racial bias in pain management, a critical health care domain with well-docu-mented racial disparities. Specifically, this work reveals that a substantial number of white laypeople and medical students and"/><s v="The effect being investigated is whether racial bias in pain perception among non-medically trained white individuals is influenced by false beliefs about biological differences between Black and White people."/><s v="These findings highlight the interdependence between disputants and third parties, thereby complementing existing models that solely focus on unidirectional influence of third parties on disputants. These findings underscore the role self-interest plays i"/><s v="The effect being investigated is whether recalling and describing a past experience of intervening in a conflict vs not intervening affects individuals' perceptions of the benefits of intervening in future conflicts."/><s v="belief exchange in structured bipartisan networks can significantly improve the ability of both conservatives and liberals to interpret climate data, eliminating belief polarization. We also find that social learning can be reduced, and polarization maint"/><s v="The effect of partisan priming on reducing trend accuracy in predicting climate trends within networks."/><s v="The dissemination of scientific findings to the wider public is increasingly important to public opinion and policy. We show that this process is influenced by the facial appearance of the scientist. We identify the traits that engender interest in a scie"/><s v="The effect being investigated is whether participants are more likely to select articles when they are paired with photographs of researchers perceived as highly competent."/><s v="In six studies, we tested whether believing in free will is related to the correspondence bias—that is, people’s automatic tendency to overestimate the influence of internal as compared to external factors when interpreting others’ behavior. Overall, we d"/><s v="The effect being investigated is the impact of reducing belief in free will on the correspondence bias."/><s v="We test a new, multilevel perspective on the relationship between income and generosity that in-corporates economic inequality. In a nationally representative survey study and an experiment, we find that higher-income individuals are only less generous if"/><s v="The effect being investigated is whether high economic inequality reduces the generosity of high-income individuals compared to low-income individuals."/><s v="Dominant, open nonverbal displays are attractive at zero-acquaintance"/><s v="Postural expansiveness is associated with increased romantic dominance"/><s v="in a series of experiments, we show that those to whom resources are allocated often care less about fairness than those who allocate the resources expect them to. This “allocator’s illusion” results from the fact that fairness seems more important before"/><s v="The effect being investigated is whether participants predict that they would feel less bad about not receiving the bonus under a fair procedure compared to an unfair procedure"/><s v="We demonstrate here that the mere subjective experience of being lower in SES relative to others is alone sufficient to causally elicit behaviors that may risk obesity (e.g., preference, selection, and intake of greater calories), independent of actual ec"/><s v="The effect being investigated is whether participants in the low SSES condition exhibit stronger implicit preferences for calorie-dense foods compared to fruits/vegetables relative to those in the high SSES condition."/><s v="This study tests for the effect of thank-you gifts during a nonprofit’s direct-mail fund-raising campaign and finds that gifts reduced donation rates in this campaign. A complementary online experiment confirms that thank-you gifts can reduce donation rat"/><s v="The effect examines how the visibility of a gift card (extrinsic incentive) shifts attention away from intrinsic motivation (e.g., altruism) and leads to reduced donation rates"/><s v="Across two studies, we demonstrate that cognitive strategies decrease craving for unhealthy foods, increase craving for healthy foods, and modulate subjective valuation. Importantly, across four additional studies we show that brief training in such cogni"/><s v="The effect evaluates whether the ROC-T training leads to an increase in healthy food choices despite the availability of unhealthy tempting options"/><s v="We found that conservatives’ proenvironmental attitudes and be-haviors improved consistently and drastically when we presented messages that compared the environment today with that of the past. This research shows how ideological differences can arise fr"/><s v="The effect examines how presenting climate change appeals as past-focused comparisons (rather than future-focused) can increase pro-environmental attitudes and behaviors among conservatives"/><s v="Across eight studies combining archival and experimental methods, we report evidence for a gender bias in how people speak about professionals. Men and women were, on average across studies, more than twice as likely to describe a male (vs. female) profes"/><s v="The effect being investigated here is the influence of gender bias in how professionals are referred to (surname vs. full name) on perceptions of status, eminence, and allocation of resources or rewards (e.g., award money)"/><s v="This paper examines how detecting harmful intent creates downstream consequences for assessing damage, magnifying its cost. If intentional harms seem worse, society may spend more money on them than on objectively more damaging unintentional harms or on n"/><s v="The effect examines whether participants who read about an intentional act (mixing up medications intentionally) are more likely to choose a task involving blame compared to those who read about an unintentional act (mixing up medications unintentionally)"/><s v="conservatives are not only more likely to use stereotypes than are liberals, but are especially likely to negatively evaluate counterstereotypical people to organize the social world with greater certainty."/><s v="Conservatives negatively evaluate counterstereotypical people to maintain a sense of certainty"/><s v="People often make decisions with consequences that unfold over time. When facing such intertemporal choices, people use differ-ent search strategies. We examine how these search strategies differ and how they relate to patience in intertemporal choice."/><s v="The effect under investigation is how comparative searchers make more patient choices (i.e., choose a larger monetary reward which is delivered later) than integrative searchers"/><s v="Across five experiments, we show that dehumanization—the act of perceiving victims as not completely human—increases instrumen-tal, but not moral, violence."/><s v="The effect being investigated is whether people are more willing to harm a stranger described in dehumanised terms rather than humanised terms when the motives are instrumental."/><s v="Two aims of behavioral science, often pursued separately, are to model the evolutionary dynamics and cognitive mechanisms governing behavior in social conflicts. Combining these approaches, we show that the dynamics of proximate mechanisms such as reward "/><s v="The effect being investigated is that in repeated games against rigid opponents, thieves exhibit flexible stealing behavior, while victims display rigid punishment behavior."/><s v="Exposure to rising inequality shapes Americans’ opportunity beliefs and policy support...perceptions of rising economic inequality spark skepticism about the existence of economic opportunity in society that, in turn, may motivate support for equity-enhan"/><s v="The effect being investigated is the effect of inequality exposure on attributing success to structural factors compared to individual factors"/><s v="The present research documents the widespread misperception of race-based economic equality in the United States. Across four studies (n = 1,377) sampling White and Black Americans from the top and bottom of the national income distribution, participants "/><s v="The effect being investigated is the impact of inducing consideration of the persistence of racial discrimination on the overestimation of racial economic equality"/><s v="as compared with people who en-gaged in ethical behavior and those who engaged in positive or negative actions, people who acted unethically are the least likely to remember the details of their actions. That is, people experi-ence unethical amnesia: unet"/><s v="The effect being investigated is how prior cheating in a die-throwing game influences increased dishonesty in a subsequent Boggle game, after a three-day delay"/><s v="the cleanliness and neutral conditions revealed non-significant difference"/><s v="Cleanliness condition in the low response effort group significantly influenced the moral judgements averaged across all vignettes"/><s v="Cleanliness condition in the low response effort group significantly influenced the moral judgements in the &quot;Dog&quot; vignettes"/><s v="Cleanliness condition in the low response effort group did not achienve significant influence on the moral judgements in the &quot;Kitten&quot; vignettes"/><s v="Cleanliness condition in the low response effort group did not achienve significant influence on the moral judgements in the &quot;Plane&quot; vignettes"/><s v="Cleanliness condition in the low response effort group did not achienve significant influence on the moral judgements in the &quot;Resume&quot; vignettes"/><s v="Cleanliness condition in the low response effort group did not achienve significant influence on the moral judgements in the &quot;Trolley&quot; vignettes"/><s v="Cleanliness condition in the low response effort group did not achienve significant influence on the moral judgements in the &quot;Walley&quot; vignettes"/><s v="public goods are substitutes and merit goods are complements to private goods consumption"/><s v="Per capita household consumption (private consumption) together with public and merit goods, aggregate consumption in this economy"/><s v="Justified per capita household consumption (private consumption) together with public and merit goods, aggregate consumption in this economy"/><s v="Working age population share influence the consumption"/><s v="Public goods substitute private consumption"/><s v="Public order and defence government (public goods) substitute private consumption"/><s v="Public goods substitute private consumption in the past periods"/><s v="Public order and defence government (public goods) substitute private consumption in past periods"/><s v="Hansen J-test supports the notion of plausible restrictions in GMM."/><s v="Merit goods complement private consumption"/><s v="Education and health government (merit goods) complement private consumption"/><s v="Merit goods complement private consumption in the past periods"/><s v="Education and health government (merit goods) complement private consumption in past periods"/><s v="After tax real interest rate influence the consumption"/><s v="After tax real interest rate  influence the consumption"/><s v="Disposable income captures some transient income eHect but is not sustained enough to provide a convincing alternative to the permanent income mode"/><s v="Disposable income captures some transient income eHect but is not sustained enough to provide a convincing alternative to the permanent income mode in past periods"/><s v="Estimating the unemployment cost of having the average inflation rate below the targeted level requires estimating the long run Philips curve. Following Svensson (2015), the long run Phillips curve is estimated by taking the unconditional mean of the shor"/><s v=" Dictator games have been used extensively to study social preferences and framing effects of giving vs. taking."/><s v="Gender differences in the giving and taking variants of the dictator game can occur"/><s v="Women from countries with traditionally higher rates of female labor force participation (FLFP) are more likely to be in the labor force and that those from countries with traditionally lower total fertility rates (TFR) have relatively less children."/><s v="When workers leave multinationals and are rehired at domestic establishments, the wages of their new coworkers who have already been present in the establishment increase"/><s v="Certain teacher qualifications [...]  positively   impacted reading and  math achievement  for first grade  students  in  the  United  States."/><s v="The magnitude of adjustment-based anchoring is moderated by the cognitive load with high cognitive load leading to less adjustment from self-generated anchors&#xA;"/><s v="Cognitively busy participants adjusted less from self-generated anchors than those not cognitively busy."/><s v="Relationships between teacher  qualifications and elementary student achievement"/><s v="importance of weight on having a voice in a decision-making procedure"/><s v="The cleanliness condition had a lower mean composite rating than the neutral condition in the low response effort condition"/><s v="Side effects of behavior aimed at a different target"/><s v="Intentional Action and Side Effects in Ordinary Language"/><s v="In the absence of skill, murder is judged intentional but achievement is not"/><s v="Westerners are more likely than East Asians to report intuitions that are consistent with the causal-historical view (see Abstract)"/><s v="Westerners are more likely than East Asians to report intuitions that are consistent with the causal-historical view"/><s v="&quot;Imaginative resistance refers to a phenomenon in which people resist engaging in particular prompted imaginative activities.&quot; (p.1)"/><s v="intention, intentional action and moral considerations"/><s v="participants who respond as nonobjectivists about canonical moral violations still treat such violations in typical ways"/><s v="The value heuristic in judgments of relative frequency (flowers endowed)"/><s v="The value heuristic in judgments of relative frequency (birds endowed)"/><s v="Affective arousal links sound to meaning (shape condition)"/><s v="Affective arousal links sound to meaning (word condition)"/><s v="cognitive dynamics of negated sentence verification (interaction between negation and x-flips)"/><s v="cognitive dynamics of negated sentence verification (negation and truth)"/><s v="cognitive dynamics of negated sentence verification (negation and acceleration ⁄ deceleration events)"/><s v="cognitive dynamics of negated sentence verification (negation and veracity)"/><s v="Model-based influences on humans' choices and striatal prediction errors"/><s v="Neural correlates of mirror invariance in the visual word form area"/><s v="Cognitive vs. emotive factives"/><s v="Reconciling novelty and complexity through a rational analysis of curiosity"/><s v="Ambivalence gives pause to the powerful"/><s v="Syntax-induced pattern deafness"/><s v="Seeing one's own capability for wrongdoing predicts forgiveness"/><s v="occurs when an individual's exposure to a certain stimulus influences their response to a subsequent prompt, without any awareness of the connection."/><s v="moral roots of environmental attitudes"/><s v="moral roots of environmental attitudes (neutral condition)"/><s v="information quantities moderate decision makers' preference for consistent and inconsistent information"/><s v="Self-perceived expertise predicts claims of impossible knowledge"/><s v="Underestimating calorie content when healthy foods are present: an averaging effect or a reference-dependent anchoring effect (reference food on calorie estimates)"/><s v="Underestimating calorie content when healthy foods are present: an averaging effect or a reference-dependent anchoring effect"/><s v="a cognitive bias that describes the common human tendency to rely too heavily on the first piece of information offered (the “anchor”) when making decisions."/><s v="Individual-vs. population-level probabilistic modeling of reasoning in reference games (simple versus complex implicature situations)"/><s v="Individual-vs. population-level probabilistic modeling of reasoning in reference games (in complex implicature situations versus on ambiguous filler trials)"/><s v="Metamers of the ventral stream"/><s v="tiger mothers motivate Asian Americans but not European Americans"/><s v="Capability and inferences about commitment in labor markets"/><s v="Perceiving economic inequality in everyday life decreases tolerance to inequality (PEIEL condition)"/><s v="Perceiving economic inequality in everyday life decreases tolerance to inequality(control condition)"/><s v="Rational integration of noisy evidence and prior semantic expectations in sentence interpretation"/><s v="Schema induction and analogical transfer"/><s v="consequences of dehumanizing Black children"/><s v="Are older adults more willing to donate?"/><s v="Seeking confirmation is rational for deterministic hypotheses"/><s v="Mind perception"/><s v="generalized reciprocity and the limits of generosity"/><s v="Opportunity cost neglect attenuates the effect of choices on preferences"/><s v="Cognitive load selectively interferes with utilitarian moral judgment"/><s v="Optimal predictions in everyday cognition"/><s v="children’s fixed and growth intelligence mind-sets and parents' view of failure"/><s v="statistical shape of geometric reasoning"/><s v="Objecting to experiments even while approving of the policies or treatments they compare"/><s v="effects of an implemental mind-set on attitude strength"/><s v="texture representations in the human visual system"/><s v="Highlighting lower-SES students' background-specific strengths reinforces their academic persistence"/><s v="People prefer scientific explanations that contain logically irrelevant reductive information"/><s v="effect of taking a memory test on older adults’ subjective age"/><s v="preferences for and the efficacy of within-and cross-category substitutes for food"/><s v="College choice as a collective decision"/><s v="How the perception that profile text was written by AI affects trustworthiness (Control)"/><s v="How the perception that profile text was written by AI affects trustworthiness (Unlabeled)"/><s v="How the perception that profile text was written by AI affects trustworthiness (Labeled)"/><s v="How the perception that profile text was written by AI affects trustworthiness (Primed)"/><s v="shape bias: Evidence from the Tsimane’"/><s v="Aptness and conventionality in metaphor comprehension"/><s v="Disliking hypocrites (theory of false signaling)"/><s v="Promoting self-change over self-protection motives in response to negative feedback using high-level construal and perceptions and changeability"/><s v="A founding penalty: evidence from an audit study on gender, entrepreneurship, and future employment"/><s v="Limits on theory of mind use in adults"/><s v="Deviance or uniqueness, harmony or conformity?"/><s v="working memory Stroop effect"/><s v="Conveying and detecting hierarchical rank through voice"/><s v="Canonical visual size for real-world objects (effect of the size rank of the object on the drawn size of the object)"/><s v="Canonical visual size for real-world objects (effect of paper size on drawn size)"/><s v="Canonical visual size for real-world objects (interaction between the paper size and the effect of the object size)"/><s v="Teleological generics"/><s v="link between self-dehumanization and immoral behavior"/><s v="Susceptibility to others’ beliefs in human infants and adults"/><s v="Monty Hall problem: discovering psychological mechanisms for solving a tenacious brain teaser"/><s v="curse of knowledge (red container versus ignorance condition)"/><s v="curse of knowledge (blue container versus ignorance condition)"/><s v="Reminders of god can increase nonmoral risk taking"/><s v="effects of system threat on attraction to women who embody benevolent sexist ideals"/><s v="The logic of universalization guides moral judgment"/><s v="Time metrics matter, connecting present and future selves"/><s v="Controlling for participants’ viewing distance in large-scale, psychophysical online experiments using a virtual chinrest"/><s v="bidirectional link between visual perspective and action identification level"/><s v="Inferring whether officials are corruptible from looking at their faces"/><s v="Object persistence enhances spatial navigation"/><s v="impact of race and interpersonal dominance on perceptions of female leaders"/><s v="Race-based biases in deception judgments"/><s v="curse of knowledge"/><s v="A familiar-size Stroop effect in the absence of basic-level recognition"/><s v="Challenging moral attitudes with moral messages"/><s v="Realistic threat explains negativity toward Asian Americans"/><s v="Poverty impedes cognitive function"/><s v="Learning via active and passive hypothesis testing"/><s v="Sense of belonging and bias in web interfaces (Enrollment Intentions)"/><s v="Sense of belonging and bias in web interfaces (Ambient Belonging)"/><s v="Sense of belonging and bias in web interfaces (Anticipated Success)"/><s v="Sense of belonging and bias in web interfaces (Self Confidence)"/><s v="Sense of belonging and bias in web interfaces (Future CS Study Intentions)"/><s v="Sense of belonging and bias in web interfaces (Gender-related Anxiety)"/><s v="Measuring receptiveness to opposing views"/><s v="transposed-word effect in grammaticality judgments"/><s v="resenting those who do the right thing"/><s v="repetition blindness for nonwords"/><s v="There was a significant interaction between viewpoint (prototypical or non-prototypical) and visual field (upper visual field or lower visual field) on the probability of the first fixation being on the target: The effect of visual field was enhanced for "/><s v="Hand-washing after experiencing disgust led participants to judge moral vignettes with less severity than participants who did not wash their hands"/><s v="Surfaces with a single EE along the shared contour were perceived as closer than surfaces with two EE's orthogonal to the shared contour"/><s v="What Do Cross_National Comparisons of Personality Traits Tell Us? The Case of Conscientiousness"/><s v="Conscientiousness measured by aggregated self-reports on the NEO-PI-R correlated with Postal workers’ speed, Clock accuracy, Walking speed, GDP, Longevity"/><s v="Participants who scored as more dominant in personality were more likely to have relatively faster response times to vertical stimuli than horizontal stimuli in predictable-location task"/><s v="Conflict-triggered goal shielding: Response conflicts attenuate background monitoring for prospective memory cues."/><s v="An interaction between Perspective Memory (PM) cue dimension and compatibility predicted the mean proportion of missed PM cues"/><s v="Detecting the snake in the grass: attention to fear-relevant stimuli by adults and young children."/><s v="Young children detect threat-relevant targets more quickly than threat-irrelevant ones"/><s v="Participants were more likely to underestimate the number of pictures in their value category than in the 'other' category."/><s v="Attentional effect of object words interfered with the visual perception of a target in the typical location of the object"/><s v="The tendency to underestimate the frequency of positive and to overestimate the frequency of negative observations increased from the provider with the smallest to the provider with the highest overall frequency due to differential regression effects"/><s v="Accuracy was significantly lower in long list as it is harder to reject such probes due to more memory matching episodes on the context dimension"/><s v="Significant repetition blindness (RB) effect was inducted in nonword condition"/><s v="Direct forgetting had bigger effect on spaced items, rather than on mass items"/><s v="The two language groups were comparable in most measures, but bilinguals showed a larger dip of T2 report — a bigger blink, that  is — at Lag 3, which can be attributed to more reactive inhibition in bilinguals"/><s v="Priming addition facts with semantic relations."/><s v="As predicted by the semantic alignment hypothesis, the sum effect occurred in the aligned-categorical but did not occur in the misaligned-unrelated condition"/><s v="Prior occurances of the erroneous remembered item lead to increase in error rates (error are more probable as they occured previously)"/><s v="There was no delay in response when switching between pronouncing regular words and nonwords"/><s v="On the additive effects of stimulus quality and word frequency in lexical decision: Evidence for opposing interactive influences revealed by RT distributional analyses."/><s v="Significant stimulus quality and word frequency interaction with larger frequency effects for the degraded words"/><s v="Semantically unrelated word-picture pairs significantly slower average reaction time"/><s v="Low covariance between feature dimensions allowed VSL to operate in parallel in each of these dimensions"/><s v="The average recall score was larger in low switch lists with normal digits than in low-switch lists with degraded digits"/><s v="The predicted values are higher for B and lower for A when the prevalence of B is high than when it is low"/><s v="Instructing participants to group items induces a temporal gap between the groups both  when trying to recall the timing of the items"/><s v="The type of dependency influence the  number of correct respones"/><s v="Orienting attention in visual working memory reduces interference from memory probes."/><s v="For both the shape and color conditions, there will be an effect of cue type (retro cue better than simultaneous cue) on recall at all set sizes except for set size 1"/><s v="Decision making and learning while taking sequential risks."/><s v="Only in well-defined versions of the ART that do not require a learning process do the adjusted ART scores identify the risky use of drugs"/><s v="Accelerated relearning after retrieval-induced forgetting: The benefit of being forgotten."/><s v="Effect of relearning was significantly larger for non-practiced items from practiced categories than non-practiced items from non-practiced categories"/><s v="Nonaffirmed actors liked the rebel significantly less than the obedient, self-affirmed participants showed no such rejection of the rebel"/><s v="Why do implicit and explicit attitude tests diverge? The role of structural fit."/><s v="Relationship between authors' direct and indirect procedures is moderated by percieved pressure to respond in a socially desirable manner"/><s v="The developmental psychometrics of big five self-reports: Acquiescence, factor structure, coherence, and differentiation from ages 10 to 20."/><s v="Younger respondents show greater individual differences (variance) in their acquiescent response tendencies than older respondents"/><s v="Participants who scored low on avoidance but high on anxiety demonstrated an increased relative preference for a parent after mortality salience as opposed to dental pain"/><s v="The action and inaction primes produced, respectively, higher and lower levels of cognitive output (higher or lower performance measured by number of solved problems"/><s v="Perceptual learning (better discrimination of AX and BX on test) was observed when AX and BX were intermixed in preexposure but not when AX was intermixed with BY."/><s v="Action goal led to a greated number of thoughts supporting goal-mediation interpretation"/><s v="Affective incoherence: When affective concepts and embodied reactions clash."/><s v="Affective coherence (as opposed to affective incoherence) produced a linear increase in cognitive complexity across three participant-generated narratives"/><s v="Low-prejudice participants whose non-prejudiced responses were motivated by internal (but not external) factors exhibited better control on a stereotype-inhibition task than did participants motivated by a combination of internal and external factors, and"/><s v="Action-oriented mindset resulted in attitude changes from pre- to post-decision to both chosen and rejected alternatives"/><s v="Participants offered significantly fewer chips to angry recipients than to happy recipients in low consequence situations"/><s v="Walking on eggshells: How expressing relationship insecurities perpetuates them."/><s v="Participants perceived the confederate’s expressions of happiness as less authentic when they were told, after the interaction, that the confederate had been informed beforehand that participants were especially vulnerable to rejection"/><s v="Participants own responsiveness was a significant predictor of their perception of their partners' responsiveness"/><s v="A single-system account of the relationship between priming, recognition, and fluency."/><s v="Response times to misses were significantly faster than those to correct rejections, indicating that memory sources for priming and recognition are independent."/><s v="Poignancy: Mixed emotional experience in the face of meaningful endings."/><s v="Participants in the limited-time condition (poignancy) experienced more sadness than participants in the control condition"/><s v="1/f noise and effort on implicit measures of bias."/><s v="Participants instructed to use race and avoid race exhibited less 1/f noise (as reflected in PSD slopes) than participants in the control condition"/><s v="Processing style (global and local) affected the impact of the prime: participants judged the target person to be more aggressive after aggression priming in global style compared to local style"/><s v="Not so innocent: Does seeing one's own capacity for wrongdoing predict forgiveness?"/><s v="When not primed with capability– empathy items, men reported more vengefulness than women, but when capability– empathy items preceded the TRIM, men’s vengefulness scores were significantly reduced"/><s v="When participants were not under load, those who imagined that they had not done the reading believed that it was more likely that they would be called on"/><s v="The nonverbal expression of pride: Evidence for cross-cultural recognition."/><s v="Participants recognized conveyed emotions as pride at an above chance level, no matter what culture the target represented"/><s v="Participants remembered the order of words better when the presented word lists contained only short words compared to lists that only contained long words."/><s v="Participants who answered correctly were more often of higher cognitive ability (measured via SAT scores)"/><s v="People who focus on important values in persuasive messages are more sensitive to argument quality compared to people who focus on unimportant values"/><s v="Distinguishing between silent and vocal minorities: Not all deviants feel marginal."/><s v="There were disproportionately more descriptive deviant (Republican) stickers than prescriptive deviant (Democratic) stickers in more Republician location (second attempt)"/><s v="Participants from the hot list (certain commitment) donated more money in the to-go condition than did participants in the to-date condition"/><s v="Correct source attributions creates no difference in the subjective state of remembering between schema-consistent or schema-inconsistent condition, whereas in case of incorrect source attribution participants are more often in a subjective state of remem"/><s v="Participants in the one-sided focus condition had less ambivalence than participants in the two-sided focus condition."/><s v="After condition a message of acceptance was more effective in promoting reconciliation among perpetrators, whereas a message of empowerment was more effective in promoting reconciliation among victims"/><s v="Composite ratings of both power and leadership correlated with company profits, even after controlling for CEO age, CEO attractiveness, and the affect CEOs were displaying in the pictures"/><s v="The amount of information influence the decision among consistent and inconsistent conditions"/><s v="Self-regulation and selective exposure: The impact of depleted self-regulation resources on confirmatory information processing."/><s v="Reduced self regulation resources are associated with increased biases in confirmatory information processing"/><s v="When learning goals were absent, participants sat closer to one another when they discussed love and relationships than when they discussed racial profiling"/><s v="Sex differences in mate preferences revisited: Do people know what they initially desire in a romantic partner?"/><s v="There are no significant sex differences correllation for relationship initiation variables with ratings of earning prospects"/><s v="Prime diagnosticity in short-term repetition priming: Is primed evidence discounted, even when it reliably indicates the correct answer?"/><s v="Priming approach intensified the hurt and pain of partner rejection for low self-esteem people"/><s v="Considering counterfactuals about a self-handicap reduces motivation to improve on subsequent tasks"/><s v="Social identity contingencies: How diversity cues signal threat or safety for African Americans in mainstream institutions."/><s v="For african american participants the fairness cue affected their racial identity, while for white participants it didn't"/><s v="negative emotional eating is closely related to disordered eating behaviors...In this study, we used a person-oriented approach, latent class analysis (LCA), to examine the negative emotional eating patterns and to characterize these patterns in a sample "/><s v="Understanding others’ mental states is a crucial skill that enables the complex social relationships that characterize human societies. Yet little research has investigated what fosters this skill, which is known as Theory of Mind (ToM), in adults. We pre"/><s v="This study explored metabolic mechanisms of future (delay) discounting, a choice phenomenon where people value present goods over future goods. Using fluctuating blood glucose as an index of body-energy budget, optimal discounting should regulate choice a"/><s v="Tracing attention and the activation flow in spoken word planning using eye movements."/><s v="Type of the task (picture naming, word reading) interacts with relation (semantically/phonologically related picture-word pair, semantically/phonologically unrelated picture-word pair) for vocal responses"/><s v="Across-notation automatic numerical processing."/><s v="Large interpair numerical difference increase the RT"/><s v="Effects of fluency on psychological distance and mental construal (or why New York is a large city, but New York is a civilized jungle).; Table: primed participants (conceptually fluent participants) preferred concrete descriptions of the prime later, mor"/><s v="Primed participants (conceptually fluent participants) preferred concrete descriptions of the prime later"/><s v="More than meets the eye: the role of language in binding and maintaining feature conjunctions.; table: directional language (e.g., to the left) helps children bind color and shape information to a greater extent than relational language alone ( e.g., next"/><s v="Directional language (e.g., to the left) helps children bind color and shape information to a greater extent"/><s v="goal primed participants learned more than participants in the control group"/><s v="Goal priming leads to better learning"/><s v="Stored word sequences in language learning"/><s v="Words with many near neighbors (e.g., chicken) were associated with an increased level of processing (i.e., categorized more slowly) compared to words with few near neighbors"/><s v="male participants were less sensitive to the distinction between friendliness and sexual interest than women, suggesting that gender differences are due to perceptual insensitivity in men"/><s v="Male participants were less sensitive to the distinction between friendliness and sexual interest (perceptual insensitivity in men)"/><s v="increased anchor precision leads to decreased adjustment by participants"/><s v="Sample entropy was higher for middle-truth-value questions than for low- and high-truth-value questions"/><s v="among accurate, optimistic, or pessimistic predictions, participants are most likely to recommend optimisitic predictions"/><s v="Participants are most likely to recommend optimisitic predictions"/><s v="Age-related changes in the episodic simulation of future events"/><s v="Older adults produced fewer internal details, but more external details than young adults"/><s v="When learning an object name, young children often assume that the name refers to the object the speaker is looking at, even if the children themselves are looking at a different object when the word is used"/><s v="Older children were able to disregard these gaze cues and identify the correct referent, although the younger children were not"/><s v="Measuring the crowd within: Probabilistic representations within individuals."/><s v="Averaging two guesses within one person provides a more accurate answer than either guess alone"/><s v="Temporal selection is suppressed, delayed, and diffused during the attentional blink."/><s v="Selection is suppressed (efficacy), delayed (latency), and diffused (precision) in time during the attentional blink"/><s v="The attraction effect was larger in the depletion with placebo group than among participants in the other three groups (depletion with sugar, no depletion with sugar, no depletion with placebo)"/><s v="Free recall, but not serial recall, of lists of phonologically related to-be-remembered items are disrupted by an irrelevant sound stream (end rhymes) sharing similar phonological content"/><s v="Phonologically similar irrelevant items disrupted recall compared with phonologically dissimilar items in free recall"/><s v="The magnitude of the startle response following an error is correlated to the amplitude of the Error-Related Negativity (ERN)"/><s v="Accepting unfair offers increases right ventrolateral prefrontal cortex activation"/><s v="Reporting error on the location of missing distractors items was less when the targets were spatially distinct"/><s v="The effect of visual search efficiency on response preparation"/><s v="Male participants whose faith in the federal system was threatened showed greater romantic interest in women who embody benevolent sexist ideals than in women who do not embody these ideals"/><s v="Bright children become enlightened adults"/><s v="Motion aftereffects were present following the presentation of a still photograph depicting motion"/><s v="High External Motivation (EM) participants exhibit attentional biases for neutral Black faces, but not happy Black faces."/><s v="High External Motivation (EM) participants exhibit attentional biases for neutral Black faces, but not happy Black faces"/><s v="response times were faster when participants were given the same mathematical operation to practice and to test, relative to operational change or a new problem"/><s v="Practising the same mathematical operation which will occur in experimental part increased the response time in comparison to operational change)"/><s v="Modulation of emotion by cognition and cognition by emotion"/><s v="Moderated mediation of cognitive elaboration and perceived source credibility on personalness of source"/><s v="Development of holistic episodic recollection"/><s v="Linguistic signature of psychological distancing in emotion regulation"/><s v="Reappraisal success is positively correlated with linguistic distance"/><s v="Reappraisal is not correlated with positive affect words"/><s v="Reappraisal is negatively correlated with negative affect words"/><s v="Participants reported feeling less negative when writing about images in the Reappraise Negative conditionm than in Look Negative"/><s v="Participants used fewer negative affect words in the Reappraise Negative condition than in the Look Negative condition"/><s v="Participants’ writing was more distanced in the Reappraise Negative condition than in the Look Negative condition"/><s v="Participants completed more “fun” tasks than “self-control” tasks"/><s v="For the fun version of the task, participants motivated by their past self completed more trials than did participants motivated by their future self, however this logic reversed in the self-control version of the task"/><s v="Within-the-bar condition resulted in a larger and significant bias in rating"/><s v="Within-the-dot condition resulted in a non-significant bias in rating"/><s v="The model explained moderate varience"/><s v="Dot plots reduced the bias"/><s v="Graph literacy was positively correlated with bias"/><s v="The relation between graph literacy and display type was not significantly different in bar and dot conditions"/><s v="The more students endorsed a fixed theory, the less interest they expressed in the article that mismatched their interest identity"/><s v="Brief intervention to encourage empathic discipline cuts suspension rates in half among adolescents"/><s v="Stroop interference predicts a decreased model-based choice contribution"/><s v="Predictive effect of susceptibility to response conflict was limited to model-based rather than model-free choice contribution in the infrequent condition"/><s v="Rewards significantly influence the repetition of the previous choice"/><s v="Rewards and transition interaction (rare / common) significantly influence the repetition of the previous choice"/><s v="Transition interaction (rare / common) did not influence the repetition of the previous choice"/><s v="Predictive effect of susceptibility to response conflict was not limited to model-based choice in the frequent condition"/><s v="Considering a message in light of important values increases message processing and later resistance to change"/><s v="The responses before and after in the test are equal, highlighling the reliability across dilemmas"/><s v="Subjects in the CRT-First condition (inducing more reflective attributions) judged the utilitarian actions to be more acceptable"/><s v="Higher CRT scores would correlate positively with utilitarian judgments"/><s v="The relationships between the variables are not equal since the correlation coefficients are different"/><s v="The reported effects of the CRT was not the effects of performing a task of some non-specific kind"/><s v="There is an emotional-memory trade-off: general recognition is significantly influenced by the interaction of condition (sleep, wake) and scene component (object, background)"/><s v="There is an emotional-memory trade-off: general recognition is significantly influenced by the interaction of condition (sleep, wake) and valence (negative, neutral)"/><s v="There is an emotional-memory trade-off: general recognition is significantly influenced by the interaction of factors"/><s v="Sleep selectively preserved memory for the scene’s negative emotional objects"/><s v="Sleep does not preserve memory for the scene’s background regardless their valence"/><s v="Healthy out-group members are represented psychologically as infected in-group members"/><s v="The decrease of correct recall was mostly due to the increase in the number of within-group errors"/><s v="Participants primed with positive features of greed expressed more favorable attitudes toward greed "/><s v="Higher social class predicts increased unethical behavior"/><s v="In the neutral-prime condition, upper-class participants reported significantly more unethical behavior, but when priming with positive aspects of greed, lower-class articipants exhibited high levels of unethical behavior"/><s v="Participants were more accurate or correct in their responses when they received a negative test result "/><s v="Participants who received favorable information about Peter perceived him as more likely to act helpfully"/><s v="Participants in the favorable-LIB condition were significantly more likely to believe the communicator and target shared political-group membership"/><s v="There was no significant interaction between the LIB condition and the target’s political affiliation"/><s v="Favorable Linguistic intergroup bias lead to higher believs that Peter was more likely to be helpful in the future "/><s v="Favorable Linguistic intergroup bias lead to higher believs that Peter was less likely to be rude in the future"/><s v="Being in the favorable Favorable Linguistic intergroup lead to higher believe that the communicator was a Democrat"/><s v="Participants in the favorable-LIB condition believed that the communicator was less likely to support the policy"/><s v="Participants in the favorable-LIB condition were more likely excplicitly beliving that the communicator was more from Democratics"/><s v="The target’s political affiliation (Democrat vs. Republican) did not significantly influence participants’ judgments about shared group membership"/><s v="The interaction between the LIB condition and the participant’s political affiliation was not significant"/><s v="Participants rated different types of traits (masculine vs. feminine) differently, regardless of the condition"/><s v="The difference in how masculine and feminine traits were rated marginally depended on whether participants were in the divergent-thinking or convergent-thinking condition"/><s v="In the divergent-thinking condition, participants strongly associated creativity with masculine-agentic traits"/><s v="In the convergent-thinking condition, participants still associated creativity more with masculine-agentic traits"/><s v="Masculine traits were seen as more important for creativity in the divergent-thinking condition"/><s v="There was no significant difference in how feminine traits were perceived across the divergent-thinking and convergent-thinking conditions."/><s v="Mean reaction times were faster when the target location was congruent with that indicated by the numeric cue"/><s v="Interest rates decrease as A0:2 increases - tradeoff model"/><s v="Explicitly stating zero outcomes increases patience"/><s v="Increasing the smaller sooner reward reduces patience"/><s v="For larger later rewards, increasing the smaller sooner reward increases patience"/><s v="The effect of adding amounts to rewards depends on the specific reward structure"/><s v="Responsive conditions increase global focus"/><s v="Mood does not mediate global processing effects"/><s v="Responsive conditions increase global focus when the mood was considered as a factor"/><s v="Switching reverses memory effects for attended and unattended items"/><s v="Cognitive load amplifies perceived risk"/><s v="Tempting fate increases perceived risk"/><s v="Load amplifies the effect of tempting fate"/><s v="Participants perceive paltering as more unethical compared to honest responses"/><s v="Lying by commission and paltering are perceived as equally unethical"/><s v="Lying by commission is perceived as more unethical than honesty"/><s v="Paltering and lying by commission are perceived equivalently in terms of unethicality"/><s v="Participants trust the honest buyer more than the one who paltered"/><s v="Participants trust the honest buyer more than the one who lied by commission"/><s v="Lying by commission and paltering are perceived as equally untrustworthy"/><s v="Participants are less likely to negotiate again with a buyer who paltered compared to one who answered honestly."/><s v="Pparticipants are less likely to negotiate again with a buyer who lied by commission compared to one who answered honestly"/><s v="Participants perceive lying by commission and paltering as equally undesirable for future negotiation likelihood"/><s v="The difference in wrongness ratings between the high-dosage and low-dosage versions was substantially higher for the harm transgressions"/><s v="Participants had greater sensitivity to dosage for harm-based transgressions"/><s v="High-dosage transgressions were judged to be more wrong than low-dosage transgressions"/><s v="The harm and purity transgressions were well matched for severity"/><s v="Observers are biased by the ensemble statistics of a display when representing display items in visual working memory"/><s v="Participants identified significantly fewer actions in the construal-of-choice condition compared to the control condition"/><s v="A choice mind-set increases the acceptance and maintenance of wealth inequality"/><s v="Negotiators with a weak BATNA made significantly lower first offers than those with no alternative"/><s v="Cleanliness reduces the severity of moral judgments"/><s v="Condition does not independently affect emotional ratings"/><s v="Self-promoters misjudge recipients' emotions"/><s v="Emotions differ in intensity across conditions"/><s v="Self-promoters perceived greater happiness in recipients than recipients actually reported"/><s v="Self-promoters believed recipients felt prouder of them than recipients actually did"/><s v="Despite expectations, self-promoters thought recipients felt more jealous than they actually reported"/><s v="Self-promoters failed to recognize the extent of recipients' annoyance toward their self-promotion"/><s v="Self-promoters and recipients did not differ significantly in perceptions of recipients' upset emotions"/><s v="There was no notable discrepancy between self-promoters' and recipients' perceptions of anger"/><s v="Self-promoters slightly overestimated how inferior recipients felt in comparison to them, though not significantly"/><s v="Sexual orientation (gay vs. straight) influences perceptions of American identity"/><s v="Perceived acceptance of one's country of origin (equally accepting vs. less accepting) affects perceptions of American identity"/><s v="The relationship between sexual orientation and perceptions of American identity depends on the level of acceptance associated with one's country of origin"/><s v="Dependence of state on exemplar is reduced compared to short-delay conditions, though not significantly"/><s v="Dependence of exemplar on state is significantly reduced compared to short-delay conditions"/><s v="Higher-income participants showed greater willingness to pay "/><s v="Higher income predicting a stronger effect of context on WTP"/><s v="There is an interaction between income and context"/><s v="Higher income amplifying the influence of context (resort vs. grocery store) on WTP"/><s v="Participants' choices of the target singer are influenced by the quality of the comparison set "/><s v="Participants' evaluations of the target singer persist despite changes in the comparison set"/><s v="Participants who read the neuroscience articles recommended significantly shorter prison sentences "/><s v="Participants in the expanded time horizon condition are less likely to help others compared to the control condition"/><s v="The relationship between age and likelihood of helping others differs by time horizon condition"/><s v="Participants in the unspecified (limited) time horizon condition are less likely to help others compared to the expanded condition"/><s v="Age predicts likelihood of helping others in the expanded time horizon condition"/><s v="Older individuals are more likely to help others when faced with limited time horizons, compared to younger individuals"/><s v="Participants chose to employ reappraisal on 76.3% of the low-intensity trials, but chose to employ distraction on 70.7% of the high-intensity trials"/><s v="Spectrum and Trait interation was significant"/><s v="Participants demonstrated significantly higher understanding scores in the common knowledge (CK) condition"/><s v="Participants' ratings of understanding differ significantly across conditions"/><s v="Ratings of understanding are significantly higher in the public CK condition than in the public no-CK condition"/><s v="Ratings of understanding in the public CK condition are nearly significantly higher than in the secret CK condition"/><s v="There is no significant difference in ratings of understanding between the public no-CK and secret CK conditions"/><s v="face typicality and perceived trustworthiness"/><s v="Distance from the typical face (DFT) influences attractiveness judgments."/><s v="The relationship between DFT and attractiveness judgments follows a quadratic trend"/><s v="The influence of DFT on judgments differs between trustworthiness and attractiveness"/><s v="The more distant the face from the typical face, the less trustworthy it was judged"/><s v="Trustworthiness judgments are systematically lower than attractiveness judgments"/><s v="Participants exposed to a disrespect condition reported higher levels of cynicism"/><s v="Children's developing intuitions about the truth conditions and implications of novel generics versus quantified statementsThere is a significant difference between mean prevalence level for generic wording in adults between truth condition and implied pr"/><s v="Participants recalled significantly more words on save trials than no-save trials in the eight-word condition"/><s v="Better recall on save trials and lower recall on no-save trials "/><s v="Saving File A improved recall of words from File B in the eight-word condition, suggesting a cognitive offloading effect"/><s v="No significant difference in File B recall was found when File A contained only two words, implying the effect depends on task complexity"/><s v="The interaction between trial type (save vs. no-save) and condition (eight-word vs. two-word) confirms that the impact of saving varies by word count"/><s v="Participants chose the face with higher contrast around the eye region more often"/><s v="The attended (cued) face tended to be judged to have higher contrast than the same face that was unattended to some degree"/><s v="Disclosing information about the self is intrinsically rewarding"/><s v="Males and females differ significantly in performance on the spatial-orientation test"/><s v="Performance on the spatial-orientation test differs significantly between the social and spatial conditions"/><s v="The effect of condition on spatial-orientation test performance varies significantly by sex"/><s v="Role of alternatives in the acquisition of simple and complex disjunctions in French and Japanese"/><s v="Potential racial biases in threat perception"/><s v="Participants misidentified safe words as threatening more often after Black primes than after White primes"/><s v="Participants more frequently categorized stimuli into the &quot;klein&quot; range compared to the &quot;groot&quot; range"/><s v="The perceived acceptable size range (&quot;groot zone&quot;) differs based on the prototypical size category (PROTOTYPICALLY SMALL vs. PROTOTYPICALLY BIG) of an object"/><s v="The predicted interaction between the measure of inherence bias and behavior typicality was significant"/><s v="Framing the policy differently does not significantly affect support for basic income policies"/><s v="The cue type did not have a significant main effect on the outcome variable"/><s v="Facebook use did not have a significant main effect on the outcome variable"/><s v="There was a significant interaction effect between cue type and Facebook use on the outcome variable, with a noticeable difference in their combined impact"/><s v="Participants were significantly less likely to agree with claims about causal and explanatory relationships when a relationship was moderated"/><s v="Choice boosts curiosity"/><s v="Money makes people self-sufficient (primed with money donated significantly less)"/><s v="Women reported more positive attitudes toward sexual imagery for expensive goods"/><s v="Interaction between gender and price in emotional response was marginally significant"/><s v="Behavioral responses are more theta-oscillatory in memory-dependent compared to memory-independent tasks"/><s v="Judgments of trustworthiness and attractiveness are strongly predicted by interactions, with an excellent model fit.&quot;"/><s v="Stronger SLB endorsement predicts greater perceptions of anti-White bias"/><s v="The racial progress condition did not independently influence perceptions of anti-White bias"/><s v="Participants enjoyed the external activities much more than justthinking"/><s v="Cheating more when the spoils are split"/><s v="Capacity for visual features in mental rotation was significantly lower"/><s v="Accuracy was significantly lower in the object-rotation condition compared to the no-rotation condition"/><s v="Young children negatively evaluate and sanction free riders"/><s v="Transient spatial attention degrades temporal resolution"/><s v="Participants in the false-consensus condition showed slightly higher confidence than those in the no-consensus condition"/><s v="Participants in the false-consensus condition reported significantly lower confidence compared to those in the true-consensus condition"/><s v="Parents’ responsiveness to childcare subsidies and their preferences for different childcare arrangements in model 1"/><s v="Parents’ responsiveness to childcare subsidies and their preferences for different childcare arrangements in model 2"/><s v="Parents’ responsiveness to childcare subsidies and their preferences for different childcare arrangements in model 3"/><s v="Parents’ responsiveness to childcare subsidies and their preferences for different childcare arrangements in model 4"/><s v="Parents’ responsiveness to childcare subsidies and their preferences for different childcare arrangements in model 5"/><s v="Subsidies and ISEI interaction in 3rd model"/><s v="Subsidies and migration background interaction in 4th model"/><s v="Subsidies and gender interaction in 5th model"/><s v="ISEI for professional caregiver in model 2"/><s v="ISEI for professional caregiver in model 4"/><s v="ISEI for professional caregiver in model 5"/><s v="ISEI for care by family members in model 5"/><s v="Participants exposed to a legacy prime reported greater behavioral intentions compared to those not primed"/><s v="Writing an essay enhanced participants' legacy motives"/><s v="Priming legacy motives increased participants' belief scores regarding climate-change behaviors"/><s v="The effect of the legacy prime on climate-change beliefs was partially mediated by increased legacy motives"/><s v="The legacy prime's influence on behavioral intentions was partially mediated by increased legacy motives"/><s v="Congruency (e.g., consistency between stimuli and responses) influences task performance across conditions"/><s v="The influence of congruency on task performance depends on alignment"/><s v="The combined effects of alignment, congruency, and task type significantly influence performance."/><s v="Congruency affects performance specifically in the face task"/><s v="The relationship between congruency and performance varies by alignment in the face task"/><s v="Congruency significantly impacts performance in the aligned condition"/><s v="Congruency consistently affects performance across both tasks"/><s v="The interaction between congruency and alignment is significant across line task"/><s v="Congruency significantly affects performance in the aligned condition across line task"/><s v="Congruency significantly affects performance in the misaligned condition across line task"/><s v="learning and remembering heirarchical relationships"/><s v="Participants judged the man as more likely to be the pilot than the woman,"/><s v="The very same participants who criticized person X’s morality and intellect had just made judgments that were conceptually identical to person X’s Bayesian judgment"/><s v="Condition significantly interacts with the group"/><s v="Inhibitory-control deficits compromise memory suppression in posttraumatic stress disorder"/><s v="Action and inaction primes produced, respectively, higher and lower levels of cognitive output"/><s v="reading about self or third person"/><s v="Reading times were faster for passages that were written from a personal perspective for positive emotions"/><s v="There was a positive effect of perspective on reading times"/><s v="There was no effect of valence on reading times"/><s v="There was a negative effect of valence and perspective interactionon reading times"/><s v="There was a marginal positive effect of perspective on emotional self-rating"/><s v="There was a negative effect of valence on emotional self-rating"/><s v="There was an effect of valence and perspective interaction on emotional self-rating"/><s v="Teacher confidence results in stronger alignment between students and teachers"/><s v="Lack of control is a proximal mechanism that produces physical pain"/><s v="Mothers were judged as significantly less competent"/><s v="Mothers, relative to other applicants, are believed to be less suitable for hiring"/><s v="Female participants, relative to other applicants, are believed to be less suitable for hiring"/><s v="Participants in the status-threat condition supported conservative positions more than did participants in the control condition"/><s v="Returning the wallet was an indicator of moral (vs. immoral) character"/><s v="Spontaneous giving and calculated greed"/><s v="infuence of group size on cultural complexity"/><s v="Intergenerational Goods Game"/><s v="Inequality and visibility of wealth in experimental social networks"/><s v="costly punishment in ecological systems is used but lacks a gross positive effect on resource harvesting unless combined with communication"/><s v="postdecisional dissonance"/><s v="Incidental Haptic Sensations Influence Social Judgments and Decisions"/><s v="testing improves memory"/><s v="imagined consumption reduces actual consumption"/><s v="Retrieval practice produces more learning than elaborative studying with concept mapping"/><s v="Writing about testing worries boosts exam performance in the classroom"/><s v="Google effects on memory: cognitive consequences of having information at our fingertips"/><s v="Affirmative action policies promote women and do not harm effciency"/><s v="Analytic thinking promotes religious disbelief"/><s v="episodic memory decisions induce lingering mnemonic biases"/><s v="scarcity changes how people allocate attention"/><s v="Body cues, not facial expressions, discriminate between intense positive and negative emotions"/><s v="Reading literary fiction improves theory of mind"/><s v="participants typically do not enjoy spending 6 to 15 minutes in a room by themselves with nothing to do but think"/><s v="Avoiding overhead aversion in charity"/><s v="disgust sensitivity is associated with stronger judgments of intentionality"/><s v="Encouraging gay kissing than generally encouraging kissing"/><s v="disgust sensitivity not predicting intentionality judgments (control condition)"/><s v="Assimilation and contrast effects in question sequences"/><s v="Correlation between the responses to the two questions when the specific question is asked first"/><s v="Correlation between the responses to the two questions when the specific question is asked second"/><s v="The difference between the correlations"/><s v="Correspondence bias (WEIRD samples)"/><s v="Correspondence bias (less WEIRD samples)"/><s v="perceived attitudes of the writer who wrote in favor of capital punishment"/><s v="perceived attitudes of the writer who wrote against capital punishment"/><s v="Harmful side-effects are more likely to be judged as having been brought about intentionally than helpful side effects"/><s v="an act that harms other people is seen as more morally permissible if the act is a foreseen side effect rather than the means to the greater good"/><s v="The difference in proportions of permeability judgements"/><s v="False consensus: supermarket scenario"/><s v="False consensus: traffic-ticket scenario"/><s v="False consensus: supermarket scenario (Slate 1)"/><s v="False consensus: traffic-ticket scenario (Slate 2)"/><s v="Moral typecasting"/><s v="Degree to which the person who committed the act is responsible"/><s v=" how intentional the act is"/><s v=" how much pain is felt by the victim"/><s v="Preferences for formal versus intuitive Reasoning (european americans)"/><s v="Preferences for formal versus intuitive Reasoning (east asians)"/><s v="classification whether the mean percentages for the two experimental (judgment condition (decide “which group the target object belongs to”) or “which group the target object is more similar to)”                                                            "/><s v="A less expensive gift can be perceived as more generous than a more expensive gift when the less expensive gift is a high-priced item compared with other items in its category, and the more expensive item is a low-priced item compared with other items in "/><s v="The less-is-better effect, wherein a less expensive gift can be perceived as more generous than a more expensive gift when the less expensive gift is a high-priced item compared with other items in its category, and the more expensive item is a low-priced"/><s v="Cardinal direction and socioeconomic status (all participants)"/><s v="Cardinal direction and socioeconomic status (western participants)"/><s v="Cardinal direction and socioeconomic status (non-western participants)"/><s v="Interaction between SES (high vs. low) and population (United States vs. Hong Kong)"/><s v="Likelihood of living preference for high-SES and low-SES individuals (US participants)"/><s v="Likelihood of living preference for high-SES and low-SES individuals (Hong Kong participants)"/><s v="Effect of framing on decision making"/><s v="Moral foundations of liberals versus conservatives (binding foundations)"/><s v="Moral foundations of liberals versus conservatives (individualizing foundations)"/><s v="Items that emphasized concerns for the in-group, authority, or purity (binding foundations)"/><s v="Reluctance to tempt fate"/><s v="The likelihood that the protagonist (themselves or Jon) would be called on by the professor"/><s v="Consumerism undermines trust"/><s v="Effects of consumer cues on feelings of responsibility"/><s v="Effects of consumer cues on feelings of obligation"/><s v="Effects of consumer cues on trust in other people"/><s v="Effects of consumer cues on viewing other people as partners"/><s v="Effects of consumer cues on believing other people should use less water"/><s v="Influence of incidental anchors on judgment"/><s v="Vertical position and power"/><s v="Relating vertical position with power"/><s v="Directionality and similarity"/><s v="Moral violations and desire for cleansing"/><s v="Moral violations create a desire for cleansing (and thus here a higher valuing of cleaning products)"/><s v="Structure promotes goal pursuit"/><s v="Prosociality is associated with the number of siblings"/><s v="Investigating the correlation between prosocial orientation and the number of siblings"/><s v="Priming “heat” increases belief in global warming"/><s v="Effect of condition on concern about global warming"/><s v="Investigating whether a deliberate, analytic processing style can be activated by incidental disfluency cues that suggest task difficulty"/><s v="Sociometric status and well-being"/><s v="The relationships among the high- and low- sociometric status (SMS) conditions and well-being "/><s v="Affect and risk"/><s v=" Whether to prefer an affectively attractive option (a kiss from a favorite movie star) or a financially attractive option ($50) depends on certainty"/><s v="Effect of choosing versus rejecting on relative desirability"/><s v=" Effect of choosing versus rejecting on relative desirability"/><s v="Construing actions as choices (Americans)"/></sharedItems></cacheField><cacheField name="claim_text_o" numFmtId="0"><sharedItems containsBlank="1"><s v="The authors’ key statistical result and its interpretation"/><s v="&quot;results were consistent with the idea of affective flexibility. There was a significant interaction between scanning condition (positive or negative) and stimulus valence (postscan ratings of positivity or negativity), F(1, 11) = 9.67, p &lt; .01, prep = .9"/><m/><s v="&quot;Participants in the thief contrast condition tended to agree with the knowledge ascription they received (mean rating: 4.6), while participants in the jewel contrast condition tended to disagree with the knowledge ascription they received (mean rating: 3"/><s v="&quot;N = 100 people spending time in the Canberra Centre Mall in Canberra, Australia, t (98) = 3.4, p = .001.&quot;"/><s v="Participants who were presented with the high anchor value estimated the car price to be higher (M = 21,219 Euro) than those presented with the low anchor value (M = 17,150 Euro), t(39) = 2.02, p &lt; .05, r = .31."/><s v="A t-test for dependent samples indicated that the difference in students’ interest in the two problem types was statistically significant [t(99) = −2.96, p &lt; 0.01]."/><s v="Students reported a mean level of interest of Madj = 2.71 (SDadj = 0.90) in solving problems with a connection to reality and Madj = 2.91 (SDadj = 1.00) in solving problems without a connection to reality when the impact of task difficulty was controlled "/><s v="A t-test for dependent samples showed a significant difference in pre-service teachers’ judgments of students’ interest in solving the two types of problems [t(162) = 14.33, p &lt; 0.01]. Cohen’s d = 1.12"/><s v="Pre-service teachers predicted a mean of Madj = 3.18 (SDadj = 0.48) for students’ interest in problems with a connection to reality and Madj = 2.47 (SDadj = 0.60) for their interest in problems without a connection to reality (Table 2). Means and standard"/><s v="Instead, they produced both vowels as a monophthongal /e/, with very little formant movement (1.18 for diphthongs vs. 0.92 for monophthongs, SD = 0.36), t(18) = 1.92, p = .071, r = .17, but distinguished them through duration."/><s v="Table 7 summarizes the results of correlation analyses between inhibition&#xA;scores and the four phonological accuracy scores (controlling for proficiency).&#xA;These correlations show that error rate and z scores in ABX perception were&#xA;significantly negative"/><s v="The test subconditions consE and vowelE did not differ from each other (Merr = 4.6%, CI = 1.0–8.2; and Merr = 3.6%, CI = 0–7.2, respectively), but they triggered significantly fewer errors than the nonnative consS and vowelS subconditions (Merr = 24.0%, C"/><s v="Indirect effect present for relationship quality: “initiating financial discussion earlier in a romantic relationship may benefit relationship quality—through financial communication” (most emphasised claim in original)"/><s v="No direct effect present for relationship quality: “Nonetheless, couples’ first financial discussion was not directly associated with their relationship quality.” (however not emphasised in original)"/><s v="Indirect effect present for financial conflict: &quot;The pathway from the first financial discussion to financial conflict through financial communication was significant (β = -.06; p &lt; .001)&quot; (however not emphasised in original)"/><s v="Direct effect present for financial conflict: “However, having an earlier first financial discussion as a couple was also positively associated with financial conflict.” (p. 1, emphasised in original) (also p. 11: &quot;The pathway from the first financial dis"/><s v="couples’ first financial discussion was directly associated with their financial communication (β = .23; p &lt; .001)"/><s v="couples’ first financial discussion was directly associated with their ... financial conflict (β = .07; p &lt; .05)."/><s v="&quot;awe and neutral conditions had a different balance between disclosing their strengths and weaknesses, t(84) = 2.38, p = .02.&quot;"/><s v="&quot;More specific analyses revealed that participants in the awe condition discussed significantly fewer strengths (M=1.20, SD=.53) before choosing to write about their weaknesses than participants in the neutral condition (M =1.48, SD=.44), t(84)=2.64, p= ."/><s v="&quot;...there was no effect of condition on the number of weaknesses participants listed (awe: M= .82, SD =.58; neutral: M = .79, SD=.49), t(84)=.27, p =.79.&quot;"/><s v="&quot;Post-hoc paired sample t-tests demonstrated that all three reach directions demonstrated statistically significant differences between pre-fatigue and the first post-fatigue measurement (ANT: p = 0.019, PM: p = 0.004, PL: p = 0.003)&quot;"/><s v="&quot;A repeated measures ANOVA with a Greenhouse-Geisser correction determined that the mean reach distances for the anterior (F = 3.818, p = 0.025) reach directions were statistically significantly different between time points.&quot;"/><s v="&quot;The anterior reach direction returned to pre-fatigue levels within 10 min (p = 0.632). The posteromedial reach direction returned to pre-fatigue levels within 20 min (p = 0.236), while the posterolateral direction maintained a statistically significant d"/><s v="&quot;The posteromedial reach direction was approaching significance (F = 2.215, p = 0.059).&quot;"/><s v="&quot;A repeated measures ANOVA with a Greenhouse-Geisser correction determined that the mean reach distances for the posterolateral (F = 6.503, P = 0.0004) reach directions were statistically significantly different between time points.&quot;"/><s v="Results: Autoregressive analyses indicated that visual reproduction scores were inversely related to subsequent PTSD symptom severity at subsequent assessments. Conversely, increases in PTSD symptom severity over each measurement interval were associated "/><s v="&quot;A randomization test conducted on these data revealed a statistically significant change in level across students following the introduction of the intervention (p = .001), from a baseline mean of 60.0 WCPM to an intervention mean of 91.2.&quot;"/><s v="&quot;Visual and statistical analyses revealed significant improvement from baseline to intervention for both reading and (...) outcomes.&quot;, Reading outcome, STANDARD reading passages: &quot;The visual analysis was supported by a multiple-baseline randomization test"/><s v="&quot;Visual and statistical analyses revealed significant improvement from baseline to intervention for both reading and (...) outcomes.&quot;, Reading outcome, TRAINING reading passages: &quot;A randomization test conducted on these data revealed a statistically signi"/><s v="&quot;...there was a statistically significant increase in frequency of engaged behavior (p = .001), from an average of 63% engagement during baseline to 82% during intervention.&quot;"/><s v="&quot;Visual and statistical analyses revealed significant improvement from baseline to intervention for both (...) and behaviour outcomes.&quot; Behaviour outcome ENGAGED behaviour: &quot;analyses. Specifically, there was a statistically significant increase in frequen"/><s v="&quot;Visual and statistical analyses revealed significant improvement from baseline to intervention for both (...) and behaviour outcomes.&quot; Behaviour outcome DISRUPTIVE behaviour: &quot;There was a statistically significant decrease in students’ disruptive behavio"/><s v="&quot;There was a statistically significant decrease in students' disruptive behavior (p = .001), from an average of 18% occurrence during baseline to 7% during intervention. &quot;"/><s v="p. 70"/><s v="Word Reading: Estimate: 3.29, SE: 1.08, pnorm: .002, 95% CI: [1.22, 5.66] Table 4 [...] Intervention effect sizes relative to control. Table 5."/><s v="Sentence Reading: Estimate: 2.64, SE: 0.98, pnorm: .007, 95% CI: [0.71, 4.56] Table 4 and Intervention effect sizes relative to control. Table 5."/><s v="Spelling: Estimate: 3.23, SE: 1.09, pnorm: &lt;.001, 95% CI: [1.20, 5.86] Table 4 and Intervention effect sizes relative to control. Table 5."/><s v="&quot;Significant ceiling effects were observed for the intervention children on all outcomes, with proportion of the sample censored from above as follows: word reading, 21.4%, sentence reading, 35.1%, spelling, 9.4%, and letter writing, 56.5%.&quot; See also tabl"/><s v="Not one of these moderator analyses was statistically significant (all p’s &gt; .20; see Table 3)"/><s v="Time to publication, Within 2 years: OR: 2.00, 95% CI: [1.34, 3.00], χ²(1), p: 1.62, .20 Table 3&#xA;"/><s v="Time to publication, More than 2 years: OR: 2.97, 95% CI: [1.89, 4.66] Table 3"/><s v="Sample size, &lt;100: OR: 2.35, 95% CI: [1.65, 3.36], χ²(1), p: 0.53, .47 Table 3&#xA;"/><s v="Sample size, ≥100: OR: 3.05, 95% CI: [1.66, 5.55] Table 3&#xA;"/><s v="Number of statistical significance tests, ≤14: OR: 2.68, 95% CI: [1.76, 4.08], χ²(1), p: 0.51, .48 Table 3&#xA;"/><s v="Number of statistical significance tests, &gt;14: OR: 2.16, 95% CI: [1.41, 3.30] Table 3&#xA;"/><s v="Type of outcome measure, Academic achievement: OR: 2.46, 95% CI: [1.71, 3.52], χ²(1), p: 0.37, .55 Table 3&#xA;"/><s v="Type of outcome measure, Socioemotional-behavioral: OR: 1.99, 95% CI: [1.13, 3.53] Table 3"/><s v="We next computed the Mantel–Haenszel odds ratio, which allowed us to weight studies by the number of statistical tests that were reported in the dissertation. The mean odds ratio was 2.41 (with a 95% confidence interval ranging from a low of 1.79 to a hig"/><s v="Non-native speakers' interpretation align with grammatical rules at higher proficiency."/><s v="Advanced learners interpret indicative forms similarly to non-native speakers."/><s v="Learners rely on linguistic factors to interpret languages."/><s v="Copied from replication paper (p. 7) because would have taken too long otherwise: &quot;In Figure 1, notice that our simulated data differ substantially from the graphs in Figure D1. Specifically, our data do not uniformly start around a single point and show "/><s v="1-4 years: &quot;When compared with less than 1 year of exposure to prolactin-increasing antipsychotics (all other antipsychotics), 1–4 years of exposure was not associated with an increased risk (...)"/><s v="5+ years: &quot;When compared with less than 1 year of exposure to prolactin-increasing antipsychotics (all other antipsychotics), (...) exposure for 5 or more years was associated with an increased risk (adjusted OR 1·56 [1·27–1·92], p&lt;0·001).&quot; (...) &quot;Long-te"/><s v="1-4 years: &quot;Compared with 5339 matched controls, 1–4 years cumulative exposure (adjusted odds ratio [OR] 0·95, 95% CI 0·73–1·25) (...) to prolactin-sparing antipsychotics (including clozapine, quetiapine, or aripiprazole) was not associated with an increa"/><s v="5+ years: &quot;Compared with 5339 matched controls, (...)5 or more years exposure (adjusted OR 1·19, 0·90–1·58) to prolactin-sparing antipsychotics (including clozapine, quetiapine, or aripiprazole) was not associated with an increased risk of breast cancer i"/><s v="Women who were exposed to prolactin-increasing antipsychotics for five or more years had a 56% higher odds of developing breast cancer compared to those with less than one year of exposure."/><s v=" Women with 1–4 years of exposure had an insignificant increase in breast cancer risk,"/><s v="&quot;Critically, the number of potential vmPFC pattern reactivations during the 45-min postextinction scan negatively predicted CRs at test on day 3&quot;"/><s v="45 minutes: &quot;Critically, the number of potential vmPFC pattern reactivations during the 45-min postextinction scan negatively predicted CRs at test on day 3 (multiple linear regression: β45 min = −0.13, SE = 0.03, T30 = −4.05, P = 0.0003; n = 35; Fig. 2b;"/><s v="90 minutes: &quot;Critically, the number of potential vmPFC pattern reactivations during the 45-min postextinction scan negatively predicted CRs at test on day 3 (multiple linear regression: β45 min = −0.13, SE = 0.03, T30 = −4.05, P = 0.0003; n = 35; Fig. 2b;"/><s v="&quot;L-DOPA administration significantly enhances retrieval&quot; (replication paper p. 1)"/><s v="&quot;L-DOPA administration significantly enhances retrieval and that this is MEDIATED by enhancement of the number of vmPFC reactivations&quot; (replication paper p. 1)"/><s v="&quot;Reactivations during the scans 10 [...] min after extinction did not significantly predict CRs &quot;"/><s v="&quot;Reactivations during the scans [...] 90 min after extinction did not significantly predict CRs &quot;"/><s v="&quot;As predicted, the postextinction administration of L-DOPA compared to placebo (see Fig. 1a) enhanced extinction memory retrieval and reduced the expression of fear at test on day 3 (stimulus: F1,33 = 44.61, P &lt; .001, partial η2 = 0.58, stimulus × group: "/><s v="&quot;postextinction L-DOPA administration significantly increased the number of potential CS+ offset-related vmPFC pattern reactivations (time × group: F(3,114) = 3.51, P = 0.02, partial η2 = 0.09; n = 40), particularly 45 min after extinction&quot;"/><s v="Attitude toward the adoption of open data badges was the strongest predictor of psychologists' behavioral intention to adopt the badge (β = 0.415, p &lt; 0.001). A positive attitude significantly increased psychologists' intentions to adopt an open science b"/><s v="Norm on data sharing significantly influenced behavioral intention (β = 0.201, p &lt; 0.001)."/><s v="Perceived effort had a negative influence on behavioral intention  (β = -0.226, p &lt; 0.001)."/><s v="Open science journal pressure did not have significant effects on behavioral intention  (β = 0.001, p &gt; 0.05)."/><s v="The availability of a data repository did not have significant effects on behavioral intention (β = 0.062, p &gt; 0.05)."/><s v="To acquire 10 operants, all four participants required fewer instructional trials in the Operant compared to the Set Analysis condition."/><s v="&quot;Josh required 30, Tim required 21, and Connor required eight additional sessions of instruction to reach mastery in the set condition in comparison to the target condition. Omar’s and Billy’s results showed minimal differences between conditions, and the"/><s v="&quot;Maintenance was similar across conditions and experiments&quot;"/><s v="Hipocrisy was evident at both in-group and out-group levels F(1, 72) = 11.75, p = .001, d = 1.11. Participants perceived their own transgressions and those of in-group members more favorably compared to others."/><s v="Loneliness was positively associated with attributing social connection to nonhuman gadgets (r = -.18, p = .02)"/><s v="Inner speech attenuates the sensory impact of matching external sounds, demonstrating that corollary discharge is a key mechanism in inner speech."/><s v="Greater attenuation in the matching condition suggests that sensory attenuation is specifically tied to the congruence between inner speech and external auditory inputs, reinforcing the role of motor-to-sensory prediction"/><s v="Inner speech attenuation mirrors overt speech mechanisms, supporting corollary discharge theory"/><s v="Table 2: &quot;Climate change worry&quot;"/><s v="Climate change worry ...b = .16, SE =.01"/><s v="Climate change caused by humans, ..., .b = 07 SE = 0.01"/><s v="Table 2: &quot;Climate change (is) caused by humans&quot;"/><s v="&quot;In females, higher interleukin 8 [..] levels were linked to presence of SUD.&quot; (substance use disorder)"/><s v="CRP. Predictors explained 45 % of the variance (Adjusted R2 =.45)"/><s v="IL-8. Predictors explained 15 % of the variance (Adjusted R2 =.15)"/><s v="IL-10. Predictors explained 9% of the variance (Adjusted R2&#xA;=.09)"/><s v="&quot;In females, higher interleukin [...] 10 levels were linked to presence of SUD.&quot; (substance use disorder)"/><s v="&quot;In females, higher C-reactive protein levels were linked to absence of SUD.&quot; (substance use disorder)"/><s v="DE training reduced impulsive choice relative to both IE and CONT rats. Replicating previous studies, DE rats showed signiﬁcantly greater percent LLR choice than IE rats at both the 15-s (59.76% vs. 8.43%;z = 4.57, p &lt; .0001) and 30-s delays (30.11% vs. 3"/><s v="Content-specific bifactor model had a better fit than single factor model"/><s v="Content-specific bifactor model had a better fit than content-specific model"/><s v="Content-specific bifactor model had a better fit than valence model"/><s v="Content-specific bifactor model had a better fit than valence bifactor model"/><s v="Findings indicate that the general repetitive thinking factor is primarily tapping a lack of control over unwanted thoughts associated with repetitive thinking​"/><s v="It was not associated with anhedonic depression, but it was positively associated with neuroticism, increased intolerance of uncertainty, and diminished openness."/><s v="This factor was strongly associated with emotion nonacceptance, suggesting that it captures the inability to accept past emotional responses."/><s v="It was also positively associated with attention to emotion, suggesting that this factor captures a tendency for contemplative self-analysis."/><s v="The three main effects were significant: group, χ2 (1)=5.49, p &lt; .05, dv=0.09,"/><s v="Phase χ2 (2)=9.17, p &lt; .05, dv=0.08"/><s v="condition, χ2 (3)=62.69, p &lt; .001, dv=0.37,"/><s v="More importantly, the three-way interaction of group, phase and condition was significant, χ2 (6)=12.64, p &lt; .05, dv=0.04"/><s v="The model demonstrated a significant main effect of group, χ2 (1)=10.68, p &lt; .01, with more correct responses in the trained (M=0.72, SE=0.18) than in the control group (M=0.53, SE=0.15; OR=0.39, CI 0.23–0.64);"/><s v="The model demonstrated a significant main effect of ... phase, χ2 (2)=8.13, p &lt; .05, with more correct responses in the posttest 1 (M=0.65, SE=0.20) and post-test 2 (M=0.71, SE=0.21) than in the pre-test (M=0.52, SE=0.19; OR=0.52, CI 0.27–0.99 and OR=0.42"/><s v="More importantly, the interaction between these two factors was also significant, χ2 (2)=9.73, p &lt; .01 (see Fig. 4). Post-hoc comparisons showed no group differences in the pre-test phase, χ2 (1)=0.0001, p ≃ 1.00 (OR=0.99, CI 0.34–2.95); whereas the train"/><s v="Figure 1: &quot;Net change in the misinformation effect (MIE; operationalised as either misinformation endorsement or accuracy with double misinformation compared to standard misinformation) as a function of misinformation availability. Positive (negative) cha"/><s v="misinformation availability and net changes in the misinformation effect while, controlling for original detail availability. We used simple correlations on the basis of the data, points in Figure 1 as a starting point (r = -.69 and r = -.70, both p &lt; .00"/><s v="&quot;A main effect of flanker relatedness was observed, with&#xA;faster responses in the presence of related flankers&quot;"/><s v="&quot;Crucially, interaction effects were observed between morphological structure and flanker relatedness: between the truly morphological and pseudo-morphological conditions...&quot;"/><s v="&quot;Crucially, interaction effects were observed between morphological structure and flanker relatedness: [...], and between the truly morphological and non-morphological conditions,&quot;"/><s v="&quot;On the other hand, the effect of flanker relatedness did not differ between the pseudo-morphological and non-morphological conditions...&quot;"/><s v="&quot;In the error rates we again established interactions between morphological and orthographic relatedness when isolating the truly morphological and non-morphological conditions ..&quot;"/><s v="&quot;In the error rates we again established interactions between [...] but not when isolating the truly morphological and pseudomorphological conditions&quot;"/><s v="&quot;In the error rates we again established interactions between [...] but not when isolating [...] or when isolating the pseudo-morphological and non-morphological conditions &quot;"/><s v="family values (i.e., importance and centrality of the family) of mother and father"/><s v="Table 2 shows the result for three omnibus Chi-squares tests of independence. All three tests yielded statistically significant findings at p &lt; .05, suggesting there were significant associations between participants’ (a) VMSWO rank and mean force rank, ("/><s v="The TASK × EMOTION × GROUP ANOVA on percentage of correct answers revealed a significant main effect of TASK (F1.4,123.2 = 395.8, p&lt;.001, ηp 2 = .822) as well as a significant main effect of EMOTION (F3.5,298.9 =107.8, p&lt;.001, ηp 2 = .556)."/><s v="In addition, a TASK × GROUP interaction (F2.9,123.2 = 3.1, p = .031, ηp 2 = .067) as well as a TASK × EMOTION interaction (F4.2,361.9 = 92.5, p&lt;.001, ηp 2 = .518) emerged."/><s v="n addition, a TASK × GROUP interaction (F2.9,123.2 = 3.1, p = .031, ηp 2 = .067) as well as a TASK × EMOTION interaction (F4.2,361.9 = 92.5, p&lt;.001, ηp 2 = .518) emerged and were further qualified by a TASK × EMOTION × GROUP interaction (F8.4,361.9 =2.6, "/><s v="For the emotion discrimination task (see Fig. 2), the follow-up ANOVA yielded a significant main effect of EMOTION (F3.3,281.8 = 114.5, p&lt;.001, ηp 2= .571) as well as a significant main effect of GROUP (F2,86 = 3.3, p = .040, ηp2 = .072)."/><s v="These main effects were qualified by a significant EMOTION × GROUP interaction (F6.6,281.8 = 2.7, p = .012, ηp 2 = .059) which was followed up by one-way ANOVAs with the factor GROUP performed separately for each emotion and subsequent t-tests."/><s v="For happy faces, the ANOVA yielded a significant effect of GROUP (F2,86 =4.2, p = .018, ηp 2 = .089) indicating that the AN group performed better than the MD group (t35.2=2.6, p=.013, d=.73)."/><s v="For sad faces, a significant effect of GROUP (F2,86 = 3.6, p = .030, ηp 2 = .078) indicated a higher percentage of correct answers in the AN than the MD group (t50 = 2.7, p = .010, d = .74)."/><s v="For afraid faces, the significant effect of GROUP (F2,86 = 5.4, p = .006, ηp 2 = .112) indicated that the AN group performed better than both, MD (t50 = 2.7, p = .009, d = .75) and HC (t61.0 = 3.4, p = .001, d = .84) groups."/><s v="MD and the HC groups did not differ significantly in any of the post-hoc comparisons. For angry and neutral faces no significant GROUP effects emerged (Fs&lt;1)."/><s v="The follow-up ANOVA for the gender discrimination task yielded only a significant main effect of EMOTION (F4,344= 26.1, p&lt;.001, ηp2=.233) but no main effect or interaction involving GROUP (Fs&lt;1), while the follow-up ANOVA for the face-word discrimination "/><s v="The TASK × EMOTION × GROUP ANOVA on RTs yielded a significant main effect of TASK (F1.7,146.1 = 947.0, p&lt;.001, ηp2 = .917)"/><s v="The TASK × EMOTION × GROUP ANOVA on RTs yielded a significant main effect of TASK (F1.7,146.1 = 947.0, p&lt;.001, ηp2 = .917) as well as a significant main effect of EMOTION (F3.6,311.2 = 93.0, p&lt;.001, ηp 2 = .519)."/><s v="The TASK × EMOTION × GROUP ANOVA on RTs yielded a significant main effect of TASK (F1.7,146.1 = 947.0, p&lt;.001, ηp2 = .917) as well as a significant main effect of EMOTION (F3.6,311.2 = 93.0, p&lt;.001, ηp 2 = .519) that were qualified by a significant TASK ×"/><s v="No main effect or interactions of GROUP were found (Fs ≤ 1.4, ps&gt;.05)."/><s v="For faces being misclassified as sad, the ANOVA yielded an ERRORTYPE × GROUP interaction (F4.7,203.5 = 2.6, p = .029, ηp 2 = .057)."/><s v="A significant effect of GROUP emerged only for afraid faces being misclassified as sad (F2,86 = 4.8, p = .011, ηp 2 = .100), indicating that the MD group misclassified less afraid faces as sad than the HC group (t61 = 2.6, p = .011, d = .71)."/><s v="For faces being misclassified as angry, a main effect of GROUP (F2,86 = 3.2, p = .046, ηp 2 = .069) was found."/><s v="For faces being misclassified as neutral, a main effect of GROUP (F2,86 = 3.2, p = .047, ηp2 = .069) emerged"/><s v="Follow-up ANOVAs revealed significant effects of GROUP for happy (F2,86 = 3.7, p = .030, ηp 2 = .078) as well as sad (F2,86 = 4.0, p = .023, ηp 2 = .084) faces being misclassified as neutral"/><s v="For faces being misclassified as happy and afraid, the ANOVAs yielded no significant effects involving GROUP (Fs ≤ 1.4, ps&gt;.05)."/><s v="The TASK   EMOTION   GROUP ANOVA on percentage of correct answers revealed a significant main effect of TASK (F1.4,123.2 = 395.8, p&lt;.001, ηp 2 = .822) "/><s v="The TASK   EMOTION   GROUP ANOVA on percentage of correct answers revealed ... a significant main effect of EMOTION (F3.5,298.9 = 107.8, p&lt;.001, ηp 2 = .556)."/><s v="were further qualified by a TASK   EMOTION   GROUP interaction (F8.4,361.9 = 2.6, p = .009, ηp 2 = .056)."/><s v="For the emotion discrimination task (see Fig. 2), the follow-up ANOVA yielded a significant main effect of EMOTION (F3.3,281.8 = 114.5, p&lt;.001, ηp 2= .571)"/><s v="For the emotion discrimination task (see Fig. 2) ...  a significant main effect of GROUP (F2,86 = 3.3, p = .040, ηp 2 = .072). "/><s v="For the emotion discrimination task ... a significant EMOTION   GROUP interaction (F6.6,281.8 = 2.7, p = .012, ηp 2 = .059)"/><s v="AN group performed better than ...  HC (t61.0 = 3.4, p = .001, d = .84) groups"/><s v="The TASK   EMOTION   GROUP ANOVA on RTs yielded a significant main effect of TASK (F1.7,146.1 = 947.0, p&lt;.001, ηp 2 = .917)  "/><s v="The follow-up ANOVA for the gender discrimination task yielded only a significant main effect of EMOTION (F4,344= 26.1, p&lt;.001, ηp 2= .233) but no main effect or interaction involving GROUP (Fs&lt;1),"/><s v="The follow-up ANOVA for the gender discrimination ... but no main effect or interaction involving GROUP (Fs&lt;1),"/><s v="The TASK   EMOTION   GROUP ANOVA on RTs yielded a significant main effect of ... EMOTION (F3.6,311.2 = 93.0, p&lt;.001, ηp 2 = .519)"/><s v="RT ... a significant TASK   EMOTION interaction (F4.7,405.1 = 99.5, p&lt;.001, ηp 2 = .536)."/><s v="&quot;A statistical analysis showed that there were in fact no significant interactions between item type and group (F(2,57) = .105; p = .901).&quot;  &quot;The statistical analyses presented above demonstrate that both sets of L3 learners were successful on the experim"/><s v="Results of the first experiment, the Semantic Interpretation Task…All groups performed comparably on this experiment, deriving about the same number correct interpretations for both preposed and postposed adjectives. A statistical analysis showed that the"/><s v="&quot;Furthermore there was no significant effect for item type (preposed v. postposed: F(1,57) = 0.011; p = .917)&quot;  &quot;The statistical analyses presented above demonstrate that both sets of L3 learners were successful on the experiments without any statisticall"/><s v="Results of the first experiment, the Semantic Interpretation Task…All groups performed comparably on this experiment, deriving about the same number correct interpretations for both preposed and postposed adjectives...no significant effect for...language "/><s v="&quot;Furthermore there was no significant effect...for language group (F(2,57) = 0.404; p = 0.669)&quot;. &quot;The statistical analyses presented above demonstrate that both sets of L3 learners were successful on the experiments without any statistically significant d"/><s v="Results of the second experiment, the Collocation Task… All groups performed comparably, providing about the same number of correct adjective placements based on context for both preposed and postposed adjectives. A statistical analysis showed that there "/><s v="&quot;There were no significant interactions between item type and group (F(2,57) = .288; p = .751).&quot; &quot;The statistical analyses presented above demonstrate that both sets of L3 learners were successful on the experiments without any statistically significant d"/><s v="Results of the second experiment, the Collocation Task… All groups performed comparably, providing about the same number of correct adjective placements based on context for both preposed and postposed adjectives...Moreover, a statistical analysis showed "/><s v="&quot;There were no significant effects for item type (preposed v. postposed: F(1,57) = 2.526; p = .118)&quot;. &quot;The statistical analyses presented above demonstrate that both sets of L3 learners were successful on the experiments without any statistically signific"/><s v="&quot;There were no significant effects...for language group (F(2,57) = 0.272; p = 0.763).&quot; &quot;The statistical analyses presented above demonstrate that both sets of L3 learners were successful on the experiments without any statistically significant deviance fr"/><s v="&quot;The overall mean estimate for self-reported (actual) falsification is 3.68 per cent, which is significantly different from zero (t = 2.82, p = 0.0025, one-tailed).&quot; &quot;The estimated percentage of seriously tainted articles in the top thirty accounting jour"/><s v="&quot;The estimate for the overall percentage of articles affected (in respondents’ opinion) is 20.92 per cent, also significantly different from zero (t = 5.06, p &lt; 0.0001). Thus respondents estimate the extent of research falsification to be about six times "/><s v="&quot;The attributions to internal causes were almost identical for the two sequences, at 36 and 35 per cent.&quot;"/><s v="&quot;We conducted a 2 (workplace: social vs remote)×2 (hierarchy: high vs low) ANOVA with corruption beliefs as the dependent variable. This analysis yielded a main effect of hierarchy F(1, 401)=17.49, p &lt; .001, ηp 2=0.042, but not a main effect of workplace "/><s v="&quot;Consistent with Hypothesis 1, participants in the high hierarchy condition expected there to be more corruption among the employees of the Finance Department than participants in the low hierarchy condition, t (95)=2.32, p=.023, Cohen’s d=0.48 (see Table"/><s v="&quot;Consistent with Hypothesis 3, mediation bootstrapping procedures (Model 4; 5000 bootstraps; Hayes, 2012) revealed an indirect effect of hierarchy condition (1=high hierarchy, 0=low hierarchy), through corruption perceptions, on beliefs about whether the "/><s v="&quot;Consistent with Hypothesis 3, mediation bootstrapping procedures (Model 4; 5000 bootstraps; Hayes, 2012) revealed an indirect effect of hierarchy condition (1=high hierarchy, 0=low hierarchy), through corruption perceptions, on (...) desire to sign the p"/><s v="As predicted, an independent samples t-test revealed that participants in the high hierarchy condition (M = 4.51, SD = 1.39) expected more corruption among the employees in the company than participants in the low hierarchy condition (M = 3.65, SD = 1.70)"/><s v="The BASC-3 TRS-C Externalizing Problems Composite&#xA;scale was significantly correlated with the ASCA Overactivity syndrome (r = .79, p &lt;&#xA;.01) and supported convergent validity, sharing 62% measurement variance"/><s v="&quot;Table 6 presents the descriptive statistics and t-test results for specific BASC-3 TRS-C&#xA;and ASCA comparisons.&quot; Comparison of &quot;BASC Attention Problems ASCA Attention Deficit Hyperactive&quot;"/><s v="&quot;Table 6 presents the descriptive statistics and t-test results for specific BASC-3 TRS-C&#xA;and ASCA comparisons.&quot; Comparison of &quot;BASC Hyperactivity ASCA Attention Deficit Hyperactive&quot;"/><s v="&quot;Table 6 presents the descriptive statistics and t-test results for specific BASC-3 TRS-C&#xA;and ASCA comparisons.&quot; Comparison of &quot;BASC Withdrawal ASCA Avoidant&quot;"/><s v="&quot;Table 6 presents the descriptive statistics and t-test results for specific BASC-3 TRS-C&#xA;and ASCA comparisons.&quot; Comparison of &quot;BASC Conduct Problems ASCA Delinquent&quot;"/><s v="&quot;Table 6 presents the descriptive statistics and t-test results for specific BASC-3 TRS-C&#xA;and ASCA comparisons.&quot; Comparison of &quot;BASC Conduct Problems ASCA Oppositional Defiant&quot;"/><s v="&quot;Table 6 presents the descriptive statistics and t-test results for specific BASC-3 TRS-C&#xA;and ASCA comparisons.&quot; Comparison of &quot;BASC Aggression ASCA Solitary Aggressive Provocative&quot;"/><s v="&quot;Table 6 presents the descriptive statistics and t-test results for specific BASC-3 TRS-C&#xA;and ASCA comparisons.&quot; Comparison of &quot;BASC Aggression ASCA Solitary Aggressive Impulsive&quot;"/><s v="&quot;Table 6 presents the descriptive statistics and t-test results for specific BASC-3 TRS-C&#xA;and ASCA comparisons.&quot; Comparison of &quot;BASC Externalizing ASCA Overactivity&quot;"/><s v="&quot;Table 6 presents the descriptive statistics and t-test results for specific BASC-3 TRS-C&#xA;and ASCA comparisons.&quot; Comparison of &quot;BASC Internalizing ASCA Underactivity&quot;"/><s v="performance had a large and statistically significant main effect on satisfaction… b = 0.55, p &lt; .01"/><s v="&quot;Figure 6&quot; &quot;Overall, the empirical model in Figure 6 explains 26 percent of variance in satisfaction. More importantly, all of the core relationships were in the expected direction and were both substantively strong and highly significant statistically (p"/><s v="The expectations factor had only a very small negative main effect, which was not at all significant statistically… b = -0.01, p = n.s"/><s v="The interaction effect was positive, meaning that high expectations seemed to amplify the effect of performance on satisfaction judgments… b = 0.08, p = n.s"/><s v="Not reported - only a figure"/><s v="the slopes are very significantly negative (p &lt; 0.01), especially when length is measured in words (p ≪ 0.001)."/><s v="&quot;Results revealed significant effects for Time, F(1,15) = 16.49, p = .001, partial g2 = .52&quot; &quot;Consistent with predictions, participants in the ARTS condition showed a significant reduction in threat bias whereas those in the Sham-ARTS condition did not.&quot;"/><s v="Effects of treatment on threat bias were tested through a repeated measures analysis of variance (ANOVA)…Results revealed significant effects for Time, F(1,15) = 16.49, p = .001, partial η² = .52"/><s v="&quot;Results revealed significant effects... for the Group X Time, interaction, F(1,15) = 6.64, p = .021, partial g2 = .31&quot; &quot;Consistent with predictions, participants in the ARTS condition showed a significant reduction in threat bias whereas those in the Sha"/><s v="Effects of treatment on threat bias were tested through a repeated measures analysis of variance (ANOVA)…Results revealed significant effects…for the Group X Time interaction, F(1,15) = 6.64, p = .021, partial η² = .31… participants in the ARTS condition "/><s v="&quot;Results revealed significant effects for Time, F(1,21) = 13.66, p= .001, partial g2 = .39&quot; &quot;Significantly greater improvement on such measures in the ARTS versus Sham-ARTS group would suggests that the emo- tional effects of attentional retraining extend"/><s v="Effects of treatment on composite symptoms were tested through a repeated measures analysis of variance (ANOVA)… Results revealed significant effects for Time, F(1,21) = 13.66, p = .001, partial η² = .39"/><s v="&quot;Results revealed significant effects….for the Group X Time interaction, F(1,15) = 13.24, p = .002, partial g2 = .39&quot; &quot;Significantly greater improvement on such measures in the ARTS versus Sham-ARTS group would suggests that the emo- tional effects of att"/><s v="Effects of treatment on composite symptoms were tested through a repeated measures analysis of variance (ANOVA)… Results revealed significant effects… d for the Group X Time interaction, F(1,15) = 13.24, p = .002, partial η² = .39… the emotional effects o"/><s v="higher PC scores will lead to greater reductions in the CSI in the ARTS vs. the Sham Arts condition. This &#xA;prediction is derived from the hypothesis that individuals with higher PC scores may &#xA;(consciously or unconsciously) utilise PC to experience the "/><s v="Panel A of table 4 shows that male 90/50 (upper-tail) residual wage inequality rose during both halves of the sample: by 4.4 log points from 1973 to 1989 and by 4.0 log points from 1989 to 2005. ... Male 50/10 residual inequal- ity rose by 5.7 log points "/><s v="&quot;There was a main effect of block type, with longer RTs for non- switch trials in the switch block, F(1,64) = 228.4, p &lt; .001, η2, p = .78&quot;"/><s v="There was a main effect of block type, with longer RTs for non-switch trials in the switch block, F(1,64) = 228.4, p &lt; .001, η²p = .78... and an interaction between block type and language status, F(1,64) = 4.9, p = .03, η²p = .07, in which the difference"/><s v="There was a main effect of switch status, with longer RTs for switch trials, F(1,64) = 53.2, p &lt; .001, η2p = .45"/><s v="&quot;No main effect of language status, F &lt; 1&quot;"/><s v="There was &quot;An interaction between block type and language status, F(1, 64) = 4.9, p = .03, η²_p = .07, in which the difference between RT in switch and non-switch blocks was smaller for bilinguals, consistent with smaller GSC&quot; &quot;our study found that young "/><s v="&quot;There was a main effect of switch status, with longer RTs for switch trials, F(1, 64) = 53.2, p &lt; .001, η²_p = .45&quot;"/><s v="&quot;Neither the language status main effect nor the interaction reached significance, Fs &lt; 1&quot; &quot;our study found that young adult bilinguals displayed a GSC advantage, but no LSC advantage.&quot;"/><s v="The final result identified eight factors with 40 total items. Table 12 shows the third and final rotated factor matrix, with the loading for each item. Factors six, seven, and eight are the least stable with only three items each. The researcher determin"/><s v="The key findings from the studies have suggested that accuracy scores of the morphemes reflect a somewhat fixed order of morpheme acquisition for L2 English learners irrespective of L1 background, age, or learning environment."/><s v="By conflating A1 and A2 together into ‘beginners’ and B1 and B2 into ‘intermediates’ (Figure 6B),7 beginners significantly differ from intermediates for each morpheme&#xA;(p &lt; 0.02 for all χ2 contrasts),8 except for plural -s (TLU = 14/15 vs. 51/54, χ2 = 0.02"/><s v="By conflating A1 and A2 together into ‘beginners’ and B1 and B2 into ‘intermediates’ (Figure 6B),7 beginners significantly differ from intermediates for each morpheme&#xA;(p &lt; 0.02 for all χ2 contrasts),8 except for plural -s (TLU = 14/15 vs. 51/54, χ2 = 0.0"/><s v="The regression analysis revealed that all three scales contributed significantly to the prediction of global foreign language anxiety, F(3, 254) = 191.15, p &lt; .0001. These three scales together explained 69.4% of the variance in global anxiety (adjusted R"/><s v="There are  multiple paths to rumination. Major theories of rumination that put different emphasis on metacognitive and self-regulatory aspects of rumination complement each other."/><s v="One of the author’s key conclusions is that the relationship between science and religion is dynamic, diverse, and highly dependent on historical and cultural contexts, challenging simplified narratives of inherent conflict or complete separation between "/><s v="When contrasting the different empowerment scenarios, patterns similar to those identified in corporate attitudes are found. First, full empowerment tends to receive the highest observed frequencies for furniture and bicycles (for T-shirts, full empowerme"/><s v="In support of H2a and H2b, respectively, it is first found (using repeated measures ANOVAs) that the ‘‘empowerment to create’’ scenario (mean = 4.49) as well as the ‘‘empowerment to select’’ scenario (mean = 4.57) produced significantly stronger corporate"/><s v="In a similar vein, the ‘‘empowerment to cocreate’’ (mean =4.76), ‘‘empowerment to select’’ (mean = 4.76), as well as the full-empowerment scenario (mean = 5.18) are clearly superior in terms of corporate attitudes compared with the zero-empowerment scenar"/><s v="Third, the same patterns are found for bicycles: ‘‘cocreate’’ (mean = 4.67), ‘‘select’’ (mean = 4.90), and full-empowerment (mean = 5.09) companies are associated with significantly higher corporate attitudes than zero-empowerment firms (mean 5 3.69; p &lt; "/><s v="&quot;There was a significant Objectball,food main effect, F(1, 19) = 4.32, p = 0.05, np2 = 0.19, reflecting earlier movement initiations toward Food objects (M = 1,361 milliseconds, SE = 112 milliseconds) compared to Ball objects (M = 1,417 milliseconds, SE ="/><s v="&quot;Neither the main effect Interactiongrasp,ward, F(1, 19) = 2.80, p = 0.11&quot;"/><s v="&quot;Neither….nor the two-way interaction was significant, F(1, 19) = 0.13, p = 0.72.&quot;"/><s v="&quot;Ward movements were executed faster than grasp move- ments (mean difference: 218.72 milliseconds, SE = 60.88 milliseconds), as reflected by a significant main effect of Interactiongrasp,ward, F(1, 19) = 12.90, p = 0.002, gp2 = 0.41."/><s v="&quot;Again, a timely advantage emerged for Food objects, F(1, 19) = 4.50, p = 0.05, gp2 = 0.19&quot; &quot;Complementing previous findings, food objects were grasped and collected significantly faster than nonfood objects. This result replicates an attentional bias for"/><s v="&quot;there was no sig- nificant two-way interaction effect, F(1, 19) = 1.19, p = 0.29&quot;"/><s v="&quot;we indeed found that Food objects were gathered faster than Ball objects, and the difference was significant, t(19) = 3.692, p = 0.002, d = 0.16&quot; &quot;Complementing previous findings, food objects were grasped and collected significantly faster than nonfood "/><s v="&quot;Compared with the initial bias observed in movement-onset times, the behavioral bias for food appar- ently increased by 39.5 percent (D = 44.33 milliseconds, SE = 24.81 milliseconds), and we noted a statistical trend for significance, t(19) = 1.79, p = 0"/><s v="&quot;With increasing BMI, the collection time advantage in collecting food was indeed larger, r = 0.428, p = 0.030.&quot; &quot;In contrast to neutral cues, both appetizing and unappetizing food cues elicited faster responses with increasing BMI in a dot-probe paradigm"/><s v="&quot;As expected, there was a trend for edible objects to be rated more positively than ball objects, although the biserial correlation of object type and valence ratings was rather small, r = 0.15, p = 0.059.&quot;"/><s v="The 1 X 7 analysis of variance yielded a significant effect of experimental condition, (6, 183) = 4.02, p &lt; .00 … holding subjects accountable for the decision process produced a significant decrease in resource allocation compared with the baseline condi"/><s v="&quot;a significant effect of experimental condition on resource allocation F(6, 183) = 4.02, p &lt; .001&quot;"/><s v="The 1 X 7 analysis of variance yielded a significant effect of experimental condition, (6, 183) = 4.02, p &lt; .001. (outcome accountability)"/><s v="&quot;holding subjects accountable for the decision process produced a significant decrease in resource allocation&#xA;compared with the baseline condition. F(l, 183) = 4.07, p &lt; .05&quot;"/><s v="As predicted, process accountability was associated with significantly lower alloca- tions to the initial choice than was outcome accountability, /-&quot;(I, 183)= 12.41, p&lt;.01."/><s v="&quot;An additional planned contrast was between process accountability and outcome accountability. As predicted, process accountability was associated with significantly lower allocations to the initial choice than was outcome accountability, /-&quot;(I, 183)= 12."/><s v="For conceptual knowledge, our analysis revealed a significant, large effect for the form of instruction (F[1,200] = 34.29, p &lt; .001, η² partial = .15) favoring instruction based on typical student solutions"/><s v="&quot;The ANCOVA for conceptual knowledge revealed significant differences between conditions (F[2,94] = 17.49, p &lt; .001&quot;."/><s v="The timing of instruction (F[1,200] = 1.65, p = .20) "/><s v="&quot;Second, we tested the effect of timing of instruction when the form of instruction is held constant. While PS-Icontrast outperformed Icontrast-PS (hypothesis 1b) in descriptive terms, this difference failed to reach statistical significance (F[1,94] 1= 2"/><s v="And the interaction (F[1,200] = 1.08, p = .30) were not significant "/><s v="&quot;The ANCOVA for procedural skills revealed significant differences between conditions (F[2,94] = 4.86, p = .01)&quot;."/><s v="For procedural skills, we found a significant, small effect for the timing of instruction (F[1,200] = 3.98, p = .047, η² partial = .02) favoring instruction prior to problem-solving"/><s v="&quot;The form of instruction in the instruction prior to problem-solving conditions (F[1,94] = .13, p = .72) had no significant effect on the acquisition of procedural skills&quot;."/><s v="but no significant effect for the form of instruction (F[1,200] = 0.39, p = .53), "/><s v="&quot;For conceptual knowledge, we found a significant effect with a large effect size for form of instruction (F[1,243] = 45.35, p &lt; .001, favoring instruction based on typical student solutions (i.e., supporting hypothesis 1a)&quot;"/><s v="or for the interaction (F[1,200] = 1.32, = .25)."/><s v="&quot;For conceptual knowledge, we found a significant effect with medium effect size for timing of instruction (F[1,234] = 21.30, p &lt; .001,&#xA; favoring problem-solving prior to instruction&quot;"/><s v="&quot;For procedural skills, neither the timing of instruction (F [1,234] = 1.35, p = .25; i.e., no support for hypothesis&quot;"/><s v="&quot;The interaction of the two factors (F[1,234] = 3.25, p = .07) was marginally significant&quot;."/><s v="&quot;For procedural skills form of instruction (F[1,234] = 0.002, p = .97) was significant&quot;"/><s v="&quot;We further found a significant interaction (F[1,234] = 4.68, p = .03, indicating that the form of instruction had a higher effect in the problem-solving prior to instruction conditions&quot;."/><s v="&quot;Under high personal responsibility conditions, subjects allocated an average of 11.08 million dollars to the corporate divisions they had earlier&#xA;chosen for extra R &amp; D funding. Under low personal responsibility conditions, subjects allocated an addition"/><s v="&quot;Under positive decision consequences, subjects allocated an average of 8.77&#xA;million to the previously chosen alternative, while 11.20 million was allocated under negative consequences&quot;"/><s v="&quot;the amount invested in the previously chosen alternative was greater in the high personal responsibility-negative consequences condition than in any of the other three experimental conditions."/><s v="When we included only the SNS, it significantly predicted the strength of music-evoked nostalgia in the expected direction, β=.1082,t(224)=2.81,p=.01\beta = .1082, t(224) = 2.81, p = .01β=.1082,t(224)=2.81,p=.01. …"/><s v="&quot;Participants reported more music-evoked nostalgia when listening to songs that they found arousing&quot;"/><s v="&quot;Participants reported more music-evoked nostalgia when listening to songs that evoked in them greater numbers of positive and negative emotions&quot;"/><s v="&quot;Participants reported more music-evoked nostalgia when listening to songs that gave rise to mixed emotions&quot;"/><s v="&quot;When estimating a model including the ANPS, PANAS, and SNS, the positive association of SNS with music-evoked&#xA;nostalgia remained significant, β = .1116, t(215)  2.62, p  .01, whereas the previously significant associations of Negative Affect&#xA;and Play wit"/><s v="Interaction of context-level and person-level predictors on music-evoked nostalgia (nostalgia proneness x arousal), Table 2"/><s v="&quot;Those who won the money on a radio contest were more likely to spend the money (M = 3.11) than those who earned it by working overtime (M = 4.25). This difference was statistically significant, t(91) = 2.97, p &lt; .01&quot;"/><s v="&quot;The tax rebate group was more likely to make the investment, whereas the savings group exhibited no marked preference between investing and not investing &quot;"/><s v="&quot;Despite obvious differences in job difficulty, the groups in the main experiment did not differ in their willingness to buy the television. The chi square analysis comparing questionnaires 3A and 3B did not approach significance&quot;."/><s v="&quot;developing informal representations for variables and unknowns and learning about the&#xA;two interpretations of the equal sign were meaningful new insights for the prospective&#xA;teachers.&quot;"/><s v="&quot;A planned contrast showed that the number of death words created in the MS no delay condition (M 1⁄4 0.94, SD 1⁄4 1.21) was&#xA;greater than the number of death words created in the other three conditions (MS delay: M 1⁄4 0.56, SD 1⁄4 0.67; DPS delay:&#xA;M 1⁄4 "/><s v="cold pressor stress induced a shift towards greater right frontal activation which, however, was limited to F7/F8... A CONDITION * &#xA;TIME * LOCATION within-subjects ANOVA resulted in...marginally significant three-way interaction of CONDITION*TIME*LOCATION"/><s v="&quot;A CONDITION *TIME * LOCATION within-subjects ANOVA resulted in a significant two-way interactions of CONDITION*TIME (F[1,20] = 5.38, p = .031, η² = .118)&quot;"/><s v="Frontal asymmetry during acute stress was unrelated to other stress response components…asymmetry at F3/F4 remained unchanged during stress...(r = . -.204, p = .375)"/><s v="Cortisol responses were best predicted by resting asymmetry at electrodes F3/F4…the correlation with cortisol only reached significance during baseline (r = . -.512, p = .018)"/><s v="Are static analysis errors related to student achievement, in terms of earning grades?...examining a scatterplot of the two variables...ndividual error rate on an assignment and the corresponding score...does not reveal a clear visible trend (correlation "/><s v="&quot;formatting errors occur most often 49%&quot; "/><s v="An analysis of variance including course, the presence of coding errors in the final product, and the presence of coding errors at any point during development of the solution indicated that coding flaws are significantly related to program grades earned "/><s v="&quot;A one-way analysis of variance shows that the overall error rates do differ significantly by course (F = 526, p &lt; 0.0001). Tukey’s HSD indicates that each course is different from the three others, with its own distinct overall error rate. Among CS major"/><s v="&quot;While an ANCOVA suggests a relationship between individual error rate on an assignment and the corresponding score (F = 5211, pp &lt; 0.0001), examining a scatterplot of the two variables does not reveal a clear visible trend (correlation R = -0.27)&quot;"/><s v="&quot;presence of coding flaws in the final submission itself was associated with dramatically lower scores (mean without flaws in final work = 91.4%, mean with flaws in final work = 48.2%, F = 7710, p &lt; 0.0001), with an effect size of 1.97&quot;"/><s v="&quot;Regarding RQ1, there are significant differences between the comment variants (χ2 = 16.1; α = 0.003). Code snippets with good comments (GC) are perceived as the most readable and the variants without comments (NC) are perceived as the least readable&quot;."/><s v="&quot;For snippets S1–S5, our data shows significant differences in their mean answer accuracy (Acc) (ANOVA p = 0.0013 at α &lt; 0.01)&quot;."/><s v="&quot;Regarding RQ2, our data does not show any significant differences in the perceived readability (R1) for the MC variants&quot;."/><s v="Quantified in terms of bias (dwell time on negative faces minus non-negative faces), youth with anxiety demonstrated significantly greater bias relative to their healthy peers, t (31.25) = 2.14, p = 0.041, d = 0.65"/><s v="Patients displayed longer gaze duration on negative relative to non-negative valence faces than healthy peers."/><s v="Dimensionally, a similar pattern was noted, with a positive correlation between dwell time bias score and overall anxiety symptom severity, r (48) = 0.29, p = 0.043"/><s v="Main effect: There were no main effects, but we did find a significant interaction between source expertise and source certainty. (on attitude)&#xA;Simple effects:The nonexpert source was more persuasive, as indicated by more favorable attitudes, when he expr"/><s v="Analysis of the perceived expertise data revealed only a main effect for the expertise manipulation (F (1, 64) = 4.60, p &lt; .04). Participants rated the source as having more expertise in the high (M = 7.06) rather than low (M = 6.08) expertise condition."/><s v="Main effect: no main effects for source expertise or source certainty but a significant interaction between these variables. (on involvement)&#xA;Simple effects: with low expertise reported greater involvement with the high rather than low certainty review, u"/><s v="There was no main effect for source certainty (F(1, 64) = 2.36, p &gt; 0.12)"/><s v="There were no main effects (F's &lt; 1),"/><s v="we did find a significant interaction between source expertise and source certainty (F(1, 64) = 9.70, p &lt; .004). As illustrated in figure 2, this interaction assumed the predicted form. The nonexpert source was more persuasive, as indicated by more favora"/><s v="no main effects for source expertise or source certainty (F’s &lt; 1)"/><s v="a significant interaction between expertise and source certainty (F(1, 64) = 11.02, p &lt; .002). As shown in figure 3, under conditions of low source expertise, participants reported greater involvement with the high rather than low certainty review (F (1, "/><s v="As predicted, the I/C schedule produced a response deficit for leisure time for both Drew and Dave. For example, the initial Oi /Oc ratio for Drew was 0.025 (8.1 instances of compliance /313.1 s of leisure time).  "/><s v="Constraining access to a preferred activity increased engagement with a less-preferred activity to restore equilibrium."/><s v="Four distinct negative emotional eating patterns were identified: non-emotional eating, emotional overeating, emotional undereating, and mixed emotional eating. Key result: Wald χ²(12) = 234.76, p &lt; .001."/><s v="Associated with lower levels of stress-related eating and healthier eating behaviors overall."/><s v="Showed the highest scores on measures of depression and anxiety (statistically significant)."/><s v="Significantly correlated with increased caloric intake during negative emotional states (p &lt; 0.01)."/><s v="Associated with significant reductions in food consumption during periods of stress and sadness."/><s v="significant positive effects on children’s self-esteem emerged for warmth, monitoring, low maternal depression, economic security (vs. hardship), and presence (vs. absence) of father. With regard to the reciprocal effects, children’s self-esteem predicted"/><s v="Results from the CLPMs indicated that a number of family environment variables affected child self-esteem. Specifically, parental warmth, parental monitoring, and presence of father positively predicted subsequent child self-esteem, whereas maternal depre"/><s v="Perceived similarity predicted higher levels of concurrent life satisfaction."/><s v="Perceived similarity between one's present and future self is significantly associated with greater life satisfaction 10 years later."/><s v="The effect of perceived similarity remains significant when controlling for age, gender, education, and income."/><s v="The effect of perceived similarity is reduced but remains significant when controlling for demographic variables and baseline life satisfaction."/><s v="Microinsults involve subtle communications of rudeness or stereotypes, such as assumptions about older adults' abilities or experiences of &quot;elderspeak.&quot;"/><s v="These are more overt forms of discrimination, including verbal assaults like name-calling (&quot;Okay, Boomer!&quot;) or physical actions, such as being pushed or rushed."/><s v="Microinvalidations include dismissing or nullifying older adults’ experiences and feelings. "/><s v="monitoring, low maternal depression, economic security (vs. hardship), and presence (vs."/><s v="absence) of father. With regard to the reciprocal effects, children’s self-esteem predicted positive"/><s v="Subjects with an APOEε4 allele had significantly decreased global cognition (global index) compared to subjects with no ε4 allele, characterized by global cognition (p = 0.047, Table 1)."/><s v="ε4-carriers had a trend for lower gray matter regional volumes in the left lingual/parahippocampal gyrus,right inferior parietal cortex, left superior frontal cortex,left angular gyrus, left amygdala, and right precuneus (p &lt; 0.001, uncorrected, Table 2, "/><s v="There were no regions where FA was significantly higher or lower in healthy elderly ε4 carriers versus noncarriers at p &lt; 0.05 corrected level of significance. More in Table 1"/><s v="“In Philadelphia, public health calls concentrate in the Center City (A in Fig. 2) and Kensington (B) neighborhoods of the city. [...]  Health-related policing calls are up to four times more frequent in the afternoon and evening compared to the early hou"/><s v="“[...] the average time elapsed per call type varied from a low of 12 minutes (for alarms) to a high of 87 minutes (for medical calls). However, most call types averaged somewhere between 20 to 60 minutes. Here, the types of calls that appear to take long"/><s v="&quot;Consistent with Hypothesis 1, the results suggest that black Londoners’ overall satisfaction of the Metropolitan Police did fall significantly follow- ing the killing of Eric Garner in New York. I estimate that overall satisfaction with the police fell b"/><s v="&quot; [...] overall perception of police fairness fell by 2.44 [...]&quot;"/><s v="&quot;[...] and perceptions of community engagement fell by 3.16.&quot;"/><s v="We find that the messaging intervention increases the frequency of parental involvement in physical games with the child in a magnitude of 0.27 standard deviations (I considered values reported in Column (3) as it's prefered by authors)."/><s v="We also find that the intervention increases the average frequency of parental engagement in didactic activities with the child by 0.29 standard deviations."/><s v="The ITT effect on the frequency of parental involvement in social activities with the child has a magnitude of 0.27 standard deviations."/><s v="We find that the messaging intervention increases the&#xA;frequency of parental involvement in physical games with the child in a magnitude of&#xA;0.27 standard deviations. This estimate is significant at a level of 5% when considering&#xA;unadjusted p values, cluste"/><s v="The ITT effect on the fre-&#xA;quency of parental involvement in social activities with the child has a magnitude of&#xA;&#xA;0.27 standard deviations and is significant at the 5% level, but loses significance in the&#xA;absence of controls (Column (1))."/><s v="Regarding the quality of parental investment, we find a positive effect of 0.31 stan-&#xA;dard deviations on the index of positive parenting when considering unadjusted&#xA;&#xA;p values."/><s v="We find no evidence&#xA;of an effect of the intervention on parental stress, discount rate, or parental knowledge."/><s v="In particular,&#xA;families facing a larger number of negative shocks are more likely to implement&#xA;routines, are less likely to use violent discipline, and have a stronger sense of parental&#xA;competence at follow-up."/><s v="&quot;In this paper, we have considered ways in which to embed a focus on affect into a&#xA;self-directed learning course, and the implications this may have for language learners. We&#xA;&#xA;have given some examples of tools that could be used for awareness-raising and "/><s v="In support of our preregistered hypothesis, respondents’ in­person social portfolio diversity predicted higher well­being over and above this relationship (β = 0.13, b = 0.54, 95% CI [0.15, 0.92], P = 0.007, n = 576)."/><s v="Participants in the information condition believed that there was a higher likelihood that their partner would detect their lie (information: M = 41.06%, 95% CI = 37.76–44.35%; versus no information: M = 33.29%, 95% CI = 30.34–36.24%), independent samples"/><s v="1.91–5.99). In this paradigm, participants in the information&#xA;condition were more likely to believe that they were connected to another&#xA;person (58.3% (information condition) versus 40.6% (no information&#xA;condition), χ2&#xA;= 14.53, P &lt; 0.001, Cramer’s V = 0.18"/><s v="Participants were not asked how well they knew&#xA;their partner or the suspicion question. Again, when participants had&#xA;information about their partners, they thought that their partners&#xA;would be better at detecting their lies (F(2, 549) = 4.98, P = 0.007,&#xA;η"/><s v="Moreover, participants in the information condition felt as if they&#xA;knew their partner better (information: M = 4.55, 95% CI = 4.39–4.72&#xA;versus no information: M = 3.89, 95% CI = 3.70–4.08), unequal variances&#xA;t-test t(979.85) = 5.23, P &lt; 0.001, d = 0.33)."/><s v="In addition, participants&#xA;&#xA;in the information condition felt as if their partner knew them bet-&#xA;ter (information: M = 4.32, 95% CI = 4.15–4.49 versus no information:&#xA;&#xA;M = 3.94, 95% CI = 3.76–4.13), unequal variances t-test t(994.87) = 2.96,&#xA;P = 0.003, d ="/><s v="Participants’ feelings of knowing their partner and&#xA;their feeling of their partner knowing them significantly mediated the&#xA;effect of information on (dis)honesty (knowing their partner: indirect&#xA;effect = −0.09, bias-corrected 95% CI = −0.15 to −0.04; their"/><s v="Mean step count increased from 24.35 steps per minute during baseline to 54.76 steps per minute during the intervention."/><s v="&quot;Overall, the results of the current study are consistent with previous research that used the Step it&#xA;UP! Game to increase step counts&quot;"/><s v="The impact of having experienced the Vietnam War is about three times—0.30 standardized effect in the OLS full model—and five times—0.56 standardized effect in the IV full model (see also Table 1)."/><s v="Indicates that longer words are harder to recall than shorter words, reflecting the role of the articulatory rehearsal process."/><s v="Indicates that phonemically similar words are harder to recall than phonemically distinct words, reflecting the phonological storage capacity."/><s v="Suggests that articulatory suppression abolishes the word length effect but does not diminish the phonemic similarity effect, supporting the distinction between the two processes."/><s v="effects of articulatory suppression [F(1,22) == 17.62, MSe == 14.95, P &lt; .001] [...] upon the number of sequences recalled"/><s v="phonemic similarity [F(1,22) == 121.10,MSe == 2.76,p &lt; .001] [...] upon the number of sequences recalled"/><s v="word length [F(1,22) == 35.41,MSe == 1.84,p &lt;.001] [...]  upon the number of sequences recalled"/><s v="effect of phonemic similarity [F(I,15) = 214.17, MSe = 3.10, p &lt; .001"/><s v="effect of word length [F(I, 15) = 34.34, MSe = 1.33, P &lt; .001],"/><s v="effect of blocks [F(I,22) = 11.09, MS. = 12.21, P &lt; .005]"/><s v="effect of word length [F(I,22) = 13.53, MS. = 14.66, P &lt; .001]"/><s v="effect of unattended speech [F(I,22) = 30.80, MS.e = 12.21, p &lt; .001]"/><s v="effects of presentation rate [F(l,20) = 31.04, MSe = 56.96,p &lt; .001]"/><s v="phonemic similarity [F(l,20) = 23.33, MSe = 14.79, P &lt; .001]"/><s v="articulatory suppression [F(I,20) = 33.24, MSe = 8.43,p &lt; .001]"/><s v="phonemic similarity [F(1,20) = 55.60, MSe = 15.86, P &lt; .001]"/><s v="articulatory suppression [F(1,20) = 41.96, MSe = 14.18, p &lt; .001]."/><s v="recall delay [...] [F(1,20) = 6.48, MSe = 70.20, P &lt; .02],"/><s v="Listeners rated English speakers as more competent than Tagalog speakers (in Table 1: beta=-3.22, p&lt;0.001)."/><s v="A significant three-way interaction was driven by the competence ratings in low-performance scenarios, where both English and Tagalog speakers received higher competence ratings in low- versus high-prestige jobs, but the magnitude of this difference was g"/><s v="Listeners gave higher preference ratings to English than Tagalog speakers (in Table 2: beta=-3.56, p&lt;0.001)."/><s v="A significant three-way interaction was driven by the treatment preference ratings given to Tagalog speakers (rather than English speakers) in low-performance scenarios, where Tagalog speakers received higher ratings in low- versus high-prestige jobs."/><s v="Listeners rated Tagalog speakers as less comprehensible than English speakers."/><s v="A significant three-way interaction between speaker L1, prestige, and performance level was driven by the ratings in low-performance scenarios, where both English and Tagalog speakers were evaluated as sounding more comprehensible in low- versus high-pres"/><s v="listeners rated English speakers as more competent than&#xA;Tagalog speakers."/><s v="The effect for speaker L1 was qualified by an interaction with accentedness rating,&#xA;where English speakers were rated as more competent than Tagalog speakers when the&#xA;speaker’s foreign accent was stronger,"/><s v="The effect for speaker L1 was qualified by an interaction with accentedness rating,&#xA;where English speakers were rated as more competent than Tagalog speakers when the&#xA;speaker’s foreign accent was stronger, but not when the accent was weaker "/><s v="The effect for job prestige was qualified by an interaction with speaker L1, whereby&#xA;English speakers were rated as more competent than Tagalog speakers in high-prestige&#xA;positions but not in low-prestige positions where the ratings for english and tagalog"/><s v="As can be seen in Figure 4, moderate internal reliability was achieved in both the flankers ,"/><s v="reliability of the Stroop task remained low even after 20 errors per subject were examined"/><s v="As can be seen in Figure 4, moderate internal reliability was achieved in both the [...] go/no-go,"/><s v="This suggests that the Flanker task provides adequate reliability for the ERN, even with a relatively small number of error trials."/><s v="The Go/No-Go task demonstrates acceptable reliability for the ERN but requires slightly more error trials compared to the Flanker task"/><s v="These results indicate that the Stroop task provides poor reliability for the ERN and may not be suitable for assessing individual differences in performance monitoring."/><s v="one-way ANOVAs were conducted [...]. GAD group, the main effect of Valence of Face was significant, F(2, 26) = 5.68, MSE = 1404.72, p &lt;.01. Table 2"/><s v="one-way ANOVAs were conducted [...]. The main effect of Valence of Face did not reach significance for the matched control group, F(2, 26) = 1.49, MSE = 1499.52, η2p = .10, p = .24, Table 2"/><s v="one-way ANOVAs were conducted [...]. The main effect of Valence of Face did not reach significancethe high trait anxious group, F(2, 26) = 1.72, MSE = 2582.33, η2p = .12, p = .20. Table 2"/><s v="Frustration increased with proximity to the goal and with effort investment. Significant neural activation was observed in the amygdala, periaqueductal gray (PAG), anterior insula, and dorsal anterior cingulate cortex (dACC)."/><s v="A simple linear regression analysis shows that extraversion predicts SMEI, F(1,422) = 18.27, p&lt;.001 (R2 = .042, beta = .241)."/><s v="Our estimates indicated that the aggregate elasticity of substitution between capital and labor for the manufacturing sector has been between 05 and 07, with a slight decline from 1972 to 2007."/><s v="participants who were unwilling to be donors and 15% of the participants who were unsure selected that default, w2 (2, N 5 102) 5 8.0, p 5 .018."/><s v="42% of the participants who thought that people  generally ought to be donors selected ‘‘organ donor’’ as the default, but only 12% of the participants who did not think that  people generally ought to be donors and only 15% who were unsure chose this def"/><s v="to infer that the policymakers probably thought that people ought to be donors (86% vs. 10%), were less likely to infer that the policymakers probably did not think that people ought to be donors (0% vs. 31%), and were less likely to concludethat nothing "/><s v="‘‘not an organ donor’’ default, participants told that the policymakers had selected the ‘‘organ donor’’  default were more likely to infer that the policymakers probably thought that people ought to be donors (86% vs. 10%), were less likely to infer that"/><s v="A significant difference was found between those willing to be donors and those not willing. "/><s v="A significant difference was found between those who think others should be donors and those who don't. "/><s v=" A very significant difference was found between those who perceived policymakers as willing to be donors, depending on the default."/><s v="A very significant difference was found between those who perceived HR staff as supportive of automatic enrollment, depending on the default. T"/><s v="A significant but moderate difference was found between those who perceived HR staff as not enrolled, depending on the default."/><s v="the high salience condition reported thinking about God during the study more than the low salience condition [Mlow God salience = 1.32, SD = 0.79; Mhigh God salience = 2.24, SD = 1.53; F(1, 319) = 47.28, P &lt; 0.001], The attrition rates between the low sa"/><s v="&quot;a one-way ANOVA on an index score computed by averaging each person's responses across the 24 decisions resulted in a significant effect of God salience [F(1,319) = 12.91, P &lt; 0.001; effect size f = 0.20]&quot;, &quot;The effect of God salience remained significan"/><s v="&quot;a one-way ANOVA on an index score computed by averaging each person's responses across the 24 decisions resultsed in a significant effect of God salience [F(1,319) = 12.91, P &lt; 0.001; effect size f = 0.20]&quot;, &quot;The effect of God salience remained significa"/><s v="&quot;In study 2a, 35.7% of participants in the low God salience condition picked the mutual fund recommended by the robo-advisor compared to 50.5% of participants in the high God salience condition [χ2 = (1) = 4.46, P = 0.035; Ф = 0.15]&quot;"/><s v="“In study 2b, while 31% of participants in the low God salience condition listened to the song recommended by AI, 44.6% of those in the high God salience condition listened to the song recommended by AI [χ2 = (1) = 6.80, P = 0.009; Ф = 0.14]”"/><s v="“We replicated the expected effect: 33.5% of participants in the low God salience condition preferred the recommendation by the AI, while 44.3% of participants in the high God salience condition preferred the recommendation by the AI [χ2(1) = 4.12, P = 0."/><s v="&quot;The main effect of God salience was significant [F(1,236) = 9.25, P = 0.003]&quot;"/><s v="&quot;A two-way ANOVA with God salience and AI type as predictors resulted in an insignificant main effect of the mysteriousness of the AI (F(1, 236) = .03, P &gt; .8) and an insignificant interaction term (F(1,236) = .006, P &gt; .9).&quot;"/><s v="&quot;35.7% of participants in the low God salience condition picked the mutual fund recommended by the robo-advisor compared to 50.5% of participants in the high God salience condition [χ2(1) = 4.46, P = 0.035; Φ = 0.15]. In exploratory analyses, we found tha"/><s v="&quot;31% of participants in the low God salience condition listened to the song recommended by AI, 44.6% of those in the high God salience condition listened to the song recommended by AI [χ2(1) = 6.80, P = 0.009; Φ = 0.14], an effect that remained significan"/><s v="&quot;33.5% of participants in the low God salience condition preferred the recommendation by the AI, while 44.3% of participants in the high God salience condition preferred the recommendation by the AI [χ2(1) = 4.12, P = 0.042; Φ = 0.11]&quot;"/><s v="&quot;the main effect of God salience was significant [F(1, 236) = 9.25, P = 0.003]&quot;"/><s v="There was a significant interaction between scanning condition (positive or negative) and stimulus valence (postscan ratings of positivity or negativity), F(1, 11) 5 9.67, p &lt; .01, prep 5 .95 (see Fig. 3). More positively rated names were associated with "/><s v="&quot;found that on a 7-point scale the groups differed in how effortful they found the self-regulation instructions (i.e., how much effort did it take to watch the movie, decrease your emotional response as you watched the movie, or increase your emotional re"/><s v="&quot;participants in the decrease emotional response condition reported that they found the manipulation of regulatory exertions much more effortful (Af = 33) than participants in the no emotional control condition (M = 1.9), /(38) = 3.47, p &lt; .01&quot;"/><s v="&quot;participants in the increase emotional response condition indicated that the manipula-tion of regulatory exertion instructions was much more effortful (M = 3.0) than participants in the no emotional control condi-tion, r(37) = 3.59, p &lt; .001.2&quot;"/><s v="Engaging in demanding executive control tasks temporarily depletes resources for subsequent self-regulation. Key result: F(1, 95) = 5.38, p = .023, η² = 0.055."/><s v="&quot;Each of the recall measures offered strong support for the executive depletion hypothesis. Participants who had previously exercised attention control scored worse than participants who had not previously attempted attention control. Specifically, partic"/><s v="&quot;Participants in the attention control condition reported somewhat less positive mood (M = 8.49, SD = 11.05) than did participants in the no control condition (M = 12.19, SD = 10.90), F(1, 137) = 3.72, p = .06, d = 0.34.&quot;, &quot;Experiment 1 supported the hypo"/><s v="&quot;Ratings of the difficulty of the initial viewing task verified that the attention control instructions (M = 4.77, SD = 1.64) were more difficult to follow than the no control instructions (M = 2.78, SD = 1.63), F(1, 137) = 50.46, p &lt; .001. This pattern i"/><s v="&quot;a t test showed the expected main effect, t(31) = 3.05, prep = .97, d = 1.10...&quot;"/><s v="&quot;We examined responses to the manipulation check to determine whether subjects in the suppression condition attempted to regulate their emotions. A t test showed the expected main effect, t(31)5 3.05, prep5 .97, d5 1.10, with the emotion-sup-&#xA;pression gro"/><s v="&quot;...with the emotion-suppression group (M = 5.03, SD = 1.69) reporting more regulation than the control group (M = 3.11, SD = 1.89)&quot;"/><s v="Respondents provided higher frequency estimates for their TV watching behavior when the response scale included a high range (e.g., 4–6 times per week) compared to a low range (e.g., 0–2 times per week). The difference was statistically significant: F(1, "/><s v="only 16.2 percent of the respondents who were presented the low category range reported watching TV for more than two and a half hours, while 37.5 percent of the respondents presented the high category range did so"/><s v="&quot;Participants in the elderly priming condition (M = 8.28 s) had a slower walking speed compared to participants in the neutral priming condition (M= 7.30 s), t(2S) = 2.86,p&lt; .01, as predicted.&quot;,&quot;The results of the present experiments suggest that exposing"/><s v="Implicit attitudes toward social groups were significantly stronger than explicit attitudes. For example, implicit race bias showed d = 0.71 (p &lt; .001), compared to explicit race bias with d = 0.27."/><s v="Though both men and women negatively evaluated math (men: t[38] = -4.94, p = 10^-5, d = -0.80; women: t[39] = -12.88, p = 10^-15, d = -2.06), women’s attitudes were significantly more negative, t(77) = 4.42, p = 10^-5, d = 1.01."/><s v="Choices involving gains are often risk-averse, while choices involving losses are often risk-seeking. For example, in Problem 1 (N = 152), 72% of participants chose the safe option (Program A: 200 lives saved, p &lt; .05), compared to 28% who chose the risky"/><s v="choices involving gains are often risk averse and choices involving losses are often risk taking"/><s v="Participants believed that a sequence of die rolls was more than three times as long when a set of three 6’s were observed (M = 34.2) than when there were only two 6’s (M = 10.6), which in turn was believed to be longer than the representatively random se"/><s v="Participants in the flag-prime condition showed significantly greater support for Republican candidates (M = 0.072, SD = 0.47) compared to the control condition (M = -0.070, SD = 0.48), t(181) = 2.02, p = .04, Cohen's d = 0.298."/><s v="The responses were reverse-coded when needed and averaged together (α = .67). Attitudes of participants in the flag-prime condition (M = 3.10) were significantly closer to the Republican end of the scale than were attitudes of participants in the control "/><s v="Participants exposed to high anchors provided significantly higher estimates (M = 45.2, SD = 12.3) compared to those exposed to low anchors (M = 18.4, SD = 10.6), t(78) = 8.34, p &lt; .001, Cohen’s d = 1.87."/><s v="There was a highly significant difference between individual averages of the transformed estimates made with high and low anchors, t(102) = 7.00, p &lt; .01. Thus high and low anchors were both very effective, but the effect of high anchors was significantly"/><s v="The study found that ego depletion significantly reduces performance on subsequent self-control tasks. Key result: F(1, 120) = 6.75, p = .01."/><s v="&quot;As predicted, analysis revealed a significant difference between the control condition and the average of the two experimental conditions in terms of the magnitude of the PSD slopes, F(1, 68) = 5.52, p &lt; .02 (see Table 2 and Figure 4).&quot;, &quot;Those who were "/><s v="&quot;As predicted, analysis revealed a significant difference between the control condition and the average of the two experimental conditions in terms of the magnitude of the PSD slopes, F(1, 68) % 5.52, p &amp; .02 (see Table 2 and Figure 4).&quot;, &quot;Those who were "/><s v="Participants correctly identified the future position of the erotic pictures significantly more frequently than the 50% hit rate expected by chance: 53.1%, t(99) = 2.51, p = .01, d = 0.25."/><s v="As predicted, participants correctly identified the future position of the erotic pictures significantly more frequently than the 50% hit rate expected by chance."/><s v="hit rate on the nonerotic pictures did not differ significantly from chance: 49.8%, t(99)=-0.15, p = .56."/><s v="Participants in the heavy-clipboard condition (M = 5.27, SD = 1.28) found it more important that the committee listen to students' opinions compared to participants in the light-clipboard condition (M = 4.21, SD = 2.10), F(1, 49) = 4.33, p &lt; .05, Cohen’s "/><s v="participants in the heavyclipboard condition (M 5 5.27, SD 5 1.28) found it more important that the committee listen to the students’ opinions than did participants in the light-clipboard condition (M 5 4.21, SD 5 2.10), F(1, 49) 5 4.33, p &lt; .05, prep 5 ."/><s v="Participants in the communion condition estimated the ambient room temperature as significantly warmer (M = 20.95, SD = 2.24) than participants in the agency condition (M = 18.95, SD = 2.41), t(78) = 3.85, p &lt; .001, Cohen's d = 0.86."/><s v="Participants in the communion condition perceived the target person as having a warmer personality (M = 5.65, SD = 0.80) than those in the agency condition (M = 4.65, SD = 0.97), t(78) = 5.01, p &lt; .001, d = 1.12"/><s v="The interaction between need for cognition and argument quality was significant, F(1, 110) = 22.45, p &lt; .001, showing that individuals high in need for cognition evaluated strong arguments more favorably (M = 5.86, SD = 1.01) compared to weak arguments (M"/><s v="people scrutinize a persuasive message more when they believe the recommendation is personally relevant than when they believe it is irrelevant"/><s v="Thinking about time as money reduces enjoyment and increases impatience during leisure activities. Financial compensation moderates these effects. Key results: F(1, 141) = 4.81, p = .03 for happiness, and F(1, 141) = 7.13, p = .008 for impatience."/><s v="A main effect of additional compensation emerged as significant where those paid to listen to the music derived greater enjoyment from the music...than did those who were not paid...The main effect of calculation was not significant...but this main effect"/><s v="Similar results were obtained on the impatience measure. A main effect of compensation emerged as significant whereby those explicitly paid to listen to the music reported feeling less impatient...than those who were not paid...The main effect of calculat"/><s v="Participants with high self-esteem felt subjectively closer to courses in which they received better grades (M = 3.91, SD = 1.05) than courses in which they received poorer grades (M = 6.30, SD = 1.22). The Grade Condition × Self-Esteem interaction was si"/><s v="HSEs (one standard deviation above the mean) felt more distant from courses in which they received their worst rather than their best grades"/><s v="Physical warmth increases the need for emotional warmth (affiliation). Key result: β = 0.28, t = 3.48, p = .001 (Experiment 2, Study 1)."/><s v="We expected that the cold temperature prime would increase participants’ scores on the loneliness scale, as experiences of physical coldness should increase feelings of social coldness (dis-connectedness)...Planned comparisons indicated that the cold-pack"/><s v="The interference of conflicting word stimuli upon the time for naming 100 colors increased the mean reaction time by 47.0 seconds, a 74.3% increase over the normal time for naming colors printed in squares."/><s v="it took an average of 2.3 seconds longer to read 100 color names printed in colors different from that named by the word than to read the same names printed in black"/><s v="Participants in the ego-moving condition interpreted the ambiguous temporal statement in a consistent manner 73% of the time, while participants in the time-moving condition chose a different consistent interpretation 69% of the time. A significant effect"/><s v="people used primed spatial information to think about time. Overall, 71.3% of the participants responded in a prime-consistent manner"/><s v="Participants judged English words beginning with certain letters (e.g., 'K') to be more frequent than words with those letters in the third position, despite statistical evidence to the contrary."/><s v="Among the 152 subjects, 105 judged the first position to be more likely for a majority of the letters, and 47 judged the third position to be more likely for a majority of the letters."/><s v="High-power participants thought the message would be perceived as more sarcastic by the naive recipient (M = 3.74, SD = 1.54) than did low-power participants (M = 4.84, SD = 1.30), t(40) = 2.47, p = .02, d = 0.77."/><s v="High-power participants thought the message would be perceived as more sarcastic by the naive recipient (M 5 3.74, SD 5 1.54) than did low-power participants (M 5 4.84, SD 5 1.30), t(40) 5 2.47, prep 5 .93, d 5 0.77."/><s v="&quot;For warm-temperature desirability ratings, however, the Reflection Condition × Attachment Anxiety interaction was significant, β = −0.42, t(49) = 2.26, p = .028 (other ps &gt; .316).&quot;"/><s v="warm-temperature desirability ratings, however, the Reflec- tion Condition × Attachment Anxiety interaction was signifi- cant, β = −0.42, t(49) = 2.26, p = .028 (other ps &gt; .316)"/><s v="ttachment anxiety and desirability ratings of warm-temperature refreshments were positively related in the romantic-breakup condition, β = 0.44, t(49) = 2.30, p = .025, but unrelated in the ordinary-event condition, β = −0.19, p = .350."/><s v="Subtle reminders of the concept of money, relative to nonmoney concepts, led participants to endorse more strongly the existing social system in the United States (Experiment 1) (Table 1: d = 0.80, p = .043)"/><s v="participants in the money condition more strongly endorsed system justification than did participants in the control condition, i(28) = 2.12, p = .043, d = 0.80"/><s v="Participants who imagined contact reported greater intentions to engage in future actual contact (M = 5.93, SD = 1.67) than did participants in the control condition (M = 4.69, SD = 1.26), t(31) = -2.39, p = .023, d = .86."/><s v="when individuals were instructed to imagine contact with a British Muslim stranger they subsequently reported greater intentions to engage in future social contact with British Muslims in general"/><s v="Participants who passed the IMC were more likely to show the expected price expectation effect: F(1, 113) = 7.72, p &lt; .01, η² = .06, compared to those who failed the IMC: F(1, 96) = 0.34, p &gt; .1."/><s v="Participants who clicked on the sports categories or the continue button rather than the title (as they were instructed to do), were coded as having failed the IMC. Overall, 46% of the sample failed the IMC."/><s v="&quot;an independent-samples t test exam-ining the influence of color condition on perceived attractiveness revealed a significant color effect, t(32)  2.44, p  .05, d  0.86. Participants in the red condition, compared with those in the gray condition, rated t"/><s v="&quot;an independent-samples t test examining the influ-ence of color condition on desired sexual behavior revealed a significant color effect, t(32)  2.43, p  .05, d  0.85. Partici-pants in the red condition, compared with those in the gray condition, wanted "/><s v="&quot;an independent-samples t test was used to examine the effect of color condition on perceived likability. The analysis yielded a null effect ( p  .63)&quot;"/><s v="&quot;Defense claims. There was a main effect of Condition on the applicability of the insanity defense, F(3, 290) = 4.53, p = .004, ηp2= 0.04, 95% CI = [0.00, 0.09]. It was endorsed less in the Environmental condition (M = 2.06, SE = 0.22) than in the Genetic"/><s v="&quot;there was a main effect of Condition for the diminished capacity defense, F(3, 289) = 12.82, p &lt; .001, ηp2= 0.12, 95% CI = [0.05, 0.18]. It was endorsed less in the Environmental condition (M = 2.96, SE = 0.22) than in the Genetic (M = 4.56, SE = 0.22), "/><s v="&quot;there was no main effect of Condition on the intoxica-&#xA;tion defense, F(3, 289) = 1.10, p = .349, ηp2= 0.01, 95% &#xA;CI = [0.00, 0.04]."/><s v="&quot;Sentencing. Unlike Studies 1 and 2, but replicating other research (e.g., Aspinwall et al., 2012; Dar-Nimrod et al.,&#xA;2011), there was a main effect of Condition, F(3, 291) =7.48, p &lt; .001, ηp2= 0.07, 95% CI = [0.02, 0.13]. It was sig-nificantly longer i"/><s v="&quot;perpetrator-relevant perceptions. Replicating previous studies, there was a significant effect of condition on perceived con-trol, F(3, 290) = 10.82, p &lt; .001, ηp2 = 0.10, 95% CI = [0.04, 0.16]. It was significantly higher in the Environmental con-dition"/><s v="&quot;condition did not affect perceived recidivism or intention to kill, Fs &lt; 2.00, ps &gt; .200, ηp2s = 0.01&quot;"/><s v="&quot;condition significantly affected criminal responsibility, F(3, 291) = 4.31, p = .005, ηp2 = 0.04, 95% CI = [0.00, 0.09]. It was significantly higher in the Environmental condition (M = 6.37, SE = 0.14) than in the Genetic (M = 5.83, SE = 0.14), p = .005,"/><s v="&quot;causal attributions. Condition significantly affected causal locus, F(3, 290) = 8.65, p &lt; .001, ηp2= 0.08, 95% CI = [0.03, 0.14]. It is significantly more external (lower) in the Environmental condition (M = 4.72, SE = 0.17) than in the Genetic condition"/><s v="&quot;condition did not affect causal stability, F(3, 291) = 0.67, p = .568, ηp2 = .01, 95% CI = [0.00, 0.03]&quot;"/><s v="&quot;condition significantly affected causal specificity, F(3, 289) = 11.50, p &lt; .001, ηp2 = 0.11, 95% CI = [0.04, 0.17]. Participants saw less causal specificity in the Environmental condition (M = 2.25, SE = 0.18) than in the Genetic (M = 3.08, SE = 0.18), "/><s v="&quot;condition did not affect causal control, F(3, 289) = 0.60, p = .613, ηp2 = 0.01, 95% CI = [0.00, 0.02]&quot;"/><s v="&quot;condition marginally affected causal malleability, F(3, 290) = 2.15, p = .095, ηp2 = 0.02, 95% CI = [0.00, 0.06]. Participants saw greater causal malleability in the Environmental condition (M = 4.68, SE = 0.17) than in the Gene-Impulse condition (M = 4."/><s v="&quot;In Study 2a, participants who scored high in NFC provided estimates further from their self-generated anchor values (mean z score 5 0.14) than participants who scored low (mean z score = 0.18),t(77) = 2.13, p &lt; .05, p_rep = .90, d = 0.49.&quot;"/><s v="&quot;participants who scored high in NFC provided estimates further from their self-generated anchor values (mean z score 5 0.14) than participants who scored low (mean z score 5 􏰀0.18), t(77) 5 2.13, p &lt; .05, prep 5 .90, d 5 0.49&quot;"/><s v="&quot;A 2 (Anchor: low, high) × 2 (Time Pressure: absent, present) ANOVA revealed a significant main effect of Time Pressure, F(1, 58) = 8.56, p &lt; .01.&quot; &quot;The results of our study indicate that there is a subliminal anchor eVect and that this eVect is short-liv"/><s v="A 2 (Anchor: low, high) × 2 (Time Pressure: absent, present) ANOVA revealed a significant interaction effect between Anchor and Time Pressure, F(1, 58) = 5.06, p &lt; .05. … The results of our study indicate that there is a sub- liminal anchor eVect and that"/><s v="&quot;There were no significant main effects, Fs(1, 58) &lt; 1, ns. Thus, the anchor effect critically depended on whether there was Time Pressure or not.&quot; &quot;The results of our study indicate that there is a subliminal anchor eVect and that this eVect is short-liv"/><s v="&quot;A 2 (Anchor: low, high) × 2 (Time Pressure: absent, present) ANOVA revealed a significant interaction effect between Anchor and Time Pressure, F(1, 58) = 5.06, p &lt; .05.&quot; &quot;The results of our study indicate that there is a subliminal anchor eVect and that "/><s v="We find that participants readily apply ecology stereotypes to persons even within levels of personal wealth: for each of the five life history strategy constructs, indi-viduals from desperate ecologies were stereotyped as possessing faster life history s"/><s v="&quot;…our findings provide strong evidence for the importance of ecology as a cue used by social perceivers in anticipating the affordances of others. Study 1 demonstrated that individuals hold ecology stereotypes, stereotyping individuals from desperate ecol"/><s v="yet, in the test trial, participants made up their minds sooner than they expected: Predictors expected they would need to see many more paintings to make up their minds (M = 16.29, SD =12.04) than experiencers actually needed to see to make up their mind"/><s v="&quot;In the test trial, participants made up their minds sooner than they expected: Predictors expected they would need to see many more paintings to make up their minds (M = 16.29, SD = 12.04) than experiencers actually needed to see to make up their minds ("/><s v="In Exp. 1, 70% of player As looked at the cost of helping in the process hidden condition compared with only 59% in the process observable condition (n = 735; P = 0.002)"/><s v="&quot;In Exp. 1, 70% of player As looked at the cost of helping in the process hidden condition compared with only 59% in the process observable condition (n = 735; P = 0.002) (Fig. 2A).&quot; , &quot;Thus, we confirm our key prediction: Across two experiments, subjects"/><s v="There were significant differences in dating interest between conditions...interest in the Inadvertent Nondiscloser (M = 6.8, SD = 1.5) was higher than that of the Hider [t(140) = 2.08, P = 0.04]"/><s v="&quot;Most importantly, interest in the Inadvertent Nondiscloser (M = 6.8, SD = 1.5) was higher than that of the Hider t(140) = 2.08, P = 0.04; it was also lower than that of the Revealer t(142) = 1.99, P = 0.05.&quot;"/><s v="Privacy concerns mediated the relationship between temporary sharing and selfie disinhibition:Temporariness decreased privacy concerns (βtemporary = −0.70, SE = 0.22, P &lt; 0.005), which in turn accounted for increased disinhibition"/><s v="&quot;Privacy concerns mediated the relationship between temporary sharing and selfie disinhibition: Temporariness decreased privacy concerns (βtemporary = −0.70, SE = 0.22, P &lt; 0.005)&quot;"/><s v="We regressed pain ratings on target race, false beliefs, and their in- teraction, controlling for age, gender, and self-ratings of pain...interaction between target race and false beliefs [β = −0.07, SE = 0.03, F(1,85) = 4.36, P = 0.040, η2p = 0.05; Fig. "/><s v="&quot;The effect was qualified by the predicted interaction between target race and false beliefs [β = −0.07, SE = 0.03, F(1, 85) = 4.36, P = 0.040, η²p = 0.05].&quot;"/><s v="compared with participants who described a situ-ation in which they chose not to intervene, participants who de-scribed a situation in which they chose to intervene perceived intervention to be...more beneficial [... t(196) = 6.34, P &lt; 0.001]."/><s v="&quot;As Fig. 4 shows, compared with participants who described a situation in which they chose not to intervene, participants who described a situation in which they chose to intervene perceived intervention to be less costly [independent samples t tests: exp"/><s v="by round 3, bipartisan networks without partisan cues showed significantly greater trend accuracy than liberal control groups (by 9.4 percentage points: n = 24; P &lt; 0.01, Wilcoxon rank sum test). More generally, by round 3, subjects in bipartisan networks"/><s v="&quot;In particular, at round 1, there were no significant differences between liberal control groups and bipartisan networks without partisan cues (n = 24; P = 0.32, Wilcoxon rank sum test); however, by round 3, bipartisan networks without partisan cues showe"/><s v="Study 4 built on the finding that competence and attractiveness were two key predictors of interest judgments in studies 1 and 2 by varying the attractiveness and competence of the scientists in a 2 × 2 within-subject design...interest was positively rela"/><s v="Please see Table S16 in the SI appendix - link copied in https://www.pnas.org/action/downloadSupplement?doi=10.1073%2Fpnas.1620542114&amp;file=pnas.1620542114.sapp.pdf "/><s v="anti–free-will participants showed a smaller correspondence bias (M = 1.02, SD = 1.10) than control participants (M = 1.24, SD = 1.20) (t = 2.10, P = 0.036, d = 0.19)"/><s v="&quot;Crucially, however, the interaction between belief manipulation and attribution was significant [F(1,502) = 4.41, P = 0.036, ηp2 = 0.01]. This indicates that anti–free-will participants showed a smaller correspondence bias (M = 1.02, SD = 1.10) than cont"/><s v="To test our hypothesis that income and generosity are only negatively related under unequal conditions, we used ordinary least-squares regression, regressing generosity on household income (centered at its grand mean across partici-pants), inequality cond"/><s v="Table 2"/><s v="Overall (across photographs of men and women), the expansive photographs were rated as more dominant (mean = 3.78, SD =0.63) than the contractive photographs (mean = 2.44, SD = 0.88), [t(424) = 18.02, P &lt; 0.0001, 95% CI (1.19, 1.48)]... in modern-day dati"/><s v="&quot;Overall (across photographs of men and women), the expansive photographs were rated as more dominant (mean = 3.78, SD = 0.63) than the contractive photographs (mean = 2.44, SD = 0.88), [t(424) = 18.02, P &lt; 0.0001, 95% CI (1.19, 1.48)].&quot;"/><s v="In study 5, we asked receivers before the allocation was made to predict how they would feel afterward...As the right side of Fig. 4 shows, receivers in study 5 expected that the fairness of the al-location procedure would matter to them. Indeed, their re"/><s v="Supplementary Information, however link for it found in original paper not working"/><s v="Participants in the low subjective status condition (M = 0.51, SD = 0.75) exhibited a trend for stronger implicit preferences for calorie-dense foods over fruits/vegetables compared with those in the high SSES condition (M = 0.27, SD = 0.70), suggesting t"/><s v="&quot;Study 3 examined whether the experience of low SSES stimulates actual food intake from snacks during a fixed time interval. Eighty-three nondieting participants (41 female, age M = 20.29, SD = 1.38) completed the SSES manipulation from studies 1 and 2, t"/><s v="Only 16% (41/255, five gifts requested) of subjects in the gift/image treatment donated, which is significantly different from both other treatments (difference-in-means: P = 0.001 and P = 0.021, respectively). Therefore, increasing the visual saliency of"/><s v="&quot;Only 16% (41/255, five gifts requested) of subjects in the gift/image treatment donated, which is significantly different from both other treatments (difference-in-means: P = 0.001 and P = 0.021, respectively). Therefore, increasing the visual saliency o"/><s v="both ROC-T conditions significantly increased healthy food choices and were signifi-cantly different from CONTROL"/><s v="&quot;The training conditions did not significantly differ (p = .28), but were each different than CONTROL (POSITIVE vs. CONTROL: t(193.22) = 4.43, p &lt; .001; NEGATIVE vs. CONTROL: t(173.36) = 5.37, p &lt; .001)."/><s v="As expected, conservatives expressed less favorable attitudes in the future-focused comparison...but this association was greatly attenuated in the past-focused comparison...interaction b = 0.008, P = 0.03)"/><s v="&quot;As expected, conservatives expressed less favorable attitudes in the future-focused comparison (b = −0.015, P &lt; 0.0001), but this association was greatly attenuated in the past-focused comparison (b = −0.007, P = 0.011; interaction b = 0.008, P = 0.03). "/><s v="Some professional outcomes, such as career awards, are partic-ularly tied to eminence. In study 8 (n = 554), we tested whether researchers referred to by surname (vs. full name) are judged as more deserving of a fictitious NSF career award and award-relat"/><s v="&quot;Researchers referred to by surname were also allocated a larger share of the award money by 6%: F(1,551) = 4.61, P = 0.032 (Fig. 3).&quot;"/><s v="However, in the intentional harm condition—that is, when the vignette was identical except that the medi-cations were switched intentionally—selection of the “blame” task more than doubled, χ2(1) = 6.7, P = 0.009. Although other tasks could have been simi"/><s v="&quot;However, in the intentional harm condition—that is, when the vignette was identical except that the medications were switched intentionally—selection of the &quot;blame&quot; task more than doubled, χ2(1) = 6.7, P = 0.009.&quot;"/><s v="Conservatives allocated less money to the counterstereotypical targets than to the stereotypical targets [B = 0.52, SE = 0.14, Z = 3.65, P &lt; 0.001]...These studies demonstrate that conservatives negatively eval-uate people who deviate from stereotypes mor"/><s v="&quot;Conservatives allocated less money to counterstereotypical targets than to stereotypical targets [B = 0.52, SE = 0.14, Z = 3.65, P &lt; 0.001], but liberals did not [B = −0.05, SE = 0.10, Z = −0.50, P = 0.62]. Conservatives therefore allocated fewer economi"/><s v="we experimentally manipulated search patterns in experiment 2 and examined their influence on intertemporal choice..There was a significant effect of search condition, β = −0.23, SE = 0.10, P = 0.027, with participants in the easy comparative condi-tion e"/><s v="&quot;A hierarchical logistic regression was conducted to examine whether the search condition influenced participants' decisions, with choices modeled as a function of framing (acceleration or delay) and search condition (easy comparative or easy integrative)"/><s v="Participants were significantly more likely to report that they would break the stranger’s thumb for money when he was described in dehumanized (M = 4.64, SD = 2.14) rather than humanized terms (M = 3.90, SD = 2.36; t = 2.26, P = 0.025)."/><s v="&quot;Participants were significantly more likely to report that they would break the stranger’s thumb for money when he was described in dehumanized (M = 4.64, SD = 2.14) rather than humanized terms (M = 3.90, SD = 2.36; t = 2.26, P = 0.025).&quot;"/><s v="We fit a mixed-effects model, regressing participant choices on their role, the round number, and the interaction between role and round. The interaction between role and round is significant likelihood ratio test, χ2(1)=21. P &lt; 0.001; = 0.03, 95% CI = (0"/><s v="&quot;We fit a mixed-effects model, regressing participant choices on their role, the round number, and the interaction between role and round. The interaction between role and round is significant likelihood ratio test, χ2(1)=21.7, P &lt; 0.001, = 0.03, 95% CI ="/><s v="Regres-sions revealed that participants in the inequality treatment con-dition rated structural factors as more important to getting ahead, and individual factors as less important, than did participants in the control condition [β = 0.353, SE = 0.076, P "/><s v="&quot;Regressions revealed that participants in the inequality treatment condition rated structural factors as more important to getting ahead, and individual factors as less important, than did participants in the control condition [β = 0.353, SE = 0.076, P &lt;"/><s v="inducing consideration of the persistence of racial discrimination in the United States resulted in estimates of racial income equality that were much closer to reality, t(201) = 17.51, P &lt; 0.001, dRM = 0.50... overestimates of Black–White economic equali"/><s v="&quot;As in study 3, experimentally inducing reflection on a similar Black family increased overestimates of Black–White income equality in this mostly White American sample [t(201) = 10.93, p &lt; 0.001, dRM = 0.31], whereas inducing consideration of the persist"/><s v="As predicted, participants in the likely-cheating condition...were more likely to cheat at time 2 [χ2(n = 258) = 10.48, P = 0.001, Cramer’s V = 0.20]...than those in the no-cheating condition...providing further evidence for the consequences of unethical "/><s v="&quot;As predicted, participants in the likely-cheating condition recalled the die-throwing task less precisely (M = 2.59, SD = 1.08) than those in the no-cheating condition (M = 2.97, SD = 1.22) [t(256) = −2.66, P = 0.008, d = 0.33]. They also were more likel"/><s v="&quot;the cleanliness and neutral conditions revealed non-significant difference, t(438) = −0.42, p = 0.68, d = −0.04.&quot;"/><s v="&quot;The cleanliness condition had a lower mean composite rating than the neutral condition, d = −0.29, p = 0.04 in the low response effort condition&quot;"/><s v="&quot;In particular, the cleanliness priming resulted in a significantly less extreme rating on the “dog” scenario than the neutral condition, d = −0.38, p = 0.005&quot;"/><s v="&quot;A further examination of the cleanliness hypothesis on individual vignettes in the low response effort condition revealed a pattern consistent with the expectation, with ds ranging from – 0.03 to −0.38 (see Table 2).&quot;"/><s v="&quot;public goods are substitutes and merit goods are complements to private goods consumption &quot;"/><s v="&quot;The main finding of Tables 5–7 is that in all cases they substantiate the fact that public goods are substitutes and merit goods are complements to private goods consumption&quot; [...] &quot;These results imply [...] an aggregate relation for private and governme"/><s v="&quot;Merit goods are mostly education and health expenditures and both should be inversely related to the working age population share."/><s v="&quot;The public goods variables tend to be insignificant the higher is their public good content, irrespective of the deflator choice&quot;"/><s v="&quot;Defence spending has a smaller elasticity than public order and in most cases its elasticity is null. We take this to be consistent with the very nature of these goods. That is, the purer the public goods category the less the expected interaction with p"/><s v="&quot;The main finding of our paper is in Table 5. [...] The J -tests support the plausibility of the instrument restrictions&quot;"/><s v="&quot;In the same table we find that education has a bigger effect on private consumption than health when the interest rate variable is omitted, while the effect is about the same when the latter enters the specification&quot;"/><s v="&quot;An important result of our estimates is that we found for aggregate NIPA data rather than for individual data units a significant and positive effect of the after tax real interest rate variable&quot;"/><s v="&quot;In Table 5(1), however, we estimated an analog to Eq. (9) by adding to each equation on Table 5 the current and the past value of the logged per capita disposable income changes. The relevant results still con1rm the complementarity of the merit goods va"/><s v="&quot;A Mann-Whitney test shows no&#xA;significant difference in final amount allocated to recipients between the two treatments (p-&#xA;value = 0.583)&quot;"/><s v="&quot;In the GG, the amounts given by males and females are not different (p-value = 0.594).&quot;"/><s v="&quot;The TG, however, shows gender differences. The average amount left by the male dictators is significantly lower than the amount left by the female dictators at 1%&#xA;level.&quot;"/><s v="&quot;Students taught by teachers with an elementary education degree, however, gain more in reading (0.08 SD) than students taught by teachers with a different type of degree (e.g., early childhood education) [...]&quot;"/><s v="&quot;In Study 2c, participants who were not cognitively busy provided estimates further from their self-generated anchor values (mean z score 5 0.14) than those who were cognitively encumbered (mean z score =0.13), t(92) = 3.18, p &lt; .01, prep = .98, d = 0.66"/><s v="&quot;There was a significant interaction between our manipulations (NFC, alcohol consumption, or busyness) and question type (self-generated or experimenter-provided anchor) [...] and a marginally significant interaction in Study 2c, F(1, 90) = 3.22, p = .08,"/><s v="&quot;participants who were not cognitively busy provided estimates further from their self-generated anchor values (mean z score 5 0.14) than those who were cognitively encumbered (mean z score 5 􏰀0.13), t(92) 5 3.18, p &lt; .01, prep 5 .98, d 5 0.66.&quot;"/><s v="&quot;revealed that participants in the heavy-clipboard ondition (M = 5.27, SD = 1.28) found it more im-portant that the committee listen to the students’ opinions than did participants in the light-clipboard condition (M = 4.21, SD 5 2.10), F(1, 49) = 4.33, p"/><s v="&quot;As predicted, the two conditions elicited two radically different patterns of responses. In the harm condition, most subjects (82%) said that the agent brought about the side effect intentionally, whereas in the help condition, most subjects (77%) said t"/><s v="As predicted, the two conditions elicited two radically different patterns of responses. In the harm condition, most subjects (82%) said that the agent brought about the side effect intentionally, whereas in the help condition, most subjects (77%) said th"/><s v="NA"/><s v="&quot;Overall, then, the results point to a surprising conclusion about the relationship between the words ‘intentionally’ and ‘jaan-bujhkar.’ It appears that, despite their radically different morphologies, these two words are expressing the same basic concep"/><s v="Subjects were significantly more likely to say that the chairman acted jaan-bujhkar in the harm condition than in the help condition,"/><s v="&quot;For Part I, 6 responded as determinists, and 2 responded as indeterminists.&quot;, &quot;The appeal to indeterminist choice was extremely rare when subjects were asked to predict the decision of psychological duplicates. This provides some rudimentary support for "/><s v="Thus, when we consider subjects who either initially abide by the conditions of the thought experiment or who are corrected, we find that 7 out of 8 gave a determinist response when asked to predict the decision of a psychological duplicate. As in experim"/><s v="the participants in C1 were more likely to say that the thief knowingly brought about the officer’s death (75 percent) than the participants in C2 were to say that the driver knowingly brought about the death of the car thief"/><s v="50% of subjects gave the compatibilist response, which is still significantly different from the very low number of compatibilist responses in the abstract condition.8"/><s v="free will: &quot;A 2 (mechanism: Psych, Neuro) X 2 (universe: Real, Erta) Analysis of Variance (ANOVA) was run on the mean responses to our five primary variables of interest (“up to,” FW, MR, blame, and praise; questions 1–5).12 For judgments of each of the f"/><s v="For judgments of each of the five variables, we found similar results that indicated highly significant differences (p &lt; .001) depending on whether agents’ decision-making in the scenario was described in psychological terms or neuroscientific (mechanisti"/><s v="&quot;Subjects were also significantly more likely to agree with the target sentence in the explanation condition (“Susan reached the rafters because the rope did not break”) than with the target sentence in the causation condition (“The rope not breaking caus"/><s v="Subjects were also significantly more likely to agree with the target sentence in the explanation condition (“Susan reached the rafters because the rope did not break”) than with the target sentence in the causation condition (“The rope not breaking cause"/><s v="&quot;Critically, we observed the predicted interaction between load and judgment (F(1, 62.9) = 8.5, p = .005).&quot;, &quot;Cognitive load selectively increased RT for utilitarian judgment, yielding the predicted interaction between load and judgment type. In the full "/><s v="we predicted that increasing cognitive load by imposing another control-demanding task would interfere with utilitarian moral judgments, yielding increased RT and/or decreased frequency for utilitarian moral judgment. we observed the predicted interaction"/><s v="&quot;As predicted, in the analysis of the data, we found results similar to Knobe and Roedder’s. That is, we found a K&amp;R-pattern in attributions of desires. The mean rating in the first condition was 0.320 (N = 25), and in the second it was 1.05 (N = 19). A t"/><s v="we found a K&amp;R-pattern in attributions of desires... This suggests that in general, people are more willing to say that what racist George really wants is racial equality than they are willing to say that what liberal George really wants is racial equalit"/><s v="Sixty-five percent of the participants in the actor condition judged that it was morally permissible for them to hit the switch, 90% of the participants in the observer condition judged that it was morally permissible for John to hit the switch"/><s v="Notice in particular the results for vignettes in the no-skill conditions. Only 28% of subjects in the achievement condition said the behavior was intentional, but a full 76% of subjects in the immoral condition&#xA;thought the behavior was intentional."/><s v="&quot;Here the attending doctor is clearly violating a norm, but there is no sense at all in which he can be considered blameworthy for the patient's recovery. (Mter all, the patient's recovery is something good, and there can therefore be no question about wh"/><s v="Yet despite the lack of blame, people were more inclined to say that the doctor's decision caused the recovery than they were to say that the pharmacist's decision caused the recovery. This result indicates that people's causal intuitions can be affected "/><s v="&quot;Prima facie, our hypothesis was not satisfied since a comparison of the means of agreement with the claim that the Administrative Assistant caused the problem, did not yield a statistically significant difference. This result was surprising, but perhaps "/><s v="As it turns out, participants in our study were significantly less willing to agree with the claim that Professor Smith caused the problem"/><s v="&quot;We did not, however, find the widespread correlation between extraversion and compatibilism that Feltz and Cokely found.&quot;, &quot;This suggests to us that while extraversion may help predict how compatibilist-friendly an individual’s intuitions about desert-ba"/><s v="&quot;The results were quite surprising (figure 1). For the Negative scenario, only 13% of the participants said to prefer reality; 87% of them would prefer to remain connected. In the Positive scenario, the distribution evened out: 50% of the participants sai"/><s v="&quot;Like the original side-effect effect results, our findings reveal an asymmetry in mean levels of participant responses between survey conditions. On the Gradient scoring method, participants’ mean level of agreement in the harm condition (M = 2.25, SD = "/><s v="On the Gradient scoring method, participants’ mean level of agreement in the harm condition (M = 2.25, SD = 1.50) varied from that of the help condition (M = 0.91, SD = 2.09)."/><s v="&quot;Consistent with our hypothesis, philosophers [...] were unwilling to ascribe [...]  the perceptual experience of seeing red [...]  to the robot (the mean answers are significantly lower than 4). By contrast, philosophers were willing to ascribe [...]  st"/><s v="The difference between the average folk ascription of seeing red and of feeling pain is statistically significant..."/><s v="&quot;Significant interactions between the drug decision (that is, to violate the norm and administer the drug or to adhere to the norm and reftise the drug) and the outcome of the decision (that is, recovery, death, or no outcome) on evaluations (that is, bla"/><s v="Significant interactions between the drug decision (that is, to violate the norm and administer the drug or to adhere to the norm and reftise the drug) and ... on ratings of his causal involvement, E{1, 213) = 13.05, p &lt; .001, supported culpable-control p"/><s v="&quot;On average, when pain is less intense, people use the ‘feeling pain’ expression slightly more often compared to the ‘having pain’ expression, but when the pain is intense, people choose to express themselves with the ‘having pain’ expression around three"/><s v="There was no main effect of transgression and no interaction effect. However, there was a significant main effect of condition,"/><s v="&quot;Results confirmed our first prediction: Subjects in the CRT-First condition judged the utilitarian actions to be more acceptable (CRT-First: M = 3.77; Dilemmas-First: M = 3.25; t(90) = 2.03, p = .05, d = 0.43).&quot;, &quot;overall results of Experiment 1 indicate"/><s v="Results confirmed our first prediction: Subjects in the CRT-First condition judged the utilitarian actions to be more&#xA;acceptable "/><s v="&quot;An independent samples t-test yielded a significant difference between Chinese and Western participants on the Godel cases (t(70 = -2.55, P &lt; 0.05) (all tests two-tailed). The Westerners were more likely than the Chinese to give causal-historical respons"/><s v="The Westerners were more likely than the Chinese to give causal-historical responses. "/><s v="Participants in the thief contrast condition tended to agree with the knowledge ascription they received (mean rating: 4.6), while participants in the jewel contrast condition tended to disagree with the knowledge ascription they received (mean rating: 3."/><s v="&quot;an analysis of the data revealed a significant effect of the Action-Valence variable such that subjects are more inclined to agree with the attribution of weakness of will when the valence of the action the agent ends up succumbing to perform is bad as o"/><s v="Moreover, an analysis of the data revealed a significant effect of the Action-Valence variable such that subjects are more inclined to agree with the attribution of weakness of will when the valence of the action the agent ends up succumbing to perform is"/><s v="&quot;There was a greater likelihood of ascribing knowledge in cases of: […] Standard True Belief versus Gettier Cases (χ2 = 107.81, df = 1, N = 202, p &lt; .001, B = 1.62, Exp(B) = 5.07)&quot;, &quot;Although we have demonstrated that the rates of knowledge ascription for"/><s v="There was a greater likelihood of ascribing knowledge in cases of: ... (2) Standard True Belief versus Gettier Cases"/><s v="&quot;Nevertheless, treating Experiment 1 as having a 4 × 2 design and analyzing the results with a two-way ANOVA reveals a main effect for the ‘full/violate’ variable with a small to medium effect size.&quot; "/><s v="Nevertheless, treating Experiment 1 as having a 4 × 2 design and analyzing the results with a two-way ANOVA reveals a main effect for the ‘fulll/violate’ variable with a small to medium effect size"/><s v="&quot;The model returned from GES [Greedy Equivalence Search] was the MR/FW [moral responsibility and free will] Incompatibilist Model. The model indicates that Determinism directly causes MR/FW and that MR/FW causes Bypassing. The model also tells us that onc"/><s v="The model returned from GES was the MR/FW Incompatibilist Model."/><s v="&quot;Mediation Analysis. Standardized regression coefficients for the relationships between Description of Determinism (N&amp;K vs.NMNT),  MR⁄FW  judgments,  and  Bypassing  judgments.  (Sobeltest = 2.286,p&lt; .022). *p= .022, **p&lt; .001.&quot;; &quot;Once we take into accoun"/><s v="Mediation analyses involve the speci- fication of a causal model between three variables and the strengths of the paths between them using multiple regression (see Figure 2). They are designed to determine whether the effect of one variable (in our case, "/><s v="&quot;As predicted by Hypothesis 1 and shown in the first row, Kripkeans rated having the same feelings toward a replaced Loved One as significantly both less likely and less appropriate than Descriptivists.&quot;, &quot;What this study has shown which is original and s"/><s v="As predicted by Hypothesis 1 and shown in the first row, Kripkeans rated having the same feelings toward a replaced Loved One as significantly both less likely and less appropriate than Descriptivists."/><s v="&quot;The experimental manipulation produced a statistically significant large effect with respect to the Morality question (t (29) = 3.42, p = 0.002, effect size r = 0.54; Figure 3b). On the hypothesis we advanced, the reason that the same proposition can evo"/><s v="The experimental manipulation produced a statistically significant large effect with respect to the Morality question (t (29) = 3.42, p = 0.002, effect size r = 0.54; Figure 3b)."/><s v="&quot;The results for Psychopath were: Understands (N = 83): Yes 76% No 24%, Believes (N = 79): Yes 46% No 54%&quot;, &quot;Consider first the Understands question. The result we obtained is similar to Nichols’, but different from the result we obtained replicating his "/><s v="The results for Psychopath were: Understands (N = 83): Yes 76% No 24%, Believes (N = 79): Yes 46% No 54%&quot;, &quot;Consider first the Understands question. The result we obtained is similar to Nichols’, but different from the result we obtained replicating his s"/><s v="&quot;Typo low hope (M = 2.50, SD = 1.04), Typo high short hope (M = 5.37, SD = 2.61). Combined from above, a 2 (stakes) x 3 (verb type) between-subjects analysis of variance reveals a main effect for the factor of stakes, F (1, 260) = 99.46, p &lt; 0.001.&quot;, &quot;As "/><s v="Typo low hope (M = 2.50, SD = 1.04), Typo high short hope (M = 5.37, SD = 2.61). Combined from above, a 2 (stakes) x 3 (verb type) between-subjects analysis of variance reveals a main effect for the factor of stakes, F (1, 260) = 99.46, p &lt; 0.001. ... [.."/><s v="&quot;The average rating for subjects in the harm condition was +.6; the average for subjects in the help condition was -1. This difference is statistically significant, t (77) = 2.65, p = 0.01.&quot;, &quot;Adams and Steadman are right to point out that, if a person sa"/><s v="The average rating for subjects in the harm condition was +.6; the average for subjects in the help condition was -1."/><s v="&quot;For the fixed agent (Sue), we found a clear causal superseding effect. Agreement ratings for the fixed agent were lower when the varied agent violated a norm (M = 3.37, SD = 2.059) than when he did not (M = 4.40, SD = 1.522), t(58) = 2.210, p = .031, d ="/><s v="Agreement ratings for the fixed agent were lower when the varied agent violated a norm than when he did not"/><s v="&quot;On permissibility, there was no significant difference (F(1,8) = 1, p  = 0.347, n.s.). This is not surprising, since a less permissible item (leaving class without permission) was explicitly sought and added.&quot;, &quot;Participants who give nonobjectivist respo"/><s v="However, there were clear main effects for ... authority contingence."/><s v="&quot;Whereas not a single one of the subjects in Case 1 judged that John intentionally upset Susan (with an average blame rating of 1.41), 64% of the subjects in Case 2 judged that he intentionally upset her (with an average blame rating of 3.76).&quot;, First, de"/><s v="&quot;The results indicate that a significant majority of participants (76%) judged that Jeremy robs the bank of his own free will.18&quot;, &quot;We offer two related interpretations of these interesting results. First, the results may suggest that some folk have Frank"/><s v="The results indicate that a significant majority of participants (76%) judged that Jeremy robs the bank of his own free will"/><s v="&quot;a surprising majority of them (viz., 73%) were willing to say that Fred intentionally prevented the explosion. Thus, the participants’ responses Q3 do not line up with Mele and Moser’s claim that it is implausible to think that Fred intentionally prevent"/><s v="&quot;Similarly, subjects were significantly more likely to say that the chairman did jaan that the environment would be helped than that he helped the environment jaan-bujhkar, x2 (1, N = 31) = 16.3, p &lt; .001.&quot; "/><s v="moral responsibility: &quot;A 2 (mechanism: Psych, Neuro) X 2 (universe: Real, Erta) Analysis of Variance (ANOVA) was run on the mean responses to our five primary variables of interest (“up to,” FW, MR, blame, and praise; questions 1–5).12 For judgments of ea"/><s v="blame: &quot;A 2 (mechanism: Psych, Neuro) X 2 (universe: Real, Erta) Analysis of Variance (ANOVA) was run on the mean responses to our five primary variables of interest (“up to,” FW, MR, blame, and praise; questions 1–5).12 For judgments of each of the five "/><s v="praise: &quot;A 2 (mechanism: Psych, Neuro) X 2 (universe: Real, Erta) Analysis of Variance (ANOVA) was run on the mean responses to our five primary variables of interest (“up to,” FW, MR, blame, and praise; questions 1–5).12 For judgments of each of the five"/><s v="agents decisions were up to them: &quot;A 2 (mechanism: Psych, Neuro) X 2 (universe: Real, Erta) Analysis of Variance (ANOVA) was run on the mean responses to our five primary variables of interest (“up to,” FW, MR, blame, and praise; questions 1–5).12 For jud"/><s v="&quot;Here again, wt' have a case of norm violation without blameworthiness. Specifically, it seems that the red wire is violating a certain kind of norm, but it also seems clear that no one could literally blame the red wire for the short circuit. Nonethelt's"/><s v="&quot;When the physician followed hospital policy, evaluations of his decision were relatively favorable regardless of the outcome, although they were significantly reduced by the fact of the patient's death, F(1, 313) = 23.92, p &lt; .0001.&quot;, &quot;In general, theref"/><s v="&quot;These findings show that when the physician violated hospital policy, he was viewed more negatively when the patient died than when he lived, F(1, 313) = 48.59, p &lt; .0001&quot;, &quot;In general, therefore, the findings of this study are consistent with the culpab"/><s v="&quot;These findings show that when the physician violated hospital policy, he was viewed more […] causal in the former case [patient died] than in the latter [patient lived], F(1, 213) = 9.59, p &lt; .01.&quot;, &quot;In general, therefore, the findings of this study are "/><s v="&quot;First, the physician who violated the hospital's policy but had the fortuitous outcome of the patient recovering (as in Hitchcock and Knobe's scenario) was viewed far more negatively (that is, as relatively more blameworthy) than the physician who respec"/><s v="&quot;Comparisons between the no-outcome conditions were also revealing. As we assumed, the physician who violated hospital policy was viewed very negatively, whereas the physician who followed hospital policy was viewed very positively, F(1, 313) = 188.24, p "/><s v="&quot;Again collapsing across all three dilemmas, we examined data from subjects in the CRT-First condition and observed a robust positive correlation between CRT scores and moral acceptability ratings, consistent with our second prediction (r = .39, p = .001&quot;"/><s v="A significant effect of story type was observed (χ2 = 247.97, df = 3, N = 207, p &lt; .001)"/><s v="&quot;A significant effect of story type was observed (χ2 = 247.97, df = 3, N = 207, p &lt; .001)&quot;"/><s v="There was a greater likelihood of ascribing knowledge in cases of: (1) Standard True Belief versus Skeptical Pressure (χ2 = 81.52, df = 1, N = 204, p &lt; .001, B = 1.35, Exp(B) = 3.87)"/><s v="&quot;There was a greater likelihood of ascribing knowledge in cases of: (1) Standard True Belief versus Skeptical Pressure (χ2 = 81.52, df = 1, N = 204, p &lt; .001, B = 1.35, Exp(B) = 3.87)&quot;"/><s v="There was a greater likelihood of ascribing knowledge in cases of: Standard True Belief vs False Belief"/><s v="&quot;There was a greater likelihood of ascribing knowledge in cases of: Standard True Belief vs False Belief (χ2 = 231.60, df = 1, N = 204, p &lt; .001, B = 2.71, Exp(B) = 14.99)&quot;"/><s v="There was a greater likelihood of ascribing knowledge in cases of: Skeptical Pressure vs False Belief"/><s v="&quot;There was a greater likelihood of ascribing knowledge in cases of: Skeptical Pressure vs False Belief (χ2 = 59.48, df = 1, N = 197, p &lt; .001, B = 1.45, Exp(B) = 4.27)&quot;"/><s v="There was a greater likelihood of ascribing knowledge in cases of: Gettier vs False belief (χ2 = 49.08, df = 1, N = 196, p &lt; .001, B = 1.13, Exp(B) = 3.09).&quot;"/><s v="&quot;There was a greater likelihood of ascribing knowledge in cases of: Gettier vs False belief (χ2 = 49.08, df = 1, N = 196, p &lt; .001, B = 1.13, Exp(B) = 3.09).&quot;"/><s v="&quot;However, only in WATER and NAZI was the difference between the means in the ‘fulll’ and ‘violate’ conditions statistically signicant; the effect sizes were small and medium, respectively.&quot;, &quot;Water: t(88) = −2.462, p &lt; 0.05, r = 0.25;&quot;"/><s v="&quot;However, only in WATER and NAZI was the difference between the means in the ‘full’ and ‘violate’ conditions statistically signicant; the effect sizes were small and medium, respectively.&quot;, &quot;Movies: t(92) = −1.804, p &gt; 0.05, r = 0.18;&quot;"/><s v="&quot;However, only in WATER and NAZI was the difference between the means in the ‘full’ and ‘violate’ conditions statistically signicant; the effect sizes were small and medium, respectively.&quot;, &quot;Sales: t(92) = −1.807, p &gt; 0.05, r = 0.19;&quot;"/><s v="&quot;However, only in WATER and NAZI was the difference between the means in the ‘full’ and ‘violate’ conditions statistically signicant; the effect sizes were small and medium, respectively.&quot;, &quot;Nazi: t(90) = −5.15, p &lt; 0.0001, r = 0.48.&quot;"/><s v="&quot;The first regression equation useddescription of determinism (N&amp;K abstract, NMNT abstract) to predict MR⁄FW score and yielded a significant effect: t(132) = 2.973, p= .004, showing that N&amp;K abstract prompted participants to respond that agents donothave "/><s v="&quot;The second regression equation estimated changes in Bypassing score using description of determinism and also yielded a significant effect: t(132) = - 2.319, p = .022, showing that participants interpreted N&amp;K abstract to involve bypassing more than they"/><s v="&quot;The results for Psychopath were: Understands (N = 83): Yes 76% No 24%, […] Herself Thinks (N = 86): Yes 49% No 51%&quot;, &quot;Consider first the Understands question. The result we obtained is similar to Nichols’, but different from the result we obtained replic"/><s v="However a main effect was not found for verb type F (2,260) = 1.45, p = 0.24, and no interaction effect was detected between these two factors, F (2,260) = 0.191, p = 0.83."/><s v="&quot;However a main effect was not found for verb type F (2,260) = 1.45, p = 0.24,&quot; , &quot;As we predicted, we found that Pinillos’s stakes effect persisted even with Typo probe hope. Stakes were shown to be statistically significant, but no significant effect of"/><s v="&quot;no interaction effect was detected between these two factors [stakes and verb type], F(2,260) = 0.191, p = 0.83. We also reconfirmed these findings using the Wilcoxon-Mann-Whitney test, which revealed significant stakes effects for all predicates, but no"/><s v="&quot;Replicating many previous studies, agreement ratings for the varied agent (Bill) were higher when he violated a norm (M = 5.97, SD = 1.564) than when he did not (M = 4.80, SD = 1.495), t(58) = 2.953, p = .005, d = .764.&quot;, &quot;To sum up, we demonstrated the "/><s v="&quot;However, there were clear main effects for seriousness (F(1,9) = 30.519, p &lt; 0.001)&quot;, &quot;Participants who give nonobjectivist responses to moral cases still draw the moral/ conventional distinction.&quot;"/><s v="&quot;However, there were clear main effects for […] justification (F(1,8)  21.333, p &lt; 0.01)&quot;, &quot;Participants who give nonobjectivist responses to moral cases still draw the moral/ conventional distinction.&quot;&#xA;"/><s v="&quot;However, there were clear main effects for […] and authority contingence (F(1,8) = 18, p &lt; 0.01).&quot;, &quot;Participants who give nonobjectivist responses to moral cases still draw the moral/ conventional distinction.&quot;"/><s v="&quot;participants were more likely to underestimate the number of flower pictures relative to bird pictures when they expected payment for flower pictures (15 of 31 participants, 48%) than when they expected payment for bird pictures (8 of 32 participants, 25"/><s v="&quot;they were more likely to underestimate the number of bird pictures relative to flower pictures when they expected payment for bird pictures (21 of 32 participants, 66%) than when they expected payment for flower pictures (12 of 31 participants, 39%), x^2"/><s v="In contrast, they were more likely to underestimate the number of bird pictures relative to flower pictures when they expected payment for bird pictures (21 of 32 participants, 66%) than when they expected payment for flower pictures (12 of 31 participant"/><s v="&quot;A comparison of the arousal ratings in the shape condition revealed significantly higher arousal for spiky shapes than rounded shapes (spiky: M = 3.45, SE = 0.039; rounded: M = 2.43, SE = 0.037; p &lt; .0001, d = 0.92) &quot;,&quot; the ratings for both shapes and wo"/><s v="&quot;In the word condition, we compared arousal ratings for bouba-like and kiki-like words; kiki-like words were rated significantly higher in arousal than bouba-like words (kiki: M = 3.16, SE = 0.033; bouba: M = 2.53, SE = 0.033; p &lt; .0001, d = 0.57) &quot;,&quot; the"/><s v="A comparison of the arousal ratings in the shape condition revealed significantly higher arousal for spiky shapes than rounded shapes (spiky: M = 3.45, SE = 0.039; rounded: M = 2.43, SE = 0.037; p &lt; .0001, d = 0.92)."/><s v="&quot;For x-flips, the model revealed a main effect of negation, showing that negation significantly increases x-flips by 0.35, F(1,655) = 14.5, p &lt; .0005 &quot;,&quot; These findings reveal the predicted patterns for simple sentence verification with negation. Negation"/><s v="the model revealed ... and a significant interaction between negation and truth, F(1,655) = 6.9, p &lt; .01."/><s v="&quot;a significant interaction between negation and truth, F(1,655) = 6.9, p &lt; .01.&quot;,&quot; These findings reveal the predicted patterns for simple sentence verification with negation. Negation overall produced more ‘‘discrete-like’’ trajectories as participants r"/><s v="&quot;Negation increases of the number of acceleration ⁄ deceleration events by approximately 0.70, F(1,655) = 19.1, p &lt; .0001 &quot;,&quot; These findings reveal the predicted patterns for simple sentence verification with negation. Negation overall produced more ‘‘dis"/><s v="&quot;its interaction with veracity is significant, F(1,655) = 13.3, p &lt; .0005. &quot;,&quot; These findings reveal the predicted patterns for simple sentence verification with negation. Negation overall produced more ‘‘discrete-like’’ trajectories as participants respo"/><s v="N/A"/><s v="&quot;There was also an interaction between predicate type and answer type (simple model: t = 4.083, b = 0.8605, SE = 0.2108; t &gt;= 2.61 and b &gt;= 0.67 otherwise) &quot;,&quot; the results from Experiment 2 are not in line with the predictions of such an alternative view:"/><s v="&quot;Only the predicted main effect of employee profile was found, F(1, 305) = 168.49, p &lt; .001, ηp2 = .356; participants who read the ambivalent information reported significantly more ambivalence toward Bob (M = 7.21) than did those who read the univalent i"/><s v="&quot;participants in Experiment 1 failed to learn the repetition patterns [percentage correct: M = 53.0%, SD = 10.7%), t (19) = 1.26, P &gt; 0.05] &quot;,&quot; The results presented so far suggest that participants have severe difficulties learning repetition patterns ov"/><s v="participants in Experiment 1 failed to learn the repetition patterns [percentage correct: M  53.0%, SD  10.7%), t (19)  1.26, P  0.05]. There was no difference n performance for AAB as opposed to ABB;"/><s v="&quot;When vengefulness came first, vengefulness also correlated negatively with personal capability, r(45) = .36, p &lt; .01, and empathic understanding, r(45) = .44, p &lt; .01 &quot;,&quot; For men, vengefulness was reduced simply by answering questions about their capabil"/><s v="we examined&#xA;whether a more subtle manipulation could be effective."/><s v="&quot;revealed a significant difference between the Purity/Sanctity Condition × Ideology interaction and both the Harm/Care Condition × Ideology, β = −0.29, p &lt; .001 &quot;,&quot; presenting conservatives with proenvironmental messages couched within a particularly cons"/><s v="&quot;and the Neutral Condition × Ideology interactions, β = −0.17, p &lt; .05 &quot;,&quot; presenting conservatives with proenvironmental messages couched within a particularly conservative moral domain led them to adopt more proenvironmental attitudes, comparable to tho"/><s v="our findings suggest that reframing environmental messages in terms of purity and&#xA;sanctity can reduce or even eliminate the differences in liberal and conservative environmental attitudes."/><s v="&quot;that participants in the 2-information condition selected more inconsistent (69%) than consistent pieces of information (31%), x2 (1, N = 26) = 3.85, p = .05, whereas participants in the 10-information condition selected significantly more consistent (81"/><s v="indicating that participants in the 2-information condition selected more inconsistent (69%) than&#xA;consistent pieces of information (31%), 2 (1, N  26)  3.85, p  .05, whereas participants in the 10-information condition selected significantly more consiste"/><s v="in Study 1b, self-perceived knowledge of personal finance (M = 4.43, SD = 1.17) positively pre- dicted overclaiming, b = 0.10, t(199) = 13.07, p &lt; .001."/><s v="&quot;a significant effect of healthy side in the reference food on calorie estimates (F(1,431) = 4.63, p = 0.03) &quot;,&quot; Looking at the data reveals that when the reference food was a main meal alone, the test food with a healthy side was estimated to have fewer "/><s v="&quot;a significant interaction between a healthy side in the reference and a healthy side in the test food on calorie estimates (F(1,431) = 5.24, p = 0.02)&quot;"/><s v="a significant effect of healthy side in the reference food on calorie estimates (F(1,431) = 4.63, p = 0.03),"/><s v="&quot;participants made more target choices in simple than in complex implicature situations (β = 1.28, SE = .12, p &lt; .0001) &quot;,&quot; what we are calling simple implicatures are indeed simpler than what we are calling complex implicatures.&quot;"/><s v="&quot;made more target choices in complex implicature situations than on ambiguous filler trials (β = .44, SE = .13, p &lt; .001) &quot;,&quot; while participants performed similarly on complex and ambiguous trials, they nevertheless performed significantly above chance on"/><s v="participants made more target choices in simple than in complex implicature situations (β = 1.28, SE = .12, p &lt; .0001),"/><s v="a significant interaction between culture and condition (mother vs. self) on motivation, F(1, 113) = 6.12, p = .01."/><s v="By contrast, in the high- commitment conditions, participants randomly assigned to the extremely high-capability condition (N = 53, mean = 6.04, S.D. = 1.18) were more likely to give the candidate an offer (t = − 3.34, d.f. = 105, p = .001, two-tailed tes"/><s v="Based on our preregistered hypotheses, participants assigned to the PEIEL condition showed higher intolerance of inequality (M = 5.50, 95% CI [5.31, 5.68]) compared to those assigned to the control group (M = 5.18, 95% CI [5.00, 5.37], t(370) = 2.303, p ="/><s v="the rate of literal interpretation was higher when the plausible alternative involved positing more string edits (major change) compared with fewer (minor change): experiment 1: 93.4% for major change alternations (1 and 2 in Table 1); 56.1% for minor cha"/><s v="&quot;62% of the subjects in the with-principle condition produced the convergence solution without a hint, as compared to only 40% of those in the without-principle condition, G2( 1) = 6.75, p &lt; .01. The frequency of noticing in the former condition is in fac"/><s v="&quot;a significant three-way interaction of age × donation form × kinship, F(1,134) = 4.03, p &lt; .05, ηp2 = .03 , suggesting that the age difference could be moderated by kinship and donation form.&quot;"/><s v="a significant three-way inter- action of age × donation form × kinship, F(1,134) = 4.03, p &lt; .05, ηp 2 = .03 , suggesting that the age difference could be moderated by kinship and donation form."/><s v="Fig. 5 shows the average numbers of tests of each type made by participants in Experiment 4. Replicating Experiment 3, participants adapt their tests appropriately to their environment. Participants in the sum last two condition test the sum last two rule"/><s v="&quot;the predicted interaction effect, F(1, 161) = 7.00, p &lt; .01, on the number of good tasks given &quot;,&quot; provide evidence that the tendency to symmetrically pay forward greed stems from negative affect&quot;"/><s v="&quot;The test of interest is the interaction. Controlling for prechoice spread, the degree to which postchoice spread varied with the proportion of options chosen depended on whether opportunity costs were explicit at the time of choice.&quot;"/><s v="test whether the effect of opportunity cost consideration on spread was driven by the salience of opportunity costs at the time of choice or at the time of evaluations,"/><s v="&quot;we observed the predicted interaction between load and judgment (F(1, 62.9) = 8.5, p = .005) &quot;,&quot; Cognitive load selectively increased RT for utilitarian judgment, yielding the predicted interaction between load and judgment type.&quot;"/><s v="we observed the predicted interaction between load and judgment (F(1, 62.9) = 8.5, p = .005)."/><s v="&quot;Parents who were induced to hold a failure-is-debilitating mind-set were more likely to react with concerns about their child’s performance and lack of ability, t(131) = 3.246, p &lt; .001, ηp2 = .075, &quot;,&quot; findings indeed show that parents who believe failu"/><s v="Participants also demonstrated the A/B Effect by rating each A/B test as less appropriate than their average rating of policies (Table 1)"/><s v="Specific comparisons revealed that the implemental mind-set group evidenced a significantly lower amount of ambivalence  ... compared with the deliberative (M   2.74, SD   0.67), t(80)   2.02, p   .05, d   0.45,"/><s v="&quot;These analyses showed a significant effect of C1, F(2,196) = 22.33, p &lt; .001, β = 0.32, 95% CI [0.19, 0.45] &quot;,&quot; college students from lower-SES backgrounds who reflected on their background specific-strengths were significantly more likely to: 1) endorse"/><s v="Participants randomly assigned to the BSS condition displayed significantly greater endorsement of background-specific strengths than participants in the control conditions"/><s v="&quot;The primary research questions were whether participants would prefer reductive explanations and whether this would differ by the science of the phenomenon. The regression revealed a significant main effect of explanation level&quot;"/><s v="whether participants would prefer reductive explanations and whether this would differ by the science of the phenomenon."/><s v="&quot;Participants felt older after taking a memory test (M = 54.79 years, SD = 16.79) than at baseline (M = 50.04 years, SD = 13.80), t(27) = 2.71, SE = 1.75; d = 0.76, 95% CI = [0.33, 1.18] &quot;,&quot; the subjective-aging effect observed in Studies 1 and 2 was repl"/><s v="Participants felt older after taking a memory test (M = 54.79 years, SD = 16.79) than at baseline (M = 50.04 years, SD = 13.80), t(27) = 2.71, SE = 1.75; d = 0.76, 95% CI = [0.33, 1.18]."/><s v="&quot;participants expected to enjoy eating the desired foods (M = 3.85, SD = 0.83) more than the cross-category substitutes (M = 3.48, SD = 0.81), and they expected to enjoy both more than the within-category substitutes (M = 2.86, SD = 0.90), all t(100)s &gt; 7"/><s v="On average, participants expected to enjoy eating the desired foods (M = 3.85, SD = 0.83) more than the cross-category substitutes (M = 3.48, SD = 0.81),"/><s v="Parents put more emphasis on the student’s opinion than the student puts on the parent’s opinion, at least for the higher two marginal effects. The difference is especially strong for the change from Dislike to Like."/><s v="&quot;None of the main effects were significant predictors; as expected, the treatment did not have a significant effect on the evaluation of “human” pro files. However, in the labeled and primed conditions hosts with AI-like profiles received significantly lo"/><s v="However, in ... primed condition hosts with Al-like profiles received significantly lower trust ratings. "/><s v="&quot;the majority of U.S. adults preferred to generalize the object label by shape (68.75% of choices) over material (28.48% of choices) and color (2.77% of choices) &quot;,&quot; that humans generalize object labels based on the features that they believe will be diag"/><s v="&quot;The main effect of Aptness was highly significant in the analyses of both comprehension times [Fp (1, 59) = 77.05, p &lt; .001 and Fi(1, 124) = 34.88, p &lt; .001] and ease-of-interpretation ratings [Fp (1, 59) = 121.14, p &lt; .001 and Fi(1, 124) = 57.69, p &lt; .0"/><s v="Aptness facilitated both the speed and the ease of comprehension. The main effect of Aptness was highly significant in the analyses of ... comprehension times [Fp (1, 59) = 77.05, p &lt; .001"/><s v="&quot;a significant effect of condition, F(2, 448) = 26.48, p &lt; .001, ηp2 = .106 &quot;,&quot; This result confirmed our prediction that hypocrites would be seen as worse than liars. It also  demonstrates that people disapprove of false signalers (hypocrites and liars) "/><s v="We followed up with pairwise comparisons and found that hypocrites (M = 32.07, SD = 15.93) were evaluated as worse than liars (M = 36.15, SD = 15.37), mean difference = −4.08, 95% CI = [−7.63, −0.53], t(299) =&#xA;−2.26, p = .025, d = −0.26,"/><s v="Pairwise comparisons revealed that traditional hypocrites (M = 34.35, SD = 13.76) were evalu-&#xA;ated more negatively than both honest hypocrites (M = 46.62, SD = 14.01), mean difference = −12.28, 95% CI = [−15.41, −9.14], t(301) = −7.69, p &lt; .001, d = −0.8"/><s v="&quot;a significant effect of condition, F(2, 449) = 35.62, p &lt; .001, ηp2 = .137 &quot;,&quot; as predicted, our honest hypocrite manipulation fully eliminated disapproval of &#xA;hypocrisy; honest hypocrites received ratings that were no worse than the ratings of control "/><s v="&quot;when one’s risk was portrayed as changeable, high-level construal (M3A = 3.95, SD3A = 1.55) generally increased motivation to get supplementary information relative to low-level construal (M3A = 3.51, SD3A = 1.74), F3A(1, 160) = 7.81, p = .006, d = 0.44 "/><s v="when one’s risk was portrayed as changeable, high-level construal (M3A = 3.95, SD3A = 1.55) generally increased motivation to get supplementary information relative to low-level construal (M3A = 3.51, SD3A = 1.74), F3A(1, 160) = 7.81, p = .006, d = 0.44 ("/><s v="&quot;participants gave a significantly stronger (t = 2.05, p = 0.04) interview recommendation to confounders (mean  5.73) than to ex-founders (mean = 5.40), and female ex-founders received a significantly higher recommendation (t = 4.33, p = 0.01, mean = 5.89"/><s v="Consistent with the audit results, participants gave a significantly stronger (t  2.05, p  0.04) interview recommendation to nonfounders"/><s v="&quot;In contrast to the baseline condition when participants never attempted to move the bag, in almost a third of the cases participants attempted to move the bag in the experimental condition (30%). The great majority of participants (71%) attempted to move"/><s v="&quot; there was a strong cultural difference for both unique and plural minority subfigures. Planned comparisons showed that liking for the unique subfigures differed between European Americans (M = 5.88, SD = 2.11) and Koreans (M 3.81, SD = 1.91), t(74) = 4."/><s v="a strong cultural difference for both unique and plural minority subfigures. Planned comparisons showed that liking for the unique subfigures differed between European Americans (M = 5.88, SD = 2.11) and Koreans (M = 3.81, SD = 1.91), t (74) = 4.55, p &lt; 0"/><s v="&quot;participants were much slower to make the ink-color response in the incongruent condition than in the congruent condition, F(1, 33) = 74.14, p &lt; .001, ηp2 = .69 &quot;,&quot; internally maintaining a color word incongruent with an external color patch drastically "/><s v="For both tasks combined, participants were much slower to make the ink-color response in the incongruent condition than in the congruent condition, F(1, 33) = 74.14, p &lt; .001, ηp2 = .69."/><s v="&quot;a main effect of speaker’s condition, F(1, 55) = 83.67, p &lt; .001 (all other ps &gt; .22). Speakers who had been in the high-rank condition - regardless of their sex—were rated as more likely to engage in high-rank behaviors (M = 4.30, SD = 0.28) than were t"/><s v="We found only a main effect of speaker’s condition, F(1, 55) = 83.67, p &lt; .001"/><s v="&quot;There was a significant main effect of the size rank of the object on the drawn size of the object (F(7, 391) = 30.1, p &lt; .001, np2 = .35). That is, objects that are small in the world were drawn smaller on the page than objects that are large in the wor"/><s v="&quot;There was also a significant effect of paper size on drawn size (F(2, 41) = 70.9, p &lt; .001, np2 = .78), where the average drawn size of objects increased as the paper size increased &quot;,&quot; show a clear linear relationship between the drawn size and the size"/><s v="&quot;there was a significant interaction between the paper size and the effect of the object size (F(14, 391) = 4.3, p &lt; .001, np2 = .13). In other words, there was a smaller range of drawn object sizes on the small paper, with progressively greater ranges of"/><s v="&quot;A one-way analysis of variance on self-dehumanization scores revealed a significant difference among the three conditions, F(2, 153) = 3.50, p = .033, ηp2 = .04. Participants who recalled an unethical act self-reported marginally lower human capabilities"/><s v="Participants who recalled an unethical act self-reported marginally lower human capabilities (M = 5.82, SD = 1.11) ... and significantly lower human capabilities compared with those who recalled an ethical act (M = 6.23, SD = 0.65, p = .022)."/><s v="&quot;Our critical comparison involves the baseline condition and the condition where only the agent believed that the ball was behind the occluder. Results showed that participants were faster than in the baseline condition when only the agent believed the ba"/><s v="&quot;Subjects in the knowledge-plausible condition, who were told that the violin was moved to the red container, which was in a location where Vicki might plausibly look, assigned significantly higher probabilities to the red container than did subjects in t"/><s v="&quot;subjects in the knowledge-plausible condition assigned significantly lower probabilities to the blue container than did subjects in the ignorance condition, t(105) = 2.35, prep = .95, d = 0.459 &quot;,&quot; an adult’s own knowledge can compromise his or her abili"/><s v="Subjects in the knowledge-plausible condition, who were told that the violin was moved to the red container, which was in a location where Vicki might plausibly look, assigned significantly higher probabilities to the red container than did subjects in th"/><s v="&quot;participants in the God condition reported a higher willingness to take risks, b = 0.61, t(99) = 2.29, p = .024, and also perceived less danger associated with these risks, b = −0.44, t(99) = −2.97, p = .004, than did participants in the control conditio"/><s v="participants in the God condition reported a higher willingness to take risks, b = 0.61, t(99) = 2.29, p = .024,"/><s v="&quot;A 2 (system threat vs. no threat)  2 (benevolent-stereotypic vs. non-benevolent-stereotypic) analysis of variance conducted on the mean ratings of romantic interest revealed a significant two-&#xA;way interaction, F(1, 34) = 5.89, prep = .93, o2 = .02 &quot;,&quot; me"/><s v="A 2 (system threat vs. no threat)  2 (benevolent-stereotypic vs. non-benevolent-stereotypic) analysis of variance conducted on the mean ratings of romantic interest revealed a significant two-&#xA;way interaction"/><s v="&quot;subjects judged John’s action to be significantly more morally acceptable in the low-interest condition than in the high-interest condition (low interest: 76%; high interest: 44%; χ2 (1) = 62.0,P &lt; 0.001, two-tailed, VCramer = 0.32, CI95%[0.25, 0.40], n "/><s v="&quot;The average visual crowding effects were significantly different between target eccentricity of 4° (mean=1.61°) and 6° (mean=2.66°) &quot;,&quot; that people who self-reported having been diagnosed with dyslexia (N=59, excluding 10 who reported having additional i"/><s v="Te average visual crowding efects were signifcantly diferent between target eccentricity of 4° (mean=1.61°) and 6° (mean=2.66°), and between participants with (e=4 : 1.90°; e=6°: 3.03 )"/><s v="&quot;The effect was in the predicted direction for 10 of the 11 actions (binomial p &lt; .05), and on average, the coefficient for action identification level was significantly different from zero in the predicted direction (M = 1.00, SD = 0.67), t(10) = 4.95, p"/><s v="on average, the coefficient for action identification level was significantly different from zero in the predicted direction (M  1.00, SD  0.67), t(10)  4.95, p  .001, d  1.49."/><s v="&quot;Our primary interest in the current study was the extent to which trait inferences from a face were associated with actual corruption records.&quot;"/><s v="showed that at an individual level, judgments of a face for traits with the same valence were positively correlated"/><s v="&quot;Across all trials, participants were on average 1.41 s faster per trial on slide transition blocks than on fade-transition blocks (9.27 s vs. 10.68 s, a difference of 15.2%), t(17) = 5.22, p &lt; .001, d = 1.23. This difference was also highly robust nonpar"/><s v="Across all trials, participants were on average 1.41 s faster per trial on slidetransition blocks than on fade-transition blocks (9.27 s vs. 0.68 s, a difference of 15.2%), t(17) = 5.22, p &lt; .001, d = 1.23."/><s v="&quot;This main effect was qualified by a significant three-way interaction, F(1, 76) = 11.53, p &lt; .001, η2 = .13 &quot;,&quot; This study illustrates the importance of considering both race and gender when examining the impact of agency, and specifically dominance, on "/><s v="This main effect was qualified by a significant three-way interaction, F(1, 76) = 11.53, p &lt; .001, η2 = .13.1"/><s v="&quot;Participants used the truth response more for Black targets (mean c = 0.48, SD = 0.61, 95% CI = [0.32, 0.64]) than for White targets (mean c = −0.03, SD = 0.60, 95% CI = [−0.19, 0.12]), paired-samples t(57) = 8.30, p &lt; .001, 95% CI for the difference bet"/><s v="Participants used the truth response more for Black targets (mean c = 0.48, SD = 0.61, 95% CI = [0.32, 0.64]) than for White targets (mean c = −0.03, SD = 0.60, 95% CI = [−0.19, 0.12]), paired-samples t(57) = 8.30, p &lt; .001, 95% CI for&#xA;the difference betw"/><s v="&quot;Overall, we found evidence for a Size-Stroop effect: on incongruent trials, participants were slower to make visual size judgments when the real-world size of original objects were incongruent with their sizes on the screen (Mdiff = 12.92 ms, SDdiff = 13"/><s v="Overall, we found evidence for a  ... , main effect of congruency, F(1,15) = 14.3, p = 0.002, g2 p = 0.489, Cohen’s d = 0.95,"/><s v="A significant interaction between message type and moral attitude basis, b = −0.27, 95% CI = [−0.42, −0.11], t(410) = −3.34, p &lt; .001, f2 = .03."/><s v="was a significant interaction between message type and moral attitude basis, b = −0.27, 95% CI = [−0.42, −0.11], t(410) = −3.34, p &lt; .001, f2 = .03 (Fig. 1)."/><s v="Global affect toward Asian Americans was significantly more negative in the realistic threat condition (partner: Jamal, M = 62.11, SD = 22.91) than in the no realistic threat condition (partner: Yoshi, M = 78.57, SD = 17.90), F(1, 39) = 6.48, p = .015, η2"/><s v="A two-way analysis of variance revealed a robust interaction between income and condition [cognitive control: F(1,97) = 7.86, P &lt; 0.01]."/><s v="A two-way analysis of variance revealed a robust interaction between income and ... cognitive control: F(1,97) = 7.86, P &lt; 0.01]."/><s v="In the RB task, the overall accuracy was marginally higher in the S condition than in the R condition, t(57) = 1.82, p = .07."/><s v="In the RB task, overall accuracy was marginally higher in the S condition than in the R condition, t(57)  1.82, p  .07,"/><s v="&quot;In contrast with members of all other groups, women in the masculine condition were less likely to want to enroll in the course, t(108) = 3.20, p = 0.001, d = 0.62 &quot;,&quot; Our manipulation check shows similar results to the main measures.&quot;"/><s v="&quot;were less likely to feel they would belong in that class, t(108) = 3.47, p &lt; 0.001, d = 0.67 &quot;,&quot; Our manipulation check shows similar results to the main measures.&quot;"/><s v="&quot;anticipated lesser success if they were to take the course, t(108) = 2.41, p = 0.01, d = 0.47 &quot;,&quot; Our manipulation check shows similar results to the main measures.&quot;"/><s v="&quot;reported lower levels of confidence in their technical abilities relative to others who might take the introductory course, t(108) = 3.18, p = 0.001, d = 0.61; &quot;,&quot; Our manipulation check shows similar results to the main measures.&quot;"/><s v="&quot;expressed less interest in learning computer science or programming in the long term, t(108) = 3.33, p &lt; 0.001, d = 0.64; &quot;,&quot; Our manipulation check shows similar results to the main measures.&quot;"/><s v="&quot;and were much more anxious about the way their gender would be perceived in the course, t(108) = −4.57, p &lt; 0.001, d = −0.88 &quot;,&quot; Our manipulation check shows similar results to the main measures.&quot;"/><s v="In contrast with members of all other groups, women in the masculine condition ... were less likely to feel they would belong in that class, t(108) = 3.47, p &lt; 0.001, d = 0.67;"/><s v="Observed a significant relationship between receptiveness and selective exposure (b = −0.27, SE = 0.08, z = −3.29, p &lt; 0.01). Thus increased receptiveness substantially decreased participants’ odds of choosing a same-party versus opposing-party senator."/><s v="We observed a significant relationship between receptiveness and selective exposure (b = −0.27, SE = 0.08, z = −3.29, p &lt; 0.01)."/><s v="Participants were significantly slower at classifying transposed-word sequences as being ungrammatical compared with the control sequences, b = 0.03, SE = 0.00, t = 8.57 this is the first demonstration of a transposed-word effect in grammaticality judgmen"/><s v="Participants were significantly slower at classifying transposed-word sequences as being ungrammatical compared with the control sequences, b = 0.03, SE = 0.00, t = 8.57,"/><s v="In terms of attraction: nonaffirmed (obedient) actors liked the rebel significantly less (M  .02) than self-affirmed (self affirm rebels) participants who showed no such rejection of the rebel (M =2.54)."/><s v="The placement of affect mea- sures in the rebel control condition did not have a significant impact on any of the variables analyzed below."/><s v="Repeated-measures ANOVAs with the factors condition, lexicality, and neighborhood size demonstrated that joint report of words was higher than that for nonwords (51.2% vs. 12.7%), F1(1, 23)  92.34, p &lt; .001 ."/><s v="Repeated-measures ANOVAs with the factors condition, lexicality, and neighborhood size demonstrated that joint report of words was higher than that for nonwords (51.2% vs. 12.7%), F1(1, 23)  92.34, ... both ps  .001;"/><s v="&quot;These two factors interacted, F(1, 13) = 14.2, prep &gt; .99. The effect of visual field was enhanced for objects depicted in a prototypical orientation, though visual field was significant for both views.&quot;"/><s v="These two factors interacted, F(1,13) = 14.2, p-rep &gt; .99: The effect of visual field was enhanced for objects depicted in a prototypical orientation, though visual field was significant for both views"/><s v="&quot;We computed the mean composite of all six moral vignettes and predicted that participants who washed their hands following the disgusting film clip would make less severe judgments than would participants who did not wash their hands. Indeed, a one-way A"/><s v="We computed the mean composite of all six moral vignettes and predicted that participants who washed their hands following the disgusting film clip would make less severe judgments than would participants who did not wash their hands. Indeed, a one-way AN"/><s v="&quot;The quarter-cylinder EE regions (EE1) were also seen as closer than the rotated convex versions on 85% of the trials with half-cylinder non-EE regions (Convex2) and 90% of the trials with quarter-cylinder non-EE regions (Convex1), ts(7) = 4.45 and 6.13, "/><s v="The quarter-cylinder EE regions (EE1) were also seen as closer than the rotated convex versions on 85% of the trials with half-cylinder non-EE regions (Convex2) and 90% of the trials with quarter-cylinder non-EE regions (Convex1), ts(7) = 4.45 and 6.13, p"/><s v="&quot;The analyses revealed that the aggregate self-report data from the NEO-PI-R correlated negatively with all the validity criteria for both sets of countries (average r = .43).&quot;"/><s v="&quot;Both correlations were significant, r = .28, p &lt; .05, for the random-location task and r = .31, p &lt; .05, for the predictable-location task.&quot;"/><s v="Both correlations were significant, r = -.28, p &lt; .05, for the random-location task and r = -.31, p &lt; .05, for the predictable-location task."/><s v="&quot;Moreover, the interaction of these two variables was reliable, F(1, 38) = 6.21, prep = .927, etasq= .14, reflecting the fact that the detrimental effect of incompatibility on the detection of PM cues was markedly larger for PM cues referring to the task-"/><s v="&quot;The ANOVA revealed significant main effects of target stimulus, F(1, 44) = 13.42, p &lt; .01, prep = .96, and age, F(1, 44) = 29.05, p &lt; .01, prep = 1.0, as well as an age-by-target interaction, F(1, 44) = 5.12, p &lt; .05, prep = .91.&quot;"/><s v="The ANOVA revealed significant main effects of target stimulus, F(1,44) = 13.42, p &lt; .01, p-rep = .96, and age, [...] as well as an age-by-target interaction"/><s v="&quot;In contrast, they were more likely to underestimate the number of bird pictures relative to flower pictures when they expected payment for bird pictures (21 of 32 participants, 66%) than when they expected payment for flower pictures (12 of 31 participan"/><s v="They were more likely to underestimate the number of bird pictures relative to flower pictures when they expected payment for bird pictures (21 of 32 participants, 66%) than when they expected payment for flower pictures (12 of 31 participants, 39%), χ²(1"/><s v="&quot;In the error-rate data, this effect was also significant, F1(1, 17) = 9.33, prep = .97, and F2(1, 58) = 18.96, prep = 1.00, and robust (4.83%, η² = .35).&quot;"/><s v="In the error-rate data, this effect was also significant, F1​(1,17) = 9.33, p-rep= .97 [...]"/><s v="&quot;The tendency to underestimate positive and to overestimate negative observations increased from domain T to C, F(1, 38) = 9.73, p &lt; .01, and from P3 to P2 to P1, F(2, 76) = 8.67, p &lt; .001; and the inaccuracy difference between providers was more apparent"/><s v="The tendency to underestimate positive and to overestimate negative observations increased from domain T to C, F(1,38) = 9.73, p &lt; .01, and from P3 to P2 to P1, F(2,76) = 8.67, p &lt; .001"/><s v="&quot;Accuracies on new probes were significantly lower for long lists, F(1, 31) = 14.2, p &lt; .001, η²p = .31.&quot;"/><s v="Accuracies on new probes were significantly lower for long lists, F(1, 31) = 14.2, p &lt; .001, partial eta-square = 0.31"/><s v="&quot;Further analysis of the Condition × Lexicality interaction revealed that the RB effect was significant for words, F1(1, 23) = 40.54, F2(1, 46) = 33.41, both ps &lt; .001; and nonwords, F1(1, 23) = 13.71, F2(1, 46) = 9.69, both ps &lt; .005. As in Experiment 5,"/><s v="Further analysis of the Condition X Lexicality interaction revealed that the RB effect was significant for words, F1(1,23) = 40.54, F2(1, 46) = 33.41, both ps &lt; .001; and nonwords [...]"/><s v="&quot;In addition, the interaction was significant, F(1, 94) = 4.97, p &lt; .05, MSE = .029, η² = .05, showing that there was significant directed forgetting of spaced items, t(94) = 3.95, p &lt; .001, but not of massed items (t = 1; see Figure 3). The lack of forge"/><s v="In addition, the interaction was significant, F(1, 94) = 4.97, p &lt; .05, MSE = .029, eta-square = .05, showing that there was significant directed forgetting of spaced items, t(94) = 3.95, p &lt; .001, but not of massed items (t = 1; see Figure 3)"/><s v="&quot;An ANOVA of conditional T2 report revealed a significant effect of lag, F(3, 93) = 38.76, p &lt; .001, MSE = 0.009, that was involved in a two-way interaction with group, F(3, 93) = 5.23, p = .002, MSE = 0.009.&quot;"/><s v="An ANOVA of conditional T2 report revealed a significant effect of lag, F(3, 93) = 38.76, p = .001, MSE = 0.009, that was involved in a two-way interaction with group, F(3, 93) = 5.23, p = .002, MSE = 0.009."/><s v="&quot;More important, there was a highly significant Priming Words × Digit Target interaction that was consistent with our semantic alignment hypothesis, F(1, 152) = 23.176, MSE = 6,101, p &lt; .001.&quot;"/><s v="More important, there was a highly significant Priming Words × Digit Target interaction that was consistent with our semantic alignment hypothesis, F(1, 152) = 23.176, MSE = 6.101, p &lt; .001"/><s v="&quot;For the experimental data, a significant effect of prior occurrences was observed for both correct responses, F(3, 32) = 5.47, p &lt; .01, d = 1.43 (mean slope = 0.09), and errors, F(3, 48) = 9.14, p &lt; .001, d = 1.51 (mean slope = 0.08).&quot;"/><s v="A significant effect of prior occurrences was observed for both correct responses, [...] and errors, F(3, 48) = 9.14, p &lt; .001, d = 1.51 (mean slope = 0.08)"/><s v="&quot;There was no switch cost (F1 = 1, 2 = .001; F2 = 1, 2 = .001), nor was there an interaction between stimulus type and switch condition, F1(1, 15) = 1.2, p = .15, MSE = 23.7, η² = .077; F2(1, 94) = 2.5, p = .10, MSE = 45.9, η² = .026.&quot;"/><s v="More errors were made to nonwords than to words, F1(1, 15) = 16.9, p &lt; .001, MSE = 49.1, eta-square = .529; F2(1, 94) = 11.5, p &lt; .001, MSE = 200, eta-square = .111. There was no switch cost (F1 &lt; 1, eta-square &lt; .001; F2 &lt; 1, eta-square &lt; .001), nor was "/><s v="&quot;The stimulus quality × word frequency interaction was again significant, F(1, 31) = 5.17, p = .030, MSE = 2,641.78, η² = .14, with larger frequency effects for the degraded words.&quot;"/><s v="&quot;In the delayed naming condition, the RT analysis revealed a main effect of semantic relatedness, F1(1, 31) = 4.1, MSE = 1,504.6, p = .06; F2(1, 38) = 4.4, MSE = 1,137.2, p = .05, indicating slower RTs in the semantically related than the unrelated condit"/><s v="The RT analysis revealed a main effect of semantic relatedness, F1(1, 31) = 4.1, MSE = 1,504.6, p = .06; F2 (1, 38) = 4.4, MSE = 1,137.2, p = .05, indicating slower RTs in the semantically related than the unrelated condition"/><s v="&quot;As depicted in Figure 3d, observers expressed robust VSL for the two color triplets despite the removal of shape at test (72%), t(7) = 2.892, p = .023, d = 1.023, thus providing further evidence that VSL can operate in a feature-based manner if the covar"/><s v="As depicted in Figure 3d, observers expressed robust VSL for the two color triplets despite the removal of shape at test (72%), t(7) = 2.892, p = .023, d = 1.023, thus providing further evidence that VSL can operate in a feature-based manner if the covari"/><s v="&quot;As we expected, the average recall score was larger in low-switch lists with normal digits (53.84 out of 72) than in high-switch lists with normal digits (49.24), F(1, 24) = 5.77, p = .05, and than in low-switch lists with degraded digits (49.22), F(1, 2"/><s v="As we expected, the average recall score was larger in low-switch lists with normal digits (53.84 out of 72) than in high-switch lists with normal digits (49.24), F(1, 24) = 5.77, p &lt; .05, and than in low-switch lists with degraded digits (49.22), F(1, 24"/><s v="&quot;Judgments of B were analyzed in the same way. There was a significant effect of A, F(1, 36) = 22.88, MSE = 439.82, p &lt; .001, with a higher mean at A = 2 (54.12) than at A = 6 (40.66). This is a cause prevalence effect, supporting Prediction 1.&quot;"/><s v="Judgments of B were analyzed in the same way. There was a significant effect of A+, F(1,36) = 22.88, MSE = 439.82, p &lt; .001, with a higher mean at A+ = 2 (54.12) than at A+ = 6 (40.66)"/><s v="&quot;Paired samples t-tests comparing grouping deviations in the ungrouped and grouped conditions revealed significantly larger (more positive) differences for both the order task, t(39) = 3.64, p &lt; .001, Cohen’s d = 0.58, and the timing task, t(39) = 3.77, p"/><s v="Paired samples t tests comparing grouping deviations in the ungrouped and grouped conditions revealed larger (more positive) differences under grouping conditions for both the order task, t(39) = 5.52, p &lt; .001, d = 0.87, and the timing task, t(39) = 2.82"/><s v="&quot;The number of correct responses differed only as a function of the type of dependency, F(1, 20) = 20.79, p &lt; .01, MSE = 2.31, η² = .51, with better performance on items with nonadjacent dependencies (M = 74.48, SE = 2.86) than on items with adjacent depe"/><s v="&quot;The number of correct responses differed only as a function of the type of dependency, F(1, 20) = 20.79, p &lt; .01, MSE = 2.31, partial eta-square = .51, with better performance on items with nonadjacent&#xA;dependencies (M = 74.48, SE = 2.86) than on items wi"/><s v="&quot;When comparing the cue effect between Set Size 1 and Set Size 2, a significant interaction was found, F(1, 11) = 4.80, p &lt; .05, with an observed power of 0.61.&quot;"/><s v="When comparing the cue effect between Set Size 1 and Set Size 2, a significant interaction was found, F(1,11) = 4.80, p = .05, with an observed power of 0.61."/><s v="&quot;However, in support of the prediction that the learning process hinders the diagnosticity of the ART, the adjusted ART scores in the cloudy tournaments were not significantly correlated with the self-reported risky use of drugs. An a priori planned compa"/><s v="An a priori planned comparison showed that the correlations in the sunny conditions were significantly greater than in the cloudy, z = 3.10, p &lt; .05 (see Meng, Rosenthal, &amp; Rubin, 1992)"/><s v="&quot;More important, however, the effect of relearning was significantly larger for Rp– items than it was for Nrp items, F(1, 190) = 10.49, p &lt; .001, MSE = 0.15.&quot;"/><s v="More important, however, the effect of relearning was significantly larger for Rp– items than it was for Nrp– items, F(1, 190) = 10.49, p &lt; .001, MSE = 0.15. Whereas Nrp items were recalled at a rate of 0.36 (SE = 0.02) and 0.42 (SE = 0.02) before and aft"/><s v="&quot;Attraction (Table 1). The three groups differed significantly on an attraction composite of liking to work on a project, liking as a friend, and respect (α = .88). Replicating previous studies, nonaffirmed actors liked the rebel significantly less (M = 0"/><s v="Attraction (Table 1). The three groups differed significantly on an attraction composite of liking to work on a project, liking as a friend, and respect (α = .88). Replicating previous studies, nonaffirmed actors liked the rebel significantly less (M = −0"/><s v="&quot;Instead, the effect of social pressure to avoid prejudice depended on participants’ automatic biases, as shown by a significant Indirect Social Pressure interaction, β = .31, t(67) = 3.08, p &lt; .01.&quot;"/><s v="&quot;As expected, variance in acquiescence scores was substantially larger in younger age groups; for Levene’s test for equality of variance, F(21, 230025) = 118.15, p &lt; .001.&quot;"/><s v="As expected, variance in acquiescence scores was substantially larger in younger age groups; for Levene’s test for equality of variance, F(21,230025) = 118.15, p &lt; .001"/><s v="&quot;At high levels of attachment anxiety and low levels of attachment avoidance, MS participants allocated significantly more time to a parent than did their dental pain condition counterparts (b = –32.04, SE = 14.47, t = –2.22, p = .03).&quot;"/><s v="At high levels of attachment anxiety and low levels of attachment avoidance, MS participants allocated significantly more time to a parent than did their dental pain condition counterparts (β = −32.04, SE = 14.47, t = −2.22, p = .03)"/><s v="&quot;The analysis revealed a main effect of prime on number of solved problems, F(1, 34) = 5.68, p = .02, demonstrating that participants primed with action performed better than participants primed with inaction did (M = 12.83, SD = 1.86 vs. M = 10.78, SD = "/><s v="The number of correctly solved problems was submitted to an ANOVA with prime as the independent variable. The analysis revealed a main effect of prime on number of solved problems, F(1,34) = 5.68, p = .02, demonstrating that participants primed with actio"/><s v="&quot;A contrast comparing overall performance across the two types of test confirmed this observation, F(1, 31) = 8.38, MSE = 0.106.&quot;"/><s v="A contrast comparing overall performance across the two types of test confirmed this observation, F(1, 31) = 8.38, MSE = 0.106. There was no interaction between the training conditions (AX/BX and CX/DY) and the test trial type (same and different; F &lt; 1)"/><s v="&quot;This analysis revealed a significant two-way interaction between prime and task, F(2, 92) = 4.36, p = .02.&quot;"/><s v="This analysis revealed a significant two-way interaction between prime and task, F(2, 92) = 4.36, p = .02, and a significant effect of task"/><s v="&quot;Indeed, a repeated measures ANOVA with condition (coherent vs. incoherent) and story (1 vs. 2 vs. 3) produced a significant linear trend for the interaction of Condition × Story, F(1, 131) = 5.79, p = .02, η² = .04.&quot;"/><s v="&quot;The critical interaction was significant, F(1, 31) = 5.14, p = .03, providing more direct support for the hypothesis that these two groups of low-prejudice participants would differ in PD control on the weapons identification task but not on the flankers"/><s v="We conducted a more focused 2 (Group: high IMS/low EMS vs. high IMS/high EMS) X 2 (Task: weapons vs. flankers) ANOVA on PD-control estimates. The critical interaction was significant, F(1, 31) = 5.14, p = .03,"/><s v="&quot;To test the effects of mindset manipulation on attitudes, a 3 (mindset) between-participants 2 (predecision vs. postdecision) 2 (chosen vs. rejected alternative) within-participants ANOVA was performed. It produced the critical three-way interaction, F(2"/><s v="To test the effects of mindset manipulation on attitudes, a 3 (mindset) between-participants x 2 (predecision vs. postdecision)  x 2 (chosen vs. rejected alternative) within-participants ANOVA was performed. It produced the critical three-way interaction,"/><s v="&quot;Moreover, in the low-consequences conditions, participants offered fewer chips to an angry recipient than to a happy recipient, F(1, 99) = 16.62, p &lt; .0001.&quot;"/><s v="Moreover, in the low-consequences conditions, participants offered fewer chips to an angry recipient than to a happy recipient, F(1,99) = 16.62, p &lt; .0001"/><s v="&quot;A significant main effect for type of rating, F(1, 182) = 47.65, p &lt; .001, suggesting that, on average, participants viewed the confederate as expressing more happiness than was truly felt, was qualified by the Type of Rating × Condition interaction, F(1"/><s v="&quot;Suggesting projection of responsiveness, perceivers’ own responsiveness to targets was a significant predictor of perceived partner responsiveness while controlling for these accuracy effects (b = .68, p &lt; .001). The projection effect was notably stronge"/><s v="Suggesting projection of responsiveness, perceivers’ own responsiveness to targets was a significant predictor of perceived partner responsiveness while controlling for these accuracy effects (b = .68, p &lt; .001)"/><s v="&quot;Of primary interest for this experiment, RTs to misses were significantly faster than RTs to correct rejections, t(23) 3.55, p .002 (mean priming for items judged new 63 ms, SEM 18), replicating Stark and McClelland (2000).&quot;"/><s v="Of primary interest for this experiment, RTs to misses were significantly faster than RTs to correct rejections, t(23) = 3.55, p = .002 (mean priming for items judged new 63 ms, SEM = 18), replicating Stark and McClelland (2000)"/><s v="&quot;As hypothesized, making the ending of graduation day more salient caused participants in the limited-time condition to show higher mixed emotion scores than participants in the control condition, t(108) 2.34, p .05.&quot;"/><s v="&quot;As predicted, analysis revealed a significant difference between the control condition and the average of the two experimental conditions in terms of the magnitude of the PSD slopes, F(1, 68) 5.52, p .02 (see Table 2 and Figure 4).&quot;"/><s v="Analysis revealed a significant difference between the control condition and the average of the two experimental conditions in terms of the magnitude of the PSD slopes, F(1, 68) = 5.52, p &lt; .02"/><s v="&quot;Most important, these two main effects were qualified by the predicted interaction, F(2, 76) 21.57, p .0001, showing that processing style affected the impact of the prime.&quot;"/><s v="Most important, these two main effects were qualified by the predicted interaction, F(2, 76) = 21.57, p  &lt; .0001, showing that processing style affected the impact of the prime."/><s v="Table 3"/><s v="As Table 3 shows, results revealed a marginally significant interaction predicting TRIMs"/><s v="&quot;The main effects were qualified by the predicted interaction, however, F(1,116) 4.15, p &lt;.05.&quot;"/><s v="A 2 (behavior: had read vs. had not read) X 2 (load: yes vs. no) X ANOVA revealed main effects for reading, F(1, 116) = 22.88, p &lt; .001, and for load, F(1, 116) = 17.34, p &lt; .001"/><s v="&quot;On the basis of binomial tests, recognition rates for all six pride expressions (M 78%, range 70%–87%) were significantly greater than chance (p .05), with chance set at 33% (see Figure 6 for recognition rates by target).&quot;"/><s v="On the basis of binomial tests, recognition rates for all six pride expressions (M = 78%, range = 70%–87%) were significantly greater than chance (p &lt; .05), with chance set at 33% (see Figure 6 for recognition rates by target)"/><s v="&quot;Participants correctly recalled in order more short words (.48) than long words (.40), indicating that the word-length manipulation was successful, as confirmed by ANOVA, F(1, 99) 103.7, MSE 9.30, p .05.&quot;"/><s v="Participants correctly recalled in order more short words (.48) than long words (.40), indicating that the word-length manipulation was successful, as confirmed by ANOVA, F(1, 99) = 103.7, MSE = 9.30, p &lt; .05. The mean WLE was .16 (lower quartile = .060; "/><s v="&quot;Partitioning the sample somewhat differently, we found that the mean SAT score (1214, SD 96) of the group answering correctly was significantly higher than the mean SAT score (1163, SD 106) of those giving an incorrect answer, t(373) 4.40, p .001, Cohen’"/><s v="&quot;For both studies, the attitude measure was submitted to a 2 (value: important vs. unimportant) 2 (argument quality: strong vs. weak) ANOVA. The predicted Value Argument Quality interaction was significant for Study 5A, F(1, 257) 11.58, p .002, and Study "/><s v="The predicted Value X Argument Quality interaction was significant for Study 5A, F(1, 257) = 11.58, p = .002"/><s v="&quot;However, the Democratic-to-Republican sticker ratio was significantly lower than the Democratic-to-Republican registered voter ratio in San Diego County, χ²(1, N = 37) = 3.85, p = .05 (see Table 4). That is, there were disproportionately more descriptive"/><s v="However, the Democratic-to-Republican sticker ratio was significantly lower than the Democratic-to-Republican registered voter ratio in San Diego County, chi-squared(1, N = 37) = 3.85, p &lt; .05 (see Table 4)"/><s v="&quot;In support of the hypothesis, this ANOVA yielded the predicted Commitment Focus interaction, F(1, 242) =10.47, p &lt;.01&quot;"/><s v="In support of the hypothesis, this ANOVA yielded the predicted Commitment × Focus interaction, F(1,242) = 10.47, p &lt; .01"/><s v="&quot;There was also a three-way interaction, F(1, 37) = 17.03, MSE = .033, p &lt; .001, η² = .32, but no other significant effects (all Fs &lt; 1.13).&quot;"/><s v="There was also a three-way interaction, F(1, 37) = 17.03, MSE = .033, p &lt; .001, η² = .32, but no other significant effects (all Fs &lt; 1.13)"/><s v="&quot;As expected, the condition effect was significant, F(2, 43) = 3.36, p &lt; .05.&quot;"/><s v="Participants’ ambivalence score was entered into an ANOVA, with mind-set condition (implemental one-sided, implemental two-sided, and neutral) as a between-participant variable. As expected, the condition effect was significant, F(2, 43) = 3.36, p &lt; .05"/><s v="&quot;In line with our predictions, although the Message × Role interaction was nonsignificant in the before condition, F(1, 90) = .00, ns, η² = .00, it was significant in the after condition, F(1, 90) = 6.98, p &lt; .01, η² = .07.&quot;"/><s v="In line with our predictions, although the Message × Role interaction was nonsignificant in the before condition, F(1,90) = .00, ns, η2 = .00, it was significant in the after condition, F(1,90) = 6.98, p &lt; .01, η2 = .07"/><s v="&quot;Further, ratings of CEO leadership were also strongly related to company profits, r(41) = .30, p &lt; .05.&quot;"/><s v="Ratings of power-related traits from CEOs’ faces, after controlling for age, affect, and attractiveness, were significantly related to company profits, r(41) = .36, p &lt; .025."/><s v="&quot;Given no induction, the analysis revealed a significant interaction between the factors Information Quantity and Information Selection, χ²(1, N = 52) = 13.18, p &lt; .001, indicating that participants in the 2-information condition selected more inconsisten"/><s v="Given no induction, the analysis revealed a significant interaction between the factors Information Quantity and Information Selection, χ2(1,N=52) = 13.18, p &lt; .001, indicating that participants in the 2-information condition selected more inconsistent (6"/><s v="&quot;A one-way ANOVA with the experimental condition (low depletion vs. high depletion vs. ego threat) as the independent variable and confirmatory information processing as the dependent variable revealed a significant overall effect, F(2, 82) = 4.05, p = .0"/><s v="&quot;However, as shown in Figure 4, this main effect was qualified by the predicted interaction, F(1, 51) = 9.46, p = .01, η² = .16.&quot;"/><s v="However, [...] this main effect was qualified by the predicted interaction, F(1, 51) = 9.46, p &lt; .01, eta-squared = .16"/><s v="&quot;Again, there were no significant sex differences in these overall associations; the difference between the male and female rs were again descriptively very small (r = -.04, p = .480, and r = .02, p = .825, for speed-dating partners/matches and write-ins,"/><s v="Again, there were no significant sex differences in these overall associations; the difference between the male and female rs were again descriptively very small (r= -.04, p = .480, and r = .02, p = .825, for speed-dating partners/matches and write-ins, r"/><s v="&quot;When primed with approach goals, lows in the partner criticism condition believed their partner regarded them significantly more negatively than did controls, B = .59, sr2 = .07, t(83) = 3.05, p &lt; .01.)&quot;"/><s v="When primed with approach goals, lows in the partner criticism condition believed their partner regarded them significantly more negatively than did controls, β = .59, sr-square =.07, t(83) = 3.05, p &lt; .01"/><s v="Table 6, &quot;Furthermore, as a proportion of items attempted, participants in the control condition outperformed those in the handicap-related counterfactual condition (see Table 6).&quot;"/><s v="A proportion of items attempted, participants in the control condition outperformed those in the handicap-related counterfactual condition (see Table 6)"/><s v="&quot;The 2 (participant race: African American or White) × 2 (fairness cue: high or low) ANOVA on trust and comfort yielded a significant main effect of race, F(1, 73) = 4.63, p = .03, and a significant main effect of fairness, F(1, 73) = 14.29, p &lt; .001, whi"/><s v="results of comparisons of the four patterns on other measures, and significant pattern differences were found in ARFID symptoms (χ2 = 67.52, p &lt; .01)"/><s v="results of comparisons of the four patterns on other measures, and significant pattern differences were found ... in traditional eating disorder symptoms (χ2 = 26.07, p &lt; .01)"/><s v="results of comparisons of the four patterns on other measures, and significant pattern differences were found... in psychological distress (χ2 = 39.22, p &lt; .01)."/><s v="Scores were higher in the literary fiction than nonfiction condition (Table 2)..."/><s v="Higher Author Recognition Test scores (indicating more familiarity with fiction) predicted higher RMET scores."/><s v="Author Recognition Test x Condition"/><s v="RMET scores were higher in the literary fiction condition than in the popular fiction condition."/><s v="There were no effects involving the Author Recognition Test (for test, Table 1; for means, Table 2)."/><s v="RMET scores were higher in the literary fic-tion condition than in the popular fiction condi-tion (for tests, see Table 1; for means, see Table 2)."/><s v="Author Recognition Test scores predicted RMET scores."/><s v="Results on the RMET were analyzed as in the previous experiments. The effect of condi-tion was significant (see Table 1). Scores were significantly higher in the literary fiction con-dition than in the popular fiction and no-reading conditions (see Table "/><s v="A significant main effect of Author Recognition Test scores emerged (see Table 1)."/><s v="We conducted an ANCOVA, with condition as the between-sub-jects factor and the natural log of the discounting parameters at T1 and T2 as the within-subjects factor. Gender, T1 blood glu-cose, time of day, and pleasantness of the drink were added as covari"/><s v="&quot;Moreover, there were interactions of […] task and relation, F1(1, 13) = 7.11, MSE = 1,234, p = .02&quot;, &quot;latencies of picture naming […] were longer in the semantically related than unrelated condition&quot;"/><s v="There were interactions of task and type, [...] task and relation, F1(1, 13) = 7.11, MSE = 1,234, p = .02 [...]"/><s v="&quot;performance was enhanced in pairs with large compared with small intrapair numerical difference in both RT [reaction time], F(1, 28) 26.69, MSE 5,845, p .001, [...] a revealing a CDE&#xA; consistent with the one found in Experiment 1.&quot;"/><s v="Performance was enhanced in pairs with large compared with small intrapair numerical difference in [...] RT, F(1, 28) = 26.69, MSE = 5,845, p &lt; .001"/><s v="&quot;As expected, the percentage of concrete- preferring participants was higher when Los Angeles had been primed earlier in the study (53%) than when Los Angeles had not been primed (41%), X2(1, N = 236) = 3.83, p = .05, prep = .92, phi = .13.&quot;"/><s v="The percentage of concrete-preferring participants was higher when Los Angeles had been primed earlier in the study (53%) than when Los Angeles had not been primed (41%), χ2(1,N=236) = 3.83, p = .05, p-rep = .92, V = .13"/><s v="&quot;A 2 (condition) x 3 (target type) mixed analysis of variance on percentage correct showed a main effect of condition, F(1, 34) = 5.8, p &lt; .05, prep &gt; .90, d = 0.82, but no effect of target type and no interaction. Children who heard directional terms cho"/><s v="A 2 (condition) × 3 (target type) mixed analysis of variance on percentage correct showed a main effect of condition, F(1,34) = 5.8, p &lt; .05, p-rep &gt; .90, d = 0.82, but no effect of target type and no interaction"/><s v="&quot;As hypothesized, primed participants learned more than participants in the control group, t(84) = 2.09, prep = .92, d = 0.45 (see Table 2).&quot;, &quot;Goal priming led to improved implicit learning without a concomitant increase in participants’ explicit motivat"/><s v="As hypothesized, primed participants learned more than participants in the control group, t(84) = 2.09, p-rep = .92, d = 0.45 (see Table 2)"/><s v="&quot;As predicted, words with many near neighbors were categorized more slowly than words with few near neighbors (24 ms), F1(1, 21) = 17.3, p &lt; .001, partial η2 = 0.45&quot;, &quot;Our results suggest that previous findings of facilitative SND effects were primarily d"/><s v="As predicted, words with many near neighbors were categorized more slowly than words with few near neighbors (24 ms), F1​(1,21) = 17.3, p &lt; .001, partial η2 = 0.45; F2(1,95) = 4.6, p &lt; .05, partial η2 = 0.05, and words with many distant neighbors were cat"/><s v="&quot;Compared with women (ln(a) 5 2.30), men (ln(a) 5 1.61) were significantly less sensitive to the dis- tinction between friendliness and sexual interest, F(1, 278) = 123.38, p &lt; .001, ηp2 = .326.&quot;"/><s v="Compared with women (ln(a) = 2.30), men (ln(a) = 1.61) were significantly less sensitive to the distinction between friendliness and sexual interest, F(1,278) = 123.38, p &lt; .001, partial η2​ = .326"/><s v="&quot;In Experiment 4a, there was a Motivation to Adjust X Scale Unit Width interaction, F(1, 55) = 6.88, prep = .947, w2 = .02.&quot;"/><s v="In Experiment 4b, there was also a Motivation to Adjust × Scale Unit Width interaction, F(1, 145) = 4.01, p-rep = .882, omega² = .02"/><s v="&quot;Sample entropy was higher for middle-truth-value questions than for low- and high-truth-value questions (see Fig. 1d), quadratic r = .70, F(1, 9) = 8.7, p &lt; .05, prep 5 .939.&quot;"/><s v="Sample entropy was higher for middle-truth-value questions than for low- and high-truth-value questions (see Fig. 1d), quadratic r = -.70, F(1,9) = 8.7, p &lt; .05, prep = .939"/><s v="&quot;Participants clearly prescribed optimism. Those asked to pro- vide prescriptions recommended predictions that were opti- mistic (M = 1.12), t(124) = 10.36, prep &gt; .99, d = 0.93.&quot;"/><s v="Those asked to provide prescriptions recommended predictions that were optimistic (M = 1.12), t(124) = 10.36, p-rep &gt; .99, d = 0.93"/><s v="&quot;Of most interest here, we found significant group differences, with older adults producing fewer internal details, F(1, 30) = 14.49, prep = .99, η2 = .326&quot;"/><s v="Of most interest here, we found significant group differences, with older adults producing fewer internal details, F(1,30) = 14.49, p-rep = .99, η2 = .326, but more external details, F(1,30) = 6.54, p-rep &gt; .94, η2 = .179, than young adults (see Fig. 1a)"/><s v="&quot;Only older children’s performance was consistently above chance level, t(31) = 3.23, p-rep = .97&quot;"/><s v="Only older children’s performance was consistently above chance level, t(31) = 3.23, p-rep = .97"/><s v="&quot;In the delayed condition, the error of the average was also smaller than the error of the first guess, t(172) = 3.94, p &lt; .01&quot;"/><s v="In the delayed condition, the error of the average was also smaller than the error of the first guess, t(172) = 3.94, p &lt; .01, and of the second guess, t(172) = 6.59, p &lt; .01"/><s v="&quot;All effects and interactions were significant at a p value of .0001; most important, the three-way interaction was highly significant, F(18, 660) = 16.31, p &lt; .00001&quot;"/><s v="All effects and interactions were significant at a p value of .0001; most important, the three-way interaction was highly significant, F(18, 660) = 16.31, p &lt; .00001"/><s v="&quot;We tested this prediction using a focused interaction contrast pitting the depletion-plus-placebo condi- tion against the combination of the other three conditions. This interaction was significant, F(1,111) = 5.311, p-rep = .92, partial η2 ​= .045&quot;"/><s v="This interaction was significant, F(1,111) = 5.311, p-rep = .92, partial η2 ​= .045"/><s v="&quot;Of particular importance for the purpose of the present study is the significant interaction between instruction type and sound condition, F(2, 92) = 3.13, p &lt; .05, d = 0.52.&quot;"/><s v="The purpose of the present study is the significant interaction between instruction type and sound condition, F(2, 92) = 3.13, p &lt; .05, d = 0.52"/><s v="&quot;The amplitude of the ERN predicted the degree to which errors potentiated the startle response (see Fig. 2; r = .38, p &lt; .05). Because the magnitude of the ERN is negative and startle potentiation following errors is positive, this negative correlation i"/><s v="The amplitude of the ERN predicted the degree to which errors potentiated the startle response (see Fig. 2; r = .38, p &lt; .05)"/><s v="&quot;However, a large cluster (k = 834) in right VLPFC was active in this comparison (x = 50, y = 44, z = 8), t(11) = 5.39, p-rep &gt; .99, d = 3.25, a finding consistent with the hypothesis that accepting unfair offers may involve emotion regulation&quot;"/><s v="However, a large cluster (k = 834) in right VLPFC was active in this comparison (x = 50, y = 44, z = 8), t(11) = 5.39, p-rep &gt; .99, d = 3.25, a finding consistent with the hypothesis that accepting unfair offers may involve emotion regulation"/><s v="&quot;As Figure 4b illustrates, localization error in the centroid condition was significantly lower for targets than for distractors,[..] but centroid localization was better than chance for both targets [...] and distractors, t(7) = 2.76, p = .028, r-square "/><s v="As Figure 4b illustrates, localization error in the centroid condition was significantly lower for targets than for distractors, t(7) = 3.17, p = .016, r-square = .59, but centroid localization was better than chance for both targets, t(7) = 8.32, p &lt; .00"/><s v="&quot;A 2 (system threat vs. no threat) × 2 (benevolent-stereotypic vs. non-benevolent-stereotypic) analysis of variance conducted on the mean ratings of romantic interest revealed a significant two-way interaction, F(1,34) = 55.89, p = .93, w-square = .02&quot;"/><s v="A 2 (system threat vs. no threat) × 2 (benevolent-stereotypic vs. non-benevolent-stereotypic) analysis of variance conducted on the mean ratings of romantic interest revealed a significant two-way interaction, F(1,34) = 55.89, p = .93, w-square = .02"/><s v="&quot;Subjects in the third experiment showed significant adapta- tion to inward and outward implied motion. The point of per- ceived null motion shifted by 0.17  0.04 units of normalized coherence, t(28) = 4.98, p = .000, prep = .99&quot;"/><s v="The point of perceived null motion shifted by 0.17 ± 0.04 units of normalized coherence, t(28) = 4.98, p &lt; .001, p-rep = .99, or 5.7 ± 1.0% of actual coherence, t(28) = 5.48, p &lt; .001, p-rep = .99"/><s v="&quot;The three-way interaction of group, presentation duration, and facial expression was reliable, F(1,26) = 4.17, p-rep = .92, d = 0.80&quot;"/><s v="The three-way interaction of group, presentation duration, and facial expression was reliable, F(1,26) = 4.17, p-rep = .92, d = 0.80"/><s v="&quot;There was a robust Group X Problem Type interaction, F(2,68) = 41.59, MSE = 4470.55, p &lt; .001&quot;"/><s v="There was a robust Group X Problem Type interaction, F(2,68) = 41.59, MSE = 4470.55, p &lt; .001"/><s v="Comparison of the best unimodal performance with bimodal performance predicted by Equation 1,  in a one-tailed, matched samples t test produces a clearly significant result, with t5 =  3.69 and p&lt;0.01."/><s v="&quot;There was also a significant main effect for task (F(1,21) = 25.75; p &lt; 0.001); subjects were significantly slower to respond to incongruent, relative to congruent trials (M(incongruent) = 746.31, S.E. = 25.83; M(congruent) = 706.98, S.E. = 25.83)&quot;"/><s v="a significant main effect for task (F(1,21) = 25.75; p&lt; 0.001);"/><s v="&quot;Results from hierarchical regression analysis blocking for control variables showed that personally closer sources were significantly more influential (M = 5.44, SD = 1.21) than organizational sources (M = 4.02, SD = 1.41), with ΔR2 = .194, F(5, 207) = 1"/><s v="when compared with messages passed by organizational sources, those passed by personally closer people (e.g., friends, family) would lead to greater willingness to participate in collective activities on social media. This was supported."/><s v="whether holistic recollection is evident at the ages of 4 and 6 years, during a crucial developmental window of robust gains in episodic memory,"/><s v="&quot;We found that within-event retrieval accuracy was dependent in young adults: Dependency (M = .07, SE = .01, 95% CI = [.05, .08]) was significantly greater than zero, t(30) = 7.37, p &lt; .001, d = 1.32, 95% CI = [0.83, 1.80]&quot;"/><s v="Participants’ writing was more distanced in the Reappraise Negative condition (M = 0.10, SD = 0.24) than in the Look Negative condition (M = -0.11, SD = 0.32), t(106) = 7.71, p &lt; .001, 95% CI = [0.15, 0.26], d = 0.72."/><s v="&quot;Participants’ writing was more distanced in the Reappraise Negative condition (M = 0.10, SD = 0.24) than in the Look Negative condition (M = -0.11, SD = 0.32), t(106) = 7.71, p &lt; .001, 95% CI = [0.15, 0.26], d = 0.72&quot;"/><s v="&quot;We observed a significant correlation between reappraisal success and the extent to which participants increased their linguistic distance when regulating their emotions, r(105) = .28, p = .004, 95% CI = [.09, .44]&quot;"/><s v="&quot;Reappraisal success was not associated with changes in the use of positive affect words, r(105) = .06, p = .560&quot;"/><s v="&quot;Greater reappraisal success was also associated with reduced use of negative affect words when regulating as compared to when responding naturally, r(105) = -.32, p &lt; .001&quot;"/><s v="&quot;Self-reported negative affect ratings differed significantly across conditions, F(2,212) = 297.20, p &lt; .001, partial eta-square = .74, 90% CI = [.69, .77]&quot;"/><s v="&quot;The prevalence of negative affect terms differed significantly across conditions, F(2, 212) = 185.49, p &lt; .001, partial eta-square = .64, 90% CI = [.57, .68]&quot;"/><s v="&quot;The composite measure of linguistic distancing differed significantly across conditions, F(2, 212) = 35.97, p &lt; .001, partial eta-square = .25, 90% CI = [.17, .33]&quot;"/><s v="For the fun version of the task, participants motivated by their past self completed more trials (M  6.90, SD  3.57) than did participants motivated by their&#xA;future self (M  5.03, SD  3.43), F(1, 220)  9.95, p  .002, n2  .04."/><s v="&quot;There was [...] an incidental effect of task such that participants completed more “fun” tasks (M = 5.92) than “self-control” tasks (M = 4.06), F(1, 220) = 19.91, p &lt; .001, eta-square = .08&quot;"/><s v="&quot;Importantly, this effect was qualified by a predicted interaction with role model, F(1, 220) = 12.45, p &lt; .001, eta-square = .05&quot;"/><s v="participants presented with bars judged the value below the mean (M=5.26, SD=1.82) to be more likely than the value above the mean (M=2.62, SD=1.62), paired t(201)=14.06, p&lt;.001, d=1.40, 95% CI=[1.15, 1.62], revealing a large, signifcant influence of the "/><s v="&quot;Consistent with previous findings, participants presented with bars judged the value below the mean (M=5.26, SD=1.82) to be more likely than the value above the mean (M=2.62, SD=1.62), paired t(201)=14.06, p&lt;.001, d=1.40, 95% CI=[1.15, 1.62], revealing a"/><s v="&quot;A tendency in the same direction was also observed among those presented with [...] the dot plot (judgement below: M=4.41, SD=2.21; judgement above: M=2.72, SD=1.67)&quot;"/><s v="&quot;This model explained a moderate and significant amount of variance, R2=.05, F(5, 605)=6.57, p&lt;.001&quot;"/><s v="&quot;As expected, [...] dot plots significantly reduced the bias, β=−.17, t=3.66, p&lt;.001 (see Figure 5)&quot;"/><s v="&quot;[...] higher graph literacy related to stronger bias, β=.22, t=3.23, p=.001&quot;"/><s v="&quot;The interaction terms between graph literacy and display type were [...] marginally significant ([...] β=−.10, t=1.82, p=.07 for bars vs dot plot)&quot;"/><s v="The more students endorsed a fixed theory, the less interest they expressed in the article that mismatched their inter- est identity,"/><s v="A repeated measures analysis of covariance yielded the predicted interaction between theories of interest and article type, F(1, 137) = 7.46, p = .007, partial eta-square = .05. The more students endorsed a fixed theory, the less interest they expressed i"/><s v="As predicted, college students reported that, as middle-school students, they would respect the teacher far more in the empathic- mindset than in the punitive-discipline condition"/><s v="&quot;College students reported that, as middle-school students, they would respect the teacher far more in the empathic-mindset than in the punitive-discipline condition (M = 5.23, SD = 1.14 versus M = 2.47, SD = 1.09), t(300) = 20.98, P &lt; 0.001, d = 2.42&quot;"/><s v="interference effects in the Stroop color-naming task relate to the expression of model-based choice in sequential choice.. ... Table 2 - Reward × Transition × Stroop (infrequent)"/><s v="&quot;Statistically, in testing infrequent IE as a linear covariate modulating model-based choice, we found a significant three-way interaction between infrequent IE, reward, and transition type (p&lt;.05, Table 2), revealing that Stroop interference predicts a d"/><s v="&quot;There was no significant effect of infrequent IE upon previous reward (p = .307) suggesting that the predictive effect of susceptibility to response conflict was limited to model-based rather than model-free choice contribution&quot;"/><s v="&quot;A logistic regression revealed a significant main effect of reward (p&lt;.0001), indicating model-free learning [...] (the third through fifth coefficients in Table 2)&quot;"/><s v="&quot;A logistic regression revealed a significant [...] interaction between reward and transition type (p&lt;.01), the signature of model-based contributions (the third through fifth coefficients in Table 2)&quot;"/><s v="&quot;[...] the signature of model-based contributions (the third through fifth coefficients in Table 2)&quot;"/><s v="&quot;However, we found no significant (or even negatively trending) relationship between frequent IE and model-based choice (p=.143, Figure 2B) [...]&quot;"/><s v="participants reported greater involvement with the issue of whether more nuclear power plants should be built in Canada when they had previously considered values that were important (M  7.22, SD  1.48) rather than unimportant (M  6.49, SD  2.06)."/><s v="The predicted Value x Argument Quality interaction was significant for Study 5A, F(1, 257) = 11.58, p = .002 [...]. That is, the difference between the strong and weak argument conditions was greater when values were important rather than unimportant."/><s v="&quot;Similarly, participants reported greater involvement with the issue of whether more nuclear power plants should be built in Canada when they had previously considered values that were important (M = 7.22, SD = 1.48) rather than unimportant (M = 6.49, SD "/><s v="&quot;Critically, the proportion of subjects in each condition was statistically indistinguishable before and after exclusion (Pre-Exclusion CRT-First: 65 of 150 [43%], Post-Exclusion CRT-First: 41 of 92 [45%], chi-square = .003, p = .96)&quot;"/><s v="&quot;Subjects in the CRT-First condition judged the utilitarian actions to be more acceptable (CRT-First: M = 3.77; Dilemmas-First: M = 3.25; t(90) = 2.03, p = .05, d = 0.43)&quot;"/><s v="&quot;Again collapsing across all three dilemmas, we examined data from subjects in the CRT-First condition and observed a robust positive correlation between CRT scores and moral acceptability ratings, consistent with our second prediction (r = .39, p = .001;"/><s v="&quot;A Fischer r–z test confirmed that these correlations differed significantly (z = 2.6, p = .01)."/><s v="&quot;To test this hypothesis, we compared the CRT scores across the two conditions and found no significant effect (CRT-First: M = 1.32; Dilemmas-First: M = 1.16; t(148) = 0.83, p = .41)&quot;"/><s v="Negative, but not neutral, objects were better remembered after&#xA;sleep than after wake,"/><s v="&quot;A 2 (condition: sleep, wake) x 2 (valence: negative, neutral) x 2 (scene component: object, background) mixed ANOVA on general recognition revealed interaction [...] between condition and scene component, F(1, 46) = 7.6, p = .008, partial eta-square = .1"/><s v="&quot;A 2 (condition: sleep, wake) x 2 (valence: negative, neutral) x 2 (scene component: object, background) mixed ANOVA on general recognition revealed interactions between condition and valence, F(1, 46) = 13.1, p = .001, partial eta-square = .20&quot;"/><s v="&quot;A 2 (condition: sleep, wake) x 2 (valence: negative, neutral) x 2 (scene component: object, background) mixed ANOVA on general recognition revealed interaction [...] among the three factors, F(1, 46) = 4.7, p = .03, partial eta-square = .10 (see Figs. 3a"/><s v="&quot;Negative, but not neutral, objects were better remembered after sleep than after wake, F(1, 46) = 11.5, p = .001, partial eta-square = .20.&quot;"/><s v="&quot;In contrast, sleep offered no benefit for backgrounds, regardless of whether they were presented with negative or neutral objects (Valence x Condition interaction, p &gt; .10)&quot;"/><s v="Overall data quality score: [...] We found statistically significant differences between the sites on this measure, F(2, 1458) = 129.4, p &lt; .001, which showed higher scores for Prolific (M = 5.87, SD = 1.0) [...] compared to MTurk (M = 4.55, SD = 1.9)"/><s v="Overall data quality score: [...] We found statistically significant differences between the sites on this measure, F(2, 1458) = 129.4, p &lt; .001, which showed higher scores for [...] CR (M = 5.78, SD = 1.1) compared to MTurk (M = 4.55, SD = 1.9)"/><s v="&quot;We found statistically significant differences between the sites on this measure, F(2, 1458) = 129.4, p &lt; .001, which showed higher scores for Prolific (M = 5.87, SD = 1.0) and CR (M = 5.78, SD = 1.1) compared to MTurk (M = 4.55, SD = 1.9)&quot;"/><s v="the number of between-group errors increased in the treatment condition, b = 0.34, p = .007, 95% CI = [0.10, 0.61]."/><s v="&quot;As in the previous studies, [...] the number of between-group errors increased in the treatment condition, b = 0.34, p = .007, 95% CI = [0.10, 0.61]&quot;"/><s v="&quot;But, in contrast to Study 1 and Study 2, the decrease in correct recall was due to a very large increase in the number of within-group errors, b = 0.80, p &lt; .001, 95% CI = [0.56, 1.04]&quot;"/><s v="a significant effect for the greed manipulation ...  These effects were qualified by the predicted significant&#xA;interaction between social class and the greed manipulation, "/><s v="&quot;As expected, participants primed with positive features of greed expressed more favorable attitudes toward greed (M = 3.12) compared with participants in the neutral-prime condition (M = 2.42), t(87) = .72, P &lt; 0.01, d = 0.58&quot;"/><s v="&quot;Results yielded a significant effect for social class, such that upper-class participants reported more unethical behavior than lower-class participants, b = 0.13, SE b = 0.07, t(84) = 2.00, P &lt; 0.05&quot;"/><s v="&quot;These effects were qualified by the predicted significant interaction between social class and the greed manipulation, b =−0.24, SE b=0.18, t(84) = −2.34, P &lt; 0.03&quot;"/><s v="&quot;Correct responding was significantly higher in the negative- than the positive-test-result condition, BFinclusion = 607.57, [...] as can be seen in Table 1&quot;"/><s v="As predicted, participants in the favorable-LIB condition were significantly more likely to believe that the communicator was a Democrat, and thus shared a party affiliation with the target, than were participants in the unfavorable-LIB condition, t(86) ="/><s v="As predicted, participants in the favorable-LIB condition believed that the communicator was more likely to support these Democratic-leaning social policies (M = 4.90, SD = 0.99), compared with participants in the unfavorable-LIB condition"/><s v="&quot;As expected, participants in the favorable-LIB condition believed that Peter was more likely to be helpful in the future (M = 71.63%, SD = 18.68) compared with participants in the unfavorable-LIB condition (M = 60.39%, SD = 21.52), F(1, 129) = 10.14, p &lt;"/><s v="&quot;Results revealed the predicted main effect of LIB condition: Participants in the favorable-LIB condition, relative to those in the unfavorable-LIB condition, were significantly more likely to believe that the communicator and target shared political-grou"/><s v="Participants in the favorable-LIB condition, relative to those in the unfavorable-LIB condition, were significantly more likely to believe that the communicator and target shared political-group membership, F(1, 121) = 8.67, p &lt; .01, d = 0.51"/><s v="&quot;&quot;Further, there was no [...] interaction between the LIB condition and target’s political affiliation, F(1, 121) = 0.02&quot;"/><s v="“As expected, participants in the favorable-LIB condition believed that Peter was more likely to be helpful in the future (M = 70.29%, SD = 23.58) than did participants in the unfavorable-LIB condition (M = 57.83%, SD = 24.08), t(86) = 2.45, p = .016, d ="/><s v="&quot;Similarly, participants in the favorable-LIB condition indicated that Peter was less likely to be rude in the future (M = 33.67%, SD = 25.48) compared with participants in the unfavorable-LIB condition (M = 53.93%, SD = 25.22), t(86) = 3.73, p &lt; .001, d "/><s v="&quot;As predicted, participants in the favorable-LIB condition were significantly more likely to believe that the communicator was a Democrat, and thus shared a party affiliation with the target, than were participants in the unfavorable-LIB condition, t(86) "/><s v="&quot;Participants in the favorable-LIB condition believed that the communicator was less likely to support the policy (M = 3.83, SD = 1.44) than did participants in the unfavorable-LIB condition (M = 4.45, SD = 1.13), t(116) = 2.61, p = .01&quot;"/><s v="&quot;Participants in the favorable-LIB condition believed that the communicator was more likely to support these Democratic-leaning social policies (M = 4.90, SD = 0.99), compared with participants in the unfavorable-LIB condition (M = 4.33, SD = 0.90), t(116"/><s v="&quot;Likewise, participants in the unfavorable-LIB condition believed that Peter was more likely to be rude in the future (M = 53.82%, SD = 23.99) compared with participants in the favorable-LIB condition (M = 42.18%, SD = 19.73), F(1, 129) = 9.40, p &lt; .01, d"/><s v="&quot;Further, there was no main effect of target’s political affiliation, F(1, 121) = 0.87&quot;"/><s v="&quot; The LIB Condition × Participant’s Political Affiliation interaction was not reliable, F(2, 121) = 0.92&quot;"/><s v="whether the creative thought process tends to be masculinized."/><s v="&quot;A mixed-model ANOVA with condition as the between subjects factor and trait type as the within-subjects factor revealed a main effect of trait type, F(1, 78) = 75.02, p &lt; .001, partial eta-square = .49&quot;"/><s v="&quot;A mixed-model ANOVA with condition as the between subjects factor and trait type as the within-subjects factor revealed [...] a marginally significant interaction between trait type and condition, F(1, 78) = 3.05, p = .084, partial eta-square = .04 (see "/><s v="&quot;Follow-up tests revealed that participants associated creativity more with stereotypically masculine-agentic personality traits than with stereotypically feminine communal personality traits in both the divergent-thinking condition (M = 7.22, SD = 1.26, "/><s v="&quot;Follow-up tests revealed that participants associated creativity more with stereotypically masculine-agentic personality traits than with stereotypically feminine communal personality traits in [...] the convergent-thinking condition (M = 6.26, SD = 1.43"/><s v="&quot;The masculine traits were perceived as more central to creativity when divergence was emphasized, rather than convergence, F(1, 78) = 10.21, p = .002, d = 0.71&quot;"/><s v="&quot;There was no effect of condition on the perceived centrality of the feminine traits, F &lt; 1, p = .536&quot;"/><s v="The Cue Direction/Magnitude × Target Position interactions ...  approached significance for numbers (F(1,14) = 4.1,&#xA;P = 0.06)."/><s v="The Cue Direction/Magnitude × Target Position interactions [...] approached significance for numbers (F(1,14) = 4.1, P = 0.06). Although these results are not significant, mean reaction times were faster when the target location was congruent with that in"/><s v="First, preference for LL decreased as A0;2 increased, F(2, 550)  125.46, p &lt;.005, n2p  .31."/><s v="&quot;First, preference for LL decreased as A0.2 increased, F(2, 550) = 125.46, p &lt; .005, partial eta-square = .31&quot;"/><s v="&quot;Furthermore, preference for LL increased when zero outcomes were stated explicitly, F(1, 275) = 41.07,p &lt; .005, partial eta-square= .13&quot;"/><s v="&quot;For A0:2 = €0 (Cells A, B, and C), preference for LL decreased as AQ increased, F(2, 550) = 11.19, p &lt; .005, partial eta-square = .06&quot;"/><s v="&quot;For A0:2 = €500 (Cells D, E, and F) and €1,000 (Cells G, H, and I), however, preference for LL increased as AQ increased, F(2, 550) = 61.12, p &lt; .005, partial eta-square = .18&quot;"/><s v="&quot;A0:2 interacted with A0, F(4, 1100) = 48.76, p &lt; .005, partial eta-square = .15. For A0:2 = €0 (Cells A, B, and C)&quot;"/><s v="The main effect for condition was significant, F(2,483) = 5.99, p = .003, eta2 = 0.024,"/><s v="The main effect for condition was significant, F(2,483) = 5.99, p = .003, eta-square = 0.024. [...] Participants in the responsive condition showed a significantly more global focus than participants in the unresponsive condition (p = .001)"/><s v="&quot;Mood was not significantly related to global orientation scores, F(1,468) = 1.75, p = .187, eta-square = 0.004&quot;"/><s v="&quot;To ensure that these effects were not attributable to mood differences, we repeated the above one-way analysis of variance controlling for mood. [...] the condition main effect remained significant, F(2,468) = 7.11, p = .001, eta-square = 0.029&quot;"/><s v="memory for attended items was worse on switch trials than on repeat trials, t(17) = −2.60, p &lt; .05,"/><s v="&quot;&quot;Thus, a main effect of attention [...] was reliably modulated by switching [...]: Whereas memory for attended items was worse on switch trials than on repeat trials, t(17) = −2.60, p &lt; .05&quot;"/><s v="when participants were not under load, those who imagined that they had not done the reading believed that it was more likely that they would be called on  than participants who imagined that they had done the reading"/><s v="&quot;A 2 (behavior: had read vs. had not read) x 2 (load: yes vs. no) ANOVA revealed main effects for [...] load, F(1, 116) = 17.34, p &lt; .001&quot;"/><s v="&quot;A 2 (behavior: had read vs. had not read) x 2 (load: yes vs. no) ANOVA revealed main effects for reading, F(1, 116) = 22.88, p &lt; .001 [...]&quot;"/><s v="&quot;The main effects were qualified by the predicted interaction, however, F(1,116) = 4.15, p &lt; .05&quot;"/><s v="The buyer who paltered and the buyer who lied by commission were regarded as equally unethical"/><s v="&quot;Participants rated the behavior of the buyer who paltered as more unethical than the behavior of the buyer who answered honestly (B = 1.06, SE = .36, p = .002)&quot;"/><s v="&quot;Participants rated the behavior of the buyer who paltered no different from the buyer who lied by commission (B = −.31, SE = .34, p = .36)."/><s v="&quot;Participants rated the buyer who [...] lied by commission to be more unethical than the buyer who answered honestly, ([...] B=.87, SE=.33, p=.01, respectively)&quot;"/><s v="&quot;The buyer who paltered and the buyer who lied by commission were regarded as equally unethical (B=.04, SE=.34, p=.91 )&quot;"/><s v="&quot;Participants had more trust in the honest buyer than the one who paltered [...] (B = −1.0, SE = .32, p = .002&quot;"/><s v="&quot;Participants had more trust in the honest buyer than the one who lied by commission ([...] B = −1.36, SE = .32, p &lt; .001, respectively)&quot;"/><s v="&quot;The latter two were regarded as equally untrustworthy (B = .36, SE = .32, p = .26)&quot;"/><s v="&quot;Participants reported that they were more likely to negotiate again with the buyer who answered honestly than the buyer who paltered (B = −.78, SE = .33, p = .02)&quot;"/><s v="&quot;Participants reported that they were more likely to negotiate again with [...] the buyer who lied by commission (B = −.77, SE = .33, p = .02)&quot;"/><s v="&quot;The latter two had the same likelihood of securing another negotiation (B = −.01, SE = .33, p = .97)&quot;"/><s v="The difference in wrongness ratings between the high- dosage and low-dosage versions of the scenarios was substantially higher for the harm transgressions (mean difference = 14.605; SD = 20.395)"/><s v="&quot;Crucially, there was a significant interaction between domain and dosage, b = 9.599, SE = 1.821, p &lt; .001&quot;"/><s v="&quot;Rerunning this model without the interaction term (to ensure more interpretable main effects) indicated [...] there was a clear effect of dosage, b = 9.199, SE = 0.915, p &lt; .001&quot;"/><s v="“Rerunning this model without the interaction term (to ensure more interpretable main effects) indicated that there was no overall effect of domain, b = 3.400, SE = 6.803, p = .625&quot;"/><s v="On average, the reported size of the tested circle was 1.11 times greater (SEM = 0.03) on trials with the larger same- colored circles than on trials with the smaller same-colored circles (see Fig. 2b). This ratio was significantly greater than 1.0, t(20)"/><s v="On average, the reported size of the tested circle was 1.11 times greater (SEM = 0.03) on trials with the larger same colored circles than on trials with the smaller same-colored circles (see Fig. 2b). This ratio was significantly greater than 1.0, t(20) "/><s v="Indian participants identified substantially fewer actions in the construal-of-choice condition, t(32) = 4.25, p &lt; .001, prep &gt; .99, d = 1.03"/><s v="&quot;Simple-effects t-tests revealed that, while Indians and Americans identified a similar number of actions in the control condition (t &lt; 1), Indian participants identified substantially fewer actions in the construal-of-choice condition, t(32) = 4.25, p &lt; "/><s v="that participants in the choice condition were less disturbed by wealth inequality than participants in the control condition were, b = –0.97, SE = 0.43, t(42) = 2.29, p &lt; .03, Bayes factor = 12.76,3 d = 0.594 (see Fig. 1)."/><s v="&quot;Controlling for political orientation, gender, perceived social class, and task difficulty, participants in the choice condition reported significantly lower disturbance by wealth inequality (b = –0.97, SE = 0.43, t(42) = 2.29, p &lt; .03, d = 0.594, Bayes "/><s v="We also predicted that participants with a weak BATNA would make the lowest first offers, and we found that as well"/><s v="&quot;Negotiators with a weak BATNA (M = $4.57, SD = 1.74, 95% CI = [4.33, 4.92]) made lower offers than negotiators in both other conditions, ts(285) &gt; 6.18, ps &lt; .001, ds &gt; 0.76&quot;"/><s v="&quot;As predicted, participants gave lower ratings after the cleanliness priming (M = 4.98, SD = 1.26) than they did after the neutral priming (M = 5.81, SD = 1.47), F(1, 38) = 3.63, p-rep 5.90, partial eta-square = .09&quot;"/><s v="Whereas profile writers who tried to maximize interest in themselves believed that they would be liked more (M = 5.28, SD = 1.20) than did profile writers in the control condition (M = 4.85, SD = 1.36), b = 0.434, robust SE = 0.257, t(257) = 1.69, p = .09"/><s v="&quot;Also as predicted, self-promoters underestimated the extent to which recipients were annoyed (M = 3.54, SD = 1.94, vs. M = 4.82, SD = 2.15), F(1, 145) = 11.56, p = .001, eta-square = .07&quot;"/><s v="&quot;The interaction of condition and emotion was significant, F(6, 912) = 10.90, p &lt; .001, η2 = .07 (see Table 5)&quot;"/><s v="self-promoters will overestimate the extent to which their behavior elicits positive emotional reactions in others, and underestimate the extent to which their behavior elicits negative emotional reactions"/><s v="&quot;We conducted a two-way mixed analysis of variance on ratings of the seven emotional reactions, with condition (self-promotion vs. recipient) as a between-subjects factor, emotion as a within-subjects factor, and topic dummy variables as covariates (luck "/><s v="&quot;Self-promoters overestimated the extent to which recipients felt happy for them (M=4.88 vs. M=3.70), F(1,145)=10.85,p=.001,η2=.07&quot;"/><s v="&quot;Self-promoters overestimated the extent to which recipients felt proud of them (M=4.33 vs. M=3.08), F(1,145)=12.12,p&lt;.001,η2=.08&quot;"/><s v="&quot;Contrary to predictions, self-promoters overestimated the extent to which recipients felt jealous of them (M=3.60 vs. M=2.82), F(1,145)=3.76,p=.054,η2=.03&quot;"/><s v="&quot;As predicted, self-promoters underestimated the extent to which recipients were annoyed (M=3.54 vs. M=4.82), F(1,145)=11.56,p=.001,η2=.07&quot;"/><s v="&quot;No significant differences were observed in ratings of upset (M=2.58 vs. M=3.04), F(1,145)=1.15,p&gt;.250,η2=.01&quot;"/><s v="&quot;No significant differences were observed in ratings of anger (M=2.74 vs. M=2.97), F(1,145)=0.25,p&gt;.250,η2=.002&quot;"/><s v="&quot;Self-promoters marginally overestimated the extent to which recipients felt inferior to them (M=2.93 vs. M=2.43), F(1,145)=2.75,p=.10,η2=.02&quot;"/><s v="A 2 (sexual orientation: gay, straight; between)  2 (country of origin: equally accepting, less accepting; within) mixed-model ANOVA on American identity revealed  a significant interaction, F(1, 98) 1⁄4 22.39, p &lt; .001"/><s v="&quot;A 2 (sexual orientation: gay, straight; between) x 2 (country of origin: equally accepting, less accepting; within) mixed-model ANOVA on American identity revealed main effects of sexual orientation,  F(1, 98) = 12.54, p = .001, d = .52 [...]&quot;"/><s v="&quot;A 2 (sexual orientation: gay, straight; between) x 2 (country of origin: equally accepting, less accepting; within) mixed-model ANOVA on American identity revealed main effects of [...] country of origin, F(1, 98) = 8.21, p = .005, d-av = .34, and a sign"/><s v="&quot;A 2 (sexual orientation: gay, straight; between) x 2 (country of origin: equally accepting, less accepting; within) mixed-model ANOVA on American identity revealed [...] a significant interaction, F(1, 98) = 22.39, p &lt; .001 (see Figure 3)&quot;"/><s v="&quot;In addition, these values of dependence were lower than those observed in the short-delay condition: state given exemplar, t(26) = 1.99, p = .057, d = 0.75; exemplar given state, t(26) = 2.06, p = .05, d = 0.78&quot;"/><s v="The interaction between income and context was significant,"/><s v="&quot;The interaction between income and context was significant, F(1, 145) = 11.18, p &lt; .01, partial eta-square = .07 (see Fig. 1b)&quot;"/><s v="&quot;The interaction was also significant when income was treated as a continuous variable, β = 2.27, t(145) = 2.17, p &lt; .05&quot;"/><s v="&quot;The interaction between income and context was significant, F(1, 574) = 5.68, p &lt; .05, partial eta-square = .01 (see Fig. 1c)&quot;"/><s v="&quot;The interaction was also significant when income was treated continuously, β = 1.65, t(574) = 3.27, p &lt; .01&quot;"/><s v="they were significantly more likely to choose the target singer than to choose one of the other average-quality singers"/><s v="&quot;They were significantly more likely to choose the target singer as the winner when the distribution included two bad singers (the T1-top condition; 40.8%) than when the distribution included two good singers (the T1-bottom condition; 2.0%), χ2(2, N = 100"/><s v="&quot;[...] they were significantly more likely to choose the target singer than to choose one of the other average-quality singers (43% chose the target singer, chance = 33.33%), χ2(2, N = 90) = 4.05, p = .044,  r = .212 &quot;"/><s v="As predicted, participants who read the neuroscience articles recommended significantly shorter prison sentences than did participants who read the other science articles (M = 3.10, SD = 1.48, vs. M = 3.83, SD = 1.77), t(86) = 2.09, p =.04, d = 0.45 (Fig."/><s v="&quot;As predicted, participants who read the neuroscience articles recommended significantly shorter prison sentences than did participants who read the other science articles (M = 3.10, SD = 1.48, vs. M = 3.83, SD = 1.77), t(86) = 2.09, p = .04, d = 0.45 (Fi"/><s v="Furthermore, the interaction term between age and expanded time horizons was negative, although it failed to reach the conventional threshold for statistical significance in the traditional two-tailed test (β = −0.42, 95% CI: −0.88 – 0.02, Z = −1.86, p = "/><s v="&quot;In support of the second hypothesis, we found a main effect of expanded time horizons on preferences, whereby the likelihood of helping others was reduced in the expanded horizons condition (β = −0.7, Z = −3.15, p = .002).&quot;"/><s v="&quot;The interaction term between age and expanded time horizons was negative, although it failed to reach conventional significance in a two-tailed test (β = −0.42, Z = −1.86, p = .07), but significant with a one-tailed test (p(one-tailed) = .035).&quot;"/><s v="&quot;Contrary to the third hypothesis, the main effect of limited time horizons was also negative (β = −0.45, Z = −2.01, p = .05).&quot;"/><s v="&quot;Age was not significantly associated with the likelihood of helping a colleague or a friend under expanded time horizons (β = 0.17, Z = 1.06, p = .29).&quot;"/><s v="&quot;However, under limited time horizons, the effect of age on increasing the likelihood of helping others fell just short of reaching the traditional threshold for statistical significance (β = 0.3, 95% CI: −0.01 – 0.61, Z = 1.9, p = .06).&quot;"/><s v="that participants chose to employ .... distraction on 70.7% of the high-intensity trials (95% CI: [60.7, 80.7]), F(1, 19) = 47.54, p &lt; .000001, ηp2 = .71."/><s v="&quot;Participants chose to employ reappraisal more frequently in low-intensity trials (76.3%, 95% CI: [66.3, 86.3]) compared to distraction in high-intensity trials (70.7%, 95% CI: [60.7, 80.7]), with a significant difference observed, F (1, 19) = 47.54, p &lt; "/><s v="&quot;Second, the predicted End of Spectrum × Trait Disgust interaction was significant, b = −0.04, SE = 0.02, t(17586) = −2.11, p = .04, OR = 0.96&quot;"/><s v="Planned comparisons showed that ratings in the public CK condition (M = 0.21, 95% CI = [0.16, 0.25]) were significantly higher than those in ... the secret CK condition (M = 0.18, 95% CI = [0.13, 0.22]), t(105) = −1.96, p = .052."/><s v="&quot;A paired-samples t-test on the log-transformed ratings of understanding showed that scores were significantly higher in the CK condition (M = 0.28, 95% CI [0.21, 0.35]) compared to the no-CK condition (M = 0.20, 95% CI [0.15, 0.25]), t(69) = −3.40, p = ."/><s v="&quot;A repeated measures analysis of variance (ANOVA) on the log-transformed ratings of understanding revealed a main effect of condition on understanding, F(2, 210) = 5.62, p = .004, partial eta-square = .051&quot;"/><s v="&quot;Planned comparisons showed that ratings in the public CK condition (M = 0.21, 95% CI = [0.16, 0.25]) were significantly higher than those in the public no-CK condition (M = 0.15, 95% CI = [0.11, 0.19]), t(105) = −3.20, p = .002.&quot;"/><s v="&quot;Planned comparisons showed that ratings in the public CK condition were nearly significantly higher than those in the secret CK condition (M = 0.18, 95% CI = [0.13, 0.22]), t(105) = −1.96, p = .052.&quot;"/><s v="&quot;The means for the public no-CK and secret CK conditions were not significantly different, t(105) = −1.51, p = .134&quot;"/><s v="These results were confirmed in a multiple regression analysis in which we predicted the judgments using DFT, DFT-squared, judgment type (trustworthiness = 1, attractiveness = 0), and their interactions (all predictors centered), F(5, 16) = 285.81, p &lt; .0"/><s v="&quot;These results were confirmed in a multiple regression analysis predicting judgments from DFT, DFT-squared, judgment type (trustworthiness = 1, attractiveness = 0), and their interactions (all predictors centered), F(5, 16) = 285.81, p &lt; .001, R² = .99.&quot;"/><s v="&quot;The significant effect of DFT, β = 2.27, p &lt; .001, revealed that DFT influenced attractiveness judgments, such that the more distant faces were from the typical face, the more attractive they were judged.&quot;"/><s v="&quot;A significant quadratic effect of DFT on attractiveness judgments, β = −1.09, p &lt; .001; the effect of DFT became weaker at higher values of DFT.&quot;"/><s v="&quot;The interactions between [...] DFT-squared and judgment type, β = 0.34, p &lt; .03, indicated that trustworthiness and attractiveness judgments followed different trends as a function of DFT.&quot;"/><s v="&quot;The interactions between DFT and judgment type, β = −1.54, p &lt; .001 [...], indicated that trustworthiness and attractiveness judgments followed different trends as a function of DFT.&quot;"/><s v="&quot;On average, trustworthiness judgments were lower than attractiveness judgments, as revealed by the significant effect of judgment type, β = −0.26, p &lt; .001.&quot;"/><s v="showed that participants in the disrespect condition reported a higher level of cynicism (M  3.90, SD  1.29) than participants in the control condition (M  3.40, SD  1.22), t(221)  2.95, p  .004, d .40."/><s v="&quot;Cynicism. An independent-samples t-test showed that participants in the disrespect condition reported a higher level of cynicism (M = 3.90, SD = 1.29) than those in the control condition (M = 3.40, SD = 1.22), t(221) = 2.95, p = .004, d = 0.40&quot;"/><s v="Results showed significant main effects of wording, F(3, 129) = 31.45, p &lt; .001,"/><s v="&quot;The average prevalence level that led to right responses for each wording condition at each age group is displayed in Table 1&quot;"/><s v="ANOVA revealed a significant interaction, F(1, 46) = 7.89, MSE = 0.01, p = .007, η2 = .15."/><s v="&quot;In the eight-word condition, the proportion of words recalled was significantly greater on save trials (M = .80, SE = .03) than on no-save trials (M = .29, SE = .03), t(23) = 14.24, p &lt; .001, d = 2.91, mean difference = .51 (95% CI = [.43, .58])&quot;"/><s v="&quot;A similar difference was observed in the two-word condition, with performance being perfect on save trials (M = 1.00, SE = .00) and significantly worse than perfect on no-save trials (M = .79, SE = .05), t(23) = 3.98, p = .001, d = 0.81, mean difference "/><s v="&quot; [...] participants in the eight-word condition recalled significantly more words from File B when they had saved File A than when they had not saved File A, t(23) = 4.56, p &lt; .001, d = 0.93, mean difference = .13 (95% CI = [.07, .18])&quot;"/><s v="&quot;When File A consisted of only two words, participants did not recall significantly more words from File B after they had saved File A than after they had not saved File A, t(23) = 0.40, p = .69, d = 0.08, mean difference = .01 (95% CI = [−.05, .07]).&quot;"/><s v="&quot;A 2 (trial type: save vs. no save) × 2 (condition: eight word vs. two word) mixed-design ANOVA revealed a significant interaction, F(1, 46) = 7.89, MSE = 0.01, p = .007, η2 = .15&quot;"/><s v="when the two faces were physically identical, participants tended to judge the face at the cued location to have higher con-&#xA;trast than the face at the uncued location (55.8% vs. 45.8%), t(15) = 2.51, p = .02, η2 = .30."/><s v="&quot;There was a main effect of actual contrast level on contrast judgments, F(4, 15) = 27.93, p = .0001, eta-square = .31&quot;"/><s v="&quot;As shown in Figure 4b, when the two faces were physically identical, participants tended to judge the face at the cued location to have higher contrast than the face at the uncued location (55.8% vs. 45.8%), t(15) = 2.51, p = .02, eta-square = .30&quot;"/><s v="Participants gave up an average of 0.63¢ per trial to perform the self task instead of judging another person [t(36) = 3.32, P = . 002, d = 1.11]"/><s v="&quot;Participants gave up an average of 0.63¢ per trial to perform the self-task instead of judging another person, t(36) = 3.32, p = .002, d = 1.11&quot;"/><s v="Consistent with our hypothesis, the analysis showed that females were more accurate in the social condition (M = 11.59, SD = 5.29, 95% CI = [9.80, 13.37]) than in the spatial condition (M = 7.69, SD = 3.80, 95% CI = [5.96, 9.43]),"/><s v="&quot;We first tested our predictions for the spatial-orientation test. A 2 (sex: male, female) × 2 (condition: social, spatial) between-subjects analysis of variance (ANOVA) found significant main effects of sex, F(1, 131) = 14.22, p &lt; .001, partial η² = .10,"/><s v="&quot;We first tested our predictions for the spatial-orientation test. A 2 (sex: male, female) × 2 (condition: social, spatial) between-subjects analysis of variance (ANOVA) found significant main effects of [...] condition, F(1, 131) = 16.84, p &lt; .001, parti"/><s v="&quot;As predicted, there was a statistically significant interaction between sex and condition, F(1, 131) = 14.18, p &lt; .001, partial η² = .10&quot;"/><s v="A 2 (race of prime: Black, White) × 2 (target object: gun, toy) repeated measures analysis of variance (ANOVA) revealed a significant interaction, F(1, 62) = 17.21, p &lt; .001, ηp2 = .22."/><s v="&quot;A 2 (race of prime: Black, White) × 2 (target object: gun, toy) repeated measures analysis of variance (ANOVA) revealed a significant interaction, F(1, 62) = 17.21, p &lt; .001, partial η² = .22&quot;"/><s v="&quot;Analyses of error-rate data revealed that, as with the RT data, there was a significant Race of Prime × Target Word interaction, F(1, 61) = 32.30, p &lt; .001, partial η² = .35&quot;"/><s v="Further, the ranges dubbed groot ‘big’ and klein ‘small’ were not equal. The zone labeled klein was significantly larger than the groot zone: Z = 3.1, p &lt; .005"/><s v="&quot;The zone labeled klein was significantly larger than the groot zone: Z = 3.1, p &lt; .005 (Wilcoxon Signed-ranks test)&quot;"/><s v="&quot;The &quot;groot zone&quot; (i.e., the range of sizes considered appropriate for an object) was significantly larger for objects from the PROTOTYPICALLY SMALL category compared to the PROTOTYPICALLY BIG category, as evidenced by a Friedman test: χ²(2) = 9.5, p &lt; .0"/><s v="The predicted interaction between the measure of inherence bias and behavior typicality was significant in this model, b = 2.44, 95% CI = [0.78, 4.10], p = .004 (for results for the full model, see Table 4)."/><s v="&quot;Additionally, participants were less supportive of giving cash assistance to the person depicted in the welfare image (M = 2.95, 95% CI [2.78, 3.13]) than the non-recipient image (M = 3.80, 95% CI [3.65, 3.96]), partial eta-square = .26. (supplementary m"/><s v="&quot;As predicted, the person depicted in the welfare-recipient image was rated as less responsible (generally), and less responsible with food stamps and cash assistance, than the person depicted in the non-welfare-recipient image&quot;"/><s v="&quot;The indirect effect was not significant when mediated by perceived race alone, b = −0.04, 95% CI = [−0.46, 0.36].&quot;"/><s v="a significant interaction effect between cue type and Facebook use, F(1, 126) = 8.91, p = 0.003, and g2 p = 0.066 (Fig. 2B)."/><s v="&quot;The main effects of cue type, F(1, 126) = 2.28, p = 0.134, partial η² = 0.018 [...]&quot;"/><s v="&quot;The main effects of [...] Facebook use, F(1, 126) = 0.26, p = 0.609, partial η² = 0.002, were not significant&quot;"/><s v="&quot;However, the results again revealed a significant interaction effect between cue type and Facebook use, F(1, 126) = 8.91, p = 0.003, partial η² = 0.066 (Fig. 2B)&quot;"/><s v="a main effect of moderator: as shown in Fig. 2a, participants were significantly less likely to agree with claims about causal and explanatory relationships when a relationship was moderated than non-moderated"/><s v="&quot;A 2 moderator (moderated relationship, non-moderated relationship) × 2 judgment (causal, explanatory) × 2 target (type, token) mixed ANOVA on causal and explanatory ratings revealed a main effect of moderator: as shown in Fig. 2a, participants were signi"/><s v="Choice enhanced curiosity; participants were more curious about lotteries that they had chosen themselves (curiosity ratings: M = 2.94, SD = 0.33; willingness to wait: M = 47.19%, SD = 19.81%) than about those that had been provided to them (matching thei"/><s v="&quot;Choice enhanced curiosity; participants were more curious about lotteries that they had chosen themselves (curiosity ratings: M = 2.94, SD = 0.33; willingness to wait: M = 47.19%, SD = 19.81%) than about those that had been provided to them (matching the"/><s v="Participants who were primed with money were less helpful than participants not primed with money [t(42) = 2.13, P &lt; 0.04; Cohen’s d = 0.63]."/><s v="&quot;We found that participants primed with money donated significantly less money to the student fund than participants not primed with money, t(38) = 2.13, p &lt; 0.05, Cohen’s d = 0.64 (Table 1).&quot;"/><s v="Women reported more positive attitudes toward sexual imagery that promoted an expensive watch than toward sexual imagery that promoted a cheap watch, F(1, 83) = 7.55, p &lt; .01, hp2 = .144."/><s v="&quot;Women reported more positive attitudes toward sexual imagery that promoted an expensive watch than toward sexual imagery that promoted a cheap watch, F(1, 83) = 7.55, p &lt; .01, partial η² = .144&quot;"/><s v="&quot;This hypothesis was supported, F(1, 82) = 3.68, p = .059, partial eta-square = .043&quot;"/><s v="We found strong support for an effect of memory dependency on O-score, with significantly higher Z-scores for memory- dependent than memory-independent task phases (Fig. 3A; coefficient = 0.28; 95% CI: 0.19–0.36; t(556) = 6.55; p &lt; 0.001)."/><s v="&quot;We found strong support for an effect of memory dependency on O-score, with significantly higher Z-scores for memory dependent than memory-independent task phases (Fig. 3A; coefficient = 0.28; 95% CI: 0.19–0.36; t(556) = 6.55; p&lt;0.001)&quot;"/><s v="a significant interaction between condition and SLB endorsement, F(3, 156) = 10.70, p &lt; .001; R2 change = .04; b = 0.49, SE = 0.18, t(156) = 2.66, p = .01."/><s v="&quot;Step 2 revealed a significant interaction between condition and SLB endorsement, F(3, 156) = 10.70, p &lt; .001; R2  change = .04; b = 0.49, SE = 0.18, t(156) = 2.66, p = .01&quot;"/><s v="&quot;Stronger SLB endorsement was associated with increased perceptions of anti-White bias (b = 0.45, SE = 0.09, t(157) = 4.90, p &lt; .001)&quot;"/><s v="&quot;There was no main effect of condition (b = 0.10, SE = 0.17, t(157) = 0.59, p = .56)&quot;"/><s v="&quot;As seen in Table 1, participants enjoyed the external activities much more than just thinking [t(28) = 4.83, p &lt; 0.001], found it easier to concentrate [t(28) = 4.16, p &lt; 0.001], and reported that their minds wandered less [t(28) = 3.61, p = 0.001].&quot;"/><s v="&quot;Specifically, participants in the self-and-other high benefit condition cheated significantly more often (37%) than did those in the other-alone benefits condition, 16%, χ²(1) = 5.59, p = .02.&quot;"/><s v="We found that they could keep only a single feature attached during mental rotation,"/><s v="&quot;But capacity in the object-rotation condition was dramatically lower: Only a single feature could remain attached to a moving part (M = 0.96, SE = 0.10, 95% CI = [0.74, 1.18]), F(1, 11) = 32.04, p &lt; .001, partial η² = .74 (Fig. 2b)&quot;"/><s v="&quot;An analysis of the results in terms of accuracy instead of capacity also revealed that performance was significantly lower in the object-rotation condition (M = 76%, SE = 2.1%, 95% CI = [71.3%, 80.7%]) than in the no-rotation condition (M = 87.5%, SE = 2"/><s v="preschoolers rated contributors (M = 3.74) more positively than the free riders (M = 2.24; d = 1.40)"/><s v="&quot;We carried out the same analysis as in Study 1 and observed effects for target (β = 1.72, 95% CI = [1.44, 2.00])&quot;"/><s v="performance was significantly less accurate in the cued than the neutral trials, F(1, 17)  8.01, p  .01."/><s v="&quot;As can be seen in Figure 2a, performance was significantly less accurate in the cued than the neutral trials, F(1, 17) = 8.01, p &lt;=  .01&quot;"/><s v="&quot;Bonferroni corrected confidence ratings in the false-consensus condition [...] were slightly higher than those in the no-consensus condition, t(94) = 2.77, p = .019, d = 0.50&quot;"/><s v="&quot;Although confidence ratings in the false-consensus condition were still significantly lower than those in the true-consensus condition, t(94) = 7.77, p &lt; .001, d = 1.72, [...]&quot;"/><s v="&quot;Although confidence ratings in the false-consensus condition were [...] slightly higher than those in the no-consensus condition, t(94) = 2.77, p = .019, d = 0.50, Bonferroni corrected&quot;"/><s v="Each unit increase in subsidies for the corresponding childcare alternative is associated with a 2.5% increase in the odds of pre- ferring that mode of childcare."/><s v="&quot;Model 1 in Table 4 reports the effects of the experimentally altered dimensions of the different alternatives and the situational context&quot;"/><s v="&quot;Finally, all the reported effects of the experimentally altered dimensions are persistent when including additional controls, namely, respondents’ gender and their social and migration background (models 2–5 in Table 4).&quot;"/><s v="&quot;Model 2 in Table 4 demonstrates that there is no effect of parental social status, measured by the ISEI, on the likelihood of recommending one particular childcare alternative to their friend&quot;"/><s v="&quot;To this end, models 3, 4, and 5 in Table 4 include alternative-specific interaction effects of the amount of subsidies with individual social status (ISEI), migration background, and gender&quot;"/><s v="We also found a significant effect of the legacy prime on behavioral intentions. Participants who were primed reported greater behavioral intentions (M = 3.05, SD = 0.86) than those who were not primed (M = 2.73, SD = 0.85), F(1, 309) = 10.07, p = .002, d"/><s v="“We also found a significant effect of the legacy prime on behavioral intentions. Participants who were primed reported greater behavioral intentions (M = 3.05, SD = 0.86) than those who were not primed (M=2.73,SD=0.85), F(1,309)=10.07, p=.002, d=0.36.”"/><s v="“As expected, the essay manipulation successfully enhanced overall legacy motives. Almost 10 min after being exposed to the manipulation, participants who wrote the essay reported higher legacy motives (M = 4.47, SD = 1.06), compared with those in the con"/><s v="“Moreover, as predicted, we found a significant effect of the legacy prime on willingness to engage in behaviors aimed at combating climate change. Participants who were primed with legacy motives had higher belief scores (M = 5.39, SD = 1.08) than those "/><s v="&quot;This analysis showed that the indirect effect of the legacy prime on climate-change beliefs through legacy motives was significant, with a 95% confidence interval (CI) that excluded zero (β = 0.041, 95% CI = [0.01, 0.09], p = .029)&quot;"/><s v="&quot;When we replaced climate-change attitudes with behavioral intentions as the outcome variable, behavioral intentions were also partially mediated by increases in legacy motives—direct effect of priming condition on intentions: [...] the indirect effect wa"/><s v="the interaction between congruency and alignment, F(1, 21) = 22.80, p &lt; .001, ηp2 = .52, .... was significant."/><s v="&quot;A 2 (alignment) × 2 (congruency) × 2 (task) repeated measures analysis of variance (ANOVA) revealed a main effect of congruency, F(1, 21) = 41.84, p &lt; .001, partial eta-square = .67&quot;"/><s v="&quot;The interaction between congruency and alignment was also significant, F(1, 21) = 25.81, p &lt; .001, partial eta-square = .55&quot;"/><s v="&quot;The three-way interaction of alignment, congruency, and task was not significant, F(1, 21) = 3.80, p = .065, partial eta-square = .15&quot;"/><s v="&quot;For the face task, the congruency effect, F(1, 21) = 26.35, p &lt; .001, partial eta-square = .56 [...], were both significant&quot;"/><s v="&quot;The interaction between congruency and alignment, F(1, 21) = 7.97, p = .010, partial eta-square = .28, were both significant&quot;"/><s v="&quot; Moreover, the congruency effect was significant only in the aligned condition, t(21) = 5.41, p &lt; .001, Cohen’s d = 1.15&quot;"/><s v="&quot; Moreover, the congruency effect was significant [...] not in the misaligned condition, t(21) = 0.00, p = .059, Cohen’s d = 0.43&quot;"/><s v="&quot;Both the congruency effect, F(1, 21) = 26.30, p &lt; .001, partial eta-square = .56, [...] were significant&quot;"/><s v="&quot;Both the congruency effect,  [...] and the interaction between congruency and alignment, F(1, 21) = 22.80, p &lt; .001, partial eta-square = .52, were significant&quot;"/><s v="&quot;Again, a significant congruency effect was observed in the aligned condition, t(21) = 5.95, p &lt; .001, Cohen’s d = 1.27&quot;"/><s v="&quot;Again, a significant congruency effect was observed [,,,] not in the misaligned condition, t(21) = 0.96, p = .348, Cohen’s d = 0.20.&quot;"/><s v="&quot;Paticipants responded the fastest (in milliseconds) to the pairs in the hierarchy condition (M = 459.32, SD = 63.06), and they were slower to respond in the equality (submissive) (M = 462.22, SD = 64.82), equality (dominant) (M = 469.42, SD = 68.35), and"/><s v="But as shown in Figure 4, participants judged that the man was more likely than the woman to be the pilot, regardless of their evaluation of person X, F(1, 344) = 84.58, p &lt; .0001, η2 = .19, 95% CI = [.13, .27]."/><s v="&quot;But as shown in Figure 4, participants judged that the man was more likely than the woman to be the pilot, regardless of their evaluation of person X, F(1,344) = 84.58,p &lt; .0001, eta-square = .19,95% CI = [.13,.27].&quot;"/><s v="&quot;[...] means below the midpoint of 4 on the scales, Cronbach’s α = .91, composite M = 3.29, SE = 0.08, one sample t(347) = −8.90, p &lt; .0001, Cohen’s d = 0.48, 95% CI = [0.37, 0.60]&quot;"/><s v="&quot;This interaction was driven once again by a significant suppression effect in the control group (M = 1.19), F(1, 15) = 33.548, p &lt; .001, partial eta-square = .691&quot;"/><s v="&quot;A significant group difference in suppression induced forgetting was observed, as indicated by a significant condition-by-group interaction, F(1, 30) = 4.573, p = .041, partial eta-square = .132&quot;"/><s v="&quot;As for the two previous measures, a significant group difference in suppression-induced forgetting was observed, established by a significant condition-by-group interaction, F(1, 30) = 14.231, p = .001, partial eta-square = .322&quot;"/><s v="participants primed with action performed better than participants primed with inaction did (M  12.83, SD  1.86 vs. M  10.78, SD  3.15, respectively)."/><s v="for positive emotions, reading times were faster for passages that were written from a personal perspective (M = 2201, SD = 1284) than from an onlooker perspective (M = 2350, SD = 1351; t(4408) = 3.73, p &lt; .001; see Figure 1)."/><s v="&quot;For positive emotions, reading times were faster for passages that were written from a personal perspective (M=2201,SD=1284) than from an onlooker perspective (M=2350,SD=1351; t(4408)=3.73,p&lt;.001; see Figure 1)&quot;"/><s v="&quot;The analysis revealed an effect of perspective on reading times (see Table 1)&quot;"/><s v="&quot;The analysis did not reveal a main effect of valence (see Table 1)&quot;"/><s v="&quot;An interaction of valence and perspective was found (see Table 1)&quot;"/><s v="&quot;Self-ratings were only marginally affected by perspective (see Table2)&quot;"/><s v="&quot;For the self-ratings of emotions, we found differences between negatively and positively valenced texts (see Table 2)&quot;"/><s v="&quot;The analysis revealed an interaction between perspective and valence for self-reported emotions (see Table 2).&quot;"/><s v="&quot;We find a strong relationship: language seems to yield stronger alignment between students and teachers when the teachers are (expected to be) confident in what they have learned (r =−0.75, p &lt; 001)&quot;"/><s v="Participants in the lack-of-control condition reported more than double the physical pain (M = 13.75, SD = 21.49) reported by participants in the complete-control condition (M = 6.57, SD = 11.62), t(98) = 2.04, p = .04, d = 0.41. "/><s v="&quot;Participants in the lack-of-control condition reported more than double the physical pain (M = 13.75, SD = 21.49) reported by participants in the complete-control condition (M = 6.57, SD = 11.62), t(98) = 2.04, p = .04, d = 0.41&quot;"/><s v="In Experiment 1a, 64% of participants experienced complete inattentional blindness on the critical trial (Fig. 1b). Only 18% of participants detected the scene immediately. However, in the post–inattentional blindness testing, in which participants were e"/><s v="As predicted, mothers were judged as significantly less competent and committed than women without children."/><s v="&quot;As predicted, mothers were judged as significantly less competent and committed than women without children.&quot;"/><s v="&quot;Mothers are also less likely than other types of applicants to be recommended for management (second column of table 4)&quot;"/><s v="Analyses of variance confirmed that participants in the status-threat condition expressed greater perceived group-status threat than did participants in the assuaged-threat or control conditions— Study 3a: F(2, 166) = 7.23, p &lt; .001, ηp2 = .08;"/><s v="&quot;Results revealed a main effect of experimental condition on overall policy attitudes, F(2, 161) = 4.92, p = .008, partial eta-square = .06&quot;"/><s v="Unsurprisingly, we found a main effect of moral decision on the moral character evaluation composite, F(1,117) 1⁄4 127.07, p &lt; .001,"/><s v="The Decision Speed interaction was significant, F(1, 117) = 127.07, p &lt; .001. An analysis of the simple effects showed that, as predicted, quick (vs. slow) immoral decisions prompted more negative moral character evaluations, t(54) = 8.28, p &lt; .001, where"/><s v="Priming intuition (or inhibiting reflection) increases cooperation relative to priming reflection (or inhibiting intuition).  Contributions are significantly higher when subjects are primed to promote intuition relative to reflection ( rank sum, P = 0.011"/><s v="contributions are significantly higher when subjects are primed to promote intuition relative to reflection"/><s v="The probability of maintaining cultural diversity (that is, observing both tasks in the group) increased with group size (x2 = 16.3, d.f. = 1, p &lt; 0.0001)"/><s v="the probability of maintaining cultural diversity (that is, observing both tasks in the group) increased with group size"/><s v="In 20 IGGs using d = 0.8 and T 5 50%, with an applied the voting rule, we found a dramatic increase in sustainability (Fig. 2b): all 20 common pools were sustained across all generations (unregulated versus voting: linear probability model (LPM) predictin"/><s v="the fraction of cooperators was 20% larger under voting than unregulated"/><s v="In the high initial inequality condition, making neighbours’ wealth visible results in significantly higher levels of inequality compared to when neighbours’ wealth is invisible (difference in final round Gini = 0.104, P = 0.004)."/><s v="In the high initial inequality condition, making neighbours’ wealth visible results in significantly higher levels of inequality compared to when neighbours’ wealth is invisible "/><s v="When participants started with three periods of  &quot;neither communicaiton nor punishment&quot; (NCP), the resource was consistently depleted within about 90 s,. &#xA;When participants started with &quot;communication&quot; (C) periods, the amount of earnings did not drop sign"/><s v="Periods with communication lead on average to a slower harvesting rate and more resource regeneration"/><s v="Hand washing significantly reduced the need to justify one’s choice by increasing the perceived difference between alternatives [F(1, 38) = 6.74, P = 0.01, for the interaction of time and hand-washing &#xA;manipulation]."/><s v="hand washing significantly reduced the need to justify one’s choice by increasing the perceived difference between alternatives"/><s v="Clipboard weight (heavy or light) nonconsciously influenced impressions and decisions formed about unrelated people - specifically for ratings of job candidates (scale = 1 to 7), where higher numbers indicate stronger&#xA;evaluations. F(1, 52) = 4.08, p = 0.0"/><s v="Participants using heavy clipboards rated the candidate as better overall"/><s v="Participants computed the agent’s belief and that this belief influenced their behavior even though it was inconsistent with their own belief. This is shown when participants were faster than in the baseline condition when only the agent believed the ball"/><s v="participants were faster than in the baseline condition when only the agent believed the ball to be behind the occluder"/><s v="Confirming the prediction of increased mediator retrieval, recall of mediators at final test in the CMR group was greater after test-restudy versus restudy practice (51% versus 34%)."/><s v="recall of mediators at final test in the CMR group was greater after test-restudy versus restudy practice (51% versus 34%)"/><s v="Testing if repeatedly imagining the consumption of a food would increase or decrease the amount of that food that people would subsequently consume.&#xA;Planned comparisons revealed that participants in the 30-repetition condition ate significantly fewer M&amp;M’"/><s v="the amount of M&amp;M’s eaten by participants was influenced by the imagination induction"/><s v="On the final test 1 week later, collapsed across question type (verbatim and inference), the advantage of retrieval practice (M = 0.67) over elaborative studying with concept mapping (M = 0.45) represented about a 50% improvement in long-term retention sc"/><s v="the advantage of retrieval practice (M = 0.67) over elaborative studying with concept mapping (M = 0.45) represented about a 50% improvement in long-term retention scores"/><s v="Control participants showed an accuracy drop from pretest to posttest, whereas students who expressed their thoughts before the high-pressure test (expressive writing group) showed a significant  math accuracy improvement from the pretest to posttest. &#xA;Fo"/><s v="in the posttest, the expressive writing group performed significantly better than the control group "/><s v="Computer words were more accessible [color-naming RT mean (M) = 712 ms, SD = 413 ms] than general words (M = 591 ms, SD = 204 ms) after participants had encountered a series of questions to which they did not know the answers, t(68) = 3.26, P &lt; 0.003, two"/><s v="Although the concept of knowledge in general seems to prime thoughts of computers, even when answers are known, not knowing the answer to general-knowledge questions primes the need to search for the answer, and subsequently computer interference is parti"/><s v="Comparisons to the control treatment CTR reveal that the frequency of competing women is significantly higher in PT1 [chi-squared(1) = 5.62, P = 0.018] &#xA;(where preferential treatment 1 (PT1) means each woman’s performance is automatically increased by one"/><s v="Bilateral comparisons with the control treatment CTR reveal that the frequency of competing women is significantly higher in PT1"/><s v="A novel visual prime that triggers analytic thinking (The Thinker) also encouraged disbelief in God, [t(55) = 2.24, P = 0.03]."/><s v="viewing The Thinker significantly promoted religious disbelief"/><s v="Similar object trials were more accurately identified as being similar when they were preceded by new object trials than when they were preceded by old ones [ t(14) = 3.41, P &lt; 0.005]."/><s v="similar trials were more accurately identified as being similar when they were preceded by new trials than when they were preceded by old ones"/><s v="Poor participants performedworse  than did rich participants  in the attention task (Dots-Mixed Task). &#xA;The poor engage more deeply and could be more fatigued despite spending less time on the WHeel of Fortune task. &#xA;[F(1, 54) = 4.16, P &lt; 0.05]"/><s v="We measured the total number of correct responses in the attention task. Four participants were removed from the analyses for having zero correct responses. Poor participants performed worse (mean T SD, 45.12 T 15.87) than did rich participants"/><s v="Affective valence was higher for winners than losers when ratings were based on the body alone (p&lt; 0.001)"/><s v="participants failed to rate the affective valence of winners as more positive than the affective valence of losers when seeing the face alone, they succeeded when seeing the body alone"/><s v="Theory of Mind task scores were higher in the literary fiction than nonfiction condition [F1,82 = 6.40, p =0.01]"/><s v="Scores for the affective ToM task were higher in the literary fiction than nonfiction condition"/><s v="Participants enjoyed the external activities much more than just thinking [t(28) = 4.83, P &lt; 0.001]."/><s v="participants enjoyed the external activities much more than just thinking"/><s v="When 50% covered overhead, 71.43% of participants donated to charity: water, which  is significantly higher than when  there is a 50% uncovered&#xA;overhead, (z = 3.00, P &lt; 0.01). "/><s v="at 50% covered overhead, 71.43% of participants donated to charity: water, which is significantly higher than those in treatment three (50% uncovered overhead"/><s v="In the gay kissing condition, disgust sensitivity was associated with stronger judgments of intentionality, β =  .79, t(19) = 4.49, p &lt;  .001, while in the control condition, disgust sensitivity did not predict intentionality judgments,  β = .20, t(19) = "/><s v="&quot;participants viewed the director’s action as more intentional when he encouraged public gay kissing (M  4.36) than when he encouraged public straight kissing (M  2.91), β =  .41, t(39) = 3.39, p &lt; .01 &quot;,&quot; disgust sensitivity predicts implicit moral respo"/><s v="&quot;in the gay kissing condition, disgust sensitivity was associated with stronger judgments of intentionality, β =  .79, t(19) = 4.49, p &lt;  .001, &quot;,&quot; disgust sensitivity predicts implicit moral responses to male-male sexual contact—as measured through inten"/><s v="&quot;while in the control condition, disgust sensitivity did not predict intentionality judgments, β = .20, t(19) = .88, ns (see Figure 1) &quot;,&quot; disgust sensitivity predicts implicit moral responses to male-male sexual contact—as measured through intentionality"/><s v="As expected, the correlation between both measures increased from r = .32, in the general-specific condition, to r = .67, z = 2.32, p &lt; .01 for the difference in correlations, when the specific question preceded the life-satisfaction question. [...] indic"/><s v="&quot;the correlation between both measures increased from r = .32, in the general-specific condition, to r = .67 &quot;,&quot; when the specific question preceded the life-satisfaction question &quot;,&quot; indicating that respondents used the previously activated specific info"/><s v="&quot;the correlation between both measures increased from r = .32, in the general-specific condition &quot;,&quot; indicating that respondents used the previously activated specific information in answering the general question&quot;"/><s v="&quot;z = 2.32, p &lt; .01 for the difference in correlations, when the specific question preceded the life-satisfaction question &quot;,&quot; indicating that respondents used the previously activated specific information in answering the general question&quot;"/><s v="[Replication does not target an explicit claim, but a pairwise comparison in Table 1] Americans ascribe a more pro-capital-punishment attitude to the write of an essay in favour of capital punishment than against it, t(98) = 6.66, p &lt; .001. &quot;Americans sho"/><s v="In the harm condition, most subjects (82%) said that the agent brought about the side effect intentionally, whereas in the help condition, most subjects (77%) said that the agent did not bring about the side effect intentionally. This difference was highl"/><s v="&quot;Denise’s action was judged permissible by 89% of subjects (p[.87 &lt; μ &lt;. 91] = 0.05), while Frank’s action was judged permissible by 11% of subjects (p[.09 &lt; μ &lt;. 13] = 0.05). These proportions differ significantly ( 2 [1, N = 2646] = 1615.96, p &lt; 0.001),"/><s v="Subjects who claimed that they personally would follow a given behavioral alternative also tended to rate that alternative as relatively probable for “people in general”; those subjects who claimed that they would reject the alternative tended to rate it "/><s v="&quot;For two of the stories (Supermarket Story and Term Paper Story), the effect of Rater’s Own Choice upon the difference in ratings for the two behavioral alternatives was clearly significant, F(1,78) = 17.27, p &lt; .001  &quot;,&quot; like perceptions of behavioral co"/><s v="&quot;For one story (Traffic Ticket Story) the effect was marginally significant, F = 3.18, p &lt; .10, &quot;,&quot; like perceptions of behavioral consensus, trait inferences are systematically influenced by the rater’s own behavioral choices, although the effect is less"/><s v="People rated the child as less responsible than the adult, t(68) = 3.32, p &lt; .01."/><s v="&quot;People rated the child as less responsible than the adult, t(68)  3.32, p  .01 &quot;,&quot; age of harm-doer and age of victim have complementary effects on perceptions of moral agency and moral patiency the older victim is seen as more responsible, and the young"/><s v="&quot;People rated the child &quot;,&quot; as having less intentionality than the adult for the moral transgression, t(68)  2.20, p  .05 &quot;,&quot; age of harm-doer and age of victim have complementary effects on perceptions of moral agency and moral patiency the older victim "/><s v="&quot;Relative to the adult, children were rated as experiencing more pain, t(68)  3.49, p  .01. &quot;,&quot; age of harm-doer and age of victim have complementary effects on perceptions of moral agency and moral patiency the older victim is seen as more responsible, a"/><s v="When participants were asked to judge the similarity of the target object to the categories: European Americans gave many more responses based on the unidimensional rule than on family resemblance (M = 69% vs. M = 31%), t(17) = 3.68, p&lt;.005."/><s v="When participants were asked to judge the similarity of the target object to the categories: East Asians gave fewer rule-based responses than family resemblance responses (M =41%vs.M =59%), t(17) = 2.09,p = .05"/><s v="&quot;only a main effect of judgment condition emerged, indicating that participants overall were slower when classifying than when judging similarity (in ms: M = 7,516 and SD = 3,160 vs. M = 6,260 and SD = 4,379), F (1, 151) = 4.25, p&lt;.05. There were no main "/><s v="A less-is-better effect emerged from this study. Although the $55 coat is certainly more expensive than the $45 scarf, those receiving the scarf considered their gift giver to be signficantly more generous than those receiving the coat (M = 5.63 and 5.00,"/><s v="&quot;Although the $55 coat is certainly more expensive than the $45 scarf, those receiving the scarf considered their gift giver to be significantly more generous than those receiving the coat (M = 5.63 and 5.00, respectively, t = 3:13; p &lt; 0:01) &quot;,&quot; If gift "/><s v="For the south–north axis, the interaction between SES and population was significant, F(1, 176) = 20.39, MSE = 5.63, p &lt; .001, η2p = 0.10.&#xA;"/><s v="US participants considered that high-SES andlow-SES individuals were more likely to live in the northern(+0.98, SD = 1.85), t(39) = 3.34, p &lt; .01, d = 0.53, and southernareas (0.69, SD = 2.19), t(39) = 2.00, p = .05, d = 0.32, respectively. "/><s v="HK participants considered that high-SESand low-SES individuals were more likely to live in the southern area (0.92, SD = 2.47), t(49) = 2.62, p = .01, d = 0.37, and descriptively but not signiﬁcantly in the northern area (+0.63,SD = 2.75), t(49) = 1.61, "/><s v="&quot;the interaction between SES and population was significant, F(1, 176) = 20.39, MSE = 5.63, p &lt; .001, η2p 1= 0.10 &quot;,&quot; participants differing in demographic knowledge about the affluent population distribution have different cardinal direction–valence meta"/><s v="&quot;US participants considered that high-SES and low-SES individuals were more likely to live in the northern (+0.98, SD = 1.85), t(39) = 3.34, p &lt; .01, d = 0.53, and southern areas (0.69, SD = 2.19), t(39) = 2.00, p = .05, d = 0.32, respectively &quot;,&quot; partici"/><s v="&quot;HK participants considered that high-SES and low-SES individuals were more likely to live in the southern area (0.92, SD = 2.47), t(49) = 2.62, p = .01, d = 0.37, and descriptively but not significantly in the northern area (+0.63, SD = 2.75), t(49) = 1."/><s v="The response to the two versions of problem 10 were markedly different: 68 percent of the respondents were willing to make an extra trip to save $5 on a $15 calculator; only 29 percent were willing to exert the same effort when the price of the calculator"/><s v="&quot;The response to the two versions of problem 10 were markedly different: 68 percent of the respondents were willing to make an extra trip to save $5 on a $15 calculator; only 29 percent were willing to exert the same effort when the price of the calculato"/><s v="Including the covariates, political identity still predicted all five foundations in the predicted direction, all ps &lt; .001. Political identity was the key explanatory variable: It was the only consistent significant predictor (average beta =  .25; range "/><s v="&quot;the aggregated moral relevance ratings for individualizing foundations were higher than the aggregated ratings for the binding foundations, F(1, 1207) = 1,895.09, p &lt; .001, n2p =   .61 &quot;,&quot; The moral thinking of liberals and conservatives may not be a mat"/><s v="&quot;this effect was moderated by politics, F(1, 1207) = 224.34, p &lt;  .001, n2p =  .16, such that the more liberal participants showed a greater difference between the individualizing and binding moral foundations. &quot;,&quot; The moral thinking of liberals and conse"/><s v="In the intended harm case, 56% of subjects judged the action permissible (p[.53 &lt; μ &lt; .59] = 0.05), whereas in [...] the foreseen harm case, 72% of subjects judged the action permissible (p[.69 &lt; μ &lt; .74] = 0.05). These percentages differ significantly (c"/><s v="&quot;In Scenario 3, the intended harm case, 56% of subjects judged the action permissible (p[.53 &lt; μ &lt; .59] = 0.05), whereas in scenario 4, the foreseen harm case, 72% of subjects judged the action permissible (p[.69 &lt; μ &lt; .74] = 0.05). These percentages diff"/><s v="Participants believed that students were more likely to be called on if they had not done the reading (M = 3.43, SD = 2.34) than if they had (M = 2.53, SD = 2.24), F(1, 116) = 4.60, p  &lt; .05, d = 0.39. [This indicates that]  people believe that negative o"/><s v="&quot;students were more likely to be called on if they had not done the reading (M  3.43, SD  2.34) than if they had (M  2.53, SD 2.24), F(1, 116)  4.60, p &lt; .05, d = 0.39 &quot;,&quot; people believe that negative outcomes are more likely following behaviors that temp"/><s v="The consumer framing resulted in lower feelings of personal responsibility for dealing with the resource dilemma, markedly lower trust in the other parties, and a significantly lower tendency to view the others as partners in facing the dilemma. t(76) = –"/><s v="&quot;the consumer framing resulted in lower feelings of personal responsibility for dealing with the resource dilemma &quot;,&quot; in general, it is clear that the consumer identity did not unite—it divided. Thinking like a consumer again seemed to work against positi"/><s v="&quot;There were no significant effects on participants’ feelings of obligation &quot;,&quot; in general, it is clear that the consumer identity did not unite—it divided. Thinking like a consumer again seemed to work against positive, cooperative engagement with other p"/><s v="&quot;markedly lower trust in the other parties &quot;,&quot; in general, it is clear that the consumer identity did not unite—it divided. Thinking like a consumer again seemed to work against positive, cooperative engagement with other people&quot;"/><s v="&quot;a significantly lower tendency to view the others as partners in facing the dilemma &quot;,&quot; in general, it is clear that the consumer identity did not unite—it divided. Thinking like a consumer again seemed to work against positive, cooperative engagement wi"/><s v="&quot;There were no significant effects on &quot;,&quot; belief that the other parties should use less water than they themselves did. &quot;,&quot; in general, it is clear that the consumer identity did not unite—it divided. Thinking like a consumer again seemed to work against "/><s v="Participants making judgments about the P97 estimated that a higher percentage of smartphones (M = 58.1%, SD = 19.6%) would be sold in the United States than did those making estimates about the P17 (M = 51.9%, SD = 21.7%), t(197.5) = 2.12, p = .03, d = ."/><s v="&quot;participants making judgments about the P97 estimated that a higher percentage of smartphones (M = 58.1%, SD = 19.6%) would be sold in the United States than did those making estimates about the P17 (M 1= 51.9%, SD = 21.7%), t(197.5) = 2.12, p 1= .03, d "/><s v="The averaged leader power score was submitted to an independent-samples t-test. The analysis yielded the expected significant effect of vertical difference, t(62) = 2.20, p = .03, etasq = .07. &#xA;Participants in the large vertical difference condition perce"/><s v="&quot;The analysis yielded the expected significant effect of vertical difference, t(62) = 2.20, p = .03, g2 = .07. Participants in the large vertical difference condition perceived the leader as being more powerful (M = 5.01, SD = .60) than participants in th"/><s v="The average s(q, p) was significantly higher than the average s(p, q) across all subjects and pairs: t = 2.92, df= 20, and p &lt; .01.&#xA;The average difference (in similarity rating) (.42) was significantly positive : t = 2 .99, df= 153, p &lt; .01 . "/><s v="The foregoing study was repeated with judgments of difference instead of judgments of similarity: t = 2 .72, df = 20, p &lt; .01&#xA;The average difference between d(p, q) and d(q, p), computed as previously for each subject (.63), was significantly positive : t"/><s v="Copying the unethical story increased the desirability of cleansing products as compared to copying the ethical story F(1,25) = 6.99, P = 0.01"/><s v="Participants in the structure condition reported higher willingness to expend effort and make sacrifices to pursue their goal&#xA;compared to participants in the random condition, t(65) = 2.00, p = .05"/><s v="Participants in the structure condition reported higher willingness to expend effort and make sacrifices to pursue their goal compared to participants in the random condition (Mstructure =5.26, SDstructure = 0.88; Mrandom= 4.72, SDrandom= 1.32), t(65) = 2"/><s v="Analysis revealed a significant main effect for social value orientation, F(2, 535) = 4.82, p &lt; .01. Consistent with the sibling-prosocial hypothesis [...] the number of siblings is greater for prosocials (M = 2.03, SD = 1.56) than for individualists (M ="/><s v="&quot;analysis revealed a significant main effect for social value orientation, F(2, 535) = 4.82, p &lt; .01. Consistent with the sibling-prosocial hypothesis, Panel A &quot;,&quot; reveals that the number of siblings is greater for prosocials (A/ = 2.03, SD = 1.56) than f"/><s v="There was a significant main effect of condition on global warming concern, F(2,288) = 4.74, p = 0.01&#xA;Post hoc comparisons showed that those in the heat condition exhibited greater concern for global warming than those in the control condition (p = 0.02) "/><s v="&quot;priming individuals with heat-related cognitions increases levels of belief and concern in global warming. The priming manipulation had a direct effect on average ratings of reported belief in and concern about global warming  &quot;,&quot; There was a significant"/><s v="Priming individuals with heat-related cognitions increases levels of belief and concern in global warming. The priming manipulation had a direct effect on average ratings of reported belief in and concern about global warming. There was a significant main"/><s v="Participants in the disfluent condition answered a greater proportion of the questions correctly (M  = 64%) than did participants in the fluent condition (M = 43%), t(39) = 2.01, p  &lt; .05"/><s v="&quot;participants in the disfluent condition answered a greater proportion of the questions correctly (M  64%) than did participants in the fluent condition (M  43%), t(39) = 2.01, p &lt; .05, n2  .09 &quot;,&quot; People make different decisions depending on whether they"/><s v="Inserting SWB scores to a 2 (level: high, low) × 2 (type of status: sociometric, socioeconomic) between participants ANOVA. There was a main effect of level, F(1, 224) = 5.06, p = .03, but more important, there was also a significant interaction between l"/><s v="Individuals in the high-sociometric-status condition had higher SWB than those in the low-sociometric-status condition, t(115) = 3.05, p = .003, these findings provide evidence for a causal effect of sociometric status on SWB that is stronger than the eff"/><s v="In the certainty condition, 70% of participants preferred the cash over the kiss, but in the low-probability condition, 65% of participants preferred the kiss lottery over the cash lottery, x2 (1, N = 40) =4.91, p &lt;.05."/><s v="In the certainty condition, 70% of participants preferred the cash over the kiss, but in the low-probability condition, 65% of participants preferred the kiss lottery over the cash lottery, x2(1, N = 40) = 4.91, p &lt; .05, indicating that the weight of a 1%"/><s v="Parent B is the modal choice both for being awarded custody of the child and for being denied it. As predicted, the value of Πc + Πr, for Parent B (64+55 = 119) is significantly greater than the 100 that we would expect if choosing and rejecting were comp"/><s v="&quot;the value of Il, + II, for Parent B (64+55 = 119) is significantly greater than the 100 that we would expect if choosing and rejecting were complementary (z = 2.48, p &lt; .02)&quot;"/><s v="Among Americans, there was no difference between the proportion of personal actions construed as choices (M = .83, SD = .15) and the proportion of interpersonal actions construed as choices (M = .82, SD = .14), t(88) = 0.39, p = .65, d = 0.04"/></sharedItems></cacheField><cacheField name="claim_page_o"><sharedItems containsDate="1" containsBlank="1" containsMixedTypes="1"><s v="Page number(s) for claim_text_o"/><s v="p. 7"/><m/><n v="16.0"/><s v="p. 16"/><n v="137.0"/><n v="7.0"/><s v="7(373)"/><s v="p. 17"/><n v="21.0"/><n v="33.0"/><n v="1.0"/><n v="11.0"/><n v="13.0"/><n v="263.0"/><s v="p. 1, 3"/><n v="3.0"/><s v="p. 1, 4"/><s v="1, 6, 7, 8, 9"/><n v="25.0"/><s v="1 and 12"/><s v="1 and 13"/><s v="25-26"/><s v="1 and 15"/><n v="26.0"/><n v="140.0"/><s v="70,73"/><s v="p. 70"/><n v="429.0"/><s v="p. 428"/><n v="883.0"/><n v="2.0"/><n v="5.0"/><n v="28.0"/><n v="8.0"/><n v="690.0"/><n v="148.0"/><n v="4.0"/><n v="10.0"/><n v="60.0"/><n v="30.0"/><n v="96.0"/><n v="107.0"/><s v="p. 4"/><s v="pp. 4-5"/><s v="p. 5"/><s v="pp. 5-6"/><s v="p. 6"/><n v="118.0"/><n v="12.0"/><s v="12-13"/><n v="119.0"/><n v="9.0"/><n v="150.0"/><n v="159.0"/><n v="160.0"/><n v="149.0"/><n v="52.0"/><n v="57.0"/><d v="2024-12-11T00:00:00Z"/><n v="1026.0"/><d v="2024-05-04T00:00:00Z"/><d v="2024-06-05T00:00:00Z"/><s v="p. 314"/><n v="6.0"/><n v="77.0"/><n v="100.0"/><n v="99.0"/><s v="60–85"/><n v="27.0"/><s v="Abstract"/><n v="17.0"/><s v="2-17-20"/><s v="2-17"/><n v="1040.0"/><n v="18.0"/><n v="37.0"/><s v="p1"/><n v="623.0"/><n v="827.0"/><n v="21693.0"/><n v="403.0"/><n v="556.0"/><n v="557.0"/><s v="p.2"/><s v="p.267-269"/><s v="p.1661"/><n v="23.0"/><n v="24.0"/><s v="15,16"/><n v="238.0"/><n v="19.0"/><n v="20.0"/><n v="15.0"/><n v="1223.0"/><n v="165.0"/><n v="415.0"/><n v="416.0"/><n v="417.0"/><s v="p. 2 &amp; 3"/><s v="p. 3"/><s v="p.3 "/><s v="p. 4-5"/><s v="p. 245"/><s v="p. 4, 5"/><n v="245.0"/><s v="p.935"/><s v="Page 391"/><n v="390.0"/><n v="391.0"/><s v="Page 106"/><n v="49.0"/><s v="Page 454"/><n v="453.0"/><s v="Page 328-329"/><n v="328.0"/><s v="Page 1013"/><n v="1016.0"/><s v="Page 1163"/><n v="1163.0"/><n v="53.0"/><d v="2024-10-09T00:00:00Z"/><n v="409.0"/><n v="411.0"/><s v="Page 1171"/><n v="1171.0"/><s v="Page 169-170"/><n v="170.0"/><s v="Page 809"/><n v="809.0"/><n v="470.0"/><s v="Page 796"/><n v="796.0"/><n v="1215.0"/><s v="Page 659"/><n v="649.0"/><s v="Page 9"/><s v="Page 214"/><n v="212.0"/><s v="Page 1070-1071"/><n v="1071.0"/><s v="p. 1"/><s v="Page 301-302"/><n v="302.0"/><s v="Page 945"/><n v="945.0"/><s v="Page 869"/><n v="868.0"/><s v="p. 9"/><s v="p. 9-10"/><s v="p. 10"/><s v="2,3"/><s v="Appendix"/><d v="2025-04-01T00:00:00Z"/><s v="Supplementary Information, however link for it found in original paper not working"/><s v="Supplementary Appendix, p12, linked here: https://www.pnas.org/doi/suppl/10.1073/pnas.1717092115"/><d v="2025-04-03T00:00:00Z"/><s v="p. 22"/><n v="22.0"/><s v="18, 19"/><s v="p. 477"/><s v="p. 320"/><s v="3, 4"/><s v="p.3"/><s v="NA"/><s v="15, 18, 19"/><s v="p. 18"/><s v="16, 17"/><s v="p. 210"/><s v="p. 670"/><s v="15, 19"/><s v="p. 15"/><s v="10, 14, 15"/><s v="p. 116"/><s v="6, 8"/><s v="p 6,8"/><s v="7, 8"/><s v="p. 198"/><s v="pp. 140-141"/><s v="pp. 313-314"/><s v="p. 8, 10"/><s v="6, 7"/><s v="p. 476"/><s v="9, 10"/><s v="p. 325"/><s v="10, 11"/><s v="p 10,11"/><s v="p. 488"/><s v="4, 7"/><s v="p. 166"/><s v="p. 690"/><s v="15, 16"/><s v="p. 355"/><s v="6, 7, 8"/><s v="p.  6"/><s v="p. 226"/><s v="14, 15"/><s v="p. 352"/><s v="p 9,10"/><s v="31, 13, 14"/><s v="p. 31, 13"/><s v="p.4"/><s v="5, 6"/><s v="7, 9"/><s v="p.7"/><s v="8, 10"/><s v="p.6"/><s v="p.31"/><s v="1,2"/><s v="7,8"/><n v="989.0"/><s v="N/A"/><n v="14.0"/><s v="4,5"/><s v="1,3"/><n v="21101.0"/><n v="510.0"/><s v="5,6"/><n v="62.0"/><n v="241.0"/><n v="744.0"/><n v="8054.0"/><n v="444.0"/><n v="519.0"/><n v="106.0"/><s v="6,8"/><n v="1149.0"/><s v="9,10"/><n v="401.0"/><n v="71.0"/><s v="3,8"/><n v="1210.0"/><s v="6,7"/><s v="26,27"/><s v="8,9"/><n v="829.0"/><s v="16,17,18"/><n v="730.0"/><n v="789.0"/><n v="1622.0"/><s v="3,4"/><n v="384.0"/><n v="122.0"/><n v="512.0"/><n v="959.0"/><n v="356.0"/><n v="237.0"/><s v="p. 83"/><n v="83.0"/><s v="p. 977"/><n v="977.0"/><s v="p. 105"/><n v="105.0"/><n v="614.0"/><s v="p. 10 + 11"/><s v="p. 1927"/><n v="1927.0"/><s v="p. 87"/><n v="86.0"/><s v="p. 162"/><n v="162.0"/><d v="2025-02-01T00:00:00Z"/><d v="1900-01-07T00:00:00Z"/><d v="1900-01-03T00:00:00Z"/><d v="1900-01-10T00:00:00Z"/><d v="2025-06-05T00:00:00Z"/><n v="261.0"/><n v="534.0"/><s v="12, 13"/><s v="632-633"/><d v="1900-11-20T00:00:00Z"/><d v="2025-09-08T00:00:00Z"/><n v="208.0"/><s v="p. 208"/><n v="785.0"/><s v="p. 1655"/><n v="4088.0"/><n v="2617.0"/><s v="p. 2617"/><n v="1680.0"/><n v="29.0"/><s v="p. 29"/><n v="1259.0"/><n v="466.0"/><n v="386.0"/><n v="394.0"/><n v="798.0"/><n v="172.0"/><s v="p. 172"/><n v="285.0"/><n v="1391.0"/><n v="1742.0"/><n v="8039.0"/><n v="1511.0"/><n v="540.0"/><n v="338.0"/><n v="1273.0"/><n v="1155.0"/><n v="279.0"/><n v="442.0"/><n v="1272.0"/><n v="227.0"/><n v="116.0"/><n v="216.0"/><n v="517.0"/><s v="p. 449"/><n v="1168.0"/><n v="1316.0"/><n v="309.0"/><n v="428.0"/><s v="p. 389"/><n v="389.0"/><s v="p. 2"/><s v="p. 615 (key claim) &#xA;p. S17 (key statistic)"/><n v="615.0"/><s v="p. 709"/><n v="709.0"/><s v="p.1712 - 1713"/><n v="1713.0"/><s v="p. 1832"/><n v="1832.0"/><s v="p. 335"/><n v="335.0"/><s v="p. 1531"/><n v="1531.0"/><s v="p. 773"/><n v="773.0"/><s v="p. 212"/><s v="p. 776"/><n v="776.0"/><s v="p. 580"/><n v="580.0"/><s v="p. 495"/><n v="494.0"/><s v="p. 486"/><n v="486.0"/><s v="p. 683"/><n v="683.0"/><s v="p. 1226"/><n v="1226.0"/><s v="p. 378"/><n v="378.0"/><s v="p. 76"/><n v="76.0"/><s v="p. 633"/><n v="633.0"/><s v="p. 437"/><d v="2025-03-02T00:00:00Z"/><s v="p. 11"/><s v="p. 1242"/><s v="p. 192"/><s v="p. 508"/><s v="p. 666"/><s v="p. 667"/><s v="p. 109"/><s v="p. 44"/><s v="p. 457"/><s v="p. 1032"/><d v="2025-05-04T00:00:00Z"/><s v="p. 8"/><s v="p. 295"/><s v="p. 522 + p. 519 (Table 1)"/><s v="p. 246"/><s v="p. 33"/><s v="p.  1452"/><s v="p. 487"/><s v="p. 486-487"/><s v="p. 739"/><s v="p. 145"/><s v="p. 574"/><d v="2025-07-06T00:00:00Z"/><s v="p. 768"/><s v="p. 187"/><s v="p. 549"/><s v="p. 396"/></sharedItems></cacheField><cacheField name="n_o"><sharedItems containsBlank="1" containsMixedTypes="1" containsNumber="1"><s v="O's sample size [used for the critical test, i.e., after exclusion criteria have been applied], must contain only one value and must not contain text"/><n v="12.0"/><n v="100.0"/><m/><n v="41.0"/><n v="163.0"/><n v="25.0"/><n v="18.0"/><s v="Linguistics"/><n v="1950.0"/><n v="86.0"/><n v="85.0"/><n v="20.0"/><n v="272.0"/><n v="6.0"/><n v="0.66"/><n v="0.58"/><n v="744.0"/><n v="140.0"/><n v="79.0"/><n v="97.0"/><n v="2212.0"/><n v="5509.0"/><n v="5883.0"/><n v="5953.0"/><n v="1069.0"/><n v="35.0"/><n v="40.0"/><n v="341.0"/><n v="5.0"/><n v="76.0"/><n v="166.0"/><n v="24.0"/><n v="44387.0"/><n v="96.0"/><n v="93.0"/><n v="63.0"/><n v="34.0"/><n v="2428.0"/><n v="4711.0"/><n v="137.0"/><n v="198.0"/><n v="30.0"/><n v="54.0"/><n v="89.0"/><n v="26.0"/><n v="60.0"/><n v="250.0"/><n v="405.0"/><n v="101.0"/><n v="908.0"/><s v="6506 total (not broken down by governor position/absense)"/><n v="17.0"/><n v="23.0"/><s v="NA"/><n v="68.0"/><n v="1110.0"/><n v="258.0"/><n v="498.0"/><n v="92.0"/><n v="158.0"/><n v="153.0"/><n v="156.0"/><n v="193.0"/><n v="202.0"/><n v="98.0"/><n v="240.0"/><n v="226.0"/><n v="217.0"/><n v="67.0"/><n v="13.0"/><n v="120.0"/><n v="22.0"/><n v="21.0"/><n v="3691.0"/><n v="104.0"/><n v="53.0"/><n v="185.0"/><n v="50.0"/><n v="2.0"/><n v="1068.0"/><n v="395.0"/><n v="149.0"/><n v="316.0"/><n v="674.0"/><n v="4963.0"/><n v="3578.0"/><n v="51.0"/><n v="126.0"/><n v="87.0"/><n v="19.0"/><n v="37.0"/><n v="1232.0"/><n v="1065444.0"/><n v="4300000.0"/><n v="47.0"/><n v="338.0"/><n v="358.0"/><n v="318.0"/><n v="346.0"/><n v="260.0"/><n v="332.0"/><n v="344.0"/><n v="314.0"/><n v="380.0"/><n v="259.0"/><n v="39.0"/><n v="576.0"/><n v="462.0"/><n v="228.0"/><n v="252.0"/><n v="10.0"/><n v="862.0"/><n v="1000.0"/><n v="16.0"/><n v="551.0"/><n v="556.0"/><n v="564.0"/><n v="43.0"/><n v="14.0"/><n v="27.0"/><n v="304.0"/><n v="102.0"/><n v="103.0"/><n v="70.0"/><n v="31.0"/><n v="71.0"/><n v="52.0"/><n v="321.0"/><n v="201.0"/><n v="349.0"/><n v="340.0"/><n v="58.0"/><n v="141.0"/><n v="33.0"/><n v="61.0"/><n v="132.0"/><n v="160857.0"/><s v="152 (Problem 1), 155 (Problem 2)"/><n v="307.0"/><n v="80.0"/><n v="183.0"/><n v="66.0"/><n v="121.0"/><n v="114.0"/><n v="115.0"/><n v="145.0"/><n v="357.0"/><n v="77.0"/><n v="75.0"/><n v="56.0"/><n v="152.0"/><n v="42.0"/><n v="213.0"/><n v="298.0"/><n v="81.0"/><n v="62.0"/><n v="207.0"/><n v="735.0"/><n v="142.0"/><n v="323.0"/><n v="408.0"/><n v="504.0"/><n v="704.0"/><n v="426.0"/><n v="167.0"/><n v="519.0"/><n v="370.0"/><n v="200.0"/><n v="554.0"/><n v="273.0"/><n v="182.0"/><n v="480.0"/><n v="440.0"/><n v="218.0"/><n v="300.0"/><n v="324.0"/><n v="1342.0"/><n v="94.0"/><n v="78.0"/><n v="8.0"/><n v="95.0"/><n v="82.0"/><n v="44.0"/><n v="3413.0"/><n v="118.0"/><n v="231.0"/><n v="48.0"/><n v="749.0"/><n v="148.0"/><n v="15664.0"/><n v="223.0"/><n v="72.0"/><n v="117.0"/><n v="376.0"/><n v="249.0"/><n v="162.0"/><n v="264.0"/><n v="204.0"/><n v="197.0"/><n v="196.0"/><n v="134.0"/><n v="169.0"/><n v="28.0"/><n v="253.0"/><n v="155.0"/><n v="308.0"/><n v="430.0"/><n v="212.0"/><n v="372.0"/><n v="180.0"/><n v="143.0"/><n v="123.0"/><n v="29.0"/><n v="1800.0"/><n v="2399.0"/><n v="165.0"/><n v="350.0"/><n v="301.0"/><n v="199.0"/><n v="147.0"/><n v="57.0"/><n v="484.0"/><n v="108.0"/><n v="208.0"/><n v="144.0"/><n v="451.0"/><n v="457.0"/><n v="327.0"/><n v="413.0"/><n v="38.0"/><n v="36.0"/><n v="608.0"/><n v="122.0"/><n v="793.0"/><n v="172.0"/><n v="84.0"/><n v="415.0"/><n v="59.0"/><n v="110.0"/><n v="400.0"/><n v="32.0"/><n v="154.0"/><n v="230047.0"/><n v="133.0"/><n v="186.0"/><n v="45.0"/><n v="211.0"/><n v="375.0"/><n v="261.0"/><n v="246.0"/><n v="46.0"/><n v="55.0"/><n v="91.0"/><n v="90.0"/><n v="69.0"/><n v="356.0"/><n v="65.0"/><n v="236.0"/><n v="280.0"/><n v="125.0"/><n v="173.0"/><n v="4.0"/><n v="3412.0"/><n v="107.0"/><n v="224.0"/><n v="611.0"/><n v="302.0"/><n v="124.0"/><n v="972.0"/><n v="661.0"/><n v="500.0"/><n v="600.0"/><n v="88.0"/><n v="15.0"/><n v="277.0"/><n v="184.0"/><n v="177.0"/><n v="73.0"/><n v="128.0"/><n v="288.0"/><n v="555.0"/><n v="151.0"/><n v="577.0"/><n v="106.0"/><n v="139.0"/><n v="112.0"/><n v="234.0"/><n v="229.0"/><n v="168.0"/><n v="127.0"/><n v="540.0"/><n v="312.0"/><n v="348.0"/><n v="188.0"/><n v="170.0"/><n v="119.0"/><n v="343.0"/><n v="366.0"/><n v="105.0"/><n v="178.0"/><n v="449.0"/><n v="49.0"/><n v="2646.0"/><n v="157.0"/><n v="83.0"/><n v="181.0"/><n v="1548.0"/><n v="1209.0"/><n v="2612.0"/><n v="64.0"/><n v="631.0"/></sharedItems></cacheField><cacheField name="es_value_o"><sharedItems containsBlank="1" containsMixedTypes="1" containsNumber="1"><s v="original effect size value, must contain only one value and must not contain text"/><n v="9.67"/><m/><s v="t(98) = 3.4"/><s v="3.4"/><n v="0.31"/><n v="0.3"/><n v="1.12"/><n v="0.17"/><n v="-0.42"/><n v="-0.04"/><n v="0.34"/><s v="Perceptual processing - Spanish Consonant"/><n v="0.13"/><n v="-0.06"/><n v="0.23"/><n v="0.07"/><s v="t(84) = 2.38"/><s v="t(84)=2.64"/><s v="t(84)=.27"/><s v="F(3, 57) = 3.818"/><n v="6503.0"/><s v="F(3, 57) = 2.215"/><s v="F(3, 57) = 6.503"/><n v="1.21"/><n v="1.33"/><n v="2.8"/><n v="1.03"/><n v="1.14"/><n v="-0.85"/><s v="−0.76"/><s v="Hedges'g"/><n v="0.75"/><n v="0.61"/><n v="0.57"/><n v="1.62"/><n v="0.53"/><n v="0.51"/><n v="0.37"/><n v="2.0"/><n v="2.97"/><n v="2.35"/><n v="3.05"/><n v="2.68"/><n v="2.16"/><n v="2.46"/><n v="1.99"/><n v="2.41"/><s v="needs to be calculted"/><n v="-0.48"/><n v="-0.82"/><n v="-0.52"/><n v="1.04"/><n v="1.56"/><n v="0.95"/><n v="1.19"/><n v="-0.13"/><n v="0.06"/><n v="-0.01"/><n v="0.09"/><n v="415.0"/><n v="201.0"/><n v="-226.0"/><n v="1.0"/><n v="62.0"/><n v="0.98"/><n v="1.11"/><n v="-0.18"/><s v="needs to be calculated"/><n v="0.16"/><n v="0.27"/><n v="10.87"/><n v="3.08"/><n v="2.11"/><n v="0.35"/><n v="-0.2"/><n v="0.22"/><n v="0.19"/><s v="−.03"/><s v=" z = 2.81, N = 34"/><s v="&gt; χ2(11) = 2302.6"/><s v="χ2(11) = 2302.6"/><n v="0.64"/><n v="0.32"/><n v="0.1"/><n v="0.4"/><n v="0.08"/><n v="0.04"/><n v="0.39"/><n v="0.42"/><n v="-0.69"/><n v="-0.7"/><n v="-33.42"/><n v="29.71"/><n v="28.31"/><n v="-1.4"/><n v="-0.63"/><s v="−0.30"/><s v="−0.33"/><s v="χ2(8) = 104.09"/><n v="0.556"/><n v="0.067"/><n v="0.518"/><n v="0.056"/><n v="0.571"/><n v="0.072"/><n v="0.059"/><n v="0.089"/><n v="0.078"/><n v="0.112"/><n v="0.233"/><n v="0.917"/><n v="0.519"/><n v="0.536"/><n v="1.4"/><n v="0.057"/><n v="0.069"/><n v="0.084"/><n v="395.8"/><n v="107.8"/><n v="2.6"/><n v="114.5"/><n v="3.3"/><n v="2.7"/><n v="0.84"/><n v="947.0"/><n v="26.1"/><s v="&lt;1"/><n v="93.0"/><n v="99.5"/><s v="&lt;1.4"/><n v="0.822"/><s v="F(2,57) = .105"/><s v="F(1,57) = 0.011"/><s v="F(2,57) = 0.404"/><s v="F(2,57) = .288"/><s v="F(2,57) = 0.272"/><s v="F(1,57) = 2.526"/><s v="t = 2.82"/><s v="t = 5.06"/><s v="N/A"/><n v="0.042"/><n v="0.48"/><n v="0.21"/><n v="0.55"/><s v="0,35"/><n v="0.79"/><n v="0.18"/><n v="0.45"/><n v="0.24"/><n v="0.25"/><n v="0.14"/><n v="0.38"/><n v="-0.903"/><n v="1.445"/><n v="0.354"/><n v="0.583"/><n v="0.314"/><n v="0.52"/><n v="4.4"/><n v="4.0"/><n v="5.7"/><n v="1.3"/><n v="0.78"/><n v="228.4"/><n v="4.9"/><n v="53.2"/><s v="NA"/><s v="χ2(712) = 1991.413"/><s v="χ2(1)=22.77"/><s v="χ2(1)=0.03"/><s v="χ2(1)=11.59"/><s v="χ2(1)=24.44"/><s v="χ2(1)=23.46"/><s v="χ2(1)=37.43"/><s v="χ2(1)=42.12"/><s v="χ2(1)=1.4"/><n v="44.25"/><n v="7.0"/><n v="7.5"/><n v="4.5"/><n v="8.0"/><n v="-3.0"/><n v="-4.5"/><n v="-2.5"/><n v="-13.5"/><n v="4.32"/><n v="12.9"/><n v="3.692"/><n v="0.428"/><s v="F(1, 19) = 2.80"/><s v="F(1, 19) = 0.13"/><n v="0.41"/><s v="F(1, 19) = 1.19"/><n v="0.28"/><n v="0.15"/><n v="0.598"/><s v="F(6, 183) = 4.02"/><n v="-0.374"/><s v="F(1, 183) = 4.07, p &lt; .05"/><n v="0.9"/><s v="F (1, 183)= 12.41, p&lt;.01"/><s v="F [1,200] = 1.65"/><s v="F(1,94) = 2.16 "/><s v="F[1,200] = 1.08"/><n v="0.02"/><s v="F(1,94) = .13"/><s v="F[1,200] = 0.39"/><s v="F[1,200] = 1.32"/><s v="F(1,234)= 0.002"/><s v="F[1,234] = 3.25"/><s v="F(1,234) = 1.35"/><n v="14.4"/><n v="17.93"/><s v="F(1, 235) = 14.40"/><s v="F(1, 235) = 17.93"/><s v="F(1, 235) = 5.56"/><n v="0.1082"/><n v="0.1116"/><n v="0.1697"/><n v="0.1348"/><n v="0.0353"/><n v="0.0422"/><s v="t(91) = 2.97"/><n v="2.72"/><n v="1.195"/><s v="F[1,20] = 3.57"/><n v="0.118"/><n v="-0.204"/><n v="-0.512"/><n v="-0.27"/><s v="F = 2755"/><s v="F = 526"/><s v="F = 7710"/><s v="χ2 = 16.1; α = 0.003"/><n v="0.65"/><n v="0.68"/><n v="0.29"/><s v="Main: all F's &lt; 1&#xA;Interaction:  F(1,64) = 9.70&#xA;Simple: non expert - F(1,64) = 4.77, expert - F(1,64) = 4.94"/><s v="F(1, 64) = 4.60"/><s v="Main: all F's &lt; 1&#xA;Interaction:  F(1,64) = 11.02&#xA;Simple: non expert - F(1,64) = 7.43, expert - F(1,64) = 3.97"/><n v="2.36"/><s v="&lt; 1"/><n v="9.7"/><n v="11.02"/><n v="0.96"/><n v="0.8"/><n v="0.33"/><n v="0.0"/><n v="-0.49"/><n v="-0.68"/><n v="-0.65"/><n v="-0.16"/><n v="-0.41"/><n v="-1.45"/><n v="-0.21"/><n v="-0.11"/><n v="0.204"/><n v="0.163"/><n v="0.066"/><n v="11.83"/><n v="9.41"/><n v="4.1"/><n v="0.853"/><n v="0.355"/><n v="0.201"/><n v="621.0"/><n v="3.23"/><s v="−3.54"/><s v="−2.44"/><s v="−3.16"/><n v="0.273"/><n v="0.292"/><n v="0.269"/><n v="0.309"/><n v="0.324"/><n v="-0.058"/><n v="0.26"/><n v="-0.005"/><n v="0.215"/><n v="-0.043"/><n v="-0.15"/><n v="0.029"/><n v="0.062"/><n v="0.72"/><n v="3.83"/><n v="0.36"/><n v="0.5"/><n v="4.18"/><n v="-0.5"/><n v="30.41"/><n v="2.84"/><n v="24.6"/><n v="683.5"/><n v="0.62"/><n v="0.85"/><n v="0.44"/><n v="17.62"/><n v="121.1"/><n v="35.41"/><n v="214.17"/><n v="34.34"/><n v="11.09"/><n v="13.53"/><n v="30.8"/><n v="31.04"/><n v="23.33"/><n v="33.24"/><n v="55.6"/><n v="41.96"/><n v="6.48"/><n v="-3.22"/><n v="-0.99"/><n v="-3.56"/><n v="1.26"/><n v="1.53"/><n v="-0.84"/><n v="7.13"/><n v="1.59"/><n v="0.6"/><n v="0.74"/><n v="5.68"/><n v="1.49"/><n v="1.72"/><n v="5.93"/><n v="6.12"/><n v="7.17"/><n v="5.16"/><n v="16.69"/><n v="2.34"/><n v="27.5"/><n v="9.26"/><n v="20.47"/><n v="3.97"/><n v="9.4"/><n v="24.91"/><n v="51.07"/><n v="9.2"/><n v="10.35"/><n v="3.85"/><n v="2.87"/><n v="0.811"/><n v="0.47"/><n v="10.76"/><n v="0.241"/><n v="9.6"/><n v="51.4"/><n v="62.2"/><n v="6.0"/><n v="29.0"/><n v="0.198"/><n v="0.217"/><n v="0.46"/><s v="0.20"/><n v="0.2"/><n v="0.11"/><s v="F(1,236) = 9.25"/><s v="F(1,236) = .0006"/><s v="4.46"/><s v="6.80"/><s v="4.12"/><s v="F(1, 11) = 9.67"/><s v="F(2, 56) = 7.58"/><s v="t(38) = 3.47"/><s v="t(37) = 3.50"/><s v="F(1, 137) = 50.46"/><n v="1.1"/><n v="1.071"/><s v="t(28) = 2.86"/><s v="F(1, 127) = 8.8"/><n v="0.71"/><n v="1.01"/><s v="Not explicitly reported."/><n v="0.69"/><n v="0.298"/><s v="t(64) = -2.04"/><n v="1.87"/><s v="t(102) = 7.99"/><s v="F(1, 68) = 5.52"/><s v="t(99)=-0.15"/><n v="0.59"/><n v="0.86"/><n v="0.767"/><n v="0.033"/><n v="0.048"/><s v="t(49) = 2.12"/><n v="4.35"/><n v="2.04"/><s v="Not reported"/><n v="0.63"/><n v="0.82"/><n v="0.77"/><s v="t(49) = 2.26"/><s v="negative 0.42"/><s v="0.44"/><s v="negative 0.19"/><n v="2.44"/><n v="2.43"/><s v="unavailable&#xA;"/><n v="0.12"/><n v="0.01"/><n v="0.49"/><s v="negative 0.49"/><s v="F(1, 58) = 8.56"/><n v="8.56"/><s v=" F(1, 58) &lt; 1"/><s v="F(1, 58) = 5.06"/><n v="0.951"/><s v="t(94) = 4.66"/><n v="1.45"/><s v=" t(205) = 10.60"/><n v="-0.486"/><n v="0.387"/><s v="t(140) = 2.08"/><n v="0.05"/><s v="F(1,85) = 4.36"/><s v="t(196) = 6.34"/><s v="z = 3.207, N = 24"/><s v="z = 3.207"/><s v="t(404) = 2.151"/><s v="t(502) = 2.10"/><s v="t = –2.15"/><s v="t = -2.15"/><n v="1.751"/><s v="t(424) = 18.02"/><s v="F(1,119) = 54.23"/><n v="0.331"/><s v="t(165) = 2.07"/><s v=" t(173.36) = 5.37"/><s v="t(173.36) = 5.37"/><n v="0.008"/><s v="F(1,551) = 4.61"/><s v="χ2(1) = 6.7"/><s v="(𝜒²(1) = 6.7"/><n v="-0.23"/><s v="t = 2.26"/><s v="χ2(1)=21.7"/><s v="χ²(1) = 21.7"/><n v="0.353"/><s v="t(201) = 17.51"/><s v="t(201) = 10.93"/><s v="χ2 = 10.48"/><s v="χ2(n = 258)=10.48"/><s v="negative 0.04"/><n v="-0.29"/><n v="-0.38"/><n v="-0.03"/><n v="-0.17"/><n v="-0.14"/><s v="α = 0.773, (0.11)"/><s v="α = 0.530, (0.142)"/><s v="α = 0.464, (0.127)"/><s v="α = 0.633, (0.193)"/><s v="α = 0.543, (0.144)"/><s v="α = 0.513, (0.134)"/><s v="α = -0.375, (0.134)"/><s v="α = -0.239 , (0.156)"/><s v="α = 0.218 , (0.124)"/><s v="α = -0.179, (0.124)"/><s v="α = -0.203, (0.115)"/><s v="α = -0.215, (0.128)"/><s v="α = -0.067, (0.063)"/><s v="α = -0.123, (0.095)"/><s v="α = -0.062, (0.088)"/><s v="α = 0.012, (0.115)"/><s v="α = 0.011, (0.073)"/><s v="α = -0.029, (0.078)"/><s v="α = -0.093, (0.038)"/><s v="α = 0.057, (0.066)"/><s v="α = -0.248, (0.062)"/><s v="α = 0.063, (0.068)"/><s v="α = 0.055, (0.047)"/><s v="α = 0.101, (0.068)"/><s v="𝜒2 (15) = 15.3 "/><s v="𝜒2 (11) = 11.3 "/><s v="𝜒2 (13) = 11.4"/><s v="𝜒2 (13) = 9.4 "/><s v="𝜒2 (13) = 11.7"/><s v="𝜒2 (13) = 9.7 "/><s v="α = 0.498, (0.063)"/><s v="α = 0.534, (0.115)"/><s v="α = 0.504, (0.081)"/><s v="α = 0.554, (0.105)"/><s v="α = 0.610, (0.082)"/><s v="α = 0.661, (0.154)"/><s v="α = -0.277, (0.048)"/><s v="α = -0.239, (0.146)"/><s v="α = -0.010, (0.066)"/><s v="α = -0.311, (0.141)"/><s v="α = -0.359, (0.103)"/><s v="α = -0.365, (0.13)"/><s v="α = 0.082, (0.193)"/><s v="α = 0.054, (0.292)"/><s v="α = 0.139, (0.173)"/><s v="α = 0.374, (0.284)"/><s v="α = 0.428, (0.229)"/><s v="α = 0.199, (0.3)"/><s v="α = 0.453, (0.21)"/><s v="α = 0.309, (0.211)"/><s v="α = 0.22, (0.27)"/><s v="α = -0.340, (0.208)"/><s v="α = -0.403, (0.222)"/><s v="α = -0.252 , (0.226)"/><n v="-0.004"/><n v="1.097"/><n v="0.66"/><n v="0.03"/><s v="0.66"/><s v="negative 0.29"/><s v="χ2(1) = 27.2"/><s v="χ2(1) = 15.3"/><s v="χ2(1) = 4.500"/><s v="F(1, 298) = 36.375"/><n v="36.375"/><s v="0.43"/><n v="0.43"/><s v="F(1, 62.9) = 8.5"/><n v="8.5"/><n v="0.6878307"/><n v="0.87"/><n v="13.05"/><n v="20.7"/><s v="t(70) = -2.55"/><s v="F(1, 113) = 4.10"/><s v="χ2(1) = 107.81"/><n v="0.73"/><s v="0.28"/><n v="31.127"/><s v="χ2(1) = 0.9026"/><s v="t() = 2.286"/><s v="t(160) = 2.58"/><s v="0.54"/><n v="0.54"/><n v="3717.0"/><s v="F(1, 260) = 99.46"/><n v="99.46"/><s v="t(77) = 2.65"/><s v="0.568"/><n v="0.568"/><s v="F(1, 8) = 1"/><n v="18.0"/><s v="χ2(1) = 5.76"/><s v="χ2(1) = 16.3"/><s v="F(1, 295) = 52.81"/><s v="F(1, 294) = 44.973"/><s v="F(1, 297) = 18.84"/><s v="F(1, 301) = 36.45"/><n v="11.28"/><n v="23.92"/><n v="48.59"/><n v="9.59"/><n v="56.28"/><n v="188.24"/><s v="0.39"/><s v="χ2(3) = 247.97"/><n v="1.35"/><s v="χ2(1) = 81.52"/><n v="2.71"/><s v="χ2(1) = 231.60"/><s v="χ2(1) = 59.48"/><n v="1.13"/><s v="χ2(1) = 49.08"/><s v="0.25"/><s v="0.18"/><s v="0.19"/><s v="0.48"/><s v="t(132) = 2.973"/><s v="t(132) = - 2.319"/><n v="3296.0"/><s v="F(2,260) = 1.45"/><n v="0.191"/><s v="F(2,260) = 0.191"/><s v="0.764"/><s v="F(1, 9) = 30.519"/><s v="F(1,8) = 21.333"/><s v="F(1,8) = 18"/><s v="prop:15/31,8/32"/><n v="3.28"/><n v="0.92"/><s v=" F(1,655) = 14.5"/><n v="6.9"/><s v=" F(1,655) = 6.9"/><s v="F(1,655) = 19.1"/><s v="F(1,655) = 13.3"/><s v="bse:b=0.8605(0.2108)"/><n v="0.356"/><s v="t (19) = 1.26"/><s v="F(1,151)=9.40"/><s v="β = −0.29"/><s v="β = −0.17"/><s v="prop:8/26,21/26"/><n v="1.84377344"/><s v="t(199) = 13.07"/><s v="F(1,431) = 5.24"/><s v="(F(1,431) = 5.24"/><n v="4.63"/><n v="1.28"/><s v="F(1, 113) = 6.12"/><s v="t(105) = -3.34"/><n v="0.655414885369319"/><n v="3.37"/><s v="prop45/73,28/70"/><n v="0.727147426592434"/><s v="F(1,134)=4.03"/><s v="X2(2) = 8.14"/><n v="0.414462472492135"/><s v="F(1, 161) = 7.00"/><s v="t(96)=2.310"/><n v="1.011"/><s v="F(1,62.9)=8.5"/><s v="t(131) = 3.246"/><n v="0.075"/><s v="t(99)=-6.354"/><n v="0.6354"/><n v="0.76"/><n v="0.724143923"/><n v="0.724143923024744"/><n v="0.618"/><s v="bseb=0.089(1.434)"/><s v="bseb=-3.096(1.981)"/><s v="bseb=-4.352(2.135)"/><s v="bseb=-4.976(2.028)"/><s v="proportion: 99/144"/><s v="F(1, 59) = 77.05"/><n v="77.05"/><n v="0.106"/><n v="-0.26"/><n v="-0.88"/><n v="0.137"/><n v="0.2017478108"/><n v="0.2017478108351"/><s v=" prop:27/38,0/38"/><n v="0.4365620244"/><n v="0.436562024402928"/><n v="1.233398852"/><n v="83.67"/><n v="5.41602791419206"/><n v="0.450767238816211"/><n v="0.4939804315"/><n v="0.472"/><n v="0.459"/><s v="t(99)=2.29"/><s v="F(1,34)=5.89"/><n v="5.89"/><n v="0.5062683995"/><n v="0.506268399475705"/><n v="1.18059532"/><n v="60502.0"/><n v="1.23"/><n v="11.53"/><n v="1.09"/><s v=" t(105)=-2.42"/><n v="0.329099978906873"/><n v="0.146"/><n v="7.86"/><s v="t(57) = 1.82"/><n v="0.473887635970198"/><n v="0.67"/><s v="−0.27"/><n v="-1.158"/><n v="1.15827489621123"/><n v="7.212"/><n v="92.34"/><s v="F(1, 13) = 14.2"/><s v="t(7) = 4.45"/><s v="ts(7) = 4.45"/><n v="-0.43"/><n v="-0.31"/><s v="F(1, 44) = 13.42"/><s v="X^2(1, N=56) = 4.51"/><s v="F(1, 17) = 9.33"/><s v="F(2, 76) = 8.67"/><s v="F(1, 23) = 13.71"/><s v="F(3, 93) = 5.23"/><s v="F(1, 152) = 23.176"/><n v="1.51"/><n v="0.026"/><s v="F(1,31) = 4.1"/><s v="F(1, 31) = 4.1"/><n v="1.023"/><s v="F(1, 24) = 5.29"/><s v="F(1, 36) = 22.88"/><s v="F(1,11) = 4.8"/><s v="F(1, 11) = 4.80"/><s v="z = 3.1, N = 68"/><s v="z = 3.1"/><s v="F(1, 190) = 10.49"/><s v="F(1, 190) = 10.49,"/><s v="F(2, 64) = 10.17"/><s v="t(67) = 3.08"/><s v="F(21, 230025) = 118.15"/><n v="-32.04"/><s v="F(1, 34) = 5.68"/><s v="F(1,31) = 8.38"/><s v="F(1, 31) = 8.38"/><s v="F(2, 92) = 4.36"/><s v="F(1, 31) = 5.14"/><s v="F(1, 99) = 16.62"/><n v="0.1433"/><s v="t(23) = 3.55"/><s v="t(108) = -2.34"/><s v="F(2, 76) = 21.57"/><s v="F(1, 116) = 4.15"/><s v="Av. Proportion = 0.78"/><s v="Observed proportion = 78%, hypothesized proportion = 33%"/><s v="F(1,99) = 103.7"/><s v="F(1, 99) = 103.7"/><n v="0.493"/><s v="F(1, 257) = 11.58"/><s v="X^2(1, N=37) = 3.85"/><s v="χ2(1, N = 37) = 3.85"/><s v="F(1, 242) = 10.47"/><s v="F(2, 43) = 3.36"/><s v="r = 0.30"/><s v="X^2(1, N=52) = 13.18"/><s v="χ2(1, N=52) = 13.18"/><s v="F(1, 73) = 12.19"/><s v="χ2 = 67.52"/><s v="χ2 = 26.07"/><s v="χ2 = 39.22"/><s v="F(1, 13) = 7.11"/><s v="F(1, 28) = 26.69"/><s v="0.13; X^2 = 3.83"/><n v="0.326"/><s v="F(1, 55) = 6.88"/><n v="0.93"/><s v="0.326; F(1,30) = 14.49"/><s v="t(31) = 3.23"/><s v="t(172) = 3.94"/><s v="F(18, 660) = 16.31"/><n v="0.308"/><n v="0.045"/><s v="r = -0.38"/><n v="3.25"/><s v="t(7) = 2.76"/><s v="F(1, 34) = 5.89"/><s v="t(28) = 4.978"/><s v="t(28) = 4.98"/><s v="0.80; F(1, 26) = 4.17"/><s v="F(2, 68) = 41.59"/><n v="1.523"/><n v="25.75"/><n v="1.32"/><n v="-0.32"/><n v="0.863"/><n v="-0.1"/><n v="7.46"/><s v="F(1, 137) = 7.46"/><n v="2.42"/><n v="-0.02"/><n v="5.12"/><n v="0.40700273690976"/><s v="χ²(1) = 0.003"/><s v="z = 2.6"/><s v="t(148) = 0.83"/><n v="11.5"/><n v="0.869"/><n v="0.792"/><s v="F(2, 1458) = 129.4"/><n v="-0.24"/><n v="0.58"/><n v="0.612803903785751"/><s v="0.6128039037857511"/><n v="0.56"/><s v="F(1, 121) = 0.02"/><s v="t(116) = 2.61"/><s v="F(1, 121) = 0.87"/><s v="F(2, 121) = 0.92"/><n v="75.02"/><n v="1.25"/><n v="0.94"/><s v="F &lt; 1"/><s v="F(1, 14) = 4.1"/><n v="125.46"/><n v="0.024"/><n v="0.373"/><n v="0.004"/><s v="-0.61."/><n v="0.612825877028341"/><n v="4.15"/><s v="F(1,116) = 17.34"/><s v="F(1,116) = 22.88"/><s v="F(1,116) = 4.15"/><n v="1.06"/><n v="-1.0"/><n v="-1.36"/><n v="-0.78"/><n v="-0.77"/><n v="0.56766426264502"/><n v="9.599"/><n v="9.199"/><n v="3.4"/><n v="0.909968602284088"/><s v="t(20) = 4.17"/><n v="0.594"/><n v="0.625"/><n v="0.7"/><s v="F(6, 912) = 21.92"/><s v="F(1, 145) = 2.10"/><n v="0.002"/><n v="22.39"/><s v="F(1, 98) = 22.39"/><n v="2.27"/><n v="1.65"/><n v="0.212"/><n v="0.477"/><n v="-0.45"/><n v="47.54"/><n v="0.124354626824745"/><n v="0.051"/><s v="t(105) = −3.20"/><s v="t(105) = −1.96"/><s v="t(105) = −1.51"/><n v="285.81"/><n v="0.99"/><n v="-1.09"/><n v="-1.54"/><n v="31.45"/><n v="1.012734458295901"/><n v="7.89"/><n v="2.91"/><n v="0.81"/><n v="17.21"/><n v="0.548480826803157"/><s v="Z = 3.1, N = 10"/><s v="χ²(2) = 9.5"/><n v="8.91"/><n v="0.018"/><n v="163.22"/><n v="0.478"/><n v="0.507361593764794"/><n v="7.55"/><n v="0.144"/><n v="0.043"/><s v="t(556) = 6.55"/><n v="10.7"/><s v="t(28) = 4.83"/><s v="χ²(1) = 5.59"/><n v="32.04"/><n v="8.01"/><n v="0.6864229531"/><n v="1.025"/><n v="1.026"/><n v="1.028"/><n v="1.027"/><n v="0.997"/><n v="0.999"/><n v="1.009"/><n v="0.989"/><n v="0.034"/><n v="22.8"/><n v="1.15"/><n v="1.27"/><s v="0.022356441140367795"/><n v="84.58"/><n v="0.691"/><n v="0.132"/><n v="0.322"/><n v="0.113056437869578"/><s v="t(4408) = 3.73"/><n v="-1.79"/><n v="-0.75"/><n v="0.849411594880563"/><n v="127.07"/><s v="F(1,117) = 127.07"/><n v="10.95"/><n v="0.141"/><s v="x2 = 16.3, df = 1"/><n v="0.525"/><n v="0.816"/><n v="0.104"/><s v="U=717 (48,15), z=5.761"/><n v="0.631"/><n v="0.8705228793740944"/><n v="0.388"/><n v="0.5414312553775226"/><s v="t(23) = 2.42"/><s v="t(34) = 2.37"/><n v="0.377"/><s v="F(1, 46) = 4.50"/><n v="0.453"/><n v="1.5"/><n v="0.602"/><s v="F(1,18)=30.53"/><n v="0.793"/><n v="0.371"/><n v="0.437"/><n v="0.315376592305525"/><n v="0.197"/><n v="0.289"/><n v="1.301"/><n v="0.674"/><n v="0.267"/><s v=", t(14) = 13.07"/><n v="0.961"/><s v="F(1, 82) = 6.40"/><n v="-1.7676742663162734"/><n v="0.38892740882854915"/><n v="0.223"/><s v="t(39) = 3.39"/><s v="t(19) = 4.49"/><s v=" t(19) = .88"/><s v="z = 2.32, N = 100"/><n v="2.32"/><n v="2.446"/><n v="0.757"/><n v="15.251207729468597"/><n v="65.46280991735539"/><s v="F(1, 78) = 17.27"/><s v="F(1, 78) = 12.8"/><s v="F(1, 78) = 17.7"/><s v="t(68) =  3.32"/><s v="t(68) = 3.32"/><s v="t(68) = 2.20"/><s v="t(68)  = 3.49"/><s v="t(17) = 3.68"/><s v="t(17) = 2.09"/><s v="F (1, 151) = 4.25"/><s v="t(82) = 3.13"/><s v="t = 3.13"/><n v="5.2025862068965525"/><n v="4.96"/><n v="2.02"/><n v="0.547"/><s v="t(153) = 2 .99, p &lt; .01 . "/><s v="t(45) = 2.24"/><s v="F(1,25) = 6.99"/><s v="F(1, 25) = 6.99"/><s v="F(1, 535) = 9.14"/><s v="F(2, 535) = 4.82"/><s v="F(2,288) = 4.74"/><s v="F(2,288) = 3.88"/><s v=" t(39) = 2.01"/><s v="F(1, 224) = 4.73"/><s v="t(115) = 3.05"/><n v="1.2564102564102562"/><n v="4.333333333333333"/><s v="z = 2.48, N = 170"/><s v="z = 2.48"/></sharedItems></cacheField><cacheField name="es_type_o" numFmtId="0"><sharedItems containsBlank="1"><s v="original effect size type (e.g., d, r, r², etasq)"/><s v="F test statistic"/><m/><s v="test statistic"/><s v="r"/><s v="d"/><s v="partial r"/><s v="language processing, inhibitory control, second language, phonological processing"/><s v="beta"/><s v="beta (std)"/><s v="test statistics"/><s v="hedges' g"/><s v="p. 73"/><s v="Hedges'g"/><s v="chi-square"/><s v="OR"/><s v="odds ratio"/><s v="delta"/><s v="Partial etasq"/><s v="etasq"/><s v="b (unstd)"/><s v="F"/><s v="dv"/><s v="OR "/><s v="χ2"/><s v="descriptive "/><s v="b"/><s v="etasq (partial)"/><s v="NA"/><s v="Strength of centrality of the nodes"/><s v="R²"/><s v="Cohen's d."/><s v="cohen's h"/><s v="n/a"/><s v="Cronbach's alpha"/><s v="cramer's V"/><s v="Cohen's f"/><s v="η²"/><s v="η² (eta squared)"/><s v="Cohen's d"/><s v="Not applicable."/><s v="petasq"/><s v="β (regression)"/><s v="Standard deviation units"/><s v="β"/><s v="β "/><s v="t"/><s v="kendall's w"/><s v="test statstic"/><s v="test"/><s v="b (std)"/><s v="w"/><s v="omega squared"/><s v="phi"/><s v="omega-square"/><s v="r-square"/><s v="omega"/><s v="q"/><s v="z"/></sharedItems></cacheField><cacheField name="es_repr_o"><sharedItems containsBlank="1" containsMixedTypes="1" containsNumber="1"><s v="Reproducible origin/calculation method for es_value_o (&quot;p. xx&quot; when reported, link when available online - e.g., OSF, otherwise calculation process)"/><s v="p. 7"/><m/><s v="p.31"/><s v="p. 16, 31"/><s v="p. 137"/><s v="t(18) = 1.92"/><s v="p. 23"/><s v="The study measured the perceptual processing of Spanish consonants using the speeded ABX categorization task."/><s v="p. 11"/><s v="p. 13"/><s v="p. 263"/><s v="p. 3"/><s v="p.3"/><s v="p.24-25"/><s v="p. 12"/><s v="p.26"/><s v="p. 15"/><n v="0.007"/><n v="0.001"/><s v="p. 73"/><s v="χ2(1) = 1.62"/><s v="χ2(1) = 0.53"/><s v="χ2(1) = 0.51"/><s v="χ2(1) = 0.37"/><s v="p. 428"/><s v="r code"/><s v="p. 7 replication paper"/><s v="p. 887"/><s v="p. 2"/><s v="p. 5"/><n v="28.0"/><s v="p. 8, see my calculation here: https://docs.google.com/spreadsheets/d/1Da93yd8SPd-GwqOb8HCKeN1Hobk77X3_1anZLPku0G0/edit?usp=sharing"/><n v="690.0"/><n v="148.0"/><s v="p.4"/><n v="4.0"/><s v="p.5"/><n v="5.0"/><s v="p.6"/><s v="The article uses — z = 1.73, p = .08 — a. r needs to be calculated using z and both sample groups size (17 in both), so we have r = 1,73/ √34 =0,297&#xA;"/><s v="p. 6"/><s v="p. 59"/><s v="p. 60"/><s v="p.16"/><n v="16.0"/><s v="p. 105"/><s v="p. 4"/><s v="Fs&lt;1"/><s v="Fs&lt;1.4"/><s v="p. 150"/><s v="p. 159"/><s v="p. 160"/><s v="p. 405"/><s v="p. 53"/><s v="p. 58"/><s v="p. 10"/><s v="p. 313-314"/><s v="p. 165"/><s v="df inferred based on context; Table 4 in replication"/><s v="p. 101, df inferred based on description"/><s v="p.100"/><s v="p.108"/><s v="p.101"/><s v="p.27"/><n v="3.0"/><n v="0.5978393308265779"/><n v="-0.3738747636968581"/><n v="0.8998987670827345"/><s v="p.9"/><s v="p. 8 "/><s v="p. 9"/><s v="p. 9 "/><s v="p.37"/><s v="p.393-394"/><s v="=(p. 7/0.0305)/(/)"/><s v="=(/)/(p. 5/0.01)"/><s v="=(p. 5/0.01)/(p. 5/0.01)"/><n v="8.0"/><s v="p.17"/><s v="p. 21"/><s v="p.20"/><s v="p.8"/><n v="1040.0"/><s v="4, Figure 2"/><s v="Calculated based on means and SDs from p. 53"/><s v="p.42"/><s v="p.2"/><n v="827.0"/><s v="Calculated with SPSS"/><s v="Calculated based on the data provided in Table 1 - N1 = 39, Standardized Cognitive Score SD 0.08 (0.42) and N2 =14 Standardized Cognitive Score SD −0.20 (0.53)"/><s v="&#xA;Calculated based on the data provided in Table 2. Z-scores were used as proxies for Cohen's d. Z-scores for Decrease and Increase were averaged resulting in d 3.23."/><s v="Cannot be calculated"/><s v="n/a"/><s v="p. 1663"/><s v="p. 20"/><s v="Orindary least squares regression, p.17-18"/><s v="Orindary least squares regression, p.17-19"/><s v="Orindary least squares regression, p.17-20"/><s v="Orindary least squares regression, p.17-21"/><s v="Orindary least squares regression, p.17-22"/><s v="Orindary least squares regression, p.17-23"/><s v="Orindary least squares regression, p.17-24"/><s v="Orindary least squares regression, p.17-25"/><s v="Orindary least squares regression, p.17-26"/><s v="Orindary least squares regression, p.17-27"/><s v="Diary entries and semi-structured interviews, Qualitative content analysis"/><s v="Independent samples t-test, Welch's t-test, p. 3"/><s v="independent samples t-test, Student's t-test, p. 3"/><s v="mediation analysis, p.3"/><s v="p. 8"/><s v="NA"/><s v="Mean, p.6"/><s v="binary factor analysis, p. 5; ordinary least squares p.6"/><s v="p.13"/><s v="p. 16"/><s v="p. 19"/><s v="generalized linear mixed effects model, p. 13"/><s v="p.1223"/><n v="2.0"/><s v="p. 415"/><s v="p. 416"/><s v="p. 417"/><s v="p. 2 &amp; 7"/><s v="Calculated based on F(1, 95) = 5.38 and variance explained (η² = 0.055) reported on p. 245."/><s v="p.935"/><s v="Reported on page 391."/><s v="p. 391"/><s v="Reported on page 106."/><s v="p. 49"/><s v="Reported in the text, Page 454, describing results from Problems 1 and 2."/><s v="Reported on page 329."/><s v="Reported on page 1013."/><s v="p. 1016"/><s v="Reported directly in the text on page 1163."/><s v="p. 3, n based on df"/><s v="p. 409; one-tailed is mentioned in footnote 1"/><n v="409.0"/><s v="Reported directly in the text, page 1171."/><s v="Reported directly in the text on page 169-170."/><s v="Reported in the text, page 809."/><s v="Calculated based on means and SDs from p. 470"/><s v="Reported in Table 2 on page 796."/><s v="Reported on p. 1215"/><s v="Reported directly in text on page 651, (page 9 in pdf)."/><s v="Reported in text on page 9."/><s v="calculated with N and chi squared"/><s v="Reported directly in the text, page 214."/><s v="Reported directly in the text, page 1070-1071."/><n v="1.0"/><s v="p.1"/><s v="Reported on page 302 and Table 1."/><s v="Reported on page 945."/><s v="Reported on page 869."/><s v="p.405"/><s v="p.406"/><s v="p.407"/><n v="7.0"/><s v="p.7"/><s v="p.384"/><s v="=(p.384-)/SQRT(((p. 5-1)*p. 5^2+(-1)*p.2^2)/(p. 5+-2)))"/><s v="p.4 SI"/><s v="=(-)/SQRT((p.3^2+^2)/2)"/><s v="p.12 SI"/><s v="p.19"/><s v="p.21"/><s v="p. 478"/><s v="p. 320"/><s v="p. 3 χ2(1, N = 78) = 27.2, p &lt; .001."/><s v="X2(1, N = 82) = 8.2439, p = 0.004089)"/><s v="p. 18-19"/><s v="p. 18-19, X2(1, N = 41) = 15.3, p &lt;.001"/><s v="p. 17"/><s v="p. 17 X2(1, N = 8) = 4.5, p = 0.03"/><s v="p. 210 X2(1, N = 126) = 7.62, p &lt; .01"/><s v="p. 682 X2(1, N = 41) = 6.034, p &lt; 0.05"/><s v="p. 15 F(1, 298) = 36.375, p &lt; .001"/><s v="p. 10, t(93) = 2.07, p &lt; .05"/><s v="p. 116, t(93) = 2.07, p &lt; .05"/><s v="p. 6 F(1, 62.9) = 8.5, p = .005"/><s v="p. 140 X2(1, N = 85) = 7.873, p = .005"/><s v="p. 314 X2(1, N=37) = 7.7, df = 1, p &lt; .01"/><s v="p. 18 t(3411) = 21.5, p &lt; .001"/><s v="p. 10  t(117) = 7.47, p &lt; .001 "/><s v="X2(1, N = 48) = 6.2061, p &lt; .05"/><s v="p. 476 t = −10.126, df = 747, p&lt;.001"/><s v="p.325 t(109) = 7.12, p&lt;001] and the effect size (d = 0.87) i"/><s v="Interaction effect, F(1, 213) = 13.05, p &lt; .001"/><s v="X2(1, N = 15664) = 1512.4, p &lt; 0.001"/><s v="p. 488 F (2, 218) = 20.7, p &lt; 0.001"/><s v="p. 166 CRT-First: M = 3.77; Dilemmas-First: M = 3.25; t(90) = 2.03, p = .05, d = 0.43)."/><s v="p, 7 t(70) = -2.55 p &lt; .05"/><s v="p. 705 t(98) = 3.4, p = .001"/><s v="p. 355 F(1, 113) = 4.10, p = .045"/><s v="χ2 = 107.81, df = 1, N = 202, p &lt; .001, B = 1.62, Exp(B) = 5.07"/><s v="p. 226 F(1, 368) = 31.127, p &lt; 0.001, r = 0.28."/><s v="χ2(1, N = 60) =.9026, p=.3421"/><s v="p. 15, Figure 2. Sobel test = 2.286, p &lt; .022"/><s v="p. 10. Table 2 t(160)=2.58, p = .01, η2=0.040"/><s v="p. 14"/><s v="p. 352 t = 3.42, df = 29, p = .002"/><s v="p. 9 X2(1, N = 162) = 14.421, df = 1, p &lt; .001"/><s v="p. 31"/><s v="p. 31 F(1, 260) = 99.46, p &lt; .001"/><s v="p. 4 t(75) = 2.65, p = 0.01"/><s v="p. 6 t(58) = -2.210, p = .031"/><s v="X2(1, N = 44) = 20.53, p &lt;.001"/><s v="X2(1, N = 77) = 1.8348, p = 0.1756"/><s v="X2(1, N = 40) = 8.10,  p = .004"/><s v=" p. 10"/><s v="p. 1"/><s v="p. 1,2"/><s v="p. 989"/><n v="14.0"/><s v="p.1 "/><s v="calculated based on the data in the paper - [percentage correct: M  53.0%,SD  10.7%), t (19) = 1.26, P  &gt; 0.05]. N = 20"/><s v="t. 3"/><s v="p. 506"/><s v="p. 61"/><s v="p.  190"/><s v="p. 9; bseb=1.28(.12)"/><s v="p. 9; bseb=.44(.13)"/><s v="p. 744"/><s v="p. 8054"/><s v="p. 26"/><s v="p. 444"/><s v="p. 519"/><s v="p.252"/><s v="t. 1/ p. 3"/><s v="p.105"/><s v="p.1149"/><s v="p. 401"/><s v="t. 2"/><s v="p.72"/><s v="p.1210, Table 2, row &quot;dislike to like&quot;, difference"/><s v="p.1210"/><s v="p.7, 8"/><s v="p. 829"/><s v="p.730"/><s v="p.789"/><s v="p. 1622"/><s v="p.3 "/><s v="p. 384"/><s v="F(1,115)=7.497 (https://github.com/vboyce/251-254-MA/blob/main/data/processed_data.csv)"/><s v="taken from replication: https://github.com/vboyce/251-254-MA/blob/main/data/processed_data.csv"/><s v="p. 512"/><s v="t. 1"/><s v="p.959"/><s v="p.356"/><s v="p.237"/><s v="p. 83"/><s v="p. 977"/><s v="p. 614"/><s v="p. 1927"/><s v="=(0.02-2.54)/SQRT((2.38^2+1.95^2)/2)"/><s v="p.86"/><s v="=(0.512/(1-0.512))/(0.127/(1-0.127))"/><s v="p. 162"/><s v="p. 5 "/><s v="p.16 "/><s v="p. 18"/><s v="p. 24"/><s v="p.2 (table 1)"/><s v="p. 5; F(1, 34) = 5.8"/><s v="p. 5; t(84) = 2.09"/><n v="0.0"/><s v="p. 12; F(1, 21) = 17.3"/><s v="p. 4; F(1, 278) = 123.38"/><s v="p. 3; F(1, 9) = 8.7"/><s v="p. 1; t(124) =10.36"/><s v="p. 4; F(1, 111) = 5.311"/><s v="p. 3; F(2, 92) = 3.13"/><s v="p. 5, 6; t(11) = 5.39"/><s v="p. 3; F(1, 26) = 4.17"/><s v="p. 5: =(746.31-706.98)/SQRT((25.83^2+25.83^2)/2)"/><s v="p. 534"/><s v="p.12"/><s v="p.633"/><s v="p.10"/><s v="p.325"/><s v="p. 25"/><s v="p. 208"/><s v="p.785"/><s v="p. 13: =(5.87-4.55)/SQRT((1^2+1.9^2)/2)"/><s v="p. 13: =(5.78-4.55)/SQRT((1.1^2+1.9^2)/2)"/><s v="p. 4088"/><s v="p.6 in O (probably), but used statistics from Boyce"/><s v="p.2617"/><s v="p. 2617"/><s v="p.1680"/><s v="p.29"/><s v="p. 29: =(12.27-10.51)/SQRT(((178-1)*4.38^2+(172-1)*5.04^2)/(178+172-2)))"/><s v="p. 1259"/><s v="p. 302"/><s v="p. 466"/><s v="p. 386"/><s v="p.394"/><s v="p.798"/><s v="p. 172"/><s v="p. 6: =(3.54-4.82)/SQRT((1.94^2+2.15^2)/2)"/><s v="p. 285"/><s v="p. 1393"/><s v="d copied from Boyce data set"/><s v="p. 1742"/><s v="p. 8039"/><s v="calculated based on the data in the paper, p. 1511 -  Consistent with our hypothesis, the analysis showed that females were more accurate in the social condition (M = 11.59, SD = 5.29, 95% CI = [9.80, 13.37]) than in the spatial condition (M = 7.69, SD = "/><s v="calculated based on data from p. 540, including table"/><s v="p. 338"/><s v="p. 1273"/><s v="calculated based on Chosen Lotteries:  (M = 2.94, SD = 0.33; willingness to wait: M = 47.19%, SD = 19.81%) tand provided to them (M = 2.78, SD = 0.3; willingness to wait: M = 40.19%, SD = 19.23%)."/><s v="p. 1155"/><s v="p. 279"/><s v="calculated based on statistics page 4 (Fig. 3A; coefficient = 0.28; 95% CI: 0.19–0.36; t(556) = 6.55; p &lt; 0.001)."/><s v="p.442"/><n v="1274.0"/><s v="p. 227"/><s v="p. 117, Table 4"/><s v="p. 216"/><s v="p. 348"/><s v="p. 517"/><s v="p. 449"/><s v="p. 1316"/><s v="p. 309"/><s v="p. S21"/><s v="p. 389"/><s v="p. S9"/><s v="p. S18"/><s v="p. S17"/><s v="(2.05-1)/SQRT(((20-1)*0.96^2+(20-1)*1.41^2)/(20+20-2)))"/><s v="=(5.8-5.38)/SQRT(((26-1)*0.76^2+(28-1)*0.79^2)/(26+28-2)))"/><s v="R, compute.es pkg"/><s v="p. 1832"/><s v="p. 50 (of Camerer SMs, Supplementary Table 1), and p.1 of post-data collection report"/><s v="p. 1531"/><s v="p. S4"/><s v="p. S11"/><s v="=(712-591)/SQRT((413^2+204^2)/2)"/><s v="=(0.306/(1-0.306))/(0.583/(1-0.583))"/><s v="p. 495"/><s v="=(0.677/(1-0.677))/(0.617/(1-0.617))"/><s v="p. 683"/><s v="p. 48 (of Camerer SMs, Supplementary Table 1), p. 1 of post-data collection report"/><s v="p. 378"/><s v="=(3.2-6.87)/SQRT(((15-1)*2.23^2+(15-1)*1.91^2)/(15+15-2)))"/><s v="=(0.493/(1-0.493))/(0.7143/(1-0.7143))"/><s v="from replication report - diff in correlations was not formally tested"/><s v="p.  11"/><s v="Table 1: =(10.82-3.3)/SQRT((3.47^2+2.62^2)/2)"/><s v="=(9.27-7.02)/SQRT((2.88^2+3.06^2)/2)"/><s v="p. 192: =(0.82/(1-0.82))/(0.23/(1-0.23))"/><s v="p. 7, =(0.89/(1-0.89))/(0.11/(1-0.11))"/><s v="p. 283"/><s v="p. 508"/><s v="p. 666"/><s v="p. 667"/><s v="p. 109"/><s v="p. 44"/><s v="=(0.68/(1-0.68))/(0.29/(1-0.29))"/><s v="p. 1032 + 1033"/><s v="p. 8, =(0.72/(1-0.72))/(0.56/(1-0.56))"/><s v="p. 295"/><s v="Table 1: =(4.08-5.33)/SQRT((1.56^2+1.3^2)/2)"/><s v="p. 246"/><s v="p. 33"/><s v="p. 33: =(5.01-4.62)/SQRT(((200-1)*0.6^2+(200-1)*0.81^2)/(200+200-2)))"/><s v="p. 87"/><s v="p. 1452"/><s v="p. 487"/><s v="p. 740"/><s v="replication report"/><s v="p. 145"/><s v="p. 574: =(2.45-1.9)/SQRT(((20-1)*0.64^2+(20-1)*0.89^2)/(20+20-2)))"/><s v="p. 768"/><s v="=(0.7/(1-0.7))/(0.65/(1-0.65))"/><s v="p. 187: =(0.7/(1-0.7))/(0.35/(1-0.35))"/><s v="p. 549"/><s v="p. 396"/></sharedItems></cacheField><cacheField name="pval_value_o"><sharedItems containsBlank="1" containsMixedTypes="1" containsNumber="1"><s v="The reported p-value associated with the original finding, must contain only one value and must not contain text"/><n v="0.01"/><m/><n v="0.001"/><s v="0.001"/><n v="0.05"/><s v="p &lt; 0.01"/><s v="&lt; 0.01"/><n v="0.71"/><s v="The test subconditions consE and vowelE did not differ from each other (Merr = 4.6%, CI = 1.0–8.2; and Merr = 3.6%, CI = 0–7.2, respectively), but they triggered significantly fewer errors than the nonnative consS and vowelS subconditions (Merr = 24.0%, C"/><n v="0.02"/><n v="0.79"/><n v="0.019"/><n v="0.025"/><n v="4.0E-4"/><s v="0.003"/><s v="0.632"/><s v="0.236"/><s v="0.023"/><n v="0.059"/><n v="0.006"/><s v="e (=)"/><s v="p = 0.02"/><s v="p = 0.07"/><n v="0.002"/><n v="0.2"/><n v="0.41"/><n v="0.48"/><n v="0.55"/><s v="p = 0.20"/><s v="p = 0.47"/><s v="p = 0.48"/><s v="p = 0.45"/><s v="p &lt; 0.001"/><n v="1.0E-4"/><n v="3.0E-4"/><n v="0.1"/><n v="0.86"/><s v="p &gt; 0.05"/><n v="0.09"/><s v="p = .001"/><s v="p = .02"/><s v="p = .00115"/><s v="p &lt; .05"/><s v="p = .00265"/><n v="0.4"/><n v="0.17"/><n v="0.26"/><n v="0.83"/><n v="0.005"/><s v="Not reported"/><n v="1.0E-5"/><n v="0.031"/><n v="0.009"/><n v="0.04"/><n v="0.012"/><n v="0.018"/><n v="0.03"/><n v="0.029"/><n v="0.011"/><n v="0.46"/><n v="0.047"/><n v="0.023"/><n v="0.5"/><n v="0.901"/><n v="0.917"/><n v="0.669"/><n v="0.751"/><n v="0.763"/><n v="0.118"/><n v="0.0025"/><s v="N/A"/><n v="0.016"/><n v="0.0717"/><n v="0.3451"/><n v="0.0012"/><n v="0.0187"/><n v="0.0134"/><n v="0.0154"/><n v="0.1649"/><n v="2.0E-4"/><s v="NA"/><n v="0.21"/><n v="0.021"/><n v="0.0"/><s v="&lt; 0.001"/><n v="0.11"/><n v="0.72"/><n v="0.29"/><n v="0.15"/><n v="0.3"/><n v="0.53"/><n v="0.25"/><n v="0.97"/><n v="0.07"/><n v="0.0364"/><n v="0.0305"/><s v="ns"/><n v="0.045"/><n v="0.073"/><n v="0.375"/><n v="0.0013"/><n v="0.041"/><n v="0.043"/><s v="Main: p &gt; 0.05&#xA;Interaction: p&lt;0.004&#xA;Simple: non-expert p &lt; 0.04, expert p &lt; 0.03"/><s v="Main: p &gt; 0.05&#xA;Interaction: p&lt;0.002&#xA;Simple: non-expert p &lt; 0.01, expert p = 0.05"/><s v="&gt; 0.12"/><s v="p &gt;0.05"/><s v="p &lt;0.004"/><s v="p &lt; 0,02"/><n v="0.003"/><n v="0.67"/><s v="p = 0.047"/><n v="0.004"/><n v="0.026"/><n v="0.053"/><n v="0.037"/><n v="0.702"/><n v="0.007"/><n v="0.008"/><s v="NOT REPORTED "/><n v="0.84"/><s v="p = 0.24"/><n v="0.022"/><n v="0.056"/><n v="0.013"/><n v="0.032"/><n v="0.139"/><n v="0.057"/><n v="0.223"/><n v="0.051"/><n v="0.592"/><n v="0.886"/><n v="0.455"/><n v="0.072"/><n v="0.421"/><n v="0.644"/><n v="0.227"/><n v="0.035"/><n v="0.042"/><n v="0.9"/><s v="0.035"/><s v="0.009"/><s v="0.042"/><n v="0.06"/><n v="0.56"/><n v="0.028"/><s v="0.028"/><s v="0.025"/><s v="0.350"/><n v="0.024"/><n v="0.63"/><n v="0.349"/><n v="0.568"/><n v="0.613"/><n v="0.095"/><s v="0.05"/><s v="1.0e−05 "/><n v="0.036"/><n v="0.027"/><s v="0.68"/><n v="0.23"/><n v="0.22"/><n v="0.34"/><n v="0.426"/><n v="0.418"/><n v="0.575"/><n v="0.581"/><n v="0.548"/><n v="0.553"/><n v="0.583"/><n v="0.594"/><n v="0.08"/><s v="0.01"/><s v="0.04"/><n v="0.004089"/><n v="0.3421"/><n v="0.347"/><n v="0.1756"/><n v="0.24"/><n v="5.0E-4"/><n v="1.37237492094605E-28"/><n v="0.00148066986056677"/><n v="6.44373736390437E-9"/><n v="0.0409984059452884"/><n v="0.033"/><n v="0.017238199239407"/><n v="0.0206772695323613"/><n v="0.00716387110547914"/><n v="3.26311635515222E-152"/><n v="0.01723819924"/><n v="0.489"/><n v="0.015"/><n v="9.45528557450159E-14"/><n v="0.999"/><n v="0.93"/><n v="0.307"/><n v="0.116"/><n v="0.143"/><n v="1.47769853598369E-5"/><n v="0.96"/><n v="0.58"/><n v="5.66347582420852E-15"/><n v="0.536"/><n v="0.187"/><n v="0.91"/><n v="0.36"/><n v="2.52625057832611E-12"/><n v="0.625"/><n v="0.093"/><n v="0.054"/><n v="0.044"/><n v="1.0E-6"/><n v="0.052"/><n v="0.134"/><n v="0.69"/><n v="9.21719900448522E-19"/><n v="6.62469529051993E-5"/><n v="0.609"/><s v="0.006352567590246201"/><n v="0.065"/><n v="0.348"/><n v="0.829773477380528"/><n v="0.547"/><n v="0.078"/><n v="7.83134738554709E-24"/><n v="0.0089"/><n v="5.4E-5"/><n v="0.0044"/><n v="8.362E-9"/><n v="0.049"/><n v="0.0238"/><n v="0.0092"/><n v="3.9E-5"/><n v="0.0021"/><n v="0.0042"/><n v="0.046"/><n v="4.4E-5"/><n v="0.0027"/><n v="7.4E-7"/><s v="p. 396"/></sharedItems></cacheField><cacheField name="pval_type_o" numFmtId="0"><sharedItems containsBlank="1"><s v="How is p-val reported?&#xA;&quot;=&quot; (e) / &quot;&lt;&quot; (l) / &quot;&gt;&quot; (g) or combined (le, ge)?&#xA;&#xA;for example &quot;p &lt;= .05&quot; should be coded as &quot;le&quot;"/><s v="l (&lt;)"/><m/><s v="e (=)"/><s v="g (&gt;)"/><s v="NA (not reported)"/><s v="le (&lt;=)"/><s v="NA"/><s v="N/A"/></sharedItems></cacheField><cacheField name="pval_tails_o" numFmtId="0"><sharedItems containsBlank="1"><s v="How many tails associated with the p-value, taking on values of one, two, or unknown&#xA;&#xA;one: 1&#xA;two: 2&#xA;unknown / not specified: NA&#xA;missing: not coded"/><s v="2 (two)"/><m/><s v="NA (not reported)"/><s v="1 (one)"/><s v="Linguistics"/><s v="yes"/><s v="N/A"/><s v="NA"/></sharedItems></cacheField><cacheField name="nested_o" numFmtId="0"><sharedItems containsBlank="1"><s v="Is pval based on a test that accounts for dependence between observations (e.g., multilevel, repeated measures)"/><s v="no"/><m/><s v="yes"/><s v="Production accuracy - /ei/ format"/><s v="unsure"/><s v="N/A"/><s v="NA"/></sharedItems></cacheField><cacheField name="prereg_o"><sharedItems containsBlank="1" containsMixedTypes="1" containsNumber="1" containsInteger="1"><s v="Link to preregistration of O (only search for &quot;regist&quot;)"/><m/><s v="NA"/><s v="language processing, inhibitory control, second language, phonological processing"/><n v="486.0"/><s v="https://osf.io/jqpm8/?view_only=38a5b79a4f2a49b0a0b1a74c6afc8677"/><s v="https://osf.io/jqpm8/?view_only=38a5b79a4f2a49b0a0b1a74c6afc8679"/><s v="https://osf.io/yajmp"/><s v="https://osf.io/yqxme"/><s v="n/a"/><s v="https://doi.org/10.1257/rct.3585-2.0"/><s v="https://aspredicted.org/blind.php?x=6w6gu4"/><s v="1 - internal"/><s v="https://osf.io/fdh4m/"/><s v="https://osf.io/g6u9q"/><s v="https://osf.io/yxusb"/><s v="https://osf.io/x73nv"/><s v="https://osf.io/gwq48"/><s v="https://osf.io/r57d6"/><s v="Not mentioned"/><s v="https://osf.io/ev794"/><s v="https://aspredicted.org/w82be.pdf"/><s v="https://osf.io/qfhe4/"/><s v="https://aspredicted.org/ij46t.pdf"/><s v="no"/><s v="https://aspredicted.org/mq97g.pdf"/><s v="https://osf.io/5ybej/."/><s v="https://osf.io/nsk8h/?view_only=b1e702d061484d1bb4150754892d9197"/><s v="https://osf.io/krx8m/?view_only=069f8366242e4dccb0309ccf89f88324."/><s v="https://osf.io/w6qub/"/><s v="https://osf.io/7dh3m"/><s v="https://osf.io/qg3m2/registrations"/><s v="https://osf.io/qg3m2/"/><s v="https://osf.io/egc9y/"/><s v="https://osf.io/egc9y/."/><s v="https://osf.io/92qp3/."/><s v="https://osf.io/vzmdj"/><s v="https://osf.io/ebhku/"/><s v="https://aspredicted.org/blind.php?x=fx3kz7"/><s v="Study 2a. Preregistration site is http://aspredicted.org/blind.php?x=fx3kz7.&#xA;Study 2b. Preregistration site is https://aspredicted.org/blind.php?x=hd589d.&#xA;Study 4a. Preregistration site is https://aspredicted.org/blind.php?x=c44jr2.&#xA;Study 4b. Preregistrat"/><s v="https://osf.io/mge8r/"/><s v="https://aspredicted.org/yp5az.pdf"/><s v="Study 1a: https://aspredicted.org/yp5az.pdf&#xA;Study 1b: https://aspredicted.org/n3pd9.pdf"/><s v="https://osf.io/xcg6e/?view_only=d0fcb2bb73fb4648ad6e3da300505f65"/><s v="https://osf.io/txe4d"/><s v="https://osf.io/w3h9y"/><s v="https://osf.io/8k4t5/."/><s v="https://osf.io/zxp9k/."/><s v="https://osf.io/xhz4q/"/><s v="https://osf.io/ajqzg"/><s v="https://aspredicted.org/ai7am.pdf"/><s v="https://aspredicted.org/public/205223581.pdf"/><s v="https:osf.io/gseqn"/><s v="https:osf.io/gseqn/"/><s v="https://aspredicted.org/uv6ha.pdf"/><s v="https://osf.io/g9yrc"/><s v="https://osf.io/9fdhb/"/></sharedItems></cacheField><cacheField name="n_r"><sharedItems containsBlank="1" containsMixedTypes="1" containsNumber="1"><s v="R's sample size [used for the critical test, i.e., after exclusion criteria have been applied], must contain only one value and must not contain text"/><n v="39.0"/><m/><n v="137.0"/><n v="165.0"/><n v="80.0"/><n v="58.0"/><s v="The study measured the production accuracy of  /ei/ format using a delayed sentence repetition task."/><n v="1079.0"/><n v="71.0"/><n v="93.0"/><n v="84.0"/><n v="4.0"/><n v="0.41"/><n v="0.46"/><n v="2421.0"/><n v="486.0"/><n v="40.0"/><n v="119.0"/><n v="7743.0"/><n v="8131.0"/><n v="9241.0"/><n v="8916.0"/><n v="2240.0"/><n v="46.0"/><n v="70.0"/><n v="55.0"/><n v="351.0"/><n v="590.0"/><n v="885.0"/><n v="50.0"/><n v="40177.0"/><n v="40117.0"/><n v="123.0"/><n v="117.0"/><n v="61.0"/><n v="48.0"/><n v="3906.0"/><n v="229.0"/><n v="100.0"/><n v="81.0"/><n v="74.0"/><n v="33.0"/><n v="211.0"/><n v="215.0"/><n v="198.0"/><n v="321.0"/><n v="154.0"/><n v="103.0"/><n v="992.0"/><n v="1228.0"/><s v="Unsure. Only a range between around 1000 and over 310,000 obs is reported on p1025, but not broken down in simple cells"/><s v="NA"/><n v="78.0"/><n v="127.0"/><n v="134.0"/><n v="500.0"/><n v="5.0"/><n v="156.0"/><n v="151.0"/><n v="27.0"/><n v="404.0"/><n v="205.0"/><n v="199.0"/><n v="73.0"/><n v="75.0"/><n v="152.0"/><n v="161.0"/><n v="582.0"/><n v="754.0"/><n v="377.0"/><n v="1000.0"/><n v="15.0"/><n v="3415.0"/><n v="32.0"/><n v="68.0"/><n v="1270.0"/><n v="106.0"/><n v="109.0"/><n v="120.0"/><n v="1018.0"/><n v="1.0"/><n v="533.0"/><n v="190.0"/><n v="98.0"/><n v="97.0"/><n v="148.0"/><n v="600.0"/><n v="451.0"/><n v="4963.0"/><n v="1193.0"/><n v="1250.0"/><n v="303.0"/><n v="254.0"/><n v="51.0"/><n v="36.0"/><n v="37.0"/><n v="116.0"/><n v="258786.0"/><n v="132.0"/><n v="143.0"/><n v="571.0"/><n v="588.0"/><n v="42.0"/><n v="961.0"/><n v="475.0"/><n v="270.0"/><n v="729.0"/><n v="9.0"/><n v="862.0"/><n v="30.0"/><n v="18.0"/><n v="28.0"/><n v="24.0"/><n v="60.0"/><n v="182.0"/><n v="63.0"/><n v="41.0"/><n v="29.0"/><n v="149.0"/><n v="8.0"/><n v="10.0"/><n v="755.0"/><n v="297.0"/><n v="601.0"/><n v="1036.0"/><n v="881.0"/><n v="882.0"/><n v="879.0"/><n v="76.0"/><n v="72.0"/><n v="38.0"/><n v="235.0"/><n v="228.0"/><n v="200.0"/><n v="6289.0"/><n v="5899.0"/><n v="66.0"/><n v="6120.0"/><n v="5842.0"/><n v="25.0"/><n v="1243.0"/><n v="6271.0"/><n v="5979.0"/><n v="5942.0"/><n v="5150.0"/><n v="4896.0"/><n v="6432.0"/><n v="5627.0"/><n v="5284.0"/><n v="5609.0"/><n v="52.0"/><n v="2374.0"/><n v="2285.0"/><n v="2100.0"/><n v="3119.0"/><n v="1236.0"/><n v="2365.0"/><n v="266.0"/><n v="520.0"/><n v="1200.0"/><n v="3136.0"/><n v="90.0"/><n v="96.0"/><n v="110.0"/><n v="260.0"/><n v="3279.0"/><n v="3337.0"/><n v="1335.0"/><n v="1450.0"/><n v="3088.0"/><n v="2969.0"/><n v="105.0"/><n v="219.0"/><n v="114.0"/><n v="233.0"/><n v="6340.0"/><n v="6333.0"/><n v="6335.0"/><n v="6336.0"/><n v="125.0"/><n v="108.0"/><n v="743.0"/><n v="300.0"/><n v="170.0"/><n v="175.0"/><n v="112.0"/><n v="214.0"/><n v="1826.0"/><n v="1224.0"/><n v="820.0"/><n v="503.0"/><n v="227.0"/><n v="56.0"/><n v="2213.0"/><n v="2822.0"/><n v="3653.0"/><n v="450.0"/><n v="925.0"/><n v="2441.0"/><n v="291.0"/><n v="999.0"/><n v="2849.0"/><n v="723.0"/><n v="1044.0"/><n v="855.0"/><n v="128.0"/><n v="679.0"/><n v="584.0"/><n v="232.0"/><n v="196.0"/><n v="185.0"/><n v="69.0"/><n v="698.0"/><n v="387.0"/><n v="259.0"/><n v="183.0"/><n v="272.0"/><n v="85.0"/><n v="252.0"/><n v="150.0"/><n v="145.0"/><n v="3413.0"/><n v="118.0"/><n v="204.0"/><n v="231.0"/><n v="749.0"/><n v="514.0"/><n v="217.0"/><n v="363.0"/><n v="298.0"/><n v="181.0"/><n v="368.0"/><n v="418.0"/><n v="155.0"/><n v="335.0"/><n v="99.0"/><n v="302.0"/><n v="442.0"/><n v="47.0"/><n v="186.0"/><n v="221.0"/><n v="319.0"/><n v="316.0"/><n v="304.0"/><n v="26.0"/><n v="23.0"/><n v="135.0"/><n v="53.0"/><n v="20.0"/><n v="179.0"/><n v="54.0"/><n v="349.0"/><n v="115.0"/><n v="104.0"/><n v="315.0"/><n v="136.0"/><n v="102.0"/><n v="147.0"/><n v="338.0"/><n v="292.0"/><n v="188.0"/><n v="14.0"/><n v="31.0"/><n v="22.0"/><n v="19.0"/><n v="225.0"/><n v="160.0"/><n v="126.0"/><n v="131.0"/><n v="16.0"/><n v="77.0"/><n v="45.0"/><n v="79.0"/><n v="35.0"/><n v="95.0"/><n v="21.0"/><n v="49.0"/><n v="91.0"/><n v="153.0"/><n v="180.0"/><n v="455326.0"/><n v="88.0"/><n v="113.0"/><n v="83.0"/><n v="280.0"/><n v="216.0"/><n v="222.0"/><n v="226.0"/><n v="333.0"/><n v="177.0"/><n v="251.0"/><n v="768703.0"/><n v="141.0"/><n v="140.0"/><n v="1490.0"/><n v="369.0"/><n v="1146.0"/><n v="158.0"/><n v="144.0"/><n v="12.0"/><n v="166.0"/><n v="43.0"/><n v="17.0"/><n v="3.0"/><n v="2.0"/><n v="209.0"/><n v="82.0"/><n v="224.0"/><n v="87.0"/><n v="168.0"/><n v="208.0"/><n v="157.0"/><n v="124.0"/><n v="6.0"/><n v="64.0"/><n v="194.0"/><n v="212.0"/><n v="13.0"/><n v="86.0"/><n v="250.0"/><n v="243.0"/><n v="11.0"/><n v="2136.0"/><n v="482.0"/><n v="480.0"/><n v="286.0"/><n v="599.0"/><n v="306.0"/><n v="89.0"/><n v="234.0"/><n v="531.0"/><n v="92.0"/><n v="619.0"/><n v="714.0"/><n v="407.0"/><n v="7117.0"/><n v="7460.0"/><n v="7197.0"/><n v="7982.0"/><n v="6842.0"/><n v="7205.0"/><n v="7827.0"/><n v="8002.0"/><n v="7396.0"/><n v="7646.0"/><n v="6591.0"/><n v="2200.0"/><n v="142.0"/><n v="7228.0"/><n v="6966.0"/><n v="6970.0"/><n v="7923.0"/><n v="8000.0"/><n v="6608.0"/><n v="6826.0"/><n v="7890.0"/><n v="3549.0"/><n v="3582.0"/><n v="7001.0"/><n v="6506.0"/><n v="6234.0"/><n v="4204.0"/><n v="4212.0"/><n v="2580.0"/><n v="6935.0"/><n v="6905.0"/><n v="7218.0"/><n v="7901.0"/><n v="3506.0"/></sharedItems></cacheField><cacheField name="es_value_r"><sharedItems containsBlank="1" containsMixedTypes="1" containsNumber="1"><s v="replication effect size value, must contain only one value and must not contain text"/><n v="0.226"/><n v="0.313"/><n v="0.584"/><s v="0.584"/><n v="-0.148"/><s v="𝜒2(2) = 9.99"/><m/><s v="𝜒2(2) = 16.54&#xA;"/><n v="0.27"/><n v="0.68"/><s v="intramathematical problem r = 0.25, word problem r = 0.29, modelling problem r = 0.31"/><s v="intramathematical problem r = 0.48, word problem r = 0.28, modelling problem r = 0.35"/><n v="3.31"/><n v="0.64"/><n v="-2.67"/><n v="1.94"/><n v="-0.13"/><n v="0.09"/><n v="0.07"/><s v="The two groups differed in the amount of formant movement during vowel production. The L2 Spanish learners were found to produce the Spanish diphthong /ei/ with much less formant movement (M = 1.18, SD = 0.55) than native controls (M = 3.19, SD = 0.71), a"/><n v="0.06"/><n v="0.02"/><n v="0.04"/><n v="-0.07"/><n v="-0.03"/><n v="-0.04"/><n v="-0.02"/><n v="0.16"/><n v="0.1"/><n v="-0.42"/><n v="-0.41"/><s v="t(69) = –0.34"/><s v="t(91) = 0.85,"/><s v="t(82)=0.5"/><s v="0.159"/><n v="0.159"/><n v="0.052"/><n v="0.054"/><n v="2.06"/><n v="1.5"/><n v="3.59"/><n v="1.41"/><n v="1.25"/><n v="-0.91"/><s v="−0.91"/><s v="−1.07"/><s v="hedges' g"/><n v="0.36"/><n v="0.58"/><n v="0.54"/><n v="0.9"/><n v="1.35"/><n v="6.15"/><n v="2.48"/><n v="8.7"/><n v="0.65"/><n v="1.88"/><n v="1.46"/><n v="1.57"/><n v="1.16"/><n v="1.43"/><n v="2.27"/><n v="0.55"/><n v="1.48"/><n v="0.74"/><n v="-0.37"/><n v="0.29"/><n v="-0.24"/><n v="0.12"/><n v="1.2"/><n v="1.47"/><n v="1.17"/><n v="0.99"/><n v="0.03"/><n v="-0.1"/><s v="−0.10"/><s v="F(1,53) = 0.02 "/><s v="F(1,44) = 0.48 "/><n v="565.0"/><n v="-159.0"/><n v="169.0"/><n v="197.0"/><n v="94.0"/><n v="3.0"/><n v="0.18"/><n v="0.19"/><n v="0.08"/><n v="8.02"/><n v="1.97"/><n v="1.51"/><n v="-0.01"/><n v="-0.33"/><s v="z = 2.08, p = .04"/><s v="&gt; χ2 (4) = 50.16, p &lt; .001"/><s v="χ2(12) = 206.24"/><s v="χ2 (4) = 50.16, p &lt; .001"/><n v="0.51"/><s v="−0.21"/><n v="3.38"/><n v="0.0588"/><n v="0.1601"/><n v="-0.385"/><n v="-0.57"/><s v="χ2(1) = 140.71"/><n v="3.033"/><s v="−2.694"/><n v="0.329"/><s v="−2.23"/><n v="3.731"/><n v="1.923"/><n v="0.73"/><n v="0.547"/><n v="0.095"/><n v="0.369"/><n v="0.041"/><n v="0.501"/><n v="0.037"/><n v="1.54"/><n v="0.59"/><n v="0.363"/><n v="1.0"/><n v="0.849"/><n v="0.647"/><n v="0.595"/><n v="0.047"/><n v="1.83"/><n v="3.5"/><n v="0.053"/><n v="23.05"/><n v="87.04"/><n v="3.08"/><n v="72.19"/><n v="4.59"/><s v="2,79"/><n v="405.55"/><n v="40.98"/><s v="&lt;1"/><n v="131.98"/><n v="105.87"/><n v="0.243"/><s v="F[1, 209] = 6.72"/><s v="F[1, 209] = 8.41"/><s v="F[1, 209] = 0.22"/><s v="F[1, 213] = 1.37"/><s v="F[1, 213] = 0.47"/><s v="F[1, 213] = 36.06"/><s v="F(1, 213) = 0.47"/><s v=" t(1) = 2.05"/><s v="t(45)=9.35"/><s v="N/A"/><n v="0.57"/><n v="0.76"/><n v="0.25"/><n v="0.45"/><n v="0.48"/><n v="0.26"/><n v="0.11"/><n v="0.0"/><n v="0.906"/><n v="-0.968"/><n v="0.031"/><n v="2.507"/><n v="-0.024"/><n v="0.274"/><n v="1.216"/><n v="1.121"/><n v="0.005"/><n v="0.33"/><n v="0.017"/><n v="-0.371"/><n v="3.051"/><n v="0.39"/><n v="1.243"/><n v="0.154"/><n v="3.9"/><n v="6.0"/><n v="6.2"/><n v="-2.7"/><n v="0.62"/><n v="125.97"/><n v="4.063"/><n v="54.66"/><n v="0.01"/><n v="0.051"/><n v="0.418"/><n v="0.029"/><n v="0.015"/><s v="χ2(224) = 393.695"/><s v="χ2(1)=2.34"/><s v="χ2(1)=1.72"/><s v="χ2(1)=1.96"/><s v="χ2(1)=1.49"/><s v="χ2(1)=19.09"/><s v="χ2(1)=0.4"/><s v="χ2(1)=1.02"/><s v="χ2(1)=2.94"/><s v="x²(1)=11.91"/><n v="0.43"/><n v="0.31"/><n v="44.14"/><n v="-0.047"/><n v="-0.312"/><n v="-0.042"/><n v="-0.132"/><n v="-0.184"/><n v="-0.118"/><s v="Ws &gt; 152"/><s v="W =152"/><n v="7.05"/><n v="-0.19"/><s v="Ws &gt; 97"/><n v="0.012"/><s v="Ws &gt; 76"/><s v="W = 360"/><s v="W = 191"/><n v="0.21"/><s v="W &gt; 140"/><s v="NA"/><n v="0.47"/><n v="1.13"/><n v="0.003"/><n v="-0.08"/><n v="0.006"/><n v="0.002"/><n v="0.001"/><s v="F(1,71) = 0.01"/><s v="F(1,71) = 0.84"/><n v="4.4"/><n v="6.75"/><n v="174.49"/><n v="23.32"/><n v="0.05"/><n v="0.13"/><n v="3.89"/><n v="3.94"/><n v="0.49"/><n v="-0.05"/><n v="-0.14"/><n v="0.382"/><n v="0.173"/><n v="-0.53"/><s v="𝐹 = 688.7"/><n v="-0.54"/><s v="F(2,62) = 0.6243"/><s v="F(2,62) = 2.3742"/><s v="F(1,50) = 0.0184"/><s v="t(98.84)=-0.73"/><n v="0.41"/><s v="Main effect source certainty:  ηp2 =0.01&#xA;Main effect expertise: ηp2 =0.00&#xA;Interaction effect certainty*expertise: ηp 2 =0.00&#xA;Simple effect - difference in attitude for high/low certainty : non-expert Cohen’s d =0.18, expert Cohen’s d = 0.28"/><n v="173.13"/><s v="Main effect source certainty:  ηp2 =0.00&#xA;Main effect expertise: ηp2 =0.00&#xA;Interaction effect certainty*expertise: ηp2 =0.01&#xA;Simple effect - difference in attitude for high/low certainty :  nonexpert - Cohen’s d = 0.29, expert -Cohen’s d =-0.1"/><s v="5,44"/><s v="Main effect source certainty:  ηp2 =0.01&#xA;Main effect expertise: ηp2 =0.00&#xA;Main effect reason: np2 = 0.00&#xA;Interaction effects: all np2 = 0.00"/><s v="4,27"/><s v="NFC - non - standardized b = 0.11, p = 0.010, 95% CI[0.03–0.19]&#xA;Conducted a linear regression analysis including expertise, reason, certainty, NFC, and two interaction terms (expertise × certainty and certainty × NFC) as predictors of the attitude measure"/><s v="1,35"/><s v="&lt; 1.18"/><n v="4.74"/><n v="0.85"/><n v="0.28"/><n v="53.19"/><n v="54.1"/><n v="32.76"/><n v="2.35"/><n v="0.35"/><n v="-0.16"/><n v="0.3"/><n v="0.302"/><n v="2.05"/><n v="0.79"/><n v="0.739"/><n v="0.284"/><n v="0.136"/><n v="-0.31"/><n v="0.014"/><n v="0.076"/><n v="-0.254"/><n v="0.062"/><n v="0.124"/><n v="0.034"/><n v="-0.075"/><n v="-0.032"/><n v="-0.131"/><n v="-0.191"/><n v="-0.154"/><n v="0.334"/><n v="-0.003"/><n v="0.045"/><n v="0.009"/><n v="0.77"/><n v="2.83"/><n v="-0.008"/><n v="0.689"/><n v="3.25"/><n v="-0.32"/><n v="35.08"/><n v="0.23"/><n v="-0.11"/><n v="0.67"/><n v="0.98"/><n v="1.048"/><n v="67.045"/><n v="0.378"/><n v="124.61"/><n v="0.83"/><n v="-0.15"/><n v="-1.01"/><n v="-0.66"/><n v="-0.43"/><n v="-9.91"/><n v="0.61"/><n v="0.32"/><n v="92.0"/><n v="1.78"/><n v="37.31"/><n v="1.12"/><n v="31.02"/><n v="1.04"/><n v="3.64"/><n v="4.35"/><n v="3.88"/><n v="7.29"/><n v="24.42"/><n v="49.99"/><n v="53.18"/><n v="9.46"/><n v="2.63"/><n v="0.42"/><n v="10.15"/><n v="14.69"/><n v="57.29"/><n v="5.39"/><n v="1.33"/><n v="27.62"/><n v="0.5"/><n v="0.71"/><n v="0.78"/><s v="0.03"/><n v="-0.031"/><n v="-0.016"/><s v="negative 0.10"/><s v="0.01"/><s v="0.002"/><s v="0.09"/><s v="F(2, 73) = 0.274"/><n v="-0.019"/><n v="0.091"/><n v="0.439"/><n v="-0.3"/><s v="F(2, 229) = 3.54"/><n v="-0.22"/><n v="0.007"/><n v="0.454"/><s v="F(1,27) = 2.47"/><s v="F(1,27) = 4.44"/><s v="F(1, 36) = 2.95"/><s v="F(1, 36) = 6.77"/><n v="0.225"/><s v="t(64) = -88"/><s v="Chi²(1) = 342.39"/><n v="0.53"/><n v="0.339"/><n v="0.295"/><n v="0.228"/><n v="0.011"/><n v="2.2"/><n v="1.79"/><n v="2.4"/><n v="-0.09"/><n v="5.0E-5"/><n v="0.15"/><n v="0.88"/><n v="2.28E-4"/><s v="0.000228"/><s v="0.069"/><s v="0.099"/><n v="5.63E-4"/><s v="0.000563"/><s v="0.107"/><s v="0.154"/><n v="-0.23"/><s v="r(298) = -0.17"/><s v="0.017"/><n v="0.019"/><n v="0.079"/><n v="0.025"/><n v="0.621"/><n v="1.386"/><n v="0.039"/><n v="0.332"/><n v="0.092"/><n v="0.599"/><n v="-0.068"/><n v="0.145"/><n v="0.138"/><n v="-0.013"/><n v="0.974"/><n v="0.244"/><n v="-0.054"/><n v="0.104"/><n v="0.829"/><n v="0.049"/><n v="0.027"/><n v="0.0112"/><n v="0.067"/><n v="0.185"/><n v="0.414"/><n v="0.188"/><n v="0.259"/><s v="–0.038"/><n v="-0.038"/><s v="0.06"/><n v="0.058"/><n v="0.189"/><n v="-0.043"/><s v="α = 0.843, (0.154)"/><s v="α = 0.743, (0.289)"/><s v="α = 1.001, (0.257)"/><s v="α = 0.688, (0.248)"/><s v="α = 0.880, (0.19)"/><s v="α = 0.719, (0.205)"/><s v="α = -0.420, (0.41)"/><s v="α = -0.465, (0.421)"/><s v="α = -0.551, (0.435)"/><s v="α = -0.422, (0.417)"/><s v="α = -0.137, (0.476)"/><s v="α = -0.270, (0.543)"/><s v="α = -0.106, (0.097)"/><s v="α = 0.024, (0.143)"/><s v="α = -0.085, (0.093)"/><s v="α = -0.010, (0.158)"/><s v="α = -0.090, (0.115)"/><s v="α = 0.019, (0.15)"/><s v="α = -0.011, (0.075)"/><s v="α = -0.084, (0.072)"/><s v="α = -0.104, (0.121)"/><s v="α = -0.005, (0.036)"/><s v="α = -0.073, (0.164)"/><s v="α = -0.057, (0.087)"/><s v="𝜒2 (15) = 8.55"/><s v="𝜒2 (11) = 3.17"/><s v="𝜒2 (13) = 2.51"/><s v="𝜒2 (13) = 3.11"/><s v="𝜒2 (13) = 3.98"/><s v="𝜒2 (13) = 1.43"/><s v="α = 0.517, (0.09)"/><s v="α = 0.357, (0.141)"/><s v="α = 0.442, (0.14)"/><s v="α = 0.386, (0.143)"/><s v="α = 0.448, (0.17)"/><s v="α = 0.373, (0.106)"/><s v="α = -0.430, (0.117)"/><s v="α = -0.248, (0.052)"/><s v="α = -0.407, (0.064)"/><s v="α = -0.265, (0.077)"/><s v="α = -0.372, (0.194)"/><s v="α = -0.255, (0.122)"/><s v="α = -0.005, (0.006)"/><s v="α = -0.013, (0.006)"/><s v="α = -0.007, (0.007)"/><s v="α = -0.010, (0.006)"/><s v="α = -0.006, (0.006)"/><s v="α = 0.413, (0.207)"/><s v="α = 0.389, (0.154)"/><s v="α = 0.398, (0.13)"/><s v="α = -0.022, (0.052)"/><s v="α = 0.005, (0.031)"/><s v="α = 0.008, (0.057)"/><n v="0.319"/><n v="0.215"/><s v="0.215"/><n v="0.12375"/><n v="0.44"/><s v="F(1, 172) = 20.08"/><n v="20.08"/><s v="0.57"/><s v="F (1, 828.54) = 1.20"/><s v="0.67"/><n v="0.6"/><s v="t(3411) = 21.5"/><n v="0.63"/><s v="t(117) = 21.05"/><n v="-0.198"/><n v="0.139"/><s v="0.149"/><s v=" t(747) = −10.126"/><n v="0.66"/><s v="0.875"/><n v="0.52"/><s v="F(1, 213) = 13.05 "/><s v="0.27"/><n v="20.9"/><s v="0.13"/><s v="F(1, 364) = 7.06"/><n v="7.06"/><s v="χ2(1) = 58.23"/><n v="0.96"/><s v="F(1, 410) = 55.8"/><n v="55.8"/><s v="χ2(1) = 0.198"/><s v=" t() = 3.82"/><n v="387.0"/><n v="0.2"/><s v="0.55"/><s v="0.26"/><s v="F(1, 436) = 87.36"/><n v="87.36"/><n v="1.27"/><s v="0.58"/><n v="12.0"/><n v="0.602"/><n v="0.38"/><s v="χ2(1) = 10"/><s v="F(1, 173) = 11.04"/><s v="F(1, 173) = 8.72"/><s v="F(1, 175) = 18.14"/><s v="F(1, 175) = 20.94"/><s v="t(3410) = 30.2"/><s v="F(2, 313) = 11.28"/><s v="F(1, 313) = 23.92"/><s v="F(1, 313) = 48.59"/><s v="F(1, 213) = 9.59"/><s v="F(1, 313) = 56.28"/><s v="F(1, 313) = 188.24"/><s v="0.08"/><s v="χ2(3) = 103.77"/><n v="0.87"/><s v="χ2(1) = 28.90"/><n v="2.3"/><s v="χ2(1) = 100.33"/><n v="1.44"/><s v="χ2(1) = 50.04"/><n v="1.07"/><s v="χ2(1) = 26.37"/><n v="1.32"/><s v="0.66"/><s v="1.2"/><s v="0.75"/><s v="0.41"/><s v="0.30"/><s v="0.21"/><s v="χ2(1) = 33.487"/><s v="F(2, 436) = 0.45"/><n v="1.06"/><s v="F(2,  436)  = 1.06"/><s v="t(198) = 1.3948"/><n v="0.24"/><s v="prop:5/15,2/11"/><s v="proportion: 5/15,2/11"/><n v="2.08342966938226"/><s v="bseb=.26(.25)"/><s v="bse:b=0.8082(0.2215)"/><n v="-0.009090909091"/><n v="-0.00909090909090922"/><s v="F(1,131)=0.018"/><n v="0.018"/><n v="-0.496477592646435"/><s v="prop:29/38,33/38"/><n v="1.711971789"/><n v="1.711971788604"/><n v="0.67703646753951"/><n v="0.53003"/><n v="-0.122474487139158"/><n v="-0.07914981074"/><n v="-0.0791498107444243"/><n v="0.0985426851581148"/><n v="-1.827"/><s v="prop:32/82,13/93"/><n v="-0.0689775913850995"/><s v="F(1,70)=.06"/><n v="-0.0869048189253481"/><n v="0.8933932"/><n v="-0.396027643904869"/><n v="0.359779005115277"/><n v="1.06038990801828"/><n v="0.0632160750004422"/><n v="-0.638230402761701"/><n v="0.457207"/><n v="0.14"/><n v="1.19038369164456"/><n v="0.889133895505657"/><s v="bse:b=.061"/><s v="bseb=-2.63845(1.747710)"/><s v="proportion: 91/147"/><n v="0.256674071435679"/><n v="0.0817102066054265"/><n v="0.909813508242608"/><n v="0.0550913677484325"/><n v="-0.12765697549428"/><s v="prop:13/14,2/14"/><n v="0.0281000730772987"/><n v="0.827178432058932"/><n v="1.24362373730964"/><n v="30.932"/><n v="0.298469090943318"/><n v="1.23747033259459"/><n v="0.5941373454"/><n v="0.194935210038986"/><n v="0.20193923478476"/><s v="F(1,38)=1.51"/><s v="prop:19/26,14/25"/><n v="0.187279695136782"/><n v="0.485734799228491"/><n v="1.35099963"/><n v="1.35099962990372"/><n v="0.5914796451"/><n v="0.591479645065082"/><n v="0.220239104515739"/><n v="0.112161169751389"/><n v="0.72336"/><n v="0.19493521"/><n v="0.938139826109804"/><s v="t(41)=-0.029"/><n v="0.498565288609021"/><n v="0.343443573781914"/><n v="0.6884827599"/><n v="0.688482759870062"/><n v="0.743298262941807"/><n v="0.0548801"/><n v="-0.138751917564751"/><n v="0.850778190489016"/><n v="0.0065"/><s v="t (7) = 0.32"/><s v="t(7) = 0.32"/><n v="0.17"/><n v="0.032"/><s v="X^2(1, N = 51) = 1.57"/><n v="0.065"/><n v="0.162"/><n v="4.0E-4"/><s v="F(1, 48) = 4.22"/><n v="0.224"/><n v="0.021"/><s v="F(1, 31) = 5.17"/><s v="F(1, 70) = 11.78"/><n v="0.957"/><n v="0.046"/><n v="0.37"/><n v="0.46"/><n v="0.102"/><s v="z = 1.25"/><s v="F(2, 72) = 1.97"/><n v="0.016"/><s v="F(21, 455304) = 261.93"/><s v="F(1, 86) = .08"/><s v="F(1, 86) = 0.08"/><s v="F (2, 110) = .759"/><s v="F(2, 110) = 0.759"/><n v="0.7"/><s v="t(31) = 2.40"/><n v="0.0259"/><s v="F(1, 222) = 0.002"/><s v="Av. Proportion = 0.77"/><s v="Observed proportion = 77%, hypothesized proportion = 33%"/><s v="t(14) = 0.496"/><n v="0.4695"/><s v="F(1, 31) = .384"/><s v="F(1, 31) = 0.384"/><s v="F (2, 67) = 1.70"/><s v="F(1, 137) = 1.43"/><s v="F (1, 139) = 5.28"/><s v="r = 0.27"/><s v="X^2(1, N=150) = 7.10"/><s v="X2(1, N = 150) = 7.10"/><s v="F(1, 47)= .008"/><s v="F(1, 47) = 0.008"/><s v="X2(1) = 0.66"/><s v="t(68) = 1.51"/><s v="t(59)=2.325"/><s v="t(59) = 2.325"/><s v="χ2 = 16.11"/><s v="χ2 = 32.26"/><s v="χ2 = 36.12"/><s v="χ2 = 33.22"/><s v="χ2 = 14.24"/><s v="χ2 = 37.74"/><s v="χ2 = 47.78"/><s v="χ2 = 50.40"/><s v="χ2 = 115.88"/><s v="χ2 = 128.12"/><s v="F(1, 266) = 0.24"/><s v="F(1, 288) = 0.67"/><s v=" F(1, 361) = 139.37"/><s v="F(1, 361) = 4.06"/><s v="F(1, 29) = 45.27"/><n v="-0.21"/><n v="0.218"/><n v="0.008"/><n v="-0.75"/><n v="1.18"/><s v="0.426; F (1,30) = 21.92"/><n v="0.422"/><s v="0.286; t(7) = -1.426"/><s v="t(7) = -1.426"/><s v="t(139) = 4.02"/><n v="0.34"/><n v="0.261"/><s v="F(18, 660) = 12.98"/><n v="-0.25"/><s v="r = -0.25"/><s v="Z = 4.92, N = 24"/><s v="z = 4.92"/><s v="t(16)= -9.59"/><n v="-2.33"/><n v="-0.62"/><s v="0.00; F(1, 64) = .02"/><s v="F(2, 68) = 41.603"/><s v="F(1, 3446) = 3.49"/><n v="3.49"/><n v="0.135010281081558"/><n v="0.172292196901579"/><n v="0.107320283791479"/><n v="-0.07617286"/><n v="-0.03345847"/><s v="t(1041) = -3.4396"/><s v="t(1116.5) = -0.27195"/><s v="t(1109.9) = -0.26013"/><n v="-0.241428656113382"/><s v="F(1, 146) = 3.21"/><s v="F(1, 146) = 1.47"/><n v="1.23873102223789"/><n v="0.606295070252775"/><s v="t(41) = -5.0574"/><s v="t(38) = -2.5608"/><n v="0.4"/><n v="-0.12"/><n v="0.187471902656676"/><s v="F(1, 70)=2.4602"/><n v="0.82579130976575"/><s v="Z = 1.992, N = 31"/><s v="Z = 2.28, N = 31"/><s v="Z = -2.75, N = 31"/><n v="0.0506346969034163"/><s v="F(1, 247) = .49"/><s v="0.05063469690341634"/><s v="χ²(1) = 0.22801"/><s v="t(80) = -0.35568,"/><s v="t(48) = 1.0144"/><s v="z = 0.47"/><s v="t(139) = 1.3332"/><n v="0.637931439685434"/><n v="0.002712308"/><n v="0.008920207"/><n v="0.004606713"/><n v="0.751"/><n v="-0.4249782071450829"/><s v="F(2, 159) = 13.63"/><s v="F(1, 92) = 0.20"/><s v="F(1, 92) = 3.20"/><s v="F(1,92) = 0.89"/><n v="0.92897291317576"/><s v="0.9289729131757601"/><n v="0.720525018664174"/><n v="0.141071199656719"/><n v="0.562417563503757"/><n v="-11.47"/><n v="-1.4"/><n v="0.370016595170749"/><n v="-9.25"/><n v="0.72"/><s v="t(116) = 2.61"/><n v="0.56"/><n v="24.0"/><n v="3.222"/><n v="1.91434434878218"/><s v="F(1,2) = 57.800"/><s v="F(1,2) = 0.022"/><n v="0.7293456"/><n v="0.9725716"/><n v="0.1427911"/><s v="F(1, 16) = 0.24"/><n v="203.397"/><n v="-0.38123103406236"/><n v="-0.193"/><n v="-0.3473"/><n v="0.494916379019953"/><n v="10.275"/><s v="F(1,222) = 10.275"/><s v="F(1,222) = 0.501"/><s v="F(1,222) = 0.002"/><n v="-0.9943"/><n v="0.04378"/><n v="0.9505"/><n v="-0.04378"/><n v="-2.0041"/><n v="-1.401"/><n v="-0.603"/><n v="-1.48"/><n v="-1.0783"/><n v="-0.4017"/><n v="0.398805704566971"/><n v="-6.8322"/><n v="7.356"/><n v="-3.523"/><n v="1.16543192806245"/><s v="t(18) = 5.08"/><n v="0.392151574194031"/><n v="0.00884651736929382"/><n v="0.927847827173882"/><n v="0.9655053"/><n v="0.0984246993206124"/><n v="-0.0580348785702567"/><n v="3.63"/><s v="F(6,294) = 21.83"/><s v="F(1,44) = 1.43"/><s v="F(1,44) = 3.43"/><n v="3.43"/><s v="F(1,44) = 3.44"/><n v="3.44"/><s v="F(1,44) = 3.31"/><s v="F(1,44) = 7.29"/><s v="F(1,44) = 0.18"/><s v="F(1,44) = 0.04"/><s v="F(1,44) = 0.28"/><n v="0.166673333200005"/><s v="F(1,100) = 2.205"/><s v="F(1,100) = 6.634"/><s v="F(1,100) = 2.778"/><n v="0.474"/><n v="-0.28"/><n v="0.312413728351264"/><n v="1.7102"/><n v="1.9297272"/><n v="-1.7295006"/><n v="0.395198"/><s v="χ2(2) = 12.026"/><n v="0.125989102771126"/><n v="0.2664"/><n v="1.3587"/><n v="-1.3587"/><n v="0.4375"/><n v="-0.25933"/><n v="3.15158690186388"/><n v="0.91"/><n v="0.110133361942926"/><n v="0.199479675552594"/><n v="0.0588836"/><s v="t(157) = -4.25"/><s v="t(157) = -2.62"/><s v="t(157) = -1.91"/><n v="0.3754939"/><n v="91.11"/><n v="0.97"/><n v="0.02278"/><n v="-1.786E-4"/><n v="-0.0195"/><n v="9.845E-5"/><n v="-0.09845"/><n v="0.145882726528282"/><n v="0.0669198092463301"/><n v="2.23"/><n v="0.92"/><n v="0.280224269158902"/><n v="0.00917662935482247"/><s v="0.00917662935482247"/><n v="-0.0483174434709905"/><s v="F(1,4) = 0.015"/><s v="F(1,4) = 0.061"/><s v="F(1,4) = 1.527"/><s v="t(19) = 35.18"/><n v="-0.0204714248912809"/><s v="F(1, 23) = 1.3"/><n v="0.0020787"/><n v="0.448958987300324"/><n v="0.902433572610701"/><n v="0.902"/><s v="χ²(2) = 22.02"/><n v="3.737"/><n v="0.603040513083647"/><n v="16.72"/><s v="t(41) = -0.39"/><n v="0.247796849633978"/><n v="-0.012222"/><n v="0.004395"/><n v="0.044627"/><n v="1.63866476810305"/><s v="1.63866476810305"/><n v="0.111879077901676"/><n v="0.124365054041184"/><s v="0.12436505404118418"/><n v="0.242790791466753"/><s v="F(1, 36) = 0.56"/><s v="F(1, 100) = 3.935"/><n v="0.389720527496613"/><n v="0.03912084"/><n v="0.139256851135717"/><n v="-1.0907"/><n v="1.7739"/><n v="-1.2391"/><n v="1.68033610083361"/><s v="χ²(1) = 0"/><n v="0.374440967926238"/><s v="F(1,26) = 3.645357"/><s v="F(1,26) = 3.1593304"/><n v="-0.478539444560215"/><n v="-0.4785394446"/><n v="0.202495955602966"/><n v="1.037"/><n v="1.038"/><n v="1.041"/><n v="0.995"/><n v="0.994"/><n v="0.999"/><n v="0.997"/><n v="0.998"/><n v="0.196909487739417"/><n v="0.1761949"/><n v="0.3183289"/><n v="-0.0425567"/><n v="0.0688052"/><n v="0.076633"/><n v="1.51479879344267"/><s v="F(1,13) = 21.804"/><s v="F(1,13) = 15.466"/><s v="F(1,13) = 14.957"/><s v="F(1,13) = 14.04"/><s v="F(1,13) = 0.014"/><s v="t(13) = 2.707"/><s v="t(13) = 3.577"/><s v="F(1,13) = 9.312"/><s v="t(13) = 4.478"/><s v="t(13) = 1.438"/><n v="2.78502426771112E-4"/><n v="7.4"/><s v="t(35) = -3.89"/><n v="0.218240494886478"/><s v="F(4,6) = 6.636"/><s v="F(4,6) = 1.4195"/><n v="-0.062337452058199"/><s v="F(1,86) = 0.08"/><n v="1.74017489282979"/><s v="t(934) = -0.99"/><n v="3.45"/><n v="-0.5293166"/><n v="-0.19040863130135"/><n v="0.0709264758253591"/><n v="-0.07071"/><n v="-0.03677"/><n v="-0.1356"/><n v="0.270426749845588"/><n v="0.01074317"/><n v="2.25666163594155"/><s v="chisq(1) = 374.43"/><n v="0.026"/><n v="0.04352736305001212"/><n v="0.361"/><n v="0.832"/><n v="0.8320501"/><n v="0.116"/><n v="0.1160417"/><n v="0.344"/><n v="-0.046"/><n v="0.09145300219901326"/><n v="0.063"/><n v="0.0627"/><n v="0.586204"/><n v="0.1192779"/><n v="0.355"/><n v="0.750614756155934"/><n v="0.384"/><n v="-0.098"/><n v="-0.06"/><n v="0.04959059"/><n v="0.146"/><n v="-0.035"/><n v="0.436"/><n v="0.43646"/><n v="-0.015"/><n v="-0.029893513429658274"/><n v="-0.027"/><n v="0.08204666802424937"/><n v="0.594"/><n v="0.182"/><n v="0.3702"/><n v="-3.03"/><n v="1.82"/><n v="1.84"/><n v="1.75"/><n v="11.54"/><n v="0.95"/><n v="0.86"/><n v="1.03"/><n v="-0.55"/><n v="-0.27"/><n v="1.58"/></sharedItems></cacheField><cacheField name="es_type_r" numFmtId="0"><sharedItems containsBlank="1"><s v="replication effect size type"/><s v="etasq"/><m/><s v="d"/><s v="Cohen's d"/><s v="test statistic"/><s v="W"/><s v="r"/><s v="partial r"/><s v="p. 17"/><s v="beta (std)"/><s v="hedges' g"/><s v="chi-square"/><s v="OR"/><s v="odds ratio"/><s v="delta"/><s v="b (unstd)"/><s v="F"/><s v="cramer's V"/><s v="descriptive"/><s v="Strength of centrality of the nodes"/><s v="etasq (partial)"/><s v="b"/><s v="cohen's w"/><s v="NA"/><s v="R²"/><s v="cohen's h"/><s v="beta"/><s v="z"/><s v="Cronbach's alpha"/><s v="dependability"/><s v="petasq"/><s v="Cohen's f^2"/><s v="Cohen f^2"/><s v="β"/><s v="Cohen's f"/><s v="kendall's w"/><s v="N/A"/><s v="omega"/><s v="r-sq"/><s v="r-square"/><s v="f- sq"/><s v="f-square"/><s v="phi"/><s v="Cohen's dz"/><s v="cohen's f partial"/><s v="q"/></sharedItems></cacheField><cacheField name="es_repr_r"><sharedItems containsBlank="1" containsMixedTypes="1" containsNumber="1"><s v="Reproducible origin/calculation method for es_value_r (&quot;p. xx&quot; when reported, otherwise calculation process)"/><s v="p. 6"/><m/><s v="p.2 of https://osf.io/k2cna"/><s v="p. 1,2"/><s v="p. 3"/><s v="preprint p. 22&#xA;Kendells W = X2/N(K-1), X2 = 9.99, N = 80, K = 3&#xA;W = 9.99/ (80*(3-1)), W = 9.99/ (160), W ~ 0.06"/><s v="Kendells W = X2/N(K-1), X2 = 16.54, N = 80, K = 3&#xA;W = 16.54/ (80*(3-1)), W = 16.54/ (160), W ~ 0.1"/><s v="Kendells W = X2/N(K-1), X2 = 43.61, N = 80, K = 3&#xA;W = 43.61/ (80*(3-1)), W = 43.61/ (160), W ~ 0.27"/><s v="Kendells W = X2/N(K-1), X2 = 108.75, N = 80, K = 3&#xA;W = 108.75/ (80*(3-1)), W = 108.75/ (160), W ~ 0.68"/><s v="1.26 / 0.38"/><s v="p. 11"/><s v="2.27 / 0.85"/><s v="4.50 / 2.31"/><s v="p. 15, Table 10"/><n v="25.0"/><s v="p. 2538"/><s v="p. 2536"/><s v="p. 2537"/><s v="p. 2539"/><s v="pp. 10-11 wives"/><s v="pp. 10-11 husbands"/><s v="p.41"/><s v="p. 41: &quot;The analyses showed that participants in the awe and the neutral conditiondid not significantly differ in their balance between strengths and weak-nesses disclosed (i.e., their humility score,t(69) = –0.34,p= 0.438); see Ap-pendix D for more infor"/><s v="p.4"/><s v="p.8"/><s v="p. 8"/><s v="p.9"/><s v="p. 9"/><s v="p.10"/><s v="p. 10"/><n v="0.073"/><n v="0.0"/><s v="p. 17"/><s v="χ2(1) = 1.35"/><s v="χ2(1) = 6.15"/><s v="χ2(1) = 2.48"/><s v="χ2(1) = 8.70"/><s v="p. 7"/><n v="6.0"/><s v="p. 1475"/><s v="p. 1471"/><s v="p. 4"/><s v="p.5"/><n v="10.0"/><s v="p. 8, see my calculation here: https://docs.google.com/spreadsheets/d/1Da93yd8SPd-GwqOb8HCKeN1Hobk77X3_1anZLPku0G0/edit?usp=sharing"/><n v="22.0"/><n v="422.0"/><s v="p.3"/><n v="3.0"/><n v="5.0"/><s v="p.6"/><s v="The artcile uses z = 2.08, sample size of both groups 48. r = 2.08/√48 = 0.300"/><s v="p. 2+3"/><s v="p.266"/><s v="p.268"/><s v="p.267"/><s v="p.11"/><n v="11.0"/><s v="p. 20"/><s v="p. 946"/><s v="ts ≤ 1.54"/><s v="Fs &lt; 1"/><s v="p. 2"/><s v="Fs ≤ 3.50"/><s v="p.946"/><s v="p. 15"/><s v="p. 18"/><s v="p. 19"/><s v="p. 543"/><n v="63.0"/><s v="p.68"/><n v="9.0"/><s v="NA"/><s v="p.17"/><s v="p.27"/><s v="df inferred based on context; Table 4"/><s v="p.31"/><s v="p.13"/><n v="-0.04672126144670165"/><n v="-0.3121038032880354"/><n v="-0.04212924684138517"/><n v="-0.13183100894308278"/><n v="-0.18379404786172265"/><n v="-0.11836190117722928"/><s v="p. 5"/><s v="p.120"/><s v="p. 14"/><s v="p.195"/><s v="p.198"/><s v="p. 195"/><s v="p. 24"/><s v="p. 26"/><s v="p. 34"/><s v="pp.1806-1807"/><s v="p. 5-6"/><s v="p. 36"/><s v="p. 42"/><s v="p. 1"/><s v="p. 21"/><s v="p.19"/><s v="p. 12"/><s v="5, Figure 2"/><s v="Calculated based on means and SDs from p. 10"/><s v="Calculated based on means and SDs from p. 14"/><s v="p.42"/><s v="Calculated with SPSS"/><s v="n/a"/><s v="p. 4 - Supplemental material"/><s v="Reduced form model regression, p.6 "/><s v="Diary entries, semi-structured interviews, qualitative content analysis, p. 192-194"/><s v="Independent samples/ Welch's t-test"/><s v="Independent samples/ Student's t-test "/><s v="mediation analysis"/><s v="mean, p. 3"/><s v="binary factor analysis, p.3"/><s v="p. 3-4"/><n v="4.0"/><n v="7.0"/><n v="8.0"/><s v="generalized linear mixed effects models, p.6"/><n v="19.0"/><n v="20.0"/><s v="p. 40 "/><s v="&#xA;Calculated based on the data provided in Table 2. Group means and standard deviations for each group were used to calculate the total mean across all groups. The variance between groups and within groups was computed, followed by dividing the variances b"/><s v="p. 27"/><n v="34.0"/><s v="p.2"/><s v="p.20"/><s v="p.22"/><s v="p. 7 &amp; 8"/><s v="p. 11 &amp; 12"/><s v="p. 12 &amp; 13"/><s v="p. 14, 15 &amp; 16"/><s v="p. 17 &amp; 18"/><s v="p. 32"/><s v="p. 33"/><s v="Calculated based on means and SDs from p. 578"/><s v="Calculated based on means and SDs from p. 5"/><s v="p. 4-5"/><s v="Calculated based on means and SDs from p. 6"/><s v="Reported in Many Labs supplementary materials, Section 5: Response scales and reported behavior​"/><s v="Reported in Many Labs supplementary materials, Section 5: Response scales and reported behavior​ p. 7 (https://osf.io/y36m8)"/><s v="Reported in Many Labs supplementary materials, Section 12: Implicit Association Test and Implicit Attitudes."/><s v="p. 9, N based on df"/><s v="Calculated based on framing effect results from Many Labs replication, Section 2: Framing effects in decision-making."/><s v="Reported in Many Labs supplementary materials, Section 4: Retrospective Gambler’s Fallacy."/><s v="Reported in Many Labs supplementary materials, Section 9: Effect of U.S. flag exposure on political attitudes and voting behavior."/><s v="Reported in Many Labs supplementary materials, Section 3: Measures of anchoring in estimation tasks."/><s v="Reported in Many Labs 3 supplementary materials, Section 4.6: Weight and Importance in Embodied Cognition."/><s v="Reported in Many Labs supplementary materials, Section 4.7: Communal traits and temperature perception."/><s v="Reported in Many Labs supplementary materials, Section 4.8: Need for cognition and argument evaluation."/><s v="Calculated based on means and SDs from p. 62"/><s v="p.3 (table1)"/><s v="p.3 (table2)"/><s v="Reported in Many Labs supplementary materials, Section 4.9: Self-esteem, valence, and subjective distance."/><s v="Calculated based on means and SDs from p. 63"/><s v="Calculated based on means and SDs from p. 22"/><s v="Calculated based on means and SDs from p. 23"/><s v="Calculated based on means and SDs from p. 24"/><s v="Reported in Many Labs supplementary materials, Section 4.1: Stroop Effect and Cognitive Interference."/><s v="Reported in supplementary materials of replication study, Section 4.2: spatial metaphors and temporal reasoning."/><s v="Reported in Many Labs supplementary materials, Section 4.3: Availability heuristic and frequency judgments."/><s v="Reported in Many Labs supplementary materials, Section 4.5: Power and Perspective-Taking replication."/><s v="Reported in Many Labs supplementary materials, Section 10: Currency priming and system justification"/><s v="Reported in Many Labs supplementary materials, Section 11: Imagined contact and future contact intentions"/><s v="Reported in Many Labs supplementary materials, Section 1: Instructional Manipulation Checks and Detecting Satisficing"/><s v="https://osf.io/dqv9y"/><s v="p.16"/><s v="p. 16"/><s v="https://osf.io/gh52k?mode=&amp;revisionId=&amp;view_only="/><s v="p.12"/><s v="p.15"/><s v="p.14"/><s v="p. 9 "/><s v="p.25"/><s v="p. 25"/><s v="https://osf.io/4ewkh"/><s v="χ2(1, N = 100) = 37.25, p = 0.001"/><s v="X2(1, N = 161) = 2.2422 df = 1, p = 0.1343"/><s v="X2(1, N = 48) = 17.85, p &lt; .001"/><s v="https://osf.io/mr3nb"/><s v="X2(1, N = 50) = 9.68, p = 0.001863"/><s v="χ2(1, N = 259) = 43.02, p &lt; 0.001"/><s v="Χ2 = 42.2, df = 1, p&lt;.001"/><s v="https://osf.io/n4573"/><s v="F(1, 172) = 20.08, MSE = 2.02, p &lt; .001"/><s v="t(270) = 4.7265, p &lt; .001"/><s v="F (1, 828.54) = 1.20, p = .27"/><s v="X2(1, N = 150) = 0.33, p = 0.56"/><s v="χ2(1, N = 145) = 52.5, p &lt; .001"/><s v="t(198) = 4.44, p &lt; 0.001"/><s v="t(204) = -1.387, p = 0.917"/><s v="r = 0.139, p = 0.002"/><s v="p. 6-7"/><s v="X2(1, 60) = 4.3015, p = 0.04"/><s v="t(512) = 7.4773, p &lt; .001"/><s v="t(86) = 2.420, p = .018"/><s v="F(1, 213) = 0.98, p=.32"/><s v="X2(1, N = 2211) = 159.39, p &lt; 0.001"/><s v="F(2,360) = 20.9, p &lt; 0.001"/><s v="t(296) = 1.16, p = 0.24"/><s v="t(179) = 0.004, p =.99"/><s v="p &lt;.001"/><s v="F(1, 364) = 7.06, p =.008"/><s v="p. 2 χ2(1, N = 63) = 58.23, p &lt; .001, B = 0.42, Exp(B) = 1.52"/><s v="F(1, 410) = 55.8, p &lt; .001"/><s v="test statistic"/><s v="χ2(1, N = 155) = .198, p = .656"/><s v="Sobel test = 3.82, p = 0.0001"/><s v="d"/><s v="t(385)=1.69, p=0.092, η2=0.007"/><s v="t(97) = 6.483, p &lt; .001"/><s v="X2(1, N = 302) = 19.945, p &lt; .001"/><s v="F(1, 436) = 87.36, p &lt;.001"/><s v="t(125) = 7.15, p &lt; 0.001"/><s v="t(198) = 4.1119, p &lt; .001"/><s v="https://osf.io/mykq6"/><s v="F(1,8) = 12, p = .008"/><s v="X2(1, N = 47) = 32.36, p &lt;.001"/><s v="X2(1, N = 186) = 67.4, p &lt; .001"/><s v="X2(1, N = 221) = 0.42374, p = 0.5151"/><s v="X2(1, N = 128) = 17.96, p &lt; .001"/><s v="https://osf.io/mjvsd"/><s v="p. 2 χ2= 103.77, df =3, N = 63, p &lt; .001"/><s v="https://osf.io/exqch"/><s v="(χ2= 28.90, df =1, N = 63, p &lt; .001, B= 0.87)"/><s v="p. 2 χ2=100.33, df =1, N = 63, p &lt; .001, B= 2.30"/><s v="p. 2 χ2=50.04, df =1, N = 63, p &lt; .001, B= 1.44"/><s v="p. 2 χ2= 26.37, df =1, N = 63, p &lt; .001, B= 1.07)"/><s v="p. 2 χ2= 58.23, df =1, N = 63, p &lt; .001, B= 1.32"/><s v="https://osf.io/4ydaf"/><s v="https://osf.io/682ga"/><s v="F(2, 436) = 0.45"/><s v="https://osf.io/j2m8u"/><s v="F(2,  436)  = 1.06"/><s v="https://osf.io/m5q6z"/><s v="https://github.com/vboyce/251-254-MA/blob/main/data/processed_data.csv column rep_d_calc"/><s v="https://github.com/vboyce/251-254-MA/blob/main/data/processed_data.csv column rep_d_calc (haimovitz2016_1)"/><s v="https://github.com/vboyce/251-254-MA/blob/main/data/processed_data.csv column rep_d_calc (haimovitz2016_2)"/><s v="p.4 "/><s v="p. 5; Χ2(1) = .387"/><s v="p. 15; t(156) = 1.318"/><s v="p. 4; F (1, 29) = 8.064"/><s v="p. 4; F(1, 142) = 1.19"/><s v="p. 2; F(1,116) = 6.28"/><s v="p. 4; F(1, 9) = 11.6"/><s v="p. 6; t(175) = 15.64"/><s v="p. 6; F(18, 660) = 12.98"/><s v="p. 5; F(1, 158) = 0.379"/><s v="p. 7; F(2, 232) = 1.63"/><s v="p. 3; F(1, 68) = 0.08"/><s v="p. 4; t(25)=-3.1029"/><s v="p. 4; F(1, 64) = .02"/><s v="https://osf.io/kspm6"/><s v="p. 29"/><s v="p. 37"/><s v="Boyce dataset: https://osf.io/kspm6"/><s v="p. 13"/><s v="https://rpubs.com/kimiasaadatian/replicationreport: =(6.26-4.75)/SQRT((1.41^2+2.47^2)/2)"/><s v="https://rpubs.com/kimiasaadatian/replicationreport: =(3.75-4.75)/SQRT((2.23^2+2.47^2)/2)"/><s v="p. 40"/><s v="https://rpubs.com/cgarton/975073: =(9.45-10.34)/SQRT(((110-1)*4.58^2+(98-1)*4.65^2)/(110+98-2)))"/><s v="p. "/><s v="p. 28"/><s v="p. 55"/><s v="=(23.61-22.87)/SQRT(((1058-1)*16.93^2+(1078-1)*17.07^2)/(1058+1078-2)))"/><s v="p. 54"/><s v="In R (based on two-tailed z statistic), r &lt;- sqrt(6.7082^2 / (6.7082^2 + 20))"/><s v="In R, r &lt;- sqrt(2.5543^2 / (2.5543^2 + 478))"/><s v="=(1.67-1.48)/SQRT(((147-1)*2.4^2+(139-1)*1.67^2)/(147+139-2)))"/><s v="In R, r &lt;- sqrt(7.0152^2 / (7.0152^2 + 94))"/><s v="in R, h &lt;- 2 * (asin(sqrt(0.5353) - asin(sqrt(0.4757)))"/><s v="=(10.3-6.69)/SQRT(((44-1)*5.28^2+(45-1)*4.3^2)/(44+45-2)))"/><s v="In R, r &lt;- sqrt(0.7579^2 / (0.7579^2 + 233))"/><s v="In R, r &lt;- sqrt(4.6276^2 / (4.6276^2 + 91))"/><s v="=(44.63-45.07)/SQRT(((321-1)*14.69^2+(298-1)*14.75^2)/(321+298-2)))"/><s v="=(25.85-25.4)/SQRT(((365-1)*5.47^2+(349-1)*5.5^2)/(365+349-2)))"/><s v="in R, h &lt;- 2 * (asin(sqrt(0.7277)) - asin(sqrt(0.5512)))"/><s v="p. 457"/><s v="p. 465"/><s v="p. 23"/><s v="p. 466"/><s v="p. 459"/><s v="p. 460"/><s v="p. 464"/><s v="p. 463"/><s v="p. 22"/><s v="p. 454"/><s v="p. 455"/><s v="p. 461"/><s v="p. 456"/><s v="p. 458"/><s v="p.  460"/><s v="p. 467"/><s v="p. 462"/></sharedItems></cacheField><cacheField name="pval_value_r"><sharedItems containsBlank="1" containsMixedTypes="1" containsNumber="1"><s v="The reported p-value associated with the replication finding, must contain only one value and must not contain text"/><n v="0.02"/><s v="unavailable"/><n v="0.001"/><m/><n v="0.83"/><n v="0.01"/><s v="p &lt; 0.05"/><s v="p &lt; 0.01"/><s v="intramathematical problem p &lt; 0.05, word problem p &lt; 0.01, modelling problem p &lt; 0.01"/><s v="intramathematical problem p &lt; 0.01, word problem p &lt; 0.01, modelling problem p &lt; 0.01"/><n v="0.379"/><n v="0.529"/><n v="0.61"/><n v="0.71"/><n v="0.05"/><n v="0.438"/><n v="0.397"/><n v="0.618"/><s v="0.002"/><n v="0.002"/><s v="0.632"/><n v="0.122"/><n v="0.11"/><n v="0.25"/><n v="0.042"/><n v="0.29"/><n v="0.33"/><s v="e (=)"/><s v="l (&lt;)"/><s v="p = 0.031"/><s v="p = 0.015"/><s v="p = 0.00"/><n v="0.047"/><n v="0.12"/><s v="p = 0.25"/><s v="p = 0.01"/><s v="p = 0.12"/><n v="0.407"/><n v="0.003"/><n v="0.548"/><n v="0.887"/><n v="0.7"/><s v="p &lt; 0.001"/><n v="0.101"/><s v="p = 0.66"/><s v="p = .261"/><n v="0.47"/><n v="0.06"/><n v="0.16"/><n v="0.86"/><n v="0.56"/><n v="0.8"/><n v="0.41"/><n v="0.04"/><n v="0.686"/><n v="1.0E-4"/><n v="0.07"/><n v="0.007"/><n v="0.742"/><n v="0.023"/><n v="0.054"/><n v="1.0E-5"/><n v="0.008"/><n v="0.021"/><n v="0.036"/><n v="0.1"/><n v="0.031"/><n v="0.035"/><n v="0.072"/><n v="0.065"/><n v="0.049"/><n v="0.64"/><n v="0.5"/><s v="N/A"/><n v="0.38"/><n v="0.45"/><n v="0.27"/><n v="0.97"/><n v="0.49"/><s v="NA"/><n v="0.384"/><n v="0.133"/><n v="0.282"/><n v="0.126"/><n v="0.19"/><n v="0.162"/><n v="0.222"/><n v="0.22"/><n v="0.528"/><n v="0.311"/><n v="0.087"/><n v="0.999"/><s v="n.s."/><n v="0.73"/><n v="0.572"/><n v="0.125"/><n v="0.77"/><n v="0.81"/><n v="0.55"/><n v="0.54"/><n v="0.82"/><n v="0.53"/><n v="0.36"/><n v="0.84"/><n v="0.94"/><n v="0.038"/><n v="0.546"/><n v="0.424"/><n v="0.058"/><n v="1.0"/><n v="0.027"/><n v="0.146"/><n v="0.381"/><n v="0.344"/><n v="0.53895"/><n v="0.101498"/><n v="0.8926"/><n v="0.74"/><s v="Main effect source certainty:  p = .039&#xA;Main effect expertise: p = .247&#xA;Interaction effect certainty*expertise:  p =.361&#xA;Simple effect: non-expert  p = .439, expert  p = .027"/><s v="p &lt; .001,"/><s v="Main effect source certainty:  p &gt; 0.05&#xA;Main effect expertise: p  &gt; 0.05&#xA;Interaction effect certainty*expertise:  p = 0.030&#xA;Simple effect: non-expert  p = .023, expert  p = .437"/><s v="p = .020,"/><s v="Main effect source certainty:  p &lt; 0.001&#xA;Main effect expertise: p  &gt; 0.05&#xA;Main effect reason: p  &gt; 0.05&#xA;Interaction effects: all  p  &gt; 0.05"/><s v="p = .039"/><s v="Main effect Need For Closure: p = 0.010"/><s v="p = .247"/><s v="&gt;0.05"/><s v="p = .030"/><n v="0.004"/><n v="0.08"/><s v="p = 0.20"/><s v="p &gt;0.05"/><n v="0.444"/><n v="0.422"/><n v="0.908"/><s v="not reported"/><s v="ns"/><n v="0.014"/><n v="0.924"/><n v="0.95"/><s v="NOT REPORTED "/><n v="0.46"/><n v="0.79"/><n v="0.37"/><n v="0.42"/><n v="0.607"/><n v="0.151"/><n v="0.928"/><n v="0.156"/><n v="0.332"/><n v="0.315"/><n v="0.015"/><n v="0.564"/><n v="0.017"/><n v="0.026"/><n v="0.011"/><n v="0.792"/><n v="0.287"/><n v="0.523"/><n v="0.272"/><n v="0.993"/><n v="0.658"/><n v="0.217"/><n v="0.247"/><n v="0.995"/><n v="0.3"/><n v="0.455"/><n v="0.328"/><n v="0.861"/><n v="0.292"/><s v="0.38"/><n v="0.077"/><n v="0.547"/><n v="0.375"/><n v="0.96"/><n v="0.76"/><n v="0.009"/><n v="0.651"/><s v="0.077"/><s v="0.547"/><s v="0.375"/><s v="0.96"/><s v="0.76"/><s v="0.009"/><n v="0.761"/><n v="0.929"/><n v="0.666"/><n v="0.17"/><n v="0.78"/><n v="0.851"/><n v="0.13"/><n v="0.09"/><n v="0.012"/><n v="0.636"/><n v="0.62"/><n v="0.21"/><n v="0.543"/><n v="0.827"/><n v="0.72"/><n v="0.079"/><n v="0.494"/><n v="0.15"/><n v="0.2"/><n v="0.03"/><n v="0.826"/><s v="0.826"/><n v="0.44"/><s v="0.720"/><n v="0.349"/><n v="0.24"/><n v="0.32"/><n v="0.383"/><s v="0.383"/><n v="0.743"/><n v="0.31"/><n v="6.2E-20"/><n v="0.288"/><n v="0.492"/><n v="2.4E-6"/><n v="0.605"/><n v="0.904"/><n v="0.799"/><n v="8.9E-12"/><n v="2.6E-4"/><n v="0.841"/><n v="1.4E-22"/><n v="0.006"/><n v="0.408"/><n v="5.7E-11"/><n v="0.699"/><n v="0.639"/><n v="0.714"/><n v="0.801"/><n v="0.278"/><n v="0.019"/><n v="2.7E-4"/><n v="0.646"/><s v="0.667"/><n v="0.667"/><n v="0.824"/><n v="0.184"/><n v="0.763"/><n v="0.964"/><n v="0.679"/><n v="0.918"/><n v="0.9"/><n v="0.988"/><n v="0.99"/><n v="0.997"/><n v="0.991"/><n v="0.665"/><n v="0.925"/><n v="0.216"/><s v="0.925"/><n v="0.1343"/><n v="0.002863"/><n v="0.001863"/><n v="0.917"/><n v="5.0E-4"/><n v="0.018"/><n v="0.032"/><n v="0.656"/><n v="0.092"/><n v="0.5151"/><n v="0.18"/><n v="0.35"/><n v="0.1647"/><n v="3.29154931197221E-10"/><n v="0.935803955360774"/><n v="0.8934787321"/><n v="0.893478732094815"/><n v="0.124705614184336"/><n v="1.56719549264669E-7"/><n v="0.0469833588964036"/><n v="0.810049856157626"/><n v="0.357634457118059"/><n v="0.288681420512208"/><n v="0.640831197761496"/><n v="0.807212595250987"/><n v="0.604146530304818"/><n v="0.0355327857460011"/><n v="0.0566541751146468"/><n v="0.0562263367816061"/><n v="1.74700225281248E-7"/><n v="0.520567835597779"/><n v="0.00692284686075806"/><n v="0.00292409499639768"/><n v="2.35092757182492E-8"/><n v="0.0281747341040883"/><n v="0.134553425569185"/><n v="5.12986065631356E-41"/><n v="0.348108250387705"/><n v="0.424197305150009"/><n v="0.878746428689911"/><n v="6.63139204670043E-5"/><n v="1.91723363847369E-5"/><n v="0.00539563199687963"/><n v="5.74940043546499E-4"/><n v="5.90006114667716E-5"/><s v="MA"/><n v="0.232036496781515"/><n v="0.212129833599919"/><n v="0.226694821848151"/><n v="0.363766425742599"/><n v="0.00617483036055436"/><n v="0.0413395620626535"/><n v="0.0189471698469944"/><n v="0.349774194915251"/><n v="0.531821336454792"/><n v="0.00137873815724571"/><n v="0.2320364968"/><n v="0.00245187028514065"/><n v="0.977005295638734"/><n v="4.2900000000000006E-5"/><n v="4.28962951808074E-5"/><n v="0.266690424017411"/><n v="0.0226713058255987"/><n v="0.00994269298"/><n v="0.00994269297968994"/><n v="0.236503257258824"/><n v="1.93056826666521E-5"/><n v="0.369"/><n v="3.5E-5"/><n v="0.237"/><n v="3.0E-5"/><n v="0.071"/><n v="0.0269"/><n v="0.269"/><n v="0.045"/><n v="0.229"/><n v="0.044"/><n v="0.142"/><n v="0.1469"/><n v="2.2E-16"/><n v="0.0"/><n v="0.335"/><n v="0.085"/><n v="0.471"/><n v="0.513"/><n v="0.426"/><n v="0.89"/><n v="0.961"/><n v="0.314"/><n v="0.028"/><n v="0.758"/><n v="0.235"/><n v="0.086"/><n v="0.93"/><n v="0.01175"/><n v="0.154"/><n v="0.775"/><n v="0.625"/><n v="0.363"/><n v="0.412"/><n v="0.435"/><n v="0.132"/><n v="0.189"/><n v="0.28"/><n v="0.197"/><n v="0.539"/><n v="0.00471"/><n v="0.0618253867610742"/><n v="0.312441601669666"/><n v="0.579197556876244"/><n v="0.303"/><n v="3.80739424115181E-4"/><n v="3.807E-4"/><n v="0.01077"/><n v="0.2632"/><n v="0.1238"/><n v="6.056E-4"/><n v="0.7857"/><n v="0.7948"/><n v="0.0039689311852333"/><n v="0.00173447003936064"/><n v="6.21E-7"/><n v="9.321999999999998E-6"/><n v="0.01454"/><n v="0.87"/><n v="0.4"/><n v="0.121273607571615"/><n v="0.0208742712467195"/><n v="0.6"/><n v="0.466054495151454"/><s v="0.46605449515145414"/><n v="0.633"/><n v="0.723"/><n v="0.3155"/><n v="0.1847"/><n v="0.141014403121108"/><n v="0.640291853"/><n v="0.144231002"/><n v="0.371"/><n v="0.141"/><n v="3.4399999999999997E-6"/><n v="0.66"/><n v="3.28644168173073E-9"/><n v="3.2864416817307304E-9"/><n v="1.44241082036131E-4"/><n v="0.517488992438142"/><n v="4.61188901659452E-6"/><n v="0.159"/><n v="0.48611"/><n v="0.0506886504493445"/><n v="5.85E-4"/><n v="0.0126"/><n v="0.88295"/><n v="0.199011"/><n v="2.03963080148808E-13"/><n v="0.0169"/><n v="0.8952"/><n v="0.076"/><n v="0.144"/><n v="0.689"/><n v="0.52"/><n v="0.63"/><n v="0.169"/><n v="1.20468940918332E-7"/><n v="0.1663"/><n v="0.635"/><n v="0.191"/><n v="0.00181562866269216"/><n v="0.48"/><n v="0.00662"/><n v="0.90065"/><n v="0.00905"/><n v="4.42E-9"/><n v="2.2400000000000002E-5"/><n v="0.0549"/><n v="1.0600000000000002E-5"/><n v="0.00107"/><n v="0.20379"/><n v="1.66062956998421E-6"/><n v="7.8106E-5"/><n v="3.9E-5"/><n v="0.254372799634103"/><n v="0.976202719702489"/><n v="7.47984211800734E-21"/><n v="0.355669153365095"/><n v="0.521018327214011"/><n v="0.238"/><n v="0.672"/><n v="0.847"/><n v="0.598"/><n v="0.0986966719237651"/><n v="0.1407"/><n v="0.0115"/><n v="0.0987"/><n v="0.00233092847095222"/><n v="0.00233"/><n v="6.746E-4"/><n v="0.0031099"/><n v="0.002447"/><n v="0.321193881265947"/><n v="2.0E-4"/><n v="0.4793"/><n v="1.00409150080624E-9"/><n v="0.169558754526223"/><n v="0.127565381522381"/><n v="7.280000000000001E-5"/><n v="0.00382"/><n v="6.28E-13"/><n v="3.63E-4"/><n v="1.23E-9"/><n v="0.098598"/><n v="0.207203"/><n v="0.044079512790297"/><n v="0.652055010791243"/><n v="0.048"/><n v="0.066"/><n v="0.0881902635199541"/><n v="0.968533455924623"/><s v="0.9685334559246237"/><n v="0.483548956401245"/><n v="0.817"/><n v="0.284"/><n v="0.919289815940389"/><n v="0.4551992"/><n v="0.129496379178315"/><n v="7.8E-6"/><n v="2.2000000000000002E-16"/><n v="1.654E-5"/><n v="3.33E-4"/><n v="1.4E-4"/><n v="0.33715549846412"/><n v="0.968"/><n v="8.29167038817029E-4"/><n v="8.291670388170291E-4"/><n v="0.544634947869308"/><n v="0.563448936597826"/><n v="0.459121525224115"/><n v="0.459"/><n v="0.04869"/><n v="0.115563444416586"/><n v="0.116"/><n v="0.687444834440912"/><n v="0.6871"/><n v="0.01574"/><n v="0.00788"/><n v="2.3404303906210502E-7"/><n v="0.067319915476862"/><n v="0.0673199"/><n v="0.0871952"/><n v="3.2E-4"/><n v="3.25485366864697E-4"/><n v="0.184939813686217"/><n v="0.0185"/><n v="0.47425673913639"/><n v="0.1009"/><n v="0.98"/><n v="0.0791635471444569"/><n v="0.0791605"/><n v="0.0218658"/><n v="0.5663768"/><n v="1.09027208418848E-4"/><n v="0.348"/><s v="0.9965467603884997"/><n v="0.0104556436019021"/><n v="4.189E-4"/><n v="0.505808759221724"/><n v="0.0216"/><n v="0.3334461"/><n v="0.562461465954232"/><n v="2.3039353399823E-13"/><n v="0.323"/><n v="0.533"/><n v="0.361"/><n v="0.157"/><n v="5.306E-4"/><n v="0.0182407236142778"/><n v="0.31949202403835"/><n v="0.0593"/><n v="0.41435"/><n v="0.00205"/><n v="0.00484125243751612"/><n v="0.5491"/><n v="4.02218906166799E-22"/><n v="0.234"/><n v="0.2336"/><n v="1.58E-6"/><n v="0.0109"/><n v="0.025"/><n v="0.0252"/><n v="0.436"/><n v="0.4362"/><n v="3.497E-10"/><n v="0.0087"/><n v="6.0E-4"/><n v="0.394"/><n v="0.39"/><n v="0.449"/><n v="0.4493"/><n v="0.022"/><n v="0.0223"/><n v="0.415"/><n v="0.414"/><n v="1.222E-5"/><n v="0.7095"/><n v="1.338E-4"/><n v="0.468"/><n v="0.4681"/><n v="6.8E-5"/><n v="2.1E-4"/><n v="0.457"/><n v="1.2E-13"/><n v="2.48E-5"/><n v="3.32E-285"/><n v="8.300000000000001E-109"/><n v="1.5E-159"/><n v="3.0399999999999996E-275"/><n v="3.04E-275"/><n v="5.5000000000000005E-236"/><n v="4.5E-236"/><n v="2.1499999999999998E-57"/><n v="6.5300000000000005E-115"/><n v="2.15E-57"/><n v="6.53E-115"/><n v="1.01E-50"/><n v="6.5E-34"/><n v="2.54E-29"/><n v="6.05E-34"/><n v="4.66E-23"/><n v="7.7E-16"/><n v="8.619999999999999E-7"/><n v="8.62E-7"/><n v="0.91"/><n v="0.43"/><n v="1.1000000000000001E-9"/><n v="1.1E-9"/><n v="2.0E-16"/></sharedItems></cacheField><cacheField name="pval_type_r" numFmtId="0"><sharedItems containsBlank="1"><s v="How is p-val reported?&#xA;&quot;=&quot; (e) / &quot;&lt;&quot; (l) / &quot;&gt;&quot; (g) or combined (le, ge)?&#xA;&#xA;for example &quot;p &lt;= .05&quot; should be coded as &quot;le&quot;"/><s v="l (&lt;)"/><m/><s v="e (=)"/><s v="r"/><s v="g (&gt;)"/><s v="NA (not reported)"/><s v="N/A"/><s v="NA"/><s v="gr (&gt;)"/><s v="l(&lt;)"/><s v="ge (&gt;)"/><s v="le (&lt;=)"/></sharedItems></cacheField><cacheField name="pval_tails_r" numFmtId="0"><sharedItems containsBlank="1"><s v="How many tails associated with the p-value, taking on values of one, two, or unknown&#xA;&#xA;one: 1&#xA;two: 2&#xA;unknown: NA&#xA;missing: not coded"/><s v="2 (two)"/><m/><s v="1 (one)"/><s v="NA (not reported)"/><s v="p. 17"/><s v="yes"/><s v="N/A"/><s v="NA"/></sharedItems></cacheField><cacheField name="nested_r"><sharedItems containsBlank="1" containsMixedTypes="1" containsNumber="1"><s v="Is pval based on a test that accounts for dependence between observations (e.g., multilevel, repeated measures)"/><s v="yes"/><m/><s v="no"/><n v="0.001"/><s v="unsure"/><s v="N/A"/><s v="NA"/></sharedItems></cacheField><cacheField name="prereg_r" numFmtId="0"><sharedItems containsBlank="1"><s v="Link to preregistration of R (only search for &quot;regist&quot;)"/><s v="https://doi.org/10.17605/OSF.IO/2ZGF9"/><m/><s v="https://osf.io/39xuw"/><s v="https://doi.org/10.17605/OSF.IO/7VGKQ"/><s v="https://pdf.sciencedirectassets.com/272387/1-s2.0-S0022103120X00060/1-s2.0-S0022103120304066/main.pdf?X-Amz-Security-Token=IQoJb3JpZ2luX2VjEBgaCXVzLWVhc3QtMSJGMEQCICnHJqcNsP62IhJ5t%2BlQbccPwseA76qFfK6Rgkom8dtRAiB1LS%2BiM%2B0b%2BvwiyOom715iyNnHeXVQbXmSm95p"/><s v="https://osf.io/8urxv"/><s v="NA"/><s v="https://osf.io/w4gj2"/><s v="l (&lt;)"/><s v="https://osf.io/5beqa"/><s v="3 - conceptual"/><s v="https://osf.io/yhk47."/><s v="https://osf.io/x64cn/ "/><s v="osf.io/x64cn"/><s v="https://osf.io/x64cn/"/><s v="https://aspredicted.org/3KR_RSK"/><s v="https://aspredicted.org/"/><s v="https://osf.io/8ga4s?view_only=38d7630a8c6e4eb6aee200540eec175d"/><s v="(https://osf.io/8ga4s/"/><s v="https://osf.io/8kzgd"/><s v="https://www.prolific.co"/><s v="https://osf.io/zb5j2"/><s v="https://osf.io/zb5j2/"/><s v="https://aspredicted.org/~AhaPdyHcZf"/><s v="PsyArXiv Preprints | The Efficacy of Attentional Bias Modification for Anxiety: A Registered Replication"/><s v="https://osf.io/preprints/psyarxiv/cf4xz"/><s v="https://osf.io/8t9qj"/><s v="https://osf.io/j8n59"/><s v="https://osf.io/uqsf6/"/><s v="https://osf.io/g4xcb"/><s v="https://osf.io/preprints/psyarxiv/esu9z"/><s v="https://osf.io/8qub2"/><s v="https://osf.io/6m5tb)"/><s v="https://osf.io/6m5tb"/><s v="https://osf.io/ja3wc)"/><s v="https://osf.io/ja3wc"/><s v="https://osf.io/8hz3s)"/><s v="n/a"/><s v="https://osf.io/tjr7a/"/><s v="https://researchbox.org/1499"/><s v="https://aspredicted.org/PHY_PZZ"/><s v="https://osf.io/p2hr3"/><s v="https://osf.io/8cbua/"/><s v="https://osf.io/e5k4j/"/><s v="https://aspredicted.org/XHN_76L"/><s v="https://aspredicted.org/Y47_RW5"/><s v="https://aspredicted.org/TBY_14V"/><s v="https://aspredicted.org/16C_RCH"/><s v="https://aspredicted.org/YZ9_THH"/><s v="https://aspredicted.org/G5N_YRH"/><s v="https://aspredicted.org/737_DYZ"/><s v="https://doi.org/10.17605/OSF.IO/BTH36"/><s v="https://osf.io/cifn3"/><s v="Not mentioned"/><s v="https://osf.io/scayl"/><s v="https://osf.io/v3hfb/"/><s v="https://osf.io/czbzg/"/><s v="https://osf.io/ryfse/"/><s v="https://osf.io/u6ghv"/><s v="https://osf.io/kizyn"/><s v="https://osf.io/5kyjt"/><s v="http://osf.io/Cju65/files/ReplicationProtocol_%20for_Vess2012_Replication_2_-_LeBel.doc"/><s v="https://doi.org/10.17605/OSF.IO/YCQN9"/><s v="https://doi.org/10.17605/OSF.IO/E9D3K"/><s v="https://osf.io/fmd75"/><s v="https://osf.io/8k9nt"/><s v="https://osf.io/qxwhv"/><s v="https://osf.io/ugnsq"/><s v="https://osf.io/tg9ny"/><s v="https://osf.io/sqxe8"/><s v="https://osf.io/r5mtg"/><s v="https://osf.io/wc4xm"/><s v="https://osf.io/6vnm5"/><s v="https://osf.io/xd947"/><s v="https://osf.io/e37nu"/><s v="https://osf.io/eknym"/><s v="https://osf.io/7qnv4"/><s v="https://osf.io/tg2xb"/><s v="https://osf.io/nuw8e"/><s v="https://osf.io/8z2tm"/><s v="https://osf.io/j7syt"/><s v="https://osf.io/e6pq5"/><s v="https://osf.io/gq2fr"/><s v="https://osf.io/cyg6v"/><s v="https://osf.io/kpvwg"/><s v="https://osf.io/4aqu7"/><s v="https://osf.io/3pu8d"/><s v="https://osf.io/szntm"/><s v="https://osf.io/9avrm"/><s v="https://osf.io/yd69c"/><s v="https://osf.io/cs82h"/><s v="https://osf.io/yt9vb"/><s v="https://osf.io/nc49e"/><s v="https://osf.io/3xcnm/"/><s v="https://osf.io/j8a4p"/><s v="https://osf.io/q6tv8"/><s v="https://osf.io/ktjc4/"/><s v="https://osf.io/rtn9s/"/><s v="https://osf.io/uxajg"/><s v="https://osf.io/658pq/ "/><s v="https://doi.org/10.17605/OSF.IO/GZRMV"/><s v="osf.io/hdz5x"/><s v="osf.io/m8t3k/"/><s v="https://doi.org/10.17605/OSF.IO/N5ZSX"/><s v="osf.io/p48sa/"/><s v="https://doi.org/10.17605/OSF.IO/TFC6X"/><s v="osf.io/8kf3p/"/><s v="osf.io/bv42c/"/><s v="osf.io/693bm/"/><s v="https://doi.org/10.17605/OSF.IO/69DQC"/><s v="osf.io/pjdkg"/><s v="https://doi.org/10.17605/OSF.IO/N9HDV"/><s v="osf.io/7er6r/"/><s v="osf.io/yb38c"/><s v="https://doi.org/10.17605/OSF.IO/CKJTF"/><s v="osf.io/wy8ab"/><s v="osf.io/jb8yp/"/><s v="osf.io/78sqa/"/><s v="https://doi.org/10.17605/OSF.IO/JW84M"/><s v="osf.io/ykt7z"/><s v="https://doi.org/10.17605/OSF.IO/P56KE"/><s v="osf.io/5eanz/"/><s v="osf.io/txs86"/><s v="https://doi.org/10.17605/OSF.IO/ZWKMN"/><s v="osf.io/cvuwy/"/><s v="osf.io/n6r3b/"/><s v="osf.io/z2fj8"/><s v="https://doi.org/10.17605/OSF.IO/QP8V3"/><s v="osf.io/4yuym"/><s v="osf.io/3sn6j"/><s v="osf.io/dbx75/"/><s v="https://doi.org/10.17605/OSF.IO/5NZ6W"/><s v="osf.io/ejmyw"/><s v="https://doi.org/10.17605/OSF.IO/SSDMT"/><s v="osf.io/qdekc/"/><s v="osf.io/pfng2"/><s v="osf.io/s37h6/"/><s v="https://doi.org/10.17605/OSF.IO/THM7D"/><s v="osf.io/6yfxz"/><s v="https://doi.org/10.17605/OSF.IO/AY2YE"/><s v="osf.io/k89fc"/><s v="https://doi.org/10.17605/OSF.IO/7EN89"/><s v="osf.io/ggw7c/"/><s v="https://doi.org/10.17605/OSF.IO/3G3HV"/><s v="osf.io/rpkjk/"/><s v="https://doi.org/10.17605/OSF.IO/Y62DH"/><s v="osf.io/xrhqe/"/><s v="https://doi.org/10.17605/OSF.IO/W62XY"/><s v="osf.io/7e8hz"/><s v="https://doi.org/10.17605/OSF.IO/R3KTH"/><s v="osf.io/d8uvg/"/><s v="https://doi.org/10.17605/OSF.IO/M9VRK"/><s v="osf.io/2ukpq"/><s v="https://doi.org/10.17605/OSF.IO/9E3T5"/><s v="osf.io/ka5wv/"/><s v="https://doi.org/10.17605/OSF.IO/DNQE7"/><s v="osf.io/f5svw"/><s v="https://doi.org/10.17605/OSF.IO/9VXSF"/><s v="osf.io/bv4ep"/><s v="https://doi.org/10.17605/OSF.IO/HBPXN"/><s v="osf.io/w9bza/"/><s v="https://doi.org/10.17605/OSF.IO/26YZU"/><s v="osf.io/4gvd5/"/><s v="osf.io/jtsnn/"/><s v="https://doi.org/10.17605/OSF.IO/Q2E5K"/><s v="osf.io/6ds5e/"/><s v="https://osf.io/uw36p"/><s v="https://osf.io/9r7au"/><s v="https://osf.io/fj6e8"/><s v="https://osf.io/a8zvk"/><s v="https://osf.io/7xupr"/><s v="https://osf.io/jb2pw/"/><s v="https://osf.io/gknau"/><s v="https://osf.io/knc2b"/><s v="https://osf.io/pua6s"/><s v="https://osf.io/ywk2q"/><s v="https://osf.io/76j48"/><s v="https://osf.io/zjmkg/"/><s v="https://osf.io/rkqw2"/><s v="https://osf.io/csm3d"/><s v="https://osf.io/b2agf"/><s v="https://osf.io/p6jxm"/><s v="https://osf.io/2rnj5"/><s v="https://osf.io/z6qw2"/><s v="https://osf.io/ny7t5"/><s v="https://osf.io/3fjvt"/><s v="https://osf.io/9p2qr"/><s v="https://osf.io/s9m2k"/><s v="https://osf.io/6xjqm"/><s v="https://osf.io/bk79y"/><s v="https://osf.io/bxumv"/><s v="https://osf.io/x2gmb"/><s v="https://osf.io/g754e"/><s v="https://osf.io/3va2j"/><s v="https://osf.io/ca8t2"/><s v="https://osf.io/ca8t3"/><s v="https://osf.io/rc2kz"/><s v="https://osf.io/3ubv9"/><s v="https://osf.io/f59hn"/><s v="https://osf.io/chf7m"/><s v="https://osf.io/ep2an"/><s v="https://osf.io/psab8"/><s v="https://osf.io/y8njt"/><s v="https://osf.io/bvu63"/><s v="https://osf.io/bvu64"/><s v="https://osf.io/fsut3"/><s v="https://osf.io/fsut4"/><s v="https://osf.io/bhnkq"/><s v="https://osf.io/3amj3"/><s v="https://osf.io/3amj4"/><s v="https://osf.io/9mkae"/><s v="https://osf.io/9apd7"/><s v="https://osf.io/suyfc"/><s v="https://osf.io/tys7b"/><s v="https://osf.io/u3x7s"/><s v="https://osf.io/853ue"/><s v="https://osf.io/36dr4"/><s v="https://osf.io/36dr5"/><s v="https://osf.io/c8qhv"/><s v="https://osf.io/ctvej"/><s v="https://osf.io/ngxye"/><s v="https://osf.io/dqybc"/><s v="https://osf.io/rqtgz"/><s v="https://osf.io/4hqd5"/><s v="https://osf.io/4hqd6"/><s v="https://osf.io/cehgp"/><s v="https://osf.io/3rtvz"/><s v="https://osf.io/vdc5m"/><s v="https://osf.io/x5szy"/><s v="https://osf.io/8dzpj"/><s v="https://osf.io/ak3rj"/><s v="https://osf.io/nrjs5"/><s v="https://osf.io/6vsc3"/><s v="https://osf.io/6vsc4"/><s v="https://osf.io/ty9xh"/><s v="https://osf.io/q7hm3"/><s v="https://osf.io/q7hm4"/><s v="https://osf.io/7bnfp"/><s v="https://osf.io/kg2x4"/><s v="https://osf.io/kg2x5"/><s v="https://osf.io/jhn4g"/><s v="https://osf.io/7czwd"/><s v="https://osf.io/nx6dr"/><s v="https://osf.io/45vwm"/><s v="https://osf.io/3m7qw"/><s v="https://osf.io/3uw95"/><s v="https://osf.io/3uw96"/><s v="https://osf.io/cy9v3"/><s v="https://osf.io/cy9v4"/><s v="https://osf.io/e35y2"/><s v="https://osf.io/pktma"/><s v="https://osf.io/zdw87"/><s v="https://osf.io/t75e3"/><s v="https://osf.io/2kjgz"/><s v="https://osf.io/2r7nk"/><s v="https://osf.io/sptyb"/><s v="https://doi.org/10.17605/OSF.IO/693JY"/><s v="https://osf.io/693jy"/><s v="https://doi.org/10.17605/OSF.IO/8EW6S"/><s v="https://osf.io/8ew6s"/><s v="https://doi.org/10.17605/OSF.IO/4KR6E"/><s v="https://osf.io/4kr6e"/><s v="https://doi.org/10.17605/OSF.IO/NMRJG"/><s v="https://osf.io/nmrjg"/><s v="https://doi.org/10.17605/OSF.IO/PK952"/><s v="https://osf.io/pk952"/><s v="https://doi.org/10.17605/OSF.IO/WMBP2"/><s v="https://osf.io/wmbp2"/><s v="https://doi.org/10.17605/OSF.IO/HPK2M"/><s v="https://osf.io/hpk2m"/><s v="https://doi.org/10.17605/OSF.IO/WZXQ9"/><s v="https://osf.io/wzxq9"/><s v="https://osf.io/wbs96"/><s v="https://osf.io/e89gh"/><s v="https://doi.org/10.17605/OSF.IO/VK6D9"/><s v="https://osf.io/ictp5"/><s v="https://osf.io/2hk76"/><s v="https://osf.io/pyt4e"/><s v="https://osf.io/8ybk5"/><s v="https://osf.io/vj2xr"/><s v="https://osf.io/hsntd"/><s v="https://osf.io/vqzx9"/><s v="https://osf.io/fs3ut"/><s v="https://osf.io/tpzk9"/><s v="https://osf.io/m9suf"/><s v="https://osf.io/s2d6t"/><s v="https://osf.io/689xc"/><s v="https://osf.io/t3rpq"/><s v="https://osf.io/92der"/><s v="https://osf.io/tyvbw"/><s v="https://osf.io/8e5cg"/><s v="https://osf.io/5fzqp/"/><s v="https://osf.io/4uj6v"/><s v="https://osf.io/mj7nd"/><s v="https://osf.io/e6cps"/><s v="https://osf.io/apgqj"/><s v="https://osf.io/sxw48/"/><s v="https://osf.io/cxatn"/><s v="https://osf.io/9j2ym"/><s v="https://osf.io/86p4e/"/><s v="https://osf.io/dn6gz"/><s v="https://osf.io/x4m6w"/><s v="https://osf.io/5ausj"/><s v="https://osf.io/62jvk"/><s v="https://osf.io/vcmdp"/><s v="https://osf.io/h37qu"/><s v="https://osf.io/wsj2f"/><s v="https://osf.io/yt5q8/"/><s v="https://osf.io/vk2cs"/><s v="https://osf.io/vmfue"/><s v="https://osf.io/3kpjx"/><s v="https://osf.io/szcuk"/><s v="https://osf.io/yrbq9"/><s v="https://osf.io/kchf9"/><s v="https://osf.io/kgwf6"/><s v="https://osf.io/mgjxv"/><s v="https://osf.io/r3dt9"/><s v="https://osf.io/67mzc"/><s v="https://osf.io/srgg5"/><s v="https://osf.io/knh6y"/><s v="https://osf.io/efzv3"/><s v="https://osf.io/jubxw"/><s v="https://osf.io/bstxp/"/><s v="https://osf.io/9hn4c"/><s v="https://osf.io/zpyj3"/><s v="https://osf.io/jnq7e"/><s v="https://osf.io/6h5af"/><s v="https://osf.io/zj5n3"/><s v="https://osf.io/wh5gb"/><s v="https://osf.io/k2teb"/><s v="https://osf.io/3cgxv"/><s v="https://osf.io/jqaac"/><s v="https://osf.io/j8pbk"/><s v="https://osf.io/b4ga9"/><s v="https://osf.io/84fyw"/><s v="https://osf.io/t64fw"/><s v="https://osf.io/drvhe"/><s v="https://osf.io/g4phs"/><s v="https://osf.io/r4dve"/><s v="https://osf.io/kmqtq"/><s v="https://osf.io/s48ht"/><s v="https://osf.io/qb4f4"/><s v="https://osf.io/5uw3j"/><s v="https://osf.io/69xfj"/><s v="https://osf.io/367yu"/><s v="https://osf.io/bmnca"/><s v="https://osf.io/s73x6"/><s v="https://osf.io/27cuc"/><s v="https://osf.io/qwked"/><s v="https://osf.io/mwzdy"/><s v="https://osf.io/7ch92"/><s v="https://osf.io/ejcfw"/></sharedItems></cacheField><cacheField name="closeness_r" numFmtId="0"><sharedItems containsBlank="1"><s v="NA: unknown&#xA;1: internal: all central features are highly similar AND conducted by at least one of the original researchers&#xA;2: close/direct: central features are highly similar AND none of the original authors is involved&#xA;3: conceptual/constructive/extensi"/><s v="2 - close"/><s v="3 - conceptual"/><m/><s v="extension"/><s v="close"/><s v="NA (not reported)"/><s v="1 - internal"/><s v="NA: unknown"/><s v="internal"/><s v="4 - conceptual"/></sharedItems></cacheField><cacheField name="feedback_for_coder" numFmtId="0"><sharedItems containsBlank="1"><m/><s v="- Please type &quot;NA&quot; if you could not find &quot;regis&quot; in the manuscript.&#xA;- Good catch with the N = 41!&#xA;- This is the preregistration: https://osf.io/8urxv It is linked at the top of the entry"/><s v="Feedback for Hakile:&#xA;- The degreees of freedom for the t test are 39, indicating that N = 41&#xA;- the number of tails was actually not reported (it does not say anywhere whether it is one-tailed or two-tailed but was coded as 2)&#xA;- I could not find the d = 0."/><s v="yes"/><s v="- missed the study number&#xA;- make sure to review and correct text that is copied (special characters were missing)"/><s v="Feedback for Fabienne&#xA;- make sure to review and correct text that is copied (special characters were missing)&#xA;- you entered N = 85 with t(84) and Ntotal = 85. I was about to correct it to N = 86 because N = t-2 for two sample t tests but there appears to "/><s v="- please report test statistics with all details: F(x, y) = value (and not just the value)"/><s v="- please choose &quot;NA&quot; for pval_tails, when the paper does not clearly state it. Even if an F-Test is used"/><s v="- please describe notes in more detail (e.g., what do you mean with &quot;not replicated&quot;&#xA;- please do not code values for claims for which no replication finding exists&#xA;- please look closely in the replication paper since here the finding was replicated"/><s v="- please watch out for the n that was included in analysis and not the n before exclusions were made"/><s v="- do not code tests as one-tailed unless it is explicitly said in the text (eg &quot;one-tailed)"/><s v="The claim does not fit to the reported d, d should be 2.8 for this case"/><s v="Please only provide a numer for N (you wrote 1 and 12) and if you cannot, write an explanation into the notes variable or explain where it comes from."/><s v="simulation study, no new data was collected but merely &quot;generated&quot;"/><s v="- If there are multiple rows for one finding, please rename &quot;id&quot; to id_b, id_c, etc. for the newly created rows."/><s v="feedback: please review copied text and correct it (a &quot;=&quot; was missing)"/><s v="nothing filled out, should code again"/><s v="Feedback for Vidhi:&#xA;'- please change &quot;date_entered&quot; to the day that you worked on the entry&#xA;- Ref_replication was not in APA format and doi_r was missing&#xA;- label &quot;systematic replication&quot; was missing&#xA;- can you please explain why you did not extract any sta"/><s v="Feedback for Aleksandr:&#xA;- description was missing&#xA;- please do not conduct effect size conversions but only copy what is in the paper. You may do calculations using the sheet in the table. If you do so, please save one sheet for each calculation&#xA;- if you d"/><s v="Feedback for Ray&#xA;- Why did you not code any of the test statistics?"/><s v="Feedback for Daniel&#xA;- please enter your name and the date that you are working on into the variables contributors and date_entered"/><s v="The es_type_r says &quot;F&quot;. Is this an f Test or Cohen's f (this is a mistake on our side because we have it as a selectable option, sorry!)?"/><s v="Feedback for Roskana&#xA;- please also fill out the variable with the page numbers"/><s v="Feedback for Ray&#xA;- please review the instructions again and code these entries"/><s v="Feedback for Daniel:&#xA;- one small typo when copying the Cohen's d from the table (.0185 instead of .0187)&#xA;- Claim and test statistics/effect sizes must be about the same thing. Convergent validity and mean difference is not the same thing, so you should ha"/><s v="Feedback for Roskana:&#xA;- please add pagenumbers into the respective variables (es_repr_o) even if it is the same as the claim page number&#xA;- coding is generally very good (not just for this entry)! thank you!&#xA;- additional studies 47_e: p value replication w"/><s v="Feedback for Thomas:&#xA;- if an eta squared is available, please code it and not the test statistics"/><s v="Feedback for Daniel&#xA;- Choosing the chi square test for fit in the matter scale development paper was a good decision!"/><s v="Feedback for Nikolay&#xA;- values in _o variables should not come from the replication report but only the original study's report"/><s v="Feedback for Daniel&#xA;- description should be matched for multiple rows per entry to specify what effect this is"/><s v="changed replicationt ype to conceptual because &quot;3rd sing&quot; was not part of original study"/><s v="The other coder did not seem to have difficulties and reported test statistics. I do not have access and the PDF-Link does not work. sarahashjones@gmail.com can you please check whether the 2010 or 2011 article is the target? You can send both articles to"/><s v="Feedback for Thomas: &#xA;I could not find most of the numbers on this page. Can you please send a screenshot for what you are referring to as &quot;test statistics&quot;?"/><s v="Feedback for Roksana&#xA;- If there is no preregistration, please type &quot;NA&quot; into the variable.&#xA;- Please fill out all mandatory variables, for example you forgot to note the page for the replication finding (Ws &gt; 152).&#xA;- Please familiarize yourself with the re"/><s v="Feedback for Thomas&#xA;- Please always fill out the claim variable. Please review the instructions to see which variables are optional.&#xA;- You noted Ws = 152 when it was actually Ws &gt; 152.&#xA;- Please change id to _b, _c, ... when creating multiple rows.&#xA;- There"/><s v="P-value corrected from .13 (that was the f value) to .72"/><s v="Changed r to Ws because r might correspond to the within-subjects correlation of the repeated variables and not the effect."/><s v="Changed nesting to &quot;NA&quot; instead of 1. It does not say how many tails there were only that one group is significantly faster than the other (which could be a combination of two-tailed significant test and positive correlation)"/><s v="Feedback for Maria&#xA;- When the title of a replication says &quot;conceptual&quot;, you can code it as conceptual (you coded &quot;close&quot;)."/><s v="Feedback for Thomas&#xA;- When entering test statistics, please enter the entire test statistic and type &quot;test statistic&quot; into the effect type variable (eg not 7.2 but F(1, 243) = 7.2)"/><s v="Feedback for Thomas&#xA;- When duplicating rows, please change the id for the second one (_b, _c, ...)&#xA;- When entering multiple effects, please use the &quot;description&quot; variable to explain what the difference is"/><s v="Feedback for Maria&#xA;- This is a stage 1 registered report and it says at the beginning (eg p. 5) that the results are based on a randomized pseudo-dataset. "/><s v="Feedback for Maria&#xA;- If there is no effect size type reported alongside the effect size, please write es type as NA. For example, in an ANOVA standardized effect sizes are f, eta squared, and R² (R² and eta are out because it is larger than 1 here) depend"/><s v="There was a typo in one of the p-values. Please double check the entries and rather copy them than type them in."/><s v="I could not find the effect size of d = .68 or any others for that matter.&#xA;&#xA;Feedback for Hakile&#xA;- Please include test statistics in the claim.&#xA;- I could not find the effect size of d = .68 on page 5 in the original report of additional_studies59"/><s v="Corrected citation and DOI, added effect sizes and duplicated row for both original subjects&#xA;&#xA;Feedback for Nikolay&#xA;- You could have coded the R² for additional_studies60&#xA;- Please copy text for the claim from the paper"/><s v="Study 1 was a reproduction and should not have been coded (only replications with new data)."/><s v="The original study was not preregistered as the OSF-link does not contain a registration: please double-check under the tab &quot;registrations&quot;: https://osf.io/yqxme/registrations. Moreover, it didn't say in the report that it was registered but there was mer"/><s v="Well done! :-)"/><s v="This was an internal replication (same authors, same study) but you coded it as &quot;conceptual&quot;."/><s v="- You took the wrong model for the reproduction.&#xA;- This is a reproduction and not a replication, so you should not have coded it in the first place."/><s v="- I could not find the values that you reported for the original paper in the original paper but only in the replication paper. Please only put values from the original report into the _o variables.&#xA;- You reported an incorrect sample size. Each model has "/><s v="Feedback for Husnain&#xA;- You were unsure about this but you did right: Please always use what is reported in the original paper for the _o variables.&#xA;- F is not an effect size. Please report the entire F test as a test statistic instead, eg F(1, 236) = 4.41"/><s v="Corrected citation and doi to the one from the paper&#xA;&#xA;Feedback for Maureen:&#xA;- Please better indicate where the effect size comes from. I could not find the value in the paper.&#xA;- The original paper was published in psychological science, please thus code t"/><s v="- Please enter test statistics (regardless if F, t, ...) in their entirety: eg &quot;F(2, 56) = 7.58&quot; as value and &quot;test statistic&quot; as type&#xA;- Fill out all variables and write &quot;NA&quot; if you cannot find a value (except for variable &quot;exclusion&quot;)"/><s v="Feedback for Diego&#xA;- please also copy the formula that resulted in the reported effect size"/><s v="Feedback for Corinna&#xA;- please also copy the formula that resulted in the reported effect size"/><s v="Feedback&#xA;- study by Carter &amp; McCullough did not actually self-identify as replication in title or abstract but only in text (=conceptual replication)."/><s v="Feedback&#xA;- You coded a study label as replication when it actually did not self-identify as a replication in the title or abstract. Please keep in mind the variable labels for future cases.&#xA;"/><s v="Feedback&#xA;- The link didn't work because it included a space. I removed the space and the ?view-only part and it now works.&#xA;"/><s v="Feedback&#xA;- Please remember to fill out the label for the replication type and indicate that none was used if that was the case.&#xA;- Review text copied from the manuscript and make sure it is readable (eg = is often mistaken as 1/4)"/><s v="Feedback&#xA;Every entry should have a claim and coded statistics"/><s v="I could not find the N anywhere and you reported an eta squared, which was not in the report nor on the page that you indicated. Please report exactly what is in the respective report and do not calculate any values without providing the exact formula.Als"/><s v="- You entered data from ref_o which did not match up with ref_r. ref_o was wrong and you should have noticed when checking if the replication is actually investigating the same claim. Apologies for matching up the wrong studies. Please try to understand t"/><s v="- Please review text copied from the manuscript and correct it (eg &quot;=&quot; is turned into &quot;5&quot;)&#xA;- The ref_o did not match the one that you used. Yours is correct but please check this next time."/><s v="Replication was based on Carter et al 2011 Study 2 but nothing was entered."/><s v="Replication was based on Carter et al 2011 Study 2 but 1 was entered."/><s v="- The effect that you reported for the replication was a quotation of the original effect.&#xA;- There was a preregistration for the many labs project, which is also referred to in the report."/><s v="- I could not find out where the repliation effect sizes and sample sizes came from, so I used what is on p. 5 here (https://osf.io/y36m8). One sample size was wrong based on df+2. Two ds had 2 digits in the spreadsheet but only 1 digit in the report.&#xA;- G"/><s v="Please fill out all variables. References and DOIs are missing in several cases."/><s v="please put NA for pval_tails_r, if the source does not directly specify that a two tailed t test was used"/><s v="please look at the test statistic of the chi square test for the final n"/><s v="please specify how you calculated d from the chi squared test statistic as it makes it easier for the validator"/><s v="Please provide a link to the supplementary material, since I could not find it in the osf"/><s v="please fill out all fields, even if the original study information is the same as the rows above"/><s v="Please review closeness types. Authorship overlap is necessary for replications to be internal. There was no overlap in this study.&#xA;Please review nesting types. If there is repeated measurement on any of the involved factors, nesting is the case."/><s v="Please rather use test statistics than beta coefficients. This makes conversions easier for us."/><s v="- Please also add the page number for the effect sizes (eg es_rep_r)&#xA;- You could have added the individual pdf files for the reports in the file_r variable."/><s v="Please review text after copying it and correct it (eg &quot;=&quot; gets copied as &quot;5&quot;)"/><s v="If you are validating an entry and there are two identical rows, please mark one as &quot;validated - chosen&quot; and one as &quot;validated - discarded&quot;"/><s v="Overall your validation work was very good and transparent,. I could easily understand the comments and issues, thank you!&#xA;A few minor points:&#xA;- please remove merged cells (this can happen if you copy from MS Excel to Google Spreadsheets and when the text"/><s v="You wrote &quot;Should in case of exclusion we left the row empty (except &quot;Exclusion&quot; column? &quot; - I did not understand the question entirely, I think. You were right to leave the cells empty as this is an exclusion anyway."/><s v="- Es repr_r was missing and prereg (for the chosen row). Please make sure that all cells are filled out.&#xA;- When there is no reference to a preregistration, please code it as &quot;NA&quot; because nothing is reported. Use &quot;no&quot; only when it is explicitly stated, tha"/><s v="Here - and in some other places - prereg_o contains the repl prereg. this must be for the original study"/><s v="let's use journal page numbers, not PDF page numbers (where available)"/><s v="Where we can calculate d (or OR), let's do it - more useful than ES that are not convertible (omega, eta-sq)"/><s v="Make sure special characters are corrected after copy-pasting from old papers - here Π"/></sharedItems></cacheField><cacheField name="validator" numFmtId="0"><sharedItems containsBlank="1"><s v="name of the person who validated the entry"/><s v="LR"/><m/><s v="LR, Sophie"/><s v="SMS"/><s v="Aleksandr Pravednikov"/><s v="Maureen Osano, LR"/><s v="Maureen Osano, LR, SAJ"/><s v="Roksana"/><s v="Roksana, LR"/><s v="Corinna"/><s v="Nikita"/><s v="Nikita, LW"/><s v="Sarah Ashcroft-Jones, LR"/><s v="Sarah Ashcroft-Jones"/><s v="Sarah Ashcroft-Jones, LW"/></sharedItems></cacheField><cacheField name=" " numFmtId="0"><sharedItems containsString="0" containsBlank="1" containsNumber="1" containsInteger="1"><m/><n v="58.0"/></sharedItems></cacheField><cacheField name=" 2" numFmtId="0"><sharedItems containsBlank="1"><m/><s v="further effects - some already single-coded"/><s v="2 further effects"/></sharedItems></cacheField><cacheField name=" 3" numFmtId="0"><sharedItems containsString="0" containsBlank="1"><m/></sharedItems></cacheField><cacheField name=" 4" numFmtId="0"><sharedItems containsString="0" containsBlank="1"><m/></sharedItems></cacheField><cacheField name=" 5" numFmtId="0"><sharedItems containsString="0" containsBlank="1"><m/></sharedItems></cacheField><cacheField name=" 6" numFmtId="0"><sharedItems containsString="0" containsBlank="1"><m/></sharedItems></cacheField><cacheField name=" 7" numFmtId="0"><sharedItems containsBlank="1"><m/><s v="yes"/></sharedItems></cacheField><cacheField name=" 8" numFmtId="0"><sharedItems containsBlank="1"><m/><s v="https://osf.io/w4gj2"/></sharedItems></cacheField><cacheField name=" 9" numFmtId="0"><sharedItems containsBlank="1"><m/><s v="2 - close"/></sharedItems></cacheField><cacheField name=" 10" numFmtId="0"><sharedItems containsString="0" containsBlank="1"><m/></sharedItems></cacheField><cacheField name=" 11" numFmtId="0"><sharedItems containsString="0" containsBlank="1"><m/></sharedItems></cacheField><cacheField name=" 12" numFmtId="0"><sharedItems containsString="0" containsBlank="1"><m/></sharedItems></cacheField><cacheField name=" 13" numFmtId="0"><sharedItems containsString="0" containsBlank="1"><m/></sharedItems></cacheField><cacheField name=" 14" numFmtId="0"><sharedItems containsString="0" containsBlank="1"><m/></sharedItems></cacheField><cacheField name=" 15" numFmtId="0"><sharedItems containsString="0" containsBlank="1"><m/></sharedItems></cacheField><cacheField name=" 16" numFmtId="0"><sharedItems containsString="0" containsBlank="1"><m/></sharedItems></cacheField><cacheField name=" 17" numFmtId="0"><sharedItems containsString="0" containsBlank="1"><m/></sharedItems></cacheField><cacheField name=" 18" numFmtId="0"><sharedItems containsString="0" containsBlank="1"><m/></sharedItems></cacheField><cacheField name=" 19" numFmtId="0"><sharedItems containsString="0" containsBlank="1"><m/></sharedItems></cacheField><cacheField name=" 20" numFmtId="0"><sharedItems containsString="0" containsBlank="1"><m/></sharedItems></cacheField><cacheField name=" 21" numFmtId="0"><sharedItems containsString="0" containsBlank="1"><m/></sharedItems></cacheField><cacheField name=" 22" numFmtId="0"><sharedItems containsString="0" containsBlank="1"><m/></sharedItems></cacheField><cacheField name=" 23" numFmtId="0"><sharedItems containsString="0" containsBlank="1"><m/></sharedItems></cacheField><cacheField name=" 24" numFmtId="0"><sharedItems containsString="0" containsBlank="1"><m/></sharedItems></cacheField><cacheField name=" 25" numFmtId="0"><sharedItems containsString="0" containsBlank="1"><m/></sharedItems></cacheField><cacheField name=" 26" numFmtId="0"><sharedItems containsString="0" containsBlank="1"><m/></sharedItems></cacheField><cacheField name=" 27" numFmtId="0"><sharedItems containsString="0" containsBlank="1"><m/></sharedItems></cacheField><cacheField name=" 28" numFmtId="0"><sharedItems containsString="0" containsBlank="1"><m/></sharedItems></cacheField><cacheField name=" 29" numFmtId="0"><sharedItems containsString="0" containsBlank="1"><m/></sharedItems></cacheField><cacheField name=" 30" numFmtId="0"><sharedItems containsString="0" containsBlank="1"><m/></sharedItems></cacheField><cacheField name=" 31" numFmtId="0"><sharedItems containsString="0" containsBlank="1"><m/></sharedItems></cacheField><cacheField name=" 32" numFmtId="0"><sharedItems containsString="0" containsBlank="1"><m/></sharedItems></cacheField><cacheField name=" 33" numFmtId="0"><sharedItems containsString="0" containsBlank="1"><m/></sharedItems></cacheField><cacheField name=" 34" numFmtId="0"><sharedItems containsString="0" containsBlank="1"><m/></sharedItems></cacheField><cacheField name=" 35" numFmtId="0"><sharedItems containsString="0" containsBlank="1"><m/></sharedItems></cacheField><cacheField name=" 36" numFmtId="0"><sharedItems containsString="0" containsBlank="1"><m/></sharedItems></cacheField><cacheField name=" 37" numFmtId="0"><sharedItems containsString="0" containsBlank="1"><m/></sharedItems></cacheField><cacheField name=" 38" numFmtId="0"><sharedItems containsString="0" containsBlank="1"><m/></sharedItems></cacheField><cacheField name=" 39" numFmtId="0"><sharedItems containsString="0" containsBlank="1"><m/></sharedItems></cacheField><cacheField name=" 40" numFmtId="0"><sharedItems containsString="0" containsBlank="1"><m/></sharedItems></cacheField><cacheField name=" 41" numFmtId="0"><sharedItems containsString="0" containsBlank="1"><m/></sharedItems></cacheField><cacheField name=" 42" numFmtId="0"><sharedItems containsString="0" containsBlank="1"><m/></sharedItems></cacheField><cacheField name=" 43" numFmtId="0"><sharedItems containsString="0" containsBlank="1"><m/></sharedItems></cacheField><cacheField name=" 44" numFmtId="0"><sharedItems containsString="0" containsBlank="1"><m/></sharedItems></cacheField><cacheField name=" 45" numFmtId="0"><sharedItems containsString="0" containsBlank="1"><m/></sharedItems></cacheField><cacheField name=" 46" numFmtId="0"><sharedItems containsString="0" containsBlank="1"><m/></sharedItems></cacheField><cacheField name=" 47" numFmtId="0"><sharedItems containsString="0" containsBlank="1"><m/></sharedItems></cacheField><cacheField name=" 48" numFmtId="0"><sharedItems containsString="0" containsBlank="1"><m/></sharedItems></cacheField><cacheField name=" 49" numFmtId="0"><sharedItems containsString="0" containsBlank="1"><m/></sharedItems></cacheField><cacheField name=" 50" numFmtId="0"><sharedItems containsString="0" containsBlank="1"><m/></sharedItems></cacheField><cacheField name=" 51" numFmtId="0"><sharedItems containsString="0" containsBlank="1"><m/></sharedItems></cacheField><cacheField name=" 52" numFmtId="0"><sharedItems containsString="0" containsBlank="1"><m/></sharedItems></cacheField><cacheField name=" 53" numFmtId="0"><sharedItems containsString="0" containsBlank="1"><m/></sharedItems></cacheField><cacheField name=" 54" numFmtId="0"><sharedItems containsString="0" containsBlank="1"><m/></sharedItems></cacheField><cacheField name=" 55" numFmtId="0"><sharedItems containsString="0" containsBlank="1"><m/></sharedItems></cacheField><cacheField name=" 56" numFmtId="0"><sharedItems containsString="0" containsBlank="1"><m/></sharedItems></cacheField><cacheField name=" 57" numFmtId="0"><sharedItems containsString="0" containsBlank="1"><m/></sharedItems></cacheField><cacheField name=" 58" numFmtId="0"><sharedItems containsString="0" containsBlank="1"><m/></sharedItems></cacheField><cacheField name=" 59" numFmtId="0"><sharedItems containsString="0" containsBlank="1"><m/></sharedItems></cacheField><cacheField name=" 60" numFmtId="0"><sharedItems containsString="0" containsBlank="1"><m/></sharedItems></cacheField></cacheFields></pivotCach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osf.io/preprints/psyarxiv/esu9z" TargetMode="External"/><Relationship Id="rId391" Type="http://schemas.openxmlformats.org/officeDocument/2006/relationships/hyperlink" Target="https://doi.org/10.1177/1948550611432938" TargetMode="External"/><Relationship Id="rId390" Type="http://schemas.openxmlformats.org/officeDocument/2006/relationships/hyperlink" Target="https://doi.org/10.1007/s10857-015-9324-9" TargetMode="External"/><Relationship Id="rId1" Type="http://schemas.openxmlformats.org/officeDocument/2006/relationships/comments" Target="../comments1.xml"/><Relationship Id="rId2" Type="http://schemas.openxmlformats.org/officeDocument/2006/relationships/hyperlink" Target="https://doi.org/10.17605/OSF.IO/2ZGF9" TargetMode="External"/><Relationship Id="rId3" Type="http://schemas.openxmlformats.org/officeDocument/2006/relationships/hyperlink" Target="https://doi.org/10.17605/OSF.IO/2ZGF9" TargetMode="External"/><Relationship Id="rId4" Type="http://schemas.openxmlformats.org/officeDocument/2006/relationships/hyperlink" Target="https://osf.io/k2cna" TargetMode="External"/><Relationship Id="rId9" Type="http://schemas.openxmlformats.org/officeDocument/2006/relationships/hyperlink" Target="https://doi.org/10.17605/OSF.IO/7VGKQ" TargetMode="External"/><Relationship Id="rId385" Type="http://schemas.openxmlformats.org/officeDocument/2006/relationships/hyperlink" Target="https://osf.io/g4xcb" TargetMode="External"/><Relationship Id="rId384" Type="http://schemas.openxmlformats.org/officeDocument/2006/relationships/hyperlink" Target="https://osf.io/g4xcb" TargetMode="External"/><Relationship Id="rId383" Type="http://schemas.openxmlformats.org/officeDocument/2006/relationships/hyperlink" Target="https://osf.io/g4xcb" TargetMode="External"/><Relationship Id="rId382" Type="http://schemas.openxmlformats.org/officeDocument/2006/relationships/hyperlink" Target="https://osf.io/g4xcb" TargetMode="External"/><Relationship Id="rId5" Type="http://schemas.openxmlformats.org/officeDocument/2006/relationships/hyperlink" Target="https://osf.io/39xuw" TargetMode="External"/><Relationship Id="rId389" Type="http://schemas.openxmlformats.org/officeDocument/2006/relationships/hyperlink" Target="https://osf.io/g4xcb" TargetMode="External"/><Relationship Id="rId6" Type="http://schemas.openxmlformats.org/officeDocument/2006/relationships/hyperlink" Target="https://osf.io/39xuw" TargetMode="External"/><Relationship Id="rId388" Type="http://schemas.openxmlformats.org/officeDocument/2006/relationships/hyperlink" Target="https://osf.io/g4xcb" TargetMode="External"/><Relationship Id="rId7" Type="http://schemas.openxmlformats.org/officeDocument/2006/relationships/hyperlink" Target="https://osf.io/39xuw" TargetMode="External"/><Relationship Id="rId387" Type="http://schemas.openxmlformats.org/officeDocument/2006/relationships/hyperlink" Target="https://osf.io/g4xcb" TargetMode="External"/><Relationship Id="rId8" Type="http://schemas.openxmlformats.org/officeDocument/2006/relationships/hyperlink" Target="https://osf.io/39xuw" TargetMode="External"/><Relationship Id="rId386" Type="http://schemas.openxmlformats.org/officeDocument/2006/relationships/hyperlink" Target="https://osf.io/g4xcb" TargetMode="External"/><Relationship Id="rId381" Type="http://schemas.openxmlformats.org/officeDocument/2006/relationships/hyperlink" Target="https://osf.io/g4xcb" TargetMode="External"/><Relationship Id="rId380" Type="http://schemas.openxmlformats.org/officeDocument/2006/relationships/hyperlink" Target="https://osf.io/g4xcb" TargetMode="External"/><Relationship Id="rId379" Type="http://schemas.openxmlformats.org/officeDocument/2006/relationships/hyperlink" Target="https://osf.io/g4xcb" TargetMode="External"/><Relationship Id="rId374" Type="http://schemas.openxmlformats.org/officeDocument/2006/relationships/hyperlink" Target="https://osf.io/uqsf6/" TargetMode="External"/><Relationship Id="rId373" Type="http://schemas.openxmlformats.org/officeDocument/2006/relationships/hyperlink" Target="https://osf.io/uqsf6/" TargetMode="External"/><Relationship Id="rId372" Type="http://schemas.openxmlformats.org/officeDocument/2006/relationships/hyperlink" Target="https://doi.org/10.1037/emo0001389" TargetMode="External"/><Relationship Id="rId371" Type="http://schemas.openxmlformats.org/officeDocument/2006/relationships/hyperlink" Target="https://osf.io/uqsf6/" TargetMode="External"/><Relationship Id="rId378" Type="http://schemas.openxmlformats.org/officeDocument/2006/relationships/hyperlink" Target="https://osf.io/g4xcb" TargetMode="External"/><Relationship Id="rId377" Type="http://schemas.openxmlformats.org/officeDocument/2006/relationships/hyperlink" Target="https://osf.io/uqsf6/" TargetMode="External"/><Relationship Id="rId376" Type="http://schemas.openxmlformats.org/officeDocument/2006/relationships/hyperlink" Target="https://osf.io/uqsf6/" TargetMode="External"/><Relationship Id="rId375" Type="http://schemas.openxmlformats.org/officeDocument/2006/relationships/hyperlink" Target="https://doi.org/10.1037/emo0001389" TargetMode="External"/><Relationship Id="rId396" Type="http://schemas.openxmlformats.org/officeDocument/2006/relationships/hyperlink" Target="https://purl.utwente.nl/essays/100571" TargetMode="External"/><Relationship Id="rId395" Type="http://schemas.openxmlformats.org/officeDocument/2006/relationships/hyperlink" Target="https://osf.io/preprints/psyarxiv/esu9z" TargetMode="External"/><Relationship Id="rId394" Type="http://schemas.openxmlformats.org/officeDocument/2006/relationships/hyperlink" Target="https://osf.io/preprints/psyarxiv/esu9z" TargetMode="External"/><Relationship Id="rId393" Type="http://schemas.openxmlformats.org/officeDocument/2006/relationships/hyperlink" Target="https://osf.io/preprints/psyarxiv/esu9z" TargetMode="External"/><Relationship Id="rId399" Type="http://schemas.openxmlformats.org/officeDocument/2006/relationships/hyperlink" Target="https://essay.utwente.nl/100571/1/Bischoff_MA_BMS.pdf" TargetMode="External"/><Relationship Id="rId398" Type="http://schemas.openxmlformats.org/officeDocument/2006/relationships/hyperlink" Target="https://purl.utwente.nl/essays/100571" TargetMode="External"/><Relationship Id="rId397" Type="http://schemas.openxmlformats.org/officeDocument/2006/relationships/hyperlink" Target="https://essay.utwente.nl/100571/1/Bischoff_MA_BMS.pdf" TargetMode="External"/><Relationship Id="rId1730" Type="http://schemas.openxmlformats.org/officeDocument/2006/relationships/hyperlink" Target="https://nyuscholars.nyu.edu/en/publications/cognitive-control-predicts-use-of-model-based-reinforcement-learn" TargetMode="External"/><Relationship Id="rId1731" Type="http://schemas.openxmlformats.org/officeDocument/2006/relationships/hyperlink" Target="https://nyuscholars.nyu.edu/en/publications/cognitive-control-predicts-use-of-model-based-reinforcement-learn" TargetMode="External"/><Relationship Id="rId1732" Type="http://schemas.openxmlformats.org/officeDocument/2006/relationships/hyperlink" Target="https://nyuscholars.nyu.edu/en/publications/cognitive-control-predicts-use-of-model-based-reinforcement-learn" TargetMode="External"/><Relationship Id="rId1733" Type="http://schemas.openxmlformats.org/officeDocument/2006/relationships/hyperlink" Target="https://nyuscholars.nyu.edu/en/publications/cognitive-control-predicts-use-of-model-based-reinforcement-learn" TargetMode="External"/><Relationship Id="rId1734" Type="http://schemas.openxmlformats.org/officeDocument/2006/relationships/hyperlink" Target="https://nyuscholars.nyu.edu/en/publications/cognitive-control-predicts-use-of-model-based-reinforcement-learn" TargetMode="External"/><Relationship Id="rId1735" Type="http://schemas.openxmlformats.org/officeDocument/2006/relationships/hyperlink" Target="https://nyuscholars.nyu.edu/en/publications/cognitive-control-predicts-use-of-model-based-reinforcement-learn" TargetMode="External"/><Relationship Id="rId1736" Type="http://schemas.openxmlformats.org/officeDocument/2006/relationships/hyperlink" Target="https://osf.io/v3e2z" TargetMode="External"/><Relationship Id="rId1737" Type="http://schemas.openxmlformats.org/officeDocument/2006/relationships/hyperlink" Target="https://osf.io/v3e2z" TargetMode="External"/><Relationship Id="rId1738" Type="http://schemas.openxmlformats.org/officeDocument/2006/relationships/hyperlink" Target="https://osf.io/2gx4k/wiki/home/" TargetMode="External"/><Relationship Id="rId1739" Type="http://schemas.openxmlformats.org/officeDocument/2006/relationships/hyperlink" Target="https://osf.io/mj7nd" TargetMode="External"/><Relationship Id="rId1720" Type="http://schemas.openxmlformats.org/officeDocument/2006/relationships/hyperlink" Target="https://rstudio-pubs-static.s3.amazonaws.com/695666_50d31a83674d49bd8c1f5c55c3647f10.html" TargetMode="External"/><Relationship Id="rId1721" Type="http://schemas.openxmlformats.org/officeDocument/2006/relationships/hyperlink" Target="https://osf.io/8e5cg" TargetMode="External"/><Relationship Id="rId1722" Type="http://schemas.openxmlformats.org/officeDocument/2006/relationships/hyperlink" Target="https://osf.io/8e5cg" TargetMode="External"/><Relationship Id="rId1723" Type="http://schemas.openxmlformats.org/officeDocument/2006/relationships/hyperlink" Target="https://rstudio-pubs-static.s3.amazonaws.com/695666_50d31a83674d49bd8c1f5c55c3647f10.html" TargetMode="External"/><Relationship Id="rId1724" Type="http://schemas.openxmlformats.org/officeDocument/2006/relationships/hyperlink" Target="https://osf.io/8e5cg" TargetMode="External"/><Relationship Id="rId1725" Type="http://schemas.openxmlformats.org/officeDocument/2006/relationships/hyperlink" Target="https://rstudio-pubs-static.s3.amazonaws.com/695666_50d31a83674d49bd8c1f5c55c3647f10.html" TargetMode="External"/><Relationship Id="rId1726" Type="http://schemas.openxmlformats.org/officeDocument/2006/relationships/hyperlink" Target="https://osf.io/8e5cg" TargetMode="External"/><Relationship Id="rId1727" Type="http://schemas.openxmlformats.org/officeDocument/2006/relationships/hyperlink" Target="https://osf.io/5fzqp/" TargetMode="External"/><Relationship Id="rId1728" Type="http://schemas.openxmlformats.org/officeDocument/2006/relationships/hyperlink" Target="https://osf.io/kspm6" TargetMode="External"/><Relationship Id="rId1729" Type="http://schemas.openxmlformats.org/officeDocument/2006/relationships/hyperlink" Target="https://osf.io/4uj6v" TargetMode="External"/><Relationship Id="rId1752" Type="http://schemas.openxmlformats.org/officeDocument/2006/relationships/hyperlink" Target="https://rstudio-pubs-static.s3.amazonaws.com/843645_4999687f04a2418cb522a69fb65ceeb8.html" TargetMode="External"/><Relationship Id="rId1753" Type="http://schemas.openxmlformats.org/officeDocument/2006/relationships/hyperlink" Target="https://aspredicted.org/sk5up.pdf" TargetMode="External"/><Relationship Id="rId1754" Type="http://schemas.openxmlformats.org/officeDocument/2006/relationships/hyperlink" Target="https://osf.io/e6cps" TargetMode="External"/><Relationship Id="rId1755" Type="http://schemas.openxmlformats.org/officeDocument/2006/relationships/hyperlink" Target="https://rpubs.com/kl2018/432454" TargetMode="External"/><Relationship Id="rId1756" Type="http://schemas.openxmlformats.org/officeDocument/2006/relationships/hyperlink" Target="https://osf.io/apgqj" TargetMode="External"/><Relationship Id="rId1757" Type="http://schemas.openxmlformats.org/officeDocument/2006/relationships/hyperlink" Target="https://rpubs.com/kl2018/432454" TargetMode="External"/><Relationship Id="rId1758" Type="http://schemas.openxmlformats.org/officeDocument/2006/relationships/hyperlink" Target="https://osf.io/apgqj" TargetMode="External"/><Relationship Id="rId1759" Type="http://schemas.openxmlformats.org/officeDocument/2006/relationships/hyperlink" Target="https://osf.io/sxw48/" TargetMode="External"/><Relationship Id="rId808" Type="http://schemas.openxmlformats.org/officeDocument/2006/relationships/hyperlink" Target="https://osf.io/sejyp" TargetMode="External"/><Relationship Id="rId807" Type="http://schemas.openxmlformats.org/officeDocument/2006/relationships/hyperlink" Target="https://doi.org/10/f77w6d" TargetMode="External"/><Relationship Id="rId806" Type="http://schemas.openxmlformats.org/officeDocument/2006/relationships/hyperlink" Target="https://osf.io/r5mtg" TargetMode="External"/><Relationship Id="rId805" Type="http://schemas.openxmlformats.org/officeDocument/2006/relationships/hyperlink" Target="https://osf.io/sejyp" TargetMode="External"/><Relationship Id="rId809" Type="http://schemas.openxmlformats.org/officeDocument/2006/relationships/hyperlink" Target="https://doi.org/10/gckbgp" TargetMode="External"/><Relationship Id="rId800" Type="http://schemas.openxmlformats.org/officeDocument/2006/relationships/hyperlink" Target="https://osf.io/sejyp" TargetMode="External"/><Relationship Id="rId804" Type="http://schemas.openxmlformats.org/officeDocument/2006/relationships/hyperlink" Target="https://doi.org/10/f77w6d" TargetMode="External"/><Relationship Id="rId803" Type="http://schemas.openxmlformats.org/officeDocument/2006/relationships/hyperlink" Target="https://osf.io/sejyp" TargetMode="External"/><Relationship Id="rId802" Type="http://schemas.openxmlformats.org/officeDocument/2006/relationships/hyperlink" Target="https://doi.org/10/f8w9bk" TargetMode="External"/><Relationship Id="rId801" Type="http://schemas.openxmlformats.org/officeDocument/2006/relationships/hyperlink" Target="https://osf.io/sqxe8" TargetMode="External"/><Relationship Id="rId1750" Type="http://schemas.openxmlformats.org/officeDocument/2006/relationships/hyperlink" Target="https://aspredicted.org/sk5up.pdf" TargetMode="External"/><Relationship Id="rId1751" Type="http://schemas.openxmlformats.org/officeDocument/2006/relationships/hyperlink" Target="https://osf.io/e6cps" TargetMode="External"/><Relationship Id="rId1741" Type="http://schemas.openxmlformats.org/officeDocument/2006/relationships/hyperlink" Target="https://osf.io/mj7nd" TargetMode="External"/><Relationship Id="rId1742" Type="http://schemas.openxmlformats.org/officeDocument/2006/relationships/hyperlink" Target="https://osf.io/mj7nd" TargetMode="External"/><Relationship Id="rId1743" Type="http://schemas.openxmlformats.org/officeDocument/2006/relationships/hyperlink" Target="https://osf.io/mj7nd" TargetMode="External"/><Relationship Id="rId1744" Type="http://schemas.openxmlformats.org/officeDocument/2006/relationships/hyperlink" Target="http://rpubs.com/kimiasaadatian/replicationreport" TargetMode="External"/><Relationship Id="rId1745" Type="http://schemas.openxmlformats.org/officeDocument/2006/relationships/hyperlink" Target="http://rpubs.com/kimiasaadatian/replicationreport" TargetMode="External"/><Relationship Id="rId1746" Type="http://schemas.openxmlformats.org/officeDocument/2006/relationships/hyperlink" Target="https://aspredicted.org/sk5up.pdf" TargetMode="External"/><Relationship Id="rId1747" Type="http://schemas.openxmlformats.org/officeDocument/2006/relationships/hyperlink" Target="https://osf.io/e6cps" TargetMode="External"/><Relationship Id="rId1748" Type="http://schemas.openxmlformats.org/officeDocument/2006/relationships/hyperlink" Target="http://rpubs.com/kimiasaadatian/replicationreport" TargetMode="External"/><Relationship Id="rId1749" Type="http://schemas.openxmlformats.org/officeDocument/2006/relationships/hyperlink" Target="http://rpubs.com/kimiasaadatian/replicationreport" TargetMode="External"/><Relationship Id="rId1740" Type="http://schemas.openxmlformats.org/officeDocument/2006/relationships/hyperlink" Target="https://osf.io/mj7nd" TargetMode="External"/><Relationship Id="rId1710" Type="http://schemas.openxmlformats.org/officeDocument/2006/relationships/hyperlink" Target="https://osf.io/92der" TargetMode="External"/><Relationship Id="rId1711" Type="http://schemas.openxmlformats.org/officeDocument/2006/relationships/hyperlink" Target="https://osf.io/fd9kq" TargetMode="External"/><Relationship Id="rId1712" Type="http://schemas.openxmlformats.org/officeDocument/2006/relationships/hyperlink" Target="https://osf.io/tyvbw" TargetMode="External"/><Relationship Id="rId1713" Type="http://schemas.openxmlformats.org/officeDocument/2006/relationships/hyperlink" Target="https://osf.io/fd9kq" TargetMode="External"/><Relationship Id="rId1714" Type="http://schemas.openxmlformats.org/officeDocument/2006/relationships/hyperlink" Target="https://osf.io/tyvbw" TargetMode="External"/><Relationship Id="rId1715" Type="http://schemas.openxmlformats.org/officeDocument/2006/relationships/hyperlink" Target="https://osf.io/8e5cg" TargetMode="External"/><Relationship Id="rId1716" Type="http://schemas.openxmlformats.org/officeDocument/2006/relationships/hyperlink" Target="https://rstudio-pubs-static.s3.amazonaws.com/695666_50d31a83674d49bd8c1f5c55c3647f10.html" TargetMode="External"/><Relationship Id="rId1717" Type="http://schemas.openxmlformats.org/officeDocument/2006/relationships/hyperlink" Target="https://osf.io/8e5cg" TargetMode="External"/><Relationship Id="rId1718" Type="http://schemas.openxmlformats.org/officeDocument/2006/relationships/hyperlink" Target="https://rstudio-pubs-static.s3.amazonaws.com/695666_50d31a83674d49bd8c1f5c55c3647f10.html" TargetMode="External"/><Relationship Id="rId1719" Type="http://schemas.openxmlformats.org/officeDocument/2006/relationships/hyperlink" Target="https://osf.io/8e5cg" TargetMode="External"/><Relationship Id="rId1700" Type="http://schemas.openxmlformats.org/officeDocument/2006/relationships/hyperlink" Target="https://doi.org/10.1098/rsos.231240" TargetMode="External"/><Relationship Id="rId1701" Type="http://schemas.openxmlformats.org/officeDocument/2006/relationships/hyperlink" Target="https://osf.io/92der" TargetMode="External"/><Relationship Id="rId1702" Type="http://schemas.openxmlformats.org/officeDocument/2006/relationships/hyperlink" Target="https://rstudio-pubs-static.s3.amazonaws.com/694306_59178dc09b8648e598a3e535876c9246.html" TargetMode="External"/><Relationship Id="rId1703" Type="http://schemas.openxmlformats.org/officeDocument/2006/relationships/hyperlink" Target="https://doi.org/10.1098/rsos.231240" TargetMode="External"/><Relationship Id="rId1704" Type="http://schemas.openxmlformats.org/officeDocument/2006/relationships/hyperlink" Target="https://osf.io/92der" TargetMode="External"/><Relationship Id="rId1705" Type="http://schemas.openxmlformats.org/officeDocument/2006/relationships/hyperlink" Target="https://rstudio-pubs-static.s3.amazonaws.com/694306_59178dc09b8648e598a3e535876c9246.html" TargetMode="External"/><Relationship Id="rId1706" Type="http://schemas.openxmlformats.org/officeDocument/2006/relationships/hyperlink" Target="https://doi.org/10.1098/rsos.231240" TargetMode="External"/><Relationship Id="rId1707" Type="http://schemas.openxmlformats.org/officeDocument/2006/relationships/hyperlink" Target="https://osf.io/92der" TargetMode="External"/><Relationship Id="rId1708" Type="http://schemas.openxmlformats.org/officeDocument/2006/relationships/hyperlink" Target="https://rstudio-pubs-static.s3.amazonaws.com/694306_59178dc09b8648e598a3e535876c9246.html" TargetMode="External"/><Relationship Id="rId1709" Type="http://schemas.openxmlformats.org/officeDocument/2006/relationships/hyperlink" Target="https://doi.org/10.1098/rsos.231240" TargetMode="External"/><Relationship Id="rId40" Type="http://schemas.openxmlformats.org/officeDocument/2006/relationships/hyperlink" Target="https://doi.org/10.1016/j.jsp.2024.101307" TargetMode="External"/><Relationship Id="rId1334" Type="http://schemas.openxmlformats.org/officeDocument/2006/relationships/hyperlink" Target="http://osf.io/2ukpq" TargetMode="External"/><Relationship Id="rId1335" Type="http://schemas.openxmlformats.org/officeDocument/2006/relationships/hyperlink" Target="https://doi.org/10.17605/OSF.IO/9E3T5" TargetMode="External"/><Relationship Id="rId42" Type="http://schemas.openxmlformats.org/officeDocument/2006/relationships/hyperlink" Target="https://doi.org/10.1016/j.jsp.2024.101307" TargetMode="External"/><Relationship Id="rId1336" Type="http://schemas.openxmlformats.org/officeDocument/2006/relationships/hyperlink" Target="http://osf.io/ka5wv/" TargetMode="External"/><Relationship Id="rId41" Type="http://schemas.openxmlformats.org/officeDocument/2006/relationships/hyperlink" Target="https://doi.org/10.1016/j.jsp.2024.101307" TargetMode="External"/><Relationship Id="rId1337" Type="http://schemas.openxmlformats.org/officeDocument/2006/relationships/hyperlink" Target="https://doi.org/10.17605/OSF.IO/DNQE7" TargetMode="External"/><Relationship Id="rId44" Type="http://schemas.openxmlformats.org/officeDocument/2006/relationships/hyperlink" Target="https://doi.org/10.1016/j.jsp.2024.101307" TargetMode="External"/><Relationship Id="rId1338" Type="http://schemas.openxmlformats.org/officeDocument/2006/relationships/hyperlink" Target="https://rpubs.com/lrborchers/450894" TargetMode="External"/><Relationship Id="rId43" Type="http://schemas.openxmlformats.org/officeDocument/2006/relationships/hyperlink" Target="https://doi.org/10.1016/j.jsp.2024.101307" TargetMode="External"/><Relationship Id="rId1339" Type="http://schemas.openxmlformats.org/officeDocument/2006/relationships/hyperlink" Target="http://osf.io/f5svw" TargetMode="External"/><Relationship Id="rId46" Type="http://schemas.openxmlformats.org/officeDocument/2006/relationships/hyperlink" Target="https://osf.io/yhk47." TargetMode="External"/><Relationship Id="rId45" Type="http://schemas.openxmlformats.org/officeDocument/2006/relationships/hyperlink" Target="https://osf.io/yhk47." TargetMode="External"/><Relationship Id="rId745" Type="http://schemas.openxmlformats.org/officeDocument/2006/relationships/hyperlink" Target="https://doi.org/10.17605/OSF.IO/E9D3K" TargetMode="External"/><Relationship Id="rId744" Type="http://schemas.openxmlformats.org/officeDocument/2006/relationships/hyperlink" Target="https://doi.org/10.17605/OSF.IO/E9D3K" TargetMode="External"/><Relationship Id="rId743" Type="http://schemas.openxmlformats.org/officeDocument/2006/relationships/hyperlink" Target="https://doi.org/10.17605/OSF.IO/YCQN9" TargetMode="External"/><Relationship Id="rId742" Type="http://schemas.openxmlformats.org/officeDocument/2006/relationships/hyperlink" Target="https://doi.org/10.17605/OSF.IO/YCQN9" TargetMode="External"/><Relationship Id="rId749" Type="http://schemas.openxmlformats.org/officeDocument/2006/relationships/hyperlink" Target="https://doi.org/10.17605/OSF.IO/E9D3K" TargetMode="External"/><Relationship Id="rId748" Type="http://schemas.openxmlformats.org/officeDocument/2006/relationships/hyperlink" Target="https://doi.org/10.17605/OSF.IO/E9D3K" TargetMode="External"/><Relationship Id="rId747" Type="http://schemas.openxmlformats.org/officeDocument/2006/relationships/hyperlink" Target="https://doi.org/10.17605/OSF.IO/E9D3K" TargetMode="External"/><Relationship Id="rId746" Type="http://schemas.openxmlformats.org/officeDocument/2006/relationships/hyperlink" Target="https://doi.org/10.17605/OSF.IO/E9D3K" TargetMode="External"/><Relationship Id="rId48" Type="http://schemas.openxmlformats.org/officeDocument/2006/relationships/hyperlink" Target="https://osf.io/yhk47." TargetMode="External"/><Relationship Id="rId47" Type="http://schemas.openxmlformats.org/officeDocument/2006/relationships/hyperlink" Target="https://osf.io/yhk47." TargetMode="External"/><Relationship Id="rId49" Type="http://schemas.openxmlformats.org/officeDocument/2006/relationships/hyperlink" Target="https://osf.io/yhk47." TargetMode="External"/><Relationship Id="rId741" Type="http://schemas.openxmlformats.org/officeDocument/2006/relationships/hyperlink" Target="https://osf.io/dqv9y" TargetMode="External"/><Relationship Id="rId1330" Type="http://schemas.openxmlformats.org/officeDocument/2006/relationships/hyperlink" Target="https://osf.io/vzmdj" TargetMode="External"/><Relationship Id="rId740" Type="http://schemas.openxmlformats.org/officeDocument/2006/relationships/hyperlink" Target="https://doi.org/10.17605/OSF.IO/YCQN9" TargetMode="External"/><Relationship Id="rId1331" Type="http://schemas.openxmlformats.org/officeDocument/2006/relationships/hyperlink" Target="http://osf.io/d8uvg/" TargetMode="External"/><Relationship Id="rId1332" Type="http://schemas.openxmlformats.org/officeDocument/2006/relationships/hyperlink" Target="https://doi.org/10.17605/OSF.IO/M9VRK" TargetMode="External"/><Relationship Id="rId1333" Type="http://schemas.openxmlformats.org/officeDocument/2006/relationships/hyperlink" Target="https://osf.io/ebhku/" TargetMode="External"/><Relationship Id="rId1323" Type="http://schemas.openxmlformats.org/officeDocument/2006/relationships/hyperlink" Target="http://osf.io/rpkjk/" TargetMode="External"/><Relationship Id="rId1324" Type="http://schemas.openxmlformats.org/officeDocument/2006/relationships/hyperlink" Target="https://doi.org/10.17605/OSF.IO/Y62DH" TargetMode="External"/><Relationship Id="rId31" Type="http://schemas.openxmlformats.org/officeDocument/2006/relationships/hyperlink" Target="https://osf.io/5beqa" TargetMode="External"/><Relationship Id="rId1325" Type="http://schemas.openxmlformats.org/officeDocument/2006/relationships/hyperlink" Target="http://osf.io/xrhqe/" TargetMode="External"/><Relationship Id="rId30" Type="http://schemas.openxmlformats.org/officeDocument/2006/relationships/hyperlink" Target="https://osf.io/5beqa" TargetMode="External"/><Relationship Id="rId1326" Type="http://schemas.openxmlformats.org/officeDocument/2006/relationships/hyperlink" Target="https://doi.org/10.17605/OSF.IO/W62XY" TargetMode="External"/><Relationship Id="rId33" Type="http://schemas.openxmlformats.org/officeDocument/2006/relationships/hyperlink" Target="https://osf.io/5beqa" TargetMode="External"/><Relationship Id="rId1327" Type="http://schemas.openxmlformats.org/officeDocument/2006/relationships/hyperlink" Target="http://osf.io/7e8hz" TargetMode="External"/><Relationship Id="rId32" Type="http://schemas.openxmlformats.org/officeDocument/2006/relationships/hyperlink" Target="https://osf.io/kqdpm" TargetMode="External"/><Relationship Id="rId1328" Type="http://schemas.openxmlformats.org/officeDocument/2006/relationships/hyperlink" Target="https://osf.io/92qp3/." TargetMode="External"/><Relationship Id="rId35" Type="http://schemas.openxmlformats.org/officeDocument/2006/relationships/hyperlink" Target="https://osf.io/kqdpm" TargetMode="External"/><Relationship Id="rId1329" Type="http://schemas.openxmlformats.org/officeDocument/2006/relationships/hyperlink" Target="https://doi.org/10.17605/OSF.IO/R3KTH" TargetMode="External"/><Relationship Id="rId34" Type="http://schemas.openxmlformats.org/officeDocument/2006/relationships/hyperlink" Target="https://osf.io/5beqa" TargetMode="External"/><Relationship Id="rId739" Type="http://schemas.openxmlformats.org/officeDocument/2006/relationships/hyperlink" Target="https://doi.org/10.17605/OSF.IO/YCQN9" TargetMode="External"/><Relationship Id="rId734" Type="http://schemas.openxmlformats.org/officeDocument/2006/relationships/hyperlink" Target="https://doi.org/10.31234/osf.io/chax8" TargetMode="External"/><Relationship Id="rId733" Type="http://schemas.openxmlformats.org/officeDocument/2006/relationships/hyperlink" Target="https://osf.io/y36m8" TargetMode="External"/><Relationship Id="rId732" Type="http://schemas.openxmlformats.org/officeDocument/2006/relationships/hyperlink" Target="http://osf.io/Cju65/files/ReplicationProtocol_%20for_Vess2012_Replication_2_-_LeBel.doc" TargetMode="External"/><Relationship Id="rId731" Type="http://schemas.openxmlformats.org/officeDocument/2006/relationships/hyperlink" Target="http://osf.io/Cju65/files/ReplicationProtocol_%20for_Vess2012_Replication_2_-_LeBel.doc" TargetMode="External"/><Relationship Id="rId738" Type="http://schemas.openxmlformats.org/officeDocument/2006/relationships/hyperlink" Target="https://osf.io/dqv9y" TargetMode="External"/><Relationship Id="rId737" Type="http://schemas.openxmlformats.org/officeDocument/2006/relationships/hyperlink" Target="https://doi.org/10.17605/OSF.IO/YCQN9" TargetMode="External"/><Relationship Id="rId736" Type="http://schemas.openxmlformats.org/officeDocument/2006/relationships/hyperlink" Target="https://doi.org/10.17605/OSF.IO/YCQN9" TargetMode="External"/><Relationship Id="rId735" Type="http://schemas.openxmlformats.org/officeDocument/2006/relationships/hyperlink" Target="https://osf.io/dqv9y" TargetMode="External"/><Relationship Id="rId37" Type="http://schemas.openxmlformats.org/officeDocument/2006/relationships/hyperlink" Target="https://osf.io/5beqa" TargetMode="External"/><Relationship Id="rId36" Type="http://schemas.openxmlformats.org/officeDocument/2006/relationships/hyperlink" Target="https://doi.org/10.1016/j.jsams.2017.06.007" TargetMode="External"/><Relationship Id="rId39" Type="http://schemas.openxmlformats.org/officeDocument/2006/relationships/hyperlink" Target="https://doi.org/10.1016/j.jsp.2024.101307" TargetMode="External"/><Relationship Id="rId38" Type="http://schemas.openxmlformats.org/officeDocument/2006/relationships/hyperlink" Target="https://osf.io/5beqa" TargetMode="External"/><Relationship Id="rId730" Type="http://schemas.openxmlformats.org/officeDocument/2006/relationships/hyperlink" Target="http://osf.io/Cju65/files/ReplicationProtocol_%20for_Vess2012_Replication_2_-_LeBel.doc" TargetMode="External"/><Relationship Id="rId1320" Type="http://schemas.openxmlformats.org/officeDocument/2006/relationships/hyperlink" Target="https://doi.org/10.17605/OSF.IO/7EN89" TargetMode="External"/><Relationship Id="rId1321" Type="http://schemas.openxmlformats.org/officeDocument/2006/relationships/hyperlink" Target="http://osf.io/ggw7c/" TargetMode="External"/><Relationship Id="rId1322" Type="http://schemas.openxmlformats.org/officeDocument/2006/relationships/hyperlink" Target="https://doi.org/10.17605/OSF.IO/3G3HV" TargetMode="External"/><Relationship Id="rId1356" Type="http://schemas.openxmlformats.org/officeDocument/2006/relationships/hyperlink" Target="https://osf.io/4ewkh" TargetMode="External"/><Relationship Id="rId1357" Type="http://schemas.openxmlformats.org/officeDocument/2006/relationships/hyperlink" Target="https://doi.org/10.17605/OSF.IO/N5ZSX" TargetMode="External"/><Relationship Id="rId20" Type="http://schemas.openxmlformats.org/officeDocument/2006/relationships/hyperlink" Target="https://osf.io/w4gj2" TargetMode="External"/><Relationship Id="rId1358" Type="http://schemas.openxmlformats.org/officeDocument/2006/relationships/hyperlink" Target="https://osf.io/4ewkh" TargetMode="External"/><Relationship Id="rId1359" Type="http://schemas.openxmlformats.org/officeDocument/2006/relationships/hyperlink" Target="http://osf.io/pjdkg" TargetMode="External"/><Relationship Id="rId22" Type="http://schemas.openxmlformats.org/officeDocument/2006/relationships/hyperlink" Target="https://doi.org/10.26443/msurj.v19i1.231" TargetMode="External"/><Relationship Id="rId21" Type="http://schemas.openxmlformats.org/officeDocument/2006/relationships/hyperlink" Target="https://osf.io/w4gj2" TargetMode="External"/><Relationship Id="rId24" Type="http://schemas.openxmlformats.org/officeDocument/2006/relationships/hyperlink" Target="https://doi.org/10.26443/msurj.v19i1.231" TargetMode="External"/><Relationship Id="rId23" Type="http://schemas.openxmlformats.org/officeDocument/2006/relationships/hyperlink" Target="https://doi.org/10.26443/msurj.v19i1.231" TargetMode="External"/><Relationship Id="rId767" Type="http://schemas.openxmlformats.org/officeDocument/2006/relationships/hyperlink" Target="https://doi.org/10.17605/OSF.IO/E9D3K" TargetMode="External"/><Relationship Id="rId766" Type="http://schemas.openxmlformats.org/officeDocument/2006/relationships/hyperlink" Target="https://doi.org/10.17605/OSF.IO/E9D3K" TargetMode="External"/><Relationship Id="rId765" Type="http://schemas.openxmlformats.org/officeDocument/2006/relationships/hyperlink" Target="https://doi.org/10.17605/OSF.IO/E9D3K" TargetMode="External"/><Relationship Id="rId764" Type="http://schemas.openxmlformats.org/officeDocument/2006/relationships/hyperlink" Target="https://doi.org/10.17605/OSF.IO/E9D3K" TargetMode="External"/><Relationship Id="rId769" Type="http://schemas.openxmlformats.org/officeDocument/2006/relationships/hyperlink" Target="https://doi.org/10.17605/OSF.IO/E9D3K" TargetMode="External"/><Relationship Id="rId768" Type="http://schemas.openxmlformats.org/officeDocument/2006/relationships/hyperlink" Target="https://doi.org/10.17605/OSF.IO/E9D3K" TargetMode="External"/><Relationship Id="rId26" Type="http://schemas.openxmlformats.org/officeDocument/2006/relationships/hyperlink" Target="https://doi.org/10.26443/msurj.v19i1.231" TargetMode="External"/><Relationship Id="rId25" Type="http://schemas.openxmlformats.org/officeDocument/2006/relationships/hyperlink" Target="https://doi.org/10.26443/msurj.v19i1.231" TargetMode="External"/><Relationship Id="rId28" Type="http://schemas.openxmlformats.org/officeDocument/2006/relationships/hyperlink" Target="https://doi.org/10.1016/j.jsams.2024.07.018" TargetMode="External"/><Relationship Id="rId1350" Type="http://schemas.openxmlformats.org/officeDocument/2006/relationships/hyperlink" Target="https://osf.io/4ewkh" TargetMode="External"/><Relationship Id="rId27" Type="http://schemas.openxmlformats.org/officeDocument/2006/relationships/hyperlink" Target="https://osf.io/kqdpm" TargetMode="External"/><Relationship Id="rId1351" Type="http://schemas.openxmlformats.org/officeDocument/2006/relationships/hyperlink" Target="https://osf.io/4ewkh" TargetMode="External"/><Relationship Id="rId763" Type="http://schemas.openxmlformats.org/officeDocument/2006/relationships/hyperlink" Target="https://doi.org/10.17605/OSF.IO/E9D3K" TargetMode="External"/><Relationship Id="rId1352" Type="http://schemas.openxmlformats.org/officeDocument/2006/relationships/hyperlink" Target="https://aspredicted.org/blind.php?x=fx3kz7" TargetMode="External"/><Relationship Id="rId29" Type="http://schemas.openxmlformats.org/officeDocument/2006/relationships/hyperlink" Target="https://doi.org/10.1016/j.jsams.2024.07.018" TargetMode="External"/><Relationship Id="rId762" Type="http://schemas.openxmlformats.org/officeDocument/2006/relationships/hyperlink" Target="https://doi.org/10.17605/OSF.IO/E9D3K" TargetMode="External"/><Relationship Id="rId1353" Type="http://schemas.openxmlformats.org/officeDocument/2006/relationships/hyperlink" Target="https://osf.io/4ewkh" TargetMode="External"/><Relationship Id="rId761" Type="http://schemas.openxmlformats.org/officeDocument/2006/relationships/hyperlink" Target="https://doi.org/10.17605/OSF.IO/E9D3K" TargetMode="External"/><Relationship Id="rId1354" Type="http://schemas.openxmlformats.org/officeDocument/2006/relationships/hyperlink" Target="https://doi.org/10.17605/OSF.IO/Q2E5K" TargetMode="External"/><Relationship Id="rId760" Type="http://schemas.openxmlformats.org/officeDocument/2006/relationships/hyperlink" Target="https://doi.org/10.17605/OSF.IO/E9D3K" TargetMode="External"/><Relationship Id="rId1355" Type="http://schemas.openxmlformats.org/officeDocument/2006/relationships/hyperlink" Target="https://osf.io/4ewkh" TargetMode="External"/><Relationship Id="rId1345" Type="http://schemas.openxmlformats.org/officeDocument/2006/relationships/hyperlink" Target="https://doi.org/10.17605/OSF.IO/HBPXN" TargetMode="External"/><Relationship Id="rId1346" Type="http://schemas.openxmlformats.org/officeDocument/2006/relationships/hyperlink" Target="https://osf.io/4ewkh" TargetMode="External"/><Relationship Id="rId1347" Type="http://schemas.openxmlformats.org/officeDocument/2006/relationships/hyperlink" Target="http://osf.io/w9bza/" TargetMode="External"/><Relationship Id="rId1348" Type="http://schemas.openxmlformats.org/officeDocument/2006/relationships/hyperlink" Target="https://osf.io/4ewkh" TargetMode="External"/><Relationship Id="rId11" Type="http://schemas.openxmlformats.org/officeDocument/2006/relationships/hyperlink" Target="https://osf.io/8urxv." TargetMode="External"/><Relationship Id="rId1349" Type="http://schemas.openxmlformats.org/officeDocument/2006/relationships/hyperlink" Target="https://doi.org/10.17605/OSF.IO/26YZU" TargetMode="External"/><Relationship Id="rId10" Type="http://schemas.openxmlformats.org/officeDocument/2006/relationships/hyperlink" Target="https://doi.org/10.17605/OSF.IO/7VGKQ" TargetMode="External"/><Relationship Id="rId13" Type="http://schemas.openxmlformats.org/officeDocument/2006/relationships/hyperlink" Target="https://doi.org/10.1016/j.jesp.2020.104066" TargetMode="External"/><Relationship Id="rId12" Type="http://schemas.openxmlformats.org/officeDocument/2006/relationships/hyperlink" Target="https://osf.io/8urxv." TargetMode="External"/><Relationship Id="rId756" Type="http://schemas.openxmlformats.org/officeDocument/2006/relationships/hyperlink" Target="https://doi.org/10.17605/OSF.IO/E9D3K" TargetMode="External"/><Relationship Id="rId755" Type="http://schemas.openxmlformats.org/officeDocument/2006/relationships/hyperlink" Target="https://doi.org/10.17605/OSF.IO/E9D3K" TargetMode="External"/><Relationship Id="rId754" Type="http://schemas.openxmlformats.org/officeDocument/2006/relationships/hyperlink" Target="https://doi.org/10.17605/OSF.IO/E9D3K" TargetMode="External"/><Relationship Id="rId753" Type="http://schemas.openxmlformats.org/officeDocument/2006/relationships/hyperlink" Target="https://doi.org/10.17605/OSF.IO/E9D3K" TargetMode="External"/><Relationship Id="rId759" Type="http://schemas.openxmlformats.org/officeDocument/2006/relationships/hyperlink" Target="https://doi.org/10.17605/OSF.IO/E9D3K" TargetMode="External"/><Relationship Id="rId758" Type="http://schemas.openxmlformats.org/officeDocument/2006/relationships/hyperlink" Target="https://doi.org/10.17605/OSF.IO/E9D3K" TargetMode="External"/><Relationship Id="rId757" Type="http://schemas.openxmlformats.org/officeDocument/2006/relationships/hyperlink" Target="https://doi.org/10.17605/OSF.IO/E9D3K" TargetMode="External"/><Relationship Id="rId15" Type="http://schemas.openxmlformats.org/officeDocument/2006/relationships/hyperlink" Target="https://osf.io/w4gj2" TargetMode="External"/><Relationship Id="rId14" Type="http://schemas.openxmlformats.org/officeDocument/2006/relationships/hyperlink" Target="https://osf.io/acykd" TargetMode="External"/><Relationship Id="rId17" Type="http://schemas.openxmlformats.org/officeDocument/2006/relationships/hyperlink" Target="https://osf.io/w4gj2" TargetMode="External"/><Relationship Id="rId16" Type="http://schemas.openxmlformats.org/officeDocument/2006/relationships/hyperlink" Target="https://osf.io/w4gj2" TargetMode="External"/><Relationship Id="rId1340" Type="http://schemas.openxmlformats.org/officeDocument/2006/relationships/hyperlink" Target="https://rpubs.com/lrborchers/450894" TargetMode="External"/><Relationship Id="rId19" Type="http://schemas.openxmlformats.org/officeDocument/2006/relationships/hyperlink" Target="https://osf.io/w4gj2" TargetMode="External"/><Relationship Id="rId752" Type="http://schemas.openxmlformats.org/officeDocument/2006/relationships/hyperlink" Target="https://doi.org/10.17605/OSF.IO/E9D3K" TargetMode="External"/><Relationship Id="rId1341" Type="http://schemas.openxmlformats.org/officeDocument/2006/relationships/hyperlink" Target="https://doi.org/10.17605/OSF.IO/9VXSF" TargetMode="External"/><Relationship Id="rId18" Type="http://schemas.openxmlformats.org/officeDocument/2006/relationships/hyperlink" Target="https://osf.io/w4gj2" TargetMode="External"/><Relationship Id="rId751" Type="http://schemas.openxmlformats.org/officeDocument/2006/relationships/hyperlink" Target="https://doi.org/10.17605/OSF.IO/E9D3K" TargetMode="External"/><Relationship Id="rId1342" Type="http://schemas.openxmlformats.org/officeDocument/2006/relationships/hyperlink" Target="https://rpubs.com/lrborchers/450894" TargetMode="External"/><Relationship Id="rId750" Type="http://schemas.openxmlformats.org/officeDocument/2006/relationships/hyperlink" Target="https://doi.org/10.17605/OSF.IO/E9D3K" TargetMode="External"/><Relationship Id="rId1343" Type="http://schemas.openxmlformats.org/officeDocument/2006/relationships/hyperlink" Target="http://osf.io/bv4ep" TargetMode="External"/><Relationship Id="rId1344" Type="http://schemas.openxmlformats.org/officeDocument/2006/relationships/hyperlink" Target="https://osf.io/4ewkh" TargetMode="External"/><Relationship Id="rId84" Type="http://schemas.openxmlformats.org/officeDocument/2006/relationships/hyperlink" Target="http://dx.doi.org/10.1007/s40617-024-00933-1" TargetMode="External"/><Relationship Id="rId1774" Type="http://schemas.openxmlformats.org/officeDocument/2006/relationships/hyperlink" Target="https://osf.io/w3h9y" TargetMode="External"/><Relationship Id="rId83" Type="http://schemas.openxmlformats.org/officeDocument/2006/relationships/hyperlink" Target="https://osf.io/x64cn/" TargetMode="External"/><Relationship Id="rId1775" Type="http://schemas.openxmlformats.org/officeDocument/2006/relationships/hyperlink" Target="https://www.rpubs.com/sansiropp/256552" TargetMode="External"/><Relationship Id="rId86" Type="http://schemas.openxmlformats.org/officeDocument/2006/relationships/hyperlink" Target="https://doi.org/10.1007/s40617-024-00933-1" TargetMode="External"/><Relationship Id="rId1776" Type="http://schemas.openxmlformats.org/officeDocument/2006/relationships/hyperlink" Target="https://www.rpubs.com/sansiropp/256552" TargetMode="External"/><Relationship Id="rId85" Type="http://schemas.openxmlformats.org/officeDocument/2006/relationships/hyperlink" Target="https://doi.org/10.1007/s40617-024-00933-1" TargetMode="External"/><Relationship Id="rId1777" Type="http://schemas.openxmlformats.org/officeDocument/2006/relationships/hyperlink" Target="https://www.rpubs.com/sansiropp/256552" TargetMode="External"/><Relationship Id="rId88" Type="http://schemas.openxmlformats.org/officeDocument/2006/relationships/hyperlink" Target="https://docs.google.com/spreadsheets/d/1Da93yd8SPd-GwqOb8HCKeN1Hobk77X3_1anZLPku0G0/edit?usp=sharing" TargetMode="External"/><Relationship Id="rId1778" Type="http://schemas.openxmlformats.org/officeDocument/2006/relationships/hyperlink" Target="https://rpubs.com/ShimaSalehi/155989" TargetMode="External"/><Relationship Id="rId87" Type="http://schemas.openxmlformats.org/officeDocument/2006/relationships/hyperlink" Target="https://docs.google.com/spreadsheets/d/1Da93yd8SPd-GwqOb8HCKeN1Hobk77X3_1anZLPku0G0/edit?usp=sharing" TargetMode="External"/><Relationship Id="rId1779" Type="http://schemas.openxmlformats.org/officeDocument/2006/relationships/hyperlink" Target="https://rpubs.com/ShimaSalehi/155989" TargetMode="External"/><Relationship Id="rId89" Type="http://schemas.openxmlformats.org/officeDocument/2006/relationships/hyperlink" Target="https://docs.google.com/spreadsheets/d/1Da93yd8SPd-GwqOb8HCKeN1Hobk77X3_1anZLPku0G0/edit?usp=sharing" TargetMode="External"/><Relationship Id="rId709" Type="http://schemas.openxmlformats.org/officeDocument/2006/relationships/hyperlink" Target="https://osf.io/ct89g/" TargetMode="External"/><Relationship Id="rId708" Type="http://schemas.openxmlformats.org/officeDocument/2006/relationships/hyperlink" Target="https://osf.io/ct89g/" TargetMode="External"/><Relationship Id="rId707" Type="http://schemas.openxmlformats.org/officeDocument/2006/relationships/hyperlink" Target="https://osf.io/ct89g/" TargetMode="External"/><Relationship Id="rId706" Type="http://schemas.openxmlformats.org/officeDocument/2006/relationships/hyperlink" Target="https://osf.io/ct89g/" TargetMode="External"/><Relationship Id="rId80" Type="http://schemas.openxmlformats.org/officeDocument/2006/relationships/hyperlink" Target="https://osf.io/x64cn/" TargetMode="External"/><Relationship Id="rId82" Type="http://schemas.openxmlformats.org/officeDocument/2006/relationships/hyperlink" Target="https://osf.io/x64cn/" TargetMode="External"/><Relationship Id="rId81" Type="http://schemas.openxmlformats.org/officeDocument/2006/relationships/hyperlink" Target="https://osf.io/x64cn/" TargetMode="External"/><Relationship Id="rId701" Type="http://schemas.openxmlformats.org/officeDocument/2006/relationships/hyperlink" Target="https://doi.org/10.1037/arc0000007" TargetMode="External"/><Relationship Id="rId700" Type="http://schemas.openxmlformats.org/officeDocument/2006/relationships/hyperlink" Target="https://doi.org/10.1037/arc0000007" TargetMode="External"/><Relationship Id="rId705" Type="http://schemas.openxmlformats.org/officeDocument/2006/relationships/hyperlink" Target="https://doi.org/10.1037/arc0000007" TargetMode="External"/><Relationship Id="rId704" Type="http://schemas.openxmlformats.org/officeDocument/2006/relationships/hyperlink" Target="https://doi.org/10.1037/arc0000007" TargetMode="External"/><Relationship Id="rId703" Type="http://schemas.openxmlformats.org/officeDocument/2006/relationships/hyperlink" Target="https://doi.org/10.1037/arc0000007" TargetMode="External"/><Relationship Id="rId702" Type="http://schemas.openxmlformats.org/officeDocument/2006/relationships/hyperlink" Target="https://doi.org/10.1037/arc0000007" TargetMode="External"/><Relationship Id="rId1770" Type="http://schemas.openxmlformats.org/officeDocument/2006/relationships/hyperlink" Target="https://osf.io/w3h9y" TargetMode="External"/><Relationship Id="rId1771" Type="http://schemas.openxmlformats.org/officeDocument/2006/relationships/hyperlink" Target="https://github.com/lrhasak/porter2016/blob/master/writeup/ReplicationReport.Rmd" TargetMode="External"/><Relationship Id="rId1772" Type="http://schemas.openxmlformats.org/officeDocument/2006/relationships/hyperlink" Target="https://osf.io/w3h9y" TargetMode="External"/><Relationship Id="rId1773" Type="http://schemas.openxmlformats.org/officeDocument/2006/relationships/hyperlink" Target="https://github.com/lrhasak/porter2016/blob/master/writeup/ReplicationReport.Rmd" TargetMode="External"/><Relationship Id="rId73" Type="http://schemas.openxmlformats.org/officeDocument/2006/relationships/hyperlink" Target="https://doi.org/10.1038/s41467-024-46936-y" TargetMode="External"/><Relationship Id="rId1763" Type="http://schemas.openxmlformats.org/officeDocument/2006/relationships/hyperlink" Target="https://www.rpubs.com/sansiropp/256552" TargetMode="External"/><Relationship Id="rId72" Type="http://schemas.openxmlformats.org/officeDocument/2006/relationships/hyperlink" Target="https://doi.org/10.1038/s41467-024-46936-y" TargetMode="External"/><Relationship Id="rId1764" Type="http://schemas.openxmlformats.org/officeDocument/2006/relationships/hyperlink" Target="https://www.rpubs.com/sansiropp/256552" TargetMode="External"/><Relationship Id="rId75" Type="http://schemas.openxmlformats.org/officeDocument/2006/relationships/hyperlink" Target="http://osf.io/x64cn" TargetMode="External"/><Relationship Id="rId1765" Type="http://schemas.openxmlformats.org/officeDocument/2006/relationships/hyperlink" Target="https://rpubs.com/camillag/256522" TargetMode="External"/><Relationship Id="rId74" Type="http://schemas.openxmlformats.org/officeDocument/2006/relationships/hyperlink" Target="http://osf.io/x64cn" TargetMode="External"/><Relationship Id="rId1766" Type="http://schemas.openxmlformats.org/officeDocument/2006/relationships/hyperlink" Target="https://osf.io/w3h9y" TargetMode="External"/><Relationship Id="rId77" Type="http://schemas.openxmlformats.org/officeDocument/2006/relationships/hyperlink" Target="https://osf.io/x64cn/" TargetMode="External"/><Relationship Id="rId1767" Type="http://schemas.openxmlformats.org/officeDocument/2006/relationships/hyperlink" Target="https://rpubs.com/camillag/256522" TargetMode="External"/><Relationship Id="rId76" Type="http://schemas.openxmlformats.org/officeDocument/2006/relationships/hyperlink" Target="https://osf.io/x64cn/" TargetMode="External"/><Relationship Id="rId1768" Type="http://schemas.openxmlformats.org/officeDocument/2006/relationships/hyperlink" Target="https://osf.io/w3h9y" TargetMode="External"/><Relationship Id="rId79" Type="http://schemas.openxmlformats.org/officeDocument/2006/relationships/hyperlink" Target="https://osf.io/x64cn/" TargetMode="External"/><Relationship Id="rId1769" Type="http://schemas.openxmlformats.org/officeDocument/2006/relationships/hyperlink" Target="https://rpubs.com/camillag/256522" TargetMode="External"/><Relationship Id="rId78" Type="http://schemas.openxmlformats.org/officeDocument/2006/relationships/hyperlink" Target="https://osf.io/x64cn/" TargetMode="External"/><Relationship Id="rId71" Type="http://schemas.openxmlformats.org/officeDocument/2006/relationships/hyperlink" Target="http://osf.io/x64cn" TargetMode="External"/><Relationship Id="rId70" Type="http://schemas.openxmlformats.org/officeDocument/2006/relationships/hyperlink" Target="http://osf.io/x64cn" TargetMode="External"/><Relationship Id="rId1760" Type="http://schemas.openxmlformats.org/officeDocument/2006/relationships/hyperlink" Target="https://osf.io/sxw48/" TargetMode="External"/><Relationship Id="rId1761" Type="http://schemas.openxmlformats.org/officeDocument/2006/relationships/hyperlink" Target="https://osf.io/sxw48/" TargetMode="External"/><Relationship Id="rId1762" Type="http://schemas.openxmlformats.org/officeDocument/2006/relationships/hyperlink" Target="https://www.rpubs.com/sansiropp/256552" TargetMode="External"/><Relationship Id="rId62" Type="http://schemas.openxmlformats.org/officeDocument/2006/relationships/hyperlink" Target="http://osf.io/x64cn" TargetMode="External"/><Relationship Id="rId1312" Type="http://schemas.openxmlformats.org/officeDocument/2006/relationships/hyperlink" Target="https://doi.org/10.1177/0146167215580776" TargetMode="External"/><Relationship Id="rId1796" Type="http://schemas.openxmlformats.org/officeDocument/2006/relationships/hyperlink" Target="https://osf.io/p5hvr" TargetMode="External"/><Relationship Id="rId61" Type="http://schemas.openxmlformats.org/officeDocument/2006/relationships/hyperlink" Target="https://doi.org/10.1038/s41467-024-46936-y" TargetMode="External"/><Relationship Id="rId1313" Type="http://schemas.openxmlformats.org/officeDocument/2006/relationships/hyperlink" Target="http://osf.io/pfng2" TargetMode="External"/><Relationship Id="rId1797" Type="http://schemas.openxmlformats.org/officeDocument/2006/relationships/hyperlink" Target="https://osf.io/38en2" TargetMode="External"/><Relationship Id="rId64" Type="http://schemas.openxmlformats.org/officeDocument/2006/relationships/hyperlink" Target="https://doi.org/10.1038/s41467-024-46936-y" TargetMode="External"/><Relationship Id="rId1314" Type="http://schemas.openxmlformats.org/officeDocument/2006/relationships/hyperlink" Target="http://osf.io/s37h6/" TargetMode="External"/><Relationship Id="rId1798" Type="http://schemas.openxmlformats.org/officeDocument/2006/relationships/hyperlink" Target="https://rpubs.com/brucksm/final_report" TargetMode="External"/><Relationship Id="rId63" Type="http://schemas.openxmlformats.org/officeDocument/2006/relationships/hyperlink" Target="http://osf.io/x64cn" TargetMode="External"/><Relationship Id="rId1315" Type="http://schemas.openxmlformats.org/officeDocument/2006/relationships/hyperlink" Target="http://osf.io/s37h6/" TargetMode="External"/><Relationship Id="rId1799" Type="http://schemas.openxmlformats.org/officeDocument/2006/relationships/hyperlink" Target="https://osf.io/9j2ym" TargetMode="External"/><Relationship Id="rId66" Type="http://schemas.openxmlformats.org/officeDocument/2006/relationships/hyperlink" Target="http://osf.io/x64cn" TargetMode="External"/><Relationship Id="rId1316" Type="http://schemas.openxmlformats.org/officeDocument/2006/relationships/hyperlink" Target="https://doi.org/10.17605/OSF.IO/THM7D" TargetMode="External"/><Relationship Id="rId65" Type="http://schemas.openxmlformats.org/officeDocument/2006/relationships/hyperlink" Target="https://doi.org/10.1038/s41467-024-46936-y" TargetMode="External"/><Relationship Id="rId1317" Type="http://schemas.openxmlformats.org/officeDocument/2006/relationships/hyperlink" Target="http://osf.io/6yfxz" TargetMode="External"/><Relationship Id="rId68" Type="http://schemas.openxmlformats.org/officeDocument/2006/relationships/hyperlink" Target="https://doi.org/10.1038/s41467-024-46936-y" TargetMode="External"/><Relationship Id="rId1318" Type="http://schemas.openxmlformats.org/officeDocument/2006/relationships/hyperlink" Target="https://doi.org/10.17605/OSF.IO/AY2YE" TargetMode="External"/><Relationship Id="rId67" Type="http://schemas.openxmlformats.org/officeDocument/2006/relationships/hyperlink" Target="http://osf.io/x64cn" TargetMode="External"/><Relationship Id="rId1319" Type="http://schemas.openxmlformats.org/officeDocument/2006/relationships/hyperlink" Target="http://osf.io/k89fc" TargetMode="External"/><Relationship Id="rId729" Type="http://schemas.openxmlformats.org/officeDocument/2006/relationships/hyperlink" Target="http://osf.io/Cju65/files/ReplicationProtocol_%20for_Vess2012_Replication_2_-_LeBel.doc" TargetMode="External"/><Relationship Id="rId728" Type="http://schemas.openxmlformats.org/officeDocument/2006/relationships/hyperlink" Target="http://osf.io/Cju65/files/ReplicationProtocol_%20for_Vess2012_Replication_2_-_LeBel.doc" TargetMode="External"/><Relationship Id="rId60" Type="http://schemas.openxmlformats.org/officeDocument/2006/relationships/hyperlink" Target="https://doi.org/10.1038/s41467-024-46936-y" TargetMode="External"/><Relationship Id="rId723" Type="http://schemas.openxmlformats.org/officeDocument/2006/relationships/hyperlink" Target="https://osf.io/y36m8" TargetMode="External"/><Relationship Id="rId722" Type="http://schemas.openxmlformats.org/officeDocument/2006/relationships/hyperlink" Target="https://osf.io/kizyn" TargetMode="External"/><Relationship Id="rId721" Type="http://schemas.openxmlformats.org/officeDocument/2006/relationships/hyperlink" Target="http://openscienceframework.org/project/nydrb/files/%20ReplicationProtocol_for_Vess2012_-_LeBel.doc" TargetMode="External"/><Relationship Id="rId720" Type="http://schemas.openxmlformats.org/officeDocument/2006/relationships/hyperlink" Target="https://osf.io/kizyn" TargetMode="External"/><Relationship Id="rId727" Type="http://schemas.openxmlformats.org/officeDocument/2006/relationships/hyperlink" Target="http://osf.io/Cju65/files/ReplicationProtocol_%20for_Vess2012_Replication_2_-_LeBel.doc" TargetMode="External"/><Relationship Id="rId726" Type="http://schemas.openxmlformats.org/officeDocument/2006/relationships/hyperlink" Target="https://osf.io/5kyjt" TargetMode="External"/><Relationship Id="rId725" Type="http://schemas.openxmlformats.org/officeDocument/2006/relationships/hyperlink" Target="https://osf.io/5kyjt" TargetMode="External"/><Relationship Id="rId724" Type="http://schemas.openxmlformats.org/officeDocument/2006/relationships/hyperlink" Target="https://osf.io/y36m8" TargetMode="External"/><Relationship Id="rId69" Type="http://schemas.openxmlformats.org/officeDocument/2006/relationships/hyperlink" Target="https://doi.org/10.1038/s41467-024-46936-y" TargetMode="External"/><Relationship Id="rId1790" Type="http://schemas.openxmlformats.org/officeDocument/2006/relationships/hyperlink" Target="https://osf.io/cxatn" TargetMode="External"/><Relationship Id="rId1791" Type="http://schemas.openxmlformats.org/officeDocument/2006/relationships/hyperlink" Target="https://osf.io/bd9ea)" TargetMode="External"/><Relationship Id="rId1792" Type="http://schemas.openxmlformats.org/officeDocument/2006/relationships/hyperlink" Target="https://osf.io/cxatn" TargetMode="External"/><Relationship Id="rId1793" Type="http://schemas.openxmlformats.org/officeDocument/2006/relationships/hyperlink" Target="https://osf.io/bd9ea)" TargetMode="External"/><Relationship Id="rId1310" Type="http://schemas.openxmlformats.org/officeDocument/2006/relationships/hyperlink" Target="https://doi.org/10.17605/OSF.IO/SSDMT" TargetMode="External"/><Relationship Id="rId1794" Type="http://schemas.openxmlformats.org/officeDocument/2006/relationships/hyperlink" Target="https://osf.io/cxatn" TargetMode="External"/><Relationship Id="rId1311" Type="http://schemas.openxmlformats.org/officeDocument/2006/relationships/hyperlink" Target="http://osf.io/qdekc/" TargetMode="External"/><Relationship Id="rId1795" Type="http://schemas.openxmlformats.org/officeDocument/2006/relationships/hyperlink" Target="https://osf.io/p5hvr" TargetMode="External"/><Relationship Id="rId51" Type="http://schemas.openxmlformats.org/officeDocument/2006/relationships/hyperlink" Target="https://doi.org/10.1037/met0000650" TargetMode="External"/><Relationship Id="rId1301" Type="http://schemas.openxmlformats.org/officeDocument/2006/relationships/hyperlink" Target="https://osf.io/egc9y/" TargetMode="External"/><Relationship Id="rId1785" Type="http://schemas.openxmlformats.org/officeDocument/2006/relationships/hyperlink" Target="https://rpubs.com/cgarton/975073" TargetMode="External"/><Relationship Id="rId50" Type="http://schemas.openxmlformats.org/officeDocument/2006/relationships/hyperlink" Target="https://doi.org/10.1037/met0000650" TargetMode="External"/><Relationship Id="rId1302" Type="http://schemas.openxmlformats.org/officeDocument/2006/relationships/hyperlink" Target="https://doi.org/10.17605/OSF.IO/QP8V3" TargetMode="External"/><Relationship Id="rId1786" Type="http://schemas.openxmlformats.org/officeDocument/2006/relationships/hyperlink" Target="https://rpubs.com/cgarton/975073" TargetMode="External"/><Relationship Id="rId53" Type="http://schemas.openxmlformats.org/officeDocument/2006/relationships/hyperlink" Target="https://doi.org/10.1037/met0000650" TargetMode="External"/><Relationship Id="rId1303" Type="http://schemas.openxmlformats.org/officeDocument/2006/relationships/hyperlink" Target="https://osf.io/egc9y/." TargetMode="External"/><Relationship Id="rId1787" Type="http://schemas.openxmlformats.org/officeDocument/2006/relationships/hyperlink" Target="https://osf.io/8k4t5/." TargetMode="External"/><Relationship Id="rId52" Type="http://schemas.openxmlformats.org/officeDocument/2006/relationships/hyperlink" Target="https://doi.org/10.1037/met0000650" TargetMode="External"/><Relationship Id="rId1304" Type="http://schemas.openxmlformats.org/officeDocument/2006/relationships/hyperlink" Target="http://osf.io/4yuym" TargetMode="External"/><Relationship Id="rId1788" Type="http://schemas.openxmlformats.org/officeDocument/2006/relationships/hyperlink" Target="https://osf.io/zxp9k/." TargetMode="External"/><Relationship Id="rId55" Type="http://schemas.openxmlformats.org/officeDocument/2006/relationships/hyperlink" Target="https://doi.org/10.1037/met0000650" TargetMode="External"/><Relationship Id="rId1305" Type="http://schemas.openxmlformats.org/officeDocument/2006/relationships/hyperlink" Target="https://doi.org/10.17605/OSF.IO/QP8V3" TargetMode="External"/><Relationship Id="rId1789" Type="http://schemas.openxmlformats.org/officeDocument/2006/relationships/hyperlink" Target="https://osf.io/bd9ea)" TargetMode="External"/><Relationship Id="rId54" Type="http://schemas.openxmlformats.org/officeDocument/2006/relationships/hyperlink" Target="https://doi.org/10.1037/met0000650" TargetMode="External"/><Relationship Id="rId1306" Type="http://schemas.openxmlformats.org/officeDocument/2006/relationships/hyperlink" Target="http://osf.io/3sn6j" TargetMode="External"/><Relationship Id="rId57" Type="http://schemas.openxmlformats.org/officeDocument/2006/relationships/hyperlink" Target="https://doi.org/10.1037/met0000650" TargetMode="External"/><Relationship Id="rId1307" Type="http://schemas.openxmlformats.org/officeDocument/2006/relationships/hyperlink" Target="http://osf.io/dbx75/" TargetMode="External"/><Relationship Id="rId56" Type="http://schemas.openxmlformats.org/officeDocument/2006/relationships/hyperlink" Target="https://doi.org/10.1037/met0000650" TargetMode="External"/><Relationship Id="rId1308" Type="http://schemas.openxmlformats.org/officeDocument/2006/relationships/hyperlink" Target="https://doi.org/10.17605/OSF.IO/5NZ6W" TargetMode="External"/><Relationship Id="rId1309" Type="http://schemas.openxmlformats.org/officeDocument/2006/relationships/hyperlink" Target="http://osf.io/ejmyw" TargetMode="External"/><Relationship Id="rId719" Type="http://schemas.openxmlformats.org/officeDocument/2006/relationships/hyperlink" Target="http://openscienceframework.org/project/nydrb/files/%20ReplicationProtocol_for_Vess2012_-_LeBel.doc" TargetMode="External"/><Relationship Id="rId718" Type="http://schemas.openxmlformats.org/officeDocument/2006/relationships/hyperlink" Target="https://osf.io/kizyn" TargetMode="External"/><Relationship Id="rId717" Type="http://schemas.openxmlformats.org/officeDocument/2006/relationships/hyperlink" Target="http://openscienceframework.org/project/nydrb/files/%20ReplicationProtocol_for_Vess2012_-_LeBel.doc" TargetMode="External"/><Relationship Id="rId712" Type="http://schemas.openxmlformats.org/officeDocument/2006/relationships/hyperlink" Target="https://osf.io/ct89g/" TargetMode="External"/><Relationship Id="rId711" Type="http://schemas.openxmlformats.org/officeDocument/2006/relationships/hyperlink" Target="https://osf.io/ct89g/" TargetMode="External"/><Relationship Id="rId710" Type="http://schemas.openxmlformats.org/officeDocument/2006/relationships/hyperlink" Target="https://osf.io/ct89g/" TargetMode="External"/><Relationship Id="rId716" Type="http://schemas.openxmlformats.org/officeDocument/2006/relationships/hyperlink" Target="https://osf.io/kizyn" TargetMode="External"/><Relationship Id="rId715" Type="http://schemas.openxmlformats.org/officeDocument/2006/relationships/hyperlink" Target="https://osf.io/kizyn" TargetMode="External"/><Relationship Id="rId714" Type="http://schemas.openxmlformats.org/officeDocument/2006/relationships/hyperlink" Target="https://osf.io/kizyn" TargetMode="External"/><Relationship Id="rId713" Type="http://schemas.openxmlformats.org/officeDocument/2006/relationships/hyperlink" Target="https://osf.io/ct89g/" TargetMode="External"/><Relationship Id="rId59" Type="http://schemas.openxmlformats.org/officeDocument/2006/relationships/hyperlink" Target="https://osf.io/x64cn/" TargetMode="External"/><Relationship Id="rId58" Type="http://schemas.openxmlformats.org/officeDocument/2006/relationships/hyperlink" Target="https://osf.io/x64cn/" TargetMode="External"/><Relationship Id="rId1780" Type="http://schemas.openxmlformats.org/officeDocument/2006/relationships/hyperlink" Target="https://rpubs.com/ShimaSalehi/155989" TargetMode="External"/><Relationship Id="rId1781" Type="http://schemas.openxmlformats.org/officeDocument/2006/relationships/hyperlink" Target="https://rpubs.com/ShimaSalehi/155989" TargetMode="External"/><Relationship Id="rId1782" Type="http://schemas.openxmlformats.org/officeDocument/2006/relationships/hyperlink" Target="https://rpubs.com/ShimaSalehi/155989" TargetMode="External"/><Relationship Id="rId1783" Type="http://schemas.openxmlformats.org/officeDocument/2006/relationships/hyperlink" Target="https://rpubs.com/ShimaSalehi/155989" TargetMode="External"/><Relationship Id="rId1300" Type="http://schemas.openxmlformats.org/officeDocument/2006/relationships/hyperlink" Target="http://osf.io/z2fj8" TargetMode="External"/><Relationship Id="rId1784" Type="http://schemas.openxmlformats.org/officeDocument/2006/relationships/hyperlink" Target="https://osf.io/q8src" TargetMode="External"/><Relationship Id="rId349" Type="http://schemas.openxmlformats.org/officeDocument/2006/relationships/hyperlink" Target="https://osf.io/uqsf6/" TargetMode="External"/><Relationship Id="rId348" Type="http://schemas.openxmlformats.org/officeDocument/2006/relationships/hyperlink" Target="https://osf.io/uqsf6/" TargetMode="External"/><Relationship Id="rId347" Type="http://schemas.openxmlformats.org/officeDocument/2006/relationships/hyperlink" Target="https://osf.io/uqsf6/" TargetMode="External"/><Relationship Id="rId346" Type="http://schemas.openxmlformats.org/officeDocument/2006/relationships/hyperlink" Target="https://doi.org/10.1037/xap0000321" TargetMode="External"/><Relationship Id="rId341" Type="http://schemas.openxmlformats.org/officeDocument/2006/relationships/hyperlink" Target="https://doi.org/10.1037/xap0000321" TargetMode="External"/><Relationship Id="rId340"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45" Type="http://schemas.openxmlformats.org/officeDocument/2006/relationships/hyperlink" Target="https://doi.org/10.1037/xap0000321" TargetMode="External"/><Relationship Id="rId344" Type="http://schemas.openxmlformats.org/officeDocument/2006/relationships/hyperlink" Target="https://doi.org/10.1037/xap0000321" TargetMode="External"/><Relationship Id="rId343" Type="http://schemas.openxmlformats.org/officeDocument/2006/relationships/hyperlink" Target="https://doi.org/10.1037/xap0000321" TargetMode="External"/><Relationship Id="rId342" Type="http://schemas.openxmlformats.org/officeDocument/2006/relationships/hyperlink" Target="https://doi.org/10.1037/xap0000321" TargetMode="External"/><Relationship Id="rId338"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7"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6"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5"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9"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0"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4"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3"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2"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31"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70" Type="http://schemas.openxmlformats.org/officeDocument/2006/relationships/hyperlink" Target="https://osf.io/uqsf6/" TargetMode="External"/><Relationship Id="rId369" Type="http://schemas.openxmlformats.org/officeDocument/2006/relationships/hyperlink" Target="https://doi.org/10.1037/emo0001389" TargetMode="External"/><Relationship Id="rId368" Type="http://schemas.openxmlformats.org/officeDocument/2006/relationships/hyperlink" Target="https://osf.io/uqsf6/" TargetMode="External"/><Relationship Id="rId363" Type="http://schemas.openxmlformats.org/officeDocument/2006/relationships/hyperlink" Target="https://doi.org/10.1037/emo0001389" TargetMode="External"/><Relationship Id="rId362" Type="http://schemas.openxmlformats.org/officeDocument/2006/relationships/hyperlink" Target="https://doi.org/10.1037/emo0001389" TargetMode="External"/><Relationship Id="rId361" Type="http://schemas.openxmlformats.org/officeDocument/2006/relationships/hyperlink" Target="https://osf.io/864nx/" TargetMode="External"/><Relationship Id="rId360" Type="http://schemas.openxmlformats.org/officeDocument/2006/relationships/hyperlink" Target="https://doi.org/10.1037/emo0001389" TargetMode="External"/><Relationship Id="rId367" Type="http://schemas.openxmlformats.org/officeDocument/2006/relationships/hyperlink" Target="https://osf.io/uqsf6/" TargetMode="External"/><Relationship Id="rId366" Type="http://schemas.openxmlformats.org/officeDocument/2006/relationships/hyperlink" Target="https://doi.org/10.1037/emo0001389" TargetMode="External"/><Relationship Id="rId365" Type="http://schemas.openxmlformats.org/officeDocument/2006/relationships/hyperlink" Target="https://osf.io/uqsf6/" TargetMode="External"/><Relationship Id="rId364" Type="http://schemas.openxmlformats.org/officeDocument/2006/relationships/hyperlink" Target="https://osf.io/uqsf6/" TargetMode="External"/><Relationship Id="rId95" Type="http://schemas.openxmlformats.org/officeDocument/2006/relationships/hyperlink" Target="https://aspredicted.org/3KR_RSK" TargetMode="External"/><Relationship Id="rId94" Type="http://schemas.openxmlformats.org/officeDocument/2006/relationships/hyperlink" Target="https://doi.org/10.1007/s40617-024-00933-1" TargetMode="External"/><Relationship Id="rId97" Type="http://schemas.openxmlformats.org/officeDocument/2006/relationships/hyperlink" Target="https://aspredicted.org/3KR_RSK" TargetMode="External"/><Relationship Id="rId96" Type="http://schemas.openxmlformats.org/officeDocument/2006/relationships/hyperlink" Target="https://aspredicted.org/3KR_RSK" TargetMode="External"/><Relationship Id="rId99" Type="http://schemas.openxmlformats.org/officeDocument/2006/relationships/hyperlink" Target="https://aspredicted.org/3KR_RSK" TargetMode="External"/><Relationship Id="rId98" Type="http://schemas.openxmlformats.org/officeDocument/2006/relationships/hyperlink" Target="https://aspredicted.org/3KR_RSK" TargetMode="External"/><Relationship Id="rId91" Type="http://schemas.openxmlformats.org/officeDocument/2006/relationships/hyperlink" Target="https://docs.google.com/spreadsheets/d/1Da93yd8SPd-GwqOb8HCKeN1Hobk77X3_1anZLPku0G0/edit?usp=sharing" TargetMode="External"/><Relationship Id="rId90" Type="http://schemas.openxmlformats.org/officeDocument/2006/relationships/hyperlink" Target="https://docs.google.com/spreadsheets/d/1Da93yd8SPd-GwqOb8HCKeN1Hobk77X3_1anZLPku0G0/edit?usp=sharing" TargetMode="External"/><Relationship Id="rId93" Type="http://schemas.openxmlformats.org/officeDocument/2006/relationships/hyperlink" Target="https://doi.org/10.1007/s40617-024-00933-1" TargetMode="External"/><Relationship Id="rId92" Type="http://schemas.openxmlformats.org/officeDocument/2006/relationships/hyperlink" Target="https://docs.google.com/spreadsheets/d/1Da93yd8SPd-GwqOb8HCKeN1Hobk77X3_1anZLPku0G0/edit?usp=sharing" TargetMode="External"/><Relationship Id="rId359" Type="http://schemas.openxmlformats.org/officeDocument/2006/relationships/hyperlink" Target="https://osf.io/864nx/" TargetMode="External"/><Relationship Id="rId358" Type="http://schemas.openxmlformats.org/officeDocument/2006/relationships/hyperlink" Target="https://osf.io/uqsf6/" TargetMode="External"/><Relationship Id="rId357" Type="http://schemas.openxmlformats.org/officeDocument/2006/relationships/hyperlink" Target="https://osf.io/uqsf6/" TargetMode="External"/><Relationship Id="rId352" Type="http://schemas.openxmlformats.org/officeDocument/2006/relationships/hyperlink" Target="https://osf.io/uqsf6/" TargetMode="External"/><Relationship Id="rId351" Type="http://schemas.openxmlformats.org/officeDocument/2006/relationships/hyperlink" Target="https://osf.io/uqsf6/" TargetMode="External"/><Relationship Id="rId350" Type="http://schemas.openxmlformats.org/officeDocument/2006/relationships/hyperlink" Target="https://osf.io/uqsf6/" TargetMode="External"/><Relationship Id="rId356" Type="http://schemas.openxmlformats.org/officeDocument/2006/relationships/hyperlink" Target="https://osf.io/uqsf6/" TargetMode="External"/><Relationship Id="rId355" Type="http://schemas.openxmlformats.org/officeDocument/2006/relationships/hyperlink" Target="https://osf.io/uqsf6/" TargetMode="External"/><Relationship Id="rId354" Type="http://schemas.openxmlformats.org/officeDocument/2006/relationships/hyperlink" Target="https://osf.io/uqsf6/" TargetMode="External"/><Relationship Id="rId353" Type="http://schemas.openxmlformats.org/officeDocument/2006/relationships/hyperlink" Target="https://osf.io/uqsf6/" TargetMode="External"/><Relationship Id="rId1378" Type="http://schemas.openxmlformats.org/officeDocument/2006/relationships/hyperlink" Target="https://doi.org/10.17605/OSF.IO/QP8V3" TargetMode="External"/><Relationship Id="rId1379" Type="http://schemas.openxmlformats.org/officeDocument/2006/relationships/hyperlink" Target="https://osf.io/4ewkh" TargetMode="External"/><Relationship Id="rId305" Type="http://schemas.openxmlformats.org/officeDocument/2006/relationships/hyperlink" Target="https://helda.helsinki.fi/bitstreams/b16ebd43-f83b-42c9-9996-adf6735845c1/download" TargetMode="External"/><Relationship Id="rId789" Type="http://schemas.openxmlformats.org/officeDocument/2006/relationships/hyperlink" Target="https://osf.io/sejyp" TargetMode="External"/><Relationship Id="rId304" Type="http://schemas.openxmlformats.org/officeDocument/2006/relationships/hyperlink" Target="https://doi.org/10.1075/resla.17019.loz" TargetMode="External"/><Relationship Id="rId788" Type="http://schemas.openxmlformats.org/officeDocument/2006/relationships/hyperlink" Target="https://doi.org/10/f76jnb" TargetMode="External"/><Relationship Id="rId303" Type="http://schemas.openxmlformats.org/officeDocument/2006/relationships/hyperlink" Target="https://helda.helsinki.fi/bitstreams/b16ebd43-f83b-42c9-9996-adf6735845c1/download" TargetMode="External"/><Relationship Id="rId787" Type="http://schemas.openxmlformats.org/officeDocument/2006/relationships/hyperlink" Target="https://www.pnas.org/action/downloadSupplement?doi=10.1073%2Fpnas.1519401113&amp;file=pnas.201519401SI.pdf" TargetMode="External"/><Relationship Id="rId302" Type="http://schemas.openxmlformats.org/officeDocument/2006/relationships/hyperlink" Target="https://doi.org/10.1075/resla.17019.loz" TargetMode="External"/><Relationship Id="rId786" Type="http://schemas.openxmlformats.org/officeDocument/2006/relationships/hyperlink" Target="https://osf.io/qxwhv" TargetMode="External"/><Relationship Id="rId309" Type="http://schemas.openxmlformats.org/officeDocument/2006/relationships/hyperlink" Target="https://helda.helsinki.fi/bitstreams/b16ebd43-f83b-42c9-9996-adf6735845c1/download" TargetMode="External"/><Relationship Id="rId308" Type="http://schemas.openxmlformats.org/officeDocument/2006/relationships/hyperlink" Target="https://doi.org/10.1075/resla.17019.loz" TargetMode="External"/><Relationship Id="rId307" Type="http://schemas.openxmlformats.org/officeDocument/2006/relationships/hyperlink" Target="https://helda.helsinki.fi/bitstreams/b16ebd43-f83b-42c9-9996-adf6735845c1/download" TargetMode="External"/><Relationship Id="rId306" Type="http://schemas.openxmlformats.org/officeDocument/2006/relationships/hyperlink" Target="https://doi.org/10.1075/resla.17019.loz" TargetMode="External"/><Relationship Id="rId781" Type="http://schemas.openxmlformats.org/officeDocument/2006/relationships/hyperlink" Target="https://osf.io/qxwhv" TargetMode="External"/><Relationship Id="rId1370" Type="http://schemas.openxmlformats.org/officeDocument/2006/relationships/hyperlink" Target="https://osf.io/mge8r/" TargetMode="External"/><Relationship Id="rId780" Type="http://schemas.openxmlformats.org/officeDocument/2006/relationships/hyperlink" Target="https://osf.io/gh52k?mode=&amp;revisionId=&amp;view_only=" TargetMode="External"/><Relationship Id="rId1371" Type="http://schemas.openxmlformats.org/officeDocument/2006/relationships/hyperlink" Target="https://doi.org/10.17605/OSF.IO/69DQC" TargetMode="External"/><Relationship Id="rId1372" Type="http://schemas.openxmlformats.org/officeDocument/2006/relationships/hyperlink" Target="https://osf.io/4ewkh" TargetMode="External"/><Relationship Id="rId1373" Type="http://schemas.openxmlformats.org/officeDocument/2006/relationships/hyperlink" Target="https://doi.org/10.17605/OSF.IO/69DQC" TargetMode="External"/><Relationship Id="rId301" Type="http://schemas.openxmlformats.org/officeDocument/2006/relationships/hyperlink" Target="https://helda.helsinki.fi/bitstreams/b16ebd43-f83b-42c9-9996-adf6735845c1/download" TargetMode="External"/><Relationship Id="rId785" Type="http://schemas.openxmlformats.org/officeDocument/2006/relationships/hyperlink" Target="https://osf.io/qxwhv" TargetMode="External"/><Relationship Id="rId1374" Type="http://schemas.openxmlformats.org/officeDocument/2006/relationships/hyperlink" Target="https://osf.io/4ewkh" TargetMode="External"/><Relationship Id="rId300" Type="http://schemas.openxmlformats.org/officeDocument/2006/relationships/hyperlink" Target="https://doi.org/10.1075/resla.17019.loz" TargetMode="External"/><Relationship Id="rId784" Type="http://schemas.openxmlformats.org/officeDocument/2006/relationships/hyperlink" Target="https://osf.io/qxwhv" TargetMode="External"/><Relationship Id="rId1375" Type="http://schemas.openxmlformats.org/officeDocument/2006/relationships/hyperlink" Target="https://doi.org/10.17605/OSF.IO/JW84M" TargetMode="External"/><Relationship Id="rId783" Type="http://schemas.openxmlformats.org/officeDocument/2006/relationships/hyperlink" Target="https://osf.io/qxwhv" TargetMode="External"/><Relationship Id="rId1376" Type="http://schemas.openxmlformats.org/officeDocument/2006/relationships/hyperlink" Target="https://osf.io/4ewkh" TargetMode="External"/><Relationship Id="rId782" Type="http://schemas.openxmlformats.org/officeDocument/2006/relationships/hyperlink" Target="https://osf.io/qxwhv" TargetMode="External"/><Relationship Id="rId1377" Type="http://schemas.openxmlformats.org/officeDocument/2006/relationships/hyperlink" Target="https://osf.io/4ewkh" TargetMode="External"/><Relationship Id="rId1367" Type="http://schemas.openxmlformats.org/officeDocument/2006/relationships/hyperlink" Target="https://osf.io/mge8r/" TargetMode="External"/><Relationship Id="rId1368" Type="http://schemas.openxmlformats.org/officeDocument/2006/relationships/hyperlink" Target="http://osf.io/pjdkg" TargetMode="External"/><Relationship Id="rId1369" Type="http://schemas.openxmlformats.org/officeDocument/2006/relationships/hyperlink" Target="https://osf.io/4ewkh" TargetMode="External"/><Relationship Id="rId778" Type="http://schemas.openxmlformats.org/officeDocument/2006/relationships/hyperlink" Target="https://osf.io/gh52k?mode=&amp;revisionId=&amp;view_only=" TargetMode="External"/><Relationship Id="rId777" Type="http://schemas.openxmlformats.org/officeDocument/2006/relationships/hyperlink" Target="https://osf.io/qxwhv" TargetMode="External"/><Relationship Id="rId776" Type="http://schemas.openxmlformats.org/officeDocument/2006/relationships/hyperlink" Target="https://osf.io/qxwhv" TargetMode="External"/><Relationship Id="rId775" Type="http://schemas.openxmlformats.org/officeDocument/2006/relationships/hyperlink" Target="https://osf.io/8k9nt" TargetMode="External"/><Relationship Id="rId779" Type="http://schemas.openxmlformats.org/officeDocument/2006/relationships/hyperlink" Target="https://osf.io/gh52k?mode=&amp;revisionId=&amp;view_only=" TargetMode="External"/><Relationship Id="rId770" Type="http://schemas.openxmlformats.org/officeDocument/2006/relationships/hyperlink" Target="https://doi.org/10.17605/OSF.IO/FMD75" TargetMode="External"/><Relationship Id="rId1360" Type="http://schemas.openxmlformats.org/officeDocument/2006/relationships/hyperlink" Target="https://osf.io/4ewkh" TargetMode="External"/><Relationship Id="rId1361" Type="http://schemas.openxmlformats.org/officeDocument/2006/relationships/hyperlink" Target="https://doi.org/10.17605/OSF.IO/69DQC" TargetMode="External"/><Relationship Id="rId1362" Type="http://schemas.openxmlformats.org/officeDocument/2006/relationships/hyperlink" Target="https://osf.io/4ewkh" TargetMode="External"/><Relationship Id="rId774" Type="http://schemas.openxmlformats.org/officeDocument/2006/relationships/hyperlink" Target="https://osf.io/8k9nt" TargetMode="External"/><Relationship Id="rId1363" Type="http://schemas.openxmlformats.org/officeDocument/2006/relationships/hyperlink" Target="http://osf.io/pjdkg" TargetMode="External"/><Relationship Id="rId773" Type="http://schemas.openxmlformats.org/officeDocument/2006/relationships/hyperlink" Target="https://osf.io/fmd75" TargetMode="External"/><Relationship Id="rId1364" Type="http://schemas.openxmlformats.org/officeDocument/2006/relationships/hyperlink" Target="https://osf.io/4ewkh" TargetMode="External"/><Relationship Id="rId772" Type="http://schemas.openxmlformats.org/officeDocument/2006/relationships/hyperlink" Target="https://osf.io/fmd75" TargetMode="External"/><Relationship Id="rId1365" Type="http://schemas.openxmlformats.org/officeDocument/2006/relationships/hyperlink" Target="https://doi.org/10.17605/OSF.IO/69DQC" TargetMode="External"/><Relationship Id="rId771" Type="http://schemas.openxmlformats.org/officeDocument/2006/relationships/hyperlink" Target="https://doi.org/10.17605/OSF.IO/FMD75" TargetMode="External"/><Relationship Id="rId1366" Type="http://schemas.openxmlformats.org/officeDocument/2006/relationships/hyperlink" Target="https://osf.io/4ewkh" TargetMode="External"/><Relationship Id="rId327" Type="http://schemas.openxmlformats.org/officeDocument/2006/relationships/hyperlink" Target="mailto:sarahashjones@gmail.com" TargetMode="External"/><Relationship Id="rId326" Type="http://schemas.openxmlformats.org/officeDocument/2006/relationships/hyperlink" Target="https://www.tandfonline.com/doi/epdf/10.1080/02650487.2024.2362015?needAccess=true" TargetMode="External"/><Relationship Id="rId325" Type="http://schemas.openxmlformats.org/officeDocument/2006/relationships/hyperlink" Target="https://www.tandfonline.com/doi/epdf/10.1080/02650487.2024.2362015?needAccess=true" TargetMode="External"/><Relationship Id="rId324" Type="http://schemas.openxmlformats.org/officeDocument/2006/relationships/hyperlink" Target="https://doi.org/10.1080/02650487.2024.2362015" TargetMode="External"/><Relationship Id="rId329"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1390" Type="http://schemas.openxmlformats.org/officeDocument/2006/relationships/hyperlink" Target="https://aspredicted.org/yp5az.pdf" TargetMode="External"/><Relationship Id="rId328"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1391" Type="http://schemas.openxmlformats.org/officeDocument/2006/relationships/hyperlink" Target="http://osf.io/6yfxz" TargetMode="External"/><Relationship Id="rId1392" Type="http://schemas.openxmlformats.org/officeDocument/2006/relationships/hyperlink" Target="https://osf.io/4ewkh" TargetMode="External"/><Relationship Id="rId1393" Type="http://schemas.openxmlformats.org/officeDocument/2006/relationships/hyperlink" Target="https://aspredicted.org/n3pd9.pdf" TargetMode="External"/><Relationship Id="rId1394" Type="http://schemas.openxmlformats.org/officeDocument/2006/relationships/hyperlink" Target="https://doi.org/10.17605/OSF.IO/THM7D" TargetMode="External"/><Relationship Id="rId1395" Type="http://schemas.openxmlformats.org/officeDocument/2006/relationships/hyperlink" Target="https://osf.io/4ewkh" TargetMode="External"/><Relationship Id="rId323" Type="http://schemas.openxmlformats.org/officeDocument/2006/relationships/hyperlink" Target="mailto:sarahashjones@gmail.com" TargetMode="External"/><Relationship Id="rId1396" Type="http://schemas.openxmlformats.org/officeDocument/2006/relationships/hyperlink" Target="http://osf.io/6yfxz" TargetMode="External"/><Relationship Id="rId322" Type="http://schemas.openxmlformats.org/officeDocument/2006/relationships/hyperlink" Target="https://osf.io/j8n59" TargetMode="External"/><Relationship Id="rId1397" Type="http://schemas.openxmlformats.org/officeDocument/2006/relationships/hyperlink" Target="https://osf.io/4ewkh" TargetMode="External"/><Relationship Id="rId321" Type="http://schemas.openxmlformats.org/officeDocument/2006/relationships/hyperlink" Target="https://osf.io/j8n59" TargetMode="External"/><Relationship Id="rId1398" Type="http://schemas.openxmlformats.org/officeDocument/2006/relationships/hyperlink" Target="https://osf.io/exqch" TargetMode="External"/><Relationship Id="rId320" Type="http://schemas.openxmlformats.org/officeDocument/2006/relationships/hyperlink" Target="https://escholarship.org/uc/item/8p5673qn" TargetMode="External"/><Relationship Id="rId1399" Type="http://schemas.openxmlformats.org/officeDocument/2006/relationships/hyperlink" Target="https://doi.org/10.17605/OSF.IO/THM7D" TargetMode="External"/><Relationship Id="rId1389" Type="http://schemas.openxmlformats.org/officeDocument/2006/relationships/hyperlink" Target="https://osf.io/4ewkh" TargetMode="External"/><Relationship Id="rId316" Type="http://schemas.openxmlformats.org/officeDocument/2006/relationships/hyperlink" Target="http://dx.doi.org/10.1038/s41598-024-61469-6" TargetMode="External"/><Relationship Id="rId315" Type="http://schemas.openxmlformats.org/officeDocument/2006/relationships/hyperlink" Target="https://helda.helsinki.fi/bitstreams/b16ebd43-f83b-42c9-9996-adf6735845c1/download" TargetMode="External"/><Relationship Id="rId799" Type="http://schemas.openxmlformats.org/officeDocument/2006/relationships/hyperlink" Target="https://doi.org/10/f8w9bk" TargetMode="External"/><Relationship Id="rId314" Type="http://schemas.openxmlformats.org/officeDocument/2006/relationships/hyperlink" Target="https://doi.org/10.1075/resla.17019.loz" TargetMode="External"/><Relationship Id="rId798" Type="http://schemas.openxmlformats.org/officeDocument/2006/relationships/hyperlink" Target="https://www.pnas.org/action/downloadSupplement?doi=10.1073%2Fpnas.1601280113&amp;file=pnas.1601280113.sapp.pdf" TargetMode="External"/><Relationship Id="rId313" Type="http://schemas.openxmlformats.org/officeDocument/2006/relationships/hyperlink" Target="https://helda.helsinki.fi/bitstreams/b16ebd43-f83b-42c9-9996-adf6735845c1/download" TargetMode="External"/><Relationship Id="rId797" Type="http://schemas.openxmlformats.org/officeDocument/2006/relationships/hyperlink" Target="https://osf.io/sejyp" TargetMode="External"/><Relationship Id="rId319" Type="http://schemas.openxmlformats.org/officeDocument/2006/relationships/hyperlink" Target="https://escholarship.org/uc/item/0qf9t9pc" TargetMode="External"/><Relationship Id="rId318" Type="http://schemas.openxmlformats.org/officeDocument/2006/relationships/hyperlink" Target="https://escholarship.org/uc/item/0qf9t9pc" TargetMode="External"/><Relationship Id="rId317" Type="http://schemas.openxmlformats.org/officeDocument/2006/relationships/hyperlink" Target="https://osf.io/8t9qj" TargetMode="External"/><Relationship Id="rId1380" Type="http://schemas.openxmlformats.org/officeDocument/2006/relationships/hyperlink" Target="https://doi.org/10.17605/OSF.IO/QP8V3" TargetMode="External"/><Relationship Id="rId792" Type="http://schemas.openxmlformats.org/officeDocument/2006/relationships/hyperlink" Target="https://osf.io/sejyp" TargetMode="External"/><Relationship Id="rId1381" Type="http://schemas.openxmlformats.org/officeDocument/2006/relationships/hyperlink" Target="https://osf.io/4ewkh" TargetMode="External"/><Relationship Id="rId791" Type="http://schemas.openxmlformats.org/officeDocument/2006/relationships/hyperlink" Target="https://doi.org/10/f76jnb" TargetMode="External"/><Relationship Id="rId1382" Type="http://schemas.openxmlformats.org/officeDocument/2006/relationships/hyperlink" Target="https://doi.org/10.17605/OSF.IO/QP8V3" TargetMode="External"/><Relationship Id="rId790" Type="http://schemas.openxmlformats.org/officeDocument/2006/relationships/hyperlink" Target="https://osf.io/5zxvt" TargetMode="External"/><Relationship Id="rId1383" Type="http://schemas.openxmlformats.org/officeDocument/2006/relationships/hyperlink" Target="https://osf.io/4ewkh" TargetMode="External"/><Relationship Id="rId1384" Type="http://schemas.openxmlformats.org/officeDocument/2006/relationships/hyperlink" Target="https://doi.org/10.17605/OSF.IO/QP8V3" TargetMode="External"/><Relationship Id="rId312" Type="http://schemas.openxmlformats.org/officeDocument/2006/relationships/hyperlink" Target="https://doi.org/10.1075/resla.17019.loz" TargetMode="External"/><Relationship Id="rId796" Type="http://schemas.openxmlformats.org/officeDocument/2006/relationships/hyperlink" Target="https://doi.org/10/gfs87p" TargetMode="External"/><Relationship Id="rId1385" Type="http://schemas.openxmlformats.org/officeDocument/2006/relationships/hyperlink" Target="https://osf.io/4ewkh" TargetMode="External"/><Relationship Id="rId311" Type="http://schemas.openxmlformats.org/officeDocument/2006/relationships/hyperlink" Target="https://helda.helsinki.fi/bitstreams/b16ebd43-f83b-42c9-9996-adf6735845c1/download" TargetMode="External"/><Relationship Id="rId795" Type="http://schemas.openxmlformats.org/officeDocument/2006/relationships/hyperlink" Target="https://osf.io/tg9ny" TargetMode="External"/><Relationship Id="rId1386" Type="http://schemas.openxmlformats.org/officeDocument/2006/relationships/hyperlink" Target="https://doi.org/10.17605/OSF.IO/QP8V3" TargetMode="External"/><Relationship Id="rId310" Type="http://schemas.openxmlformats.org/officeDocument/2006/relationships/hyperlink" Target="https://doi.org/10.1075/resla.17019.loz" TargetMode="External"/><Relationship Id="rId794" Type="http://schemas.openxmlformats.org/officeDocument/2006/relationships/hyperlink" Target="https://osf.io/sejyp" TargetMode="External"/><Relationship Id="rId1387" Type="http://schemas.openxmlformats.org/officeDocument/2006/relationships/hyperlink" Target="https://osf.io/4ewkh" TargetMode="External"/><Relationship Id="rId793" Type="http://schemas.openxmlformats.org/officeDocument/2006/relationships/hyperlink" Target="https://doi.org/10/gfs87p" TargetMode="External"/><Relationship Id="rId1388" Type="http://schemas.openxmlformats.org/officeDocument/2006/relationships/hyperlink" Target="https://doi.org/10.17605/OSF.IO/5NZ6W" TargetMode="External"/><Relationship Id="rId297" Type="http://schemas.openxmlformats.org/officeDocument/2006/relationships/hyperlink" Target="https://digitalcommons.memphis.edu/etd/3538/" TargetMode="External"/><Relationship Id="rId296" Type="http://schemas.openxmlformats.org/officeDocument/2006/relationships/hyperlink" Target="https://www.proquest.com/dissertations-theses/mattering-model-foundational-elements-k-12/docview/2537966312/se-2" TargetMode="External"/><Relationship Id="rId295" Type="http://schemas.openxmlformats.org/officeDocument/2006/relationships/hyperlink" Target="https://doi.org/10.1075/ijlcr.00046.ozk" TargetMode="External"/><Relationship Id="rId294" Type="http://schemas.openxmlformats.org/officeDocument/2006/relationships/hyperlink" Target="https://doi.org/10.1075/ijlcr.00046.ozk" TargetMode="External"/><Relationship Id="rId299" Type="http://schemas.openxmlformats.org/officeDocument/2006/relationships/hyperlink" Target="https://helda.helsinki.fi/bitstreams/b16ebd43-f83b-42c9-9996-adf6735845c1/download" TargetMode="External"/><Relationship Id="rId298" Type="http://schemas.openxmlformats.org/officeDocument/2006/relationships/hyperlink" Target="https://doi.org/10.1075/resla.17019.loz" TargetMode="External"/><Relationship Id="rId271" Type="http://schemas.openxmlformats.org/officeDocument/2006/relationships/hyperlink" Target="https://doi.org/10.31234/osf.io/cf4xz" TargetMode="External"/><Relationship Id="rId270" Type="http://schemas.openxmlformats.org/officeDocument/2006/relationships/hyperlink" Target="https://osf.io/preprints/psyarxiv/cf4xz" TargetMode="External"/><Relationship Id="rId269" Type="http://schemas.openxmlformats.org/officeDocument/2006/relationships/hyperlink" Target="https://osf.io/preprints/psyarxiv/cf4xz" TargetMode="External"/><Relationship Id="rId264" Type="http://schemas.openxmlformats.org/officeDocument/2006/relationships/hyperlink" Target="https://doi.org/10.1080/13523260.2020.1868836" TargetMode="External"/><Relationship Id="rId263" Type="http://schemas.openxmlformats.org/officeDocument/2006/relationships/hyperlink" Target="https://aclanthology.org/2024.lrec-main.91" TargetMode="External"/><Relationship Id="rId262" Type="http://schemas.openxmlformats.org/officeDocument/2006/relationships/hyperlink" Target="https://doi.org/10.18653/v1/2023.acl-long.864" TargetMode="External"/><Relationship Id="rId261" Type="http://schemas.openxmlformats.org/officeDocument/2006/relationships/hyperlink" Target="https://aclanthology.org/2024.lrec-main.91" TargetMode="External"/><Relationship Id="rId268" Type="http://schemas.openxmlformats.org/officeDocument/2006/relationships/hyperlink" Target="https://aclanthology.org/2024.lrec-main.91" TargetMode="External"/><Relationship Id="rId267" Type="http://schemas.openxmlformats.org/officeDocument/2006/relationships/hyperlink" Target="https://aclanthology.org/2024.lrec-main.91" TargetMode="External"/><Relationship Id="rId266" Type="http://schemas.openxmlformats.org/officeDocument/2006/relationships/hyperlink" Target="https://aclanthology.org/2024.lrec-main.91" TargetMode="External"/><Relationship Id="rId265" Type="http://schemas.openxmlformats.org/officeDocument/2006/relationships/hyperlink" Target="https://aclanthology.org/2024.lrec-main.91" TargetMode="External"/><Relationship Id="rId260" Type="http://schemas.openxmlformats.org/officeDocument/2006/relationships/hyperlink" Target="https://aclanthology.org/2024.lrec-main.91" TargetMode="External"/><Relationship Id="rId259" Type="http://schemas.openxmlformats.org/officeDocument/2006/relationships/hyperlink" Target="https://aspredicted.org/slogin.php?s=AhaPdyHcZf" TargetMode="External"/><Relationship Id="rId258" Type="http://schemas.openxmlformats.org/officeDocument/2006/relationships/hyperlink" Target="https://onlinelibrary.wiley.com/doi/pdf/10.1111/padm.12860" TargetMode="External"/><Relationship Id="rId253" Type="http://schemas.openxmlformats.org/officeDocument/2006/relationships/hyperlink" Target="https://aspredicted.org/slogin.php?s=AhaPdyHcZf" TargetMode="External"/><Relationship Id="rId252" Type="http://schemas.openxmlformats.org/officeDocument/2006/relationships/hyperlink" Target="https://onlinelibrary.wiley.com/doi/pdf/10.1111/padm.12860" TargetMode="External"/><Relationship Id="rId251" Type="http://schemas.openxmlformats.org/officeDocument/2006/relationships/hyperlink" Target="https://aspredicted.org/slogin.php?s=AhaPdyHcZf" TargetMode="External"/><Relationship Id="rId250" Type="http://schemas.openxmlformats.org/officeDocument/2006/relationships/hyperlink" Target="https://onlinelibrary.wiley.com/doi/pdf/10.1111/padm.12860" TargetMode="External"/><Relationship Id="rId257" Type="http://schemas.openxmlformats.org/officeDocument/2006/relationships/hyperlink" Target="https://aspredicted.org/slogin.php?s=AhaPdyHcZf" TargetMode="External"/><Relationship Id="rId256" Type="http://schemas.openxmlformats.org/officeDocument/2006/relationships/hyperlink" Target="https://onlinelibrary.wiley.com/doi/pdf/10.1111/padm.12860" TargetMode="External"/><Relationship Id="rId255" Type="http://schemas.openxmlformats.org/officeDocument/2006/relationships/hyperlink" Target="https://aspredicted.org/slogin.php?s=AhaPdyHcZf" TargetMode="External"/><Relationship Id="rId254" Type="http://schemas.openxmlformats.org/officeDocument/2006/relationships/hyperlink" Target="https://onlinelibrary.wiley.com/doi/pdf/10.1111/padm.12860" TargetMode="External"/><Relationship Id="rId293" Type="http://schemas.openxmlformats.org/officeDocument/2006/relationships/hyperlink" Target="https://doi.org/10.1075/ijcl.19131.lar" TargetMode="External"/><Relationship Id="rId292" Type="http://schemas.openxmlformats.org/officeDocument/2006/relationships/hyperlink" Target="https://doi.org/10.1075/ijcl.19131.lar" TargetMode="External"/><Relationship Id="rId291" Type="http://schemas.openxmlformats.org/officeDocument/2006/relationships/hyperlink" Target="https://www.econstor.eu/bitstream/10419/299993/1/JCRE-2024-4.pdf" TargetMode="External"/><Relationship Id="rId290" Type="http://schemas.openxmlformats.org/officeDocument/2006/relationships/hyperlink" Target="https://www.econstor.eu/bitstream/10419/299993/1/JCRE-2024-4.pdf" TargetMode="External"/><Relationship Id="rId286" Type="http://schemas.openxmlformats.org/officeDocument/2006/relationships/hyperlink" Target="https://osf.io/preprints/psyarxiv/cf4xz" TargetMode="External"/><Relationship Id="rId285" Type="http://schemas.openxmlformats.org/officeDocument/2006/relationships/hyperlink" Target="https://osf.io/preprints/psyarxiv/cf4xz" TargetMode="External"/><Relationship Id="rId284" Type="http://schemas.openxmlformats.org/officeDocument/2006/relationships/hyperlink" Target="https://doi.org/10.31234/osf.io/cf4xz" TargetMode="External"/><Relationship Id="rId283" Type="http://schemas.openxmlformats.org/officeDocument/2006/relationships/hyperlink" Target="https://doi.org/10.31234/osf.io/cf4xz" TargetMode="External"/><Relationship Id="rId289" Type="http://schemas.openxmlformats.org/officeDocument/2006/relationships/hyperlink" Target="https://osf.io/preprints/psyarxiv/cf4xz" TargetMode="External"/><Relationship Id="rId288" Type="http://schemas.openxmlformats.org/officeDocument/2006/relationships/hyperlink" Target="https://doi.org/10.31234/osf.io/cf4xz" TargetMode="External"/><Relationship Id="rId287" Type="http://schemas.openxmlformats.org/officeDocument/2006/relationships/hyperlink" Target="https://doi.org/10.31234/osf.io/cf4xz" TargetMode="External"/><Relationship Id="rId282" Type="http://schemas.openxmlformats.org/officeDocument/2006/relationships/hyperlink" Target="https://osf.io/preprints/psyarxiv/cf4xz" TargetMode="External"/><Relationship Id="rId281" Type="http://schemas.openxmlformats.org/officeDocument/2006/relationships/hyperlink" Target="https://osf.io/preprints/psyarxiv/cf4xz" TargetMode="External"/><Relationship Id="rId280" Type="http://schemas.openxmlformats.org/officeDocument/2006/relationships/hyperlink" Target="https://doi.org/10.31234/osf.io/cf4xz" TargetMode="External"/><Relationship Id="rId275" Type="http://schemas.openxmlformats.org/officeDocument/2006/relationships/hyperlink" Target="https://doi.org/10.31234/osf.io/cf4xz" TargetMode="External"/><Relationship Id="rId274" Type="http://schemas.openxmlformats.org/officeDocument/2006/relationships/hyperlink" Target="https://osf.io/preprints/psyarxiv/cf4xz" TargetMode="External"/><Relationship Id="rId273" Type="http://schemas.openxmlformats.org/officeDocument/2006/relationships/hyperlink" Target="https://osf.io/preprints/psyarxiv/cf4xz" TargetMode="External"/><Relationship Id="rId272" Type="http://schemas.openxmlformats.org/officeDocument/2006/relationships/hyperlink" Target="https://doi.org/10.31234/osf.io/cf4xz" TargetMode="External"/><Relationship Id="rId279" Type="http://schemas.openxmlformats.org/officeDocument/2006/relationships/hyperlink" Target="https://doi.org/10.31234/osf.io/cf4xz" TargetMode="External"/><Relationship Id="rId278" Type="http://schemas.openxmlformats.org/officeDocument/2006/relationships/hyperlink" Target="https://osf.io/preprints/psyarxiv/cf4xz" TargetMode="External"/><Relationship Id="rId277" Type="http://schemas.openxmlformats.org/officeDocument/2006/relationships/hyperlink" Target="https://osf.io/preprints/psyarxiv/cf4xz" TargetMode="External"/><Relationship Id="rId276" Type="http://schemas.openxmlformats.org/officeDocument/2006/relationships/hyperlink" Target="https://doi.org/10.31234/osf.io/cf4xz" TargetMode="External"/><Relationship Id="rId1851" Type="http://schemas.openxmlformats.org/officeDocument/2006/relationships/hyperlink" Target="https://rpubs.com/chuqihu8/pilot" TargetMode="External"/><Relationship Id="rId1852" Type="http://schemas.openxmlformats.org/officeDocument/2006/relationships/hyperlink" Target="https://rpubs.com/chuqihu8/pilot" TargetMode="External"/><Relationship Id="rId1853" Type="http://schemas.openxmlformats.org/officeDocument/2006/relationships/hyperlink" Target="https://rpubs.com/chuqihu8/pilot" TargetMode="External"/><Relationship Id="rId1854" Type="http://schemas.openxmlformats.org/officeDocument/2006/relationships/hyperlink" Target="https://rpubs.com/masoud/tieu2016_replication" TargetMode="External"/><Relationship Id="rId1855" Type="http://schemas.openxmlformats.org/officeDocument/2006/relationships/hyperlink" Target="https://rpubs.com/mateusmazza/project_report_pilotB" TargetMode="External"/><Relationship Id="rId1856" Type="http://schemas.openxmlformats.org/officeDocument/2006/relationships/hyperlink" Target="https://rpubs.com/klsanch/pilotAwriteup" TargetMode="External"/><Relationship Id="rId1857" Type="http://schemas.openxmlformats.org/officeDocument/2006/relationships/hyperlink" Target="https://github.com/StanfordPsych254/Tribushinina2011/blob/master/writeup/Replication-Report.html" TargetMode="External"/><Relationship Id="rId1858" Type="http://schemas.openxmlformats.org/officeDocument/2006/relationships/hyperlink" Target="https://github.com/StanfordPsych254/Tribushinina2011/blob/master/writeup/Replication-Report.html" TargetMode="External"/><Relationship Id="rId1859" Type="http://schemas.openxmlformats.org/officeDocument/2006/relationships/hyperlink" Target="https://rstudio-pubs-static.s3.amazonaws.com/426870_bb10c991135648a19be27ad27cb36a15.html" TargetMode="External"/><Relationship Id="rId1850" Type="http://schemas.openxmlformats.org/officeDocument/2006/relationships/hyperlink" Target="https://rpubs.com/mlee17/262394" TargetMode="External"/><Relationship Id="rId1840" Type="http://schemas.openxmlformats.org/officeDocument/2006/relationships/hyperlink" Target="https://osf.io/x4m6w" TargetMode="External"/><Relationship Id="rId1841" Type="http://schemas.openxmlformats.org/officeDocument/2006/relationships/hyperlink" Target="https://rpubs.com/kleibow/338461" TargetMode="External"/><Relationship Id="rId1842" Type="http://schemas.openxmlformats.org/officeDocument/2006/relationships/hyperlink" Target="https://osf.io/x4m6w" TargetMode="External"/><Relationship Id="rId1843" Type="http://schemas.openxmlformats.org/officeDocument/2006/relationships/hyperlink" Target="https://aspredicted.org/ai7am.pdf" TargetMode="External"/><Relationship Id="rId1844" Type="http://schemas.openxmlformats.org/officeDocument/2006/relationships/hyperlink" Target="https://rpubs.com/mkmartykeil/replicationfinal" TargetMode="External"/><Relationship Id="rId1845" Type="http://schemas.openxmlformats.org/officeDocument/2006/relationships/hyperlink" Target="https://rpubs.com/mkmartykeil/replicationfinal" TargetMode="External"/><Relationship Id="rId1846" Type="http://schemas.openxmlformats.org/officeDocument/2006/relationships/hyperlink" Target="https://rpubs.com/mkmartykeil/replicationfinal" TargetMode="External"/><Relationship Id="rId1847" Type="http://schemas.openxmlformats.org/officeDocument/2006/relationships/hyperlink" Target="https://rpubs.com/mkmartykeil/replicationfinal" TargetMode="External"/><Relationship Id="rId1848" Type="http://schemas.openxmlformats.org/officeDocument/2006/relationships/hyperlink" Target="https://rpubs.com/mkmartykeil/replicationfinal" TargetMode="External"/><Relationship Id="rId1849" Type="http://schemas.openxmlformats.org/officeDocument/2006/relationships/hyperlink" Target="https://rpubs.com/mlee17/262394" TargetMode="External"/><Relationship Id="rId1873" Type="http://schemas.openxmlformats.org/officeDocument/2006/relationships/hyperlink" Target="https://github.com/psych251/wilkins2014" TargetMode="External"/><Relationship Id="rId1874" Type="http://schemas.openxmlformats.org/officeDocument/2006/relationships/hyperlink" Target="https://github.com/psych251/wilkins2014" TargetMode="External"/><Relationship Id="rId1875" Type="http://schemas.openxmlformats.org/officeDocument/2006/relationships/hyperlink" Target="https://rstudio-pubs-static.s3.amazonaws.com/257540_6659667fe79e4d43936e8bb9d045f803.html" TargetMode="External"/><Relationship Id="rId1876" Type="http://schemas.openxmlformats.org/officeDocument/2006/relationships/hyperlink" Target="https://rstudio-pubs-static.s3.amazonaws.com/155174_48b1633681bb4024b4098ed433d5a80a.html" TargetMode="External"/><Relationship Id="rId1877" Type="http://schemas.openxmlformats.org/officeDocument/2006/relationships/hyperlink" Target="https://osf.io/62jvk" TargetMode="External"/><Relationship Id="rId1878" Type="http://schemas.openxmlformats.org/officeDocument/2006/relationships/hyperlink" Target="https://rstudio-pubs-static.s3.amazonaws.com/155174_48b1633681bb4024b4098ed433d5a80a.html" TargetMode="External"/><Relationship Id="rId1879" Type="http://schemas.openxmlformats.org/officeDocument/2006/relationships/hyperlink" Target="https://osf.io/62jvk" TargetMode="External"/><Relationship Id="rId1870" Type="http://schemas.openxmlformats.org/officeDocument/2006/relationships/hyperlink" Target="https://rstudio-pubs-static.s3.amazonaws.com/955939_50cc1f13803a4ee1beb7841644071e54.html" TargetMode="External"/><Relationship Id="rId1871" Type="http://schemas.openxmlformats.org/officeDocument/2006/relationships/hyperlink" Target="https://rstudio-pubs-static.s3.amazonaws.com/955939_50cc1f13803a4ee1beb7841644071e54.html" TargetMode="External"/><Relationship Id="rId1872" Type="http://schemas.openxmlformats.org/officeDocument/2006/relationships/hyperlink" Target="https://github.com/psych251/wilkins2014" TargetMode="External"/><Relationship Id="rId1862" Type="http://schemas.openxmlformats.org/officeDocument/2006/relationships/hyperlink" Target="https://osf.io/v6zk8" TargetMode="External"/><Relationship Id="rId1863" Type="http://schemas.openxmlformats.org/officeDocument/2006/relationships/hyperlink" Target="https://osf.io/v6zk8" TargetMode="External"/><Relationship Id="rId1864" Type="http://schemas.openxmlformats.org/officeDocument/2006/relationships/hyperlink" Target="https://osf.io/v6zk8" TargetMode="External"/><Relationship Id="rId1865" Type="http://schemas.openxmlformats.org/officeDocument/2006/relationships/hyperlink" Target="https://rstudio-pubs-static.s3.amazonaws.com/692885_b2ccf160054344dd86468e0fc9cc6e68.html" TargetMode="External"/><Relationship Id="rId1866" Type="http://schemas.openxmlformats.org/officeDocument/2006/relationships/hyperlink" Target="https://rstudio-pubs-static.s3.amazonaws.com/692885_b2ccf160054344dd86468e0fc9cc6e68.html" TargetMode="External"/><Relationship Id="rId1867" Type="http://schemas.openxmlformats.org/officeDocument/2006/relationships/hyperlink" Target="https://rstudio-pubs-static.s3.amazonaws.com/692885_b2ccf160054344dd86468e0fc9cc6e68.html" TargetMode="External"/><Relationship Id="rId1868" Type="http://schemas.openxmlformats.org/officeDocument/2006/relationships/hyperlink" Target="https://rpubs.com/pgzhu/vasilyeva2018" TargetMode="External"/><Relationship Id="rId1869" Type="http://schemas.openxmlformats.org/officeDocument/2006/relationships/hyperlink" Target="https://osf.io/5ausj" TargetMode="External"/><Relationship Id="rId1860" Type="http://schemas.openxmlformats.org/officeDocument/2006/relationships/hyperlink" Target="https://aspredicted.org/public/205223581.pdf" TargetMode="External"/><Relationship Id="rId1861" Type="http://schemas.openxmlformats.org/officeDocument/2006/relationships/hyperlink" Target="https://osf.io/v6zk8" TargetMode="External"/><Relationship Id="rId1810" Type="http://schemas.openxmlformats.org/officeDocument/2006/relationships/hyperlink" Target="https://osf.io/y65ze/" TargetMode="External"/><Relationship Id="rId1811" Type="http://schemas.openxmlformats.org/officeDocument/2006/relationships/hyperlink" Target="https://osf.io/xhz4q/" TargetMode="External"/><Relationship Id="rId1812" Type="http://schemas.openxmlformats.org/officeDocument/2006/relationships/hyperlink" Target="https://github.com/psych251/Semrow2019/blob/master/writeup/Apaza_replication_Semrow.html" TargetMode="External"/><Relationship Id="rId1813" Type="http://schemas.openxmlformats.org/officeDocument/2006/relationships/hyperlink" Target="https://osf.io/3ay42" TargetMode="External"/><Relationship Id="rId1814" Type="http://schemas.openxmlformats.org/officeDocument/2006/relationships/hyperlink" Target="https://github.com/psych251/Semrow2019/blob/master/writeup/Apaza_replication_Semrow.html" TargetMode="External"/><Relationship Id="rId1815" Type="http://schemas.openxmlformats.org/officeDocument/2006/relationships/hyperlink" Target="https://osf.io/3ay42" TargetMode="External"/><Relationship Id="rId1816" Type="http://schemas.openxmlformats.org/officeDocument/2006/relationships/hyperlink" Target="https://github.com/psych251/Semrow2019/blob/master/writeup/Apaza_replication_Semrow.html" TargetMode="External"/><Relationship Id="rId1817" Type="http://schemas.openxmlformats.org/officeDocument/2006/relationships/hyperlink" Target="https://osf.io/3ay42" TargetMode="External"/><Relationship Id="rId1818" Type="http://schemas.openxmlformats.org/officeDocument/2006/relationships/hyperlink" Target="https://osf.io/p5hvr" TargetMode="External"/><Relationship Id="rId1819" Type="http://schemas.openxmlformats.org/officeDocument/2006/relationships/hyperlink" Target="https://osf.io/p5hvr" TargetMode="External"/><Relationship Id="rId1800" Type="http://schemas.openxmlformats.org/officeDocument/2006/relationships/hyperlink" Target="https://osf.io/y65ze/" TargetMode="External"/><Relationship Id="rId1801" Type="http://schemas.openxmlformats.org/officeDocument/2006/relationships/hyperlink" Target="https://osf.io/y65ze/" TargetMode="External"/><Relationship Id="rId1802" Type="http://schemas.openxmlformats.org/officeDocument/2006/relationships/hyperlink" Target="https://osf.io/y65ze/" TargetMode="External"/><Relationship Id="rId1803" Type="http://schemas.openxmlformats.org/officeDocument/2006/relationships/hyperlink" Target="https://osf.io/y65ze/" TargetMode="External"/><Relationship Id="rId1804" Type="http://schemas.openxmlformats.org/officeDocument/2006/relationships/hyperlink" Target="https://osf.io/y65ze/" TargetMode="External"/><Relationship Id="rId1805" Type="http://schemas.openxmlformats.org/officeDocument/2006/relationships/hyperlink" Target="https://osf.io/y65ze/" TargetMode="External"/><Relationship Id="rId1806" Type="http://schemas.openxmlformats.org/officeDocument/2006/relationships/hyperlink" Target="https://osf.io/y65ze/" TargetMode="External"/><Relationship Id="rId1807" Type="http://schemas.openxmlformats.org/officeDocument/2006/relationships/hyperlink" Target="https://osf.io/y65ze/" TargetMode="External"/><Relationship Id="rId1808" Type="http://schemas.openxmlformats.org/officeDocument/2006/relationships/hyperlink" Target="https://osf.io/y65ze/" TargetMode="External"/><Relationship Id="rId1809" Type="http://schemas.openxmlformats.org/officeDocument/2006/relationships/hyperlink" Target="https://osf.io/y65ze/" TargetMode="External"/><Relationship Id="rId1830" Type="http://schemas.openxmlformats.org/officeDocument/2006/relationships/hyperlink" Target="https://rpubs.com/ennachen/psych251_finalproject" TargetMode="External"/><Relationship Id="rId1831" Type="http://schemas.openxmlformats.org/officeDocument/2006/relationships/hyperlink" Target="https://osf.io/86p4e/" TargetMode="External"/><Relationship Id="rId1832" Type="http://schemas.openxmlformats.org/officeDocument/2006/relationships/hyperlink" Target="https://osf.io/dn6gz" TargetMode="External"/><Relationship Id="rId1833" Type="http://schemas.openxmlformats.org/officeDocument/2006/relationships/hyperlink" Target="https://rpubs.com/hrlarry/YUIMU-final" TargetMode="External"/><Relationship Id="rId1834" Type="http://schemas.openxmlformats.org/officeDocument/2006/relationships/hyperlink" Target="https://osf.io/x4m6w" TargetMode="External"/><Relationship Id="rId1835" Type="http://schemas.openxmlformats.org/officeDocument/2006/relationships/hyperlink" Target="https://rpubs.com/hrlarry/YUIMU-final" TargetMode="External"/><Relationship Id="rId1836" Type="http://schemas.openxmlformats.org/officeDocument/2006/relationships/hyperlink" Target="https://osf.io/x4m6w" TargetMode="External"/><Relationship Id="rId1837" Type="http://schemas.openxmlformats.org/officeDocument/2006/relationships/hyperlink" Target="https://rpubs.com/hrlarry/YUIMU-final" TargetMode="External"/><Relationship Id="rId1838" Type="http://schemas.openxmlformats.org/officeDocument/2006/relationships/hyperlink" Target="https://osf.io/x4m6w" TargetMode="External"/><Relationship Id="rId1839" Type="http://schemas.openxmlformats.org/officeDocument/2006/relationships/hyperlink" Target="https://rpubs.com/hrlarry/YUIMU-final" TargetMode="External"/><Relationship Id="rId1820" Type="http://schemas.openxmlformats.org/officeDocument/2006/relationships/hyperlink" Target="https://osf.io/fzm68" TargetMode="External"/><Relationship Id="rId1821" Type="http://schemas.openxmlformats.org/officeDocument/2006/relationships/hyperlink" Target="https://osf.io/fzm68" TargetMode="External"/><Relationship Id="rId1822" Type="http://schemas.openxmlformats.org/officeDocument/2006/relationships/hyperlink" Target="https://rpubs.com/ennachen/psych251_finalproject" TargetMode="External"/><Relationship Id="rId1823" Type="http://schemas.openxmlformats.org/officeDocument/2006/relationships/hyperlink" Target="https://osf.io/86p4e/" TargetMode="External"/><Relationship Id="rId1824" Type="http://schemas.openxmlformats.org/officeDocument/2006/relationships/hyperlink" Target="https://rpubs.com/ennachen/psych251_finalproject" TargetMode="External"/><Relationship Id="rId1825" Type="http://schemas.openxmlformats.org/officeDocument/2006/relationships/hyperlink" Target="https://osf.io/86p4e/" TargetMode="External"/><Relationship Id="rId1826" Type="http://schemas.openxmlformats.org/officeDocument/2006/relationships/hyperlink" Target="https://rpubs.com/ennachen/psych251_finalproject" TargetMode="External"/><Relationship Id="rId1827" Type="http://schemas.openxmlformats.org/officeDocument/2006/relationships/hyperlink" Target="https://osf.io/86p4e/" TargetMode="External"/><Relationship Id="rId1828" Type="http://schemas.openxmlformats.org/officeDocument/2006/relationships/hyperlink" Target="https://rpubs.com/ennachen/psych251_finalproject" TargetMode="External"/><Relationship Id="rId1829" Type="http://schemas.openxmlformats.org/officeDocument/2006/relationships/hyperlink" Target="https://osf.io/86p4e/" TargetMode="External"/><Relationship Id="rId1455" Type="http://schemas.openxmlformats.org/officeDocument/2006/relationships/hyperlink" Target="https://osf.io/g4hn3" TargetMode="External"/><Relationship Id="rId1456" Type="http://schemas.openxmlformats.org/officeDocument/2006/relationships/hyperlink" Target="https://osf.io/knc2b" TargetMode="External"/><Relationship Id="rId1457" Type="http://schemas.openxmlformats.org/officeDocument/2006/relationships/hyperlink" Target="https://osf.io/g4hn3" TargetMode="External"/><Relationship Id="rId1458" Type="http://schemas.openxmlformats.org/officeDocument/2006/relationships/hyperlink" Target="https://osf.io/pua6s" TargetMode="External"/><Relationship Id="rId1459" Type="http://schemas.openxmlformats.org/officeDocument/2006/relationships/hyperlink" Target="https://osf.io/7dybc" TargetMode="External"/><Relationship Id="rId629" Type="http://schemas.openxmlformats.org/officeDocument/2006/relationships/hyperlink" Target="https://osf.io/fdh4m/" TargetMode="External"/><Relationship Id="rId624" Type="http://schemas.openxmlformats.org/officeDocument/2006/relationships/hyperlink" Target="https://osf.io/fdh4m/" TargetMode="External"/><Relationship Id="rId623" Type="http://schemas.openxmlformats.org/officeDocument/2006/relationships/hyperlink" Target="https://aspredicted.org/YZ9_THH" TargetMode="External"/><Relationship Id="rId622" Type="http://schemas.openxmlformats.org/officeDocument/2006/relationships/hyperlink" Target="https://aspredicted.org/YZ9_THH" TargetMode="External"/><Relationship Id="rId621" Type="http://schemas.openxmlformats.org/officeDocument/2006/relationships/hyperlink" Target="https://osf.io/fdh4m/" TargetMode="External"/><Relationship Id="rId628" Type="http://schemas.openxmlformats.org/officeDocument/2006/relationships/hyperlink" Target="https://aspredicted.org/G5N_YRH" TargetMode="External"/><Relationship Id="rId627" Type="http://schemas.openxmlformats.org/officeDocument/2006/relationships/hyperlink" Target="https://aspredicted.org/G5N_YRH" TargetMode="External"/><Relationship Id="rId626" Type="http://schemas.openxmlformats.org/officeDocument/2006/relationships/hyperlink" Target="https://osf.io/fdh4m/" TargetMode="External"/><Relationship Id="rId625" Type="http://schemas.openxmlformats.org/officeDocument/2006/relationships/hyperlink" Target="https://osf.io/fdh4m/" TargetMode="External"/><Relationship Id="rId1450" Type="http://schemas.openxmlformats.org/officeDocument/2006/relationships/hyperlink" Target="https://osf.io/27cmh" TargetMode="External"/><Relationship Id="rId620" Type="http://schemas.openxmlformats.org/officeDocument/2006/relationships/hyperlink" Target="https://osf.io/fdh4m/" TargetMode="External"/><Relationship Id="rId1451" Type="http://schemas.openxmlformats.org/officeDocument/2006/relationships/hyperlink" Target="http://osf.io/0aifq" TargetMode="External"/><Relationship Id="rId1452" Type="http://schemas.openxmlformats.org/officeDocument/2006/relationships/hyperlink" Target="https://osf.io/27cmh" TargetMode="External"/><Relationship Id="rId1453" Type="http://schemas.openxmlformats.org/officeDocument/2006/relationships/hyperlink" Target="https://osf.io/jb2pw/" TargetMode="External"/><Relationship Id="rId1454" Type="http://schemas.openxmlformats.org/officeDocument/2006/relationships/hyperlink" Target="https://osf.io/gknau" TargetMode="External"/><Relationship Id="rId1444" Type="http://schemas.openxmlformats.org/officeDocument/2006/relationships/hyperlink" Target="http://dx.doi.org/10.1027/1864-9335/a000186" TargetMode="External"/><Relationship Id="rId1445" Type="http://schemas.openxmlformats.org/officeDocument/2006/relationships/hyperlink" Target="http://dx.doi.org/10.1027/1864-9335/a000186" TargetMode="External"/><Relationship Id="rId1446" Type="http://schemas.openxmlformats.org/officeDocument/2006/relationships/hyperlink" Target="https://osf.io/2dem3" TargetMode="External"/><Relationship Id="rId1447" Type="http://schemas.openxmlformats.org/officeDocument/2006/relationships/hyperlink" Target="https://osf.io/a8zvk" TargetMode="External"/><Relationship Id="rId1448" Type="http://schemas.openxmlformats.org/officeDocument/2006/relationships/hyperlink" Target="http://dx.doi.org/10.1027/1864-9335/a000186" TargetMode="External"/><Relationship Id="rId1449" Type="http://schemas.openxmlformats.org/officeDocument/2006/relationships/hyperlink" Target="https://osf.io/7xupr" TargetMode="External"/><Relationship Id="rId619" Type="http://schemas.openxmlformats.org/officeDocument/2006/relationships/hyperlink" Target="https://osf.io/fdh4m/" TargetMode="External"/><Relationship Id="rId618" Type="http://schemas.openxmlformats.org/officeDocument/2006/relationships/hyperlink" Target="https://aspredicted.org/16C_RCH" TargetMode="External"/><Relationship Id="rId613" Type="http://schemas.openxmlformats.org/officeDocument/2006/relationships/hyperlink" Target="https://aspredicted.org/TBY_14V" TargetMode="External"/><Relationship Id="rId612" Type="http://schemas.openxmlformats.org/officeDocument/2006/relationships/hyperlink" Target="https://aspredicted.org/TBY_14V" TargetMode="External"/><Relationship Id="rId611" Type="http://schemas.openxmlformats.org/officeDocument/2006/relationships/hyperlink" Target="https://osf.io/fdh4m/" TargetMode="External"/><Relationship Id="rId610" Type="http://schemas.openxmlformats.org/officeDocument/2006/relationships/hyperlink" Target="https://osf.io/fdh4m/" TargetMode="External"/><Relationship Id="rId617" Type="http://schemas.openxmlformats.org/officeDocument/2006/relationships/hyperlink" Target="https://aspredicted.org/16C_RCH" TargetMode="External"/><Relationship Id="rId616" Type="http://schemas.openxmlformats.org/officeDocument/2006/relationships/hyperlink" Target="https://osf.io/fdh4m/" TargetMode="External"/><Relationship Id="rId615" Type="http://schemas.openxmlformats.org/officeDocument/2006/relationships/hyperlink" Target="https://osf.io/fdh4m/" TargetMode="External"/><Relationship Id="rId614" Type="http://schemas.openxmlformats.org/officeDocument/2006/relationships/hyperlink" Target="https://osf.io/fdh4m/" TargetMode="External"/><Relationship Id="rId1440" Type="http://schemas.openxmlformats.org/officeDocument/2006/relationships/hyperlink" Target="https://doi.org/10.17605/OSF.IO/DNQE7" TargetMode="External"/><Relationship Id="rId1441" Type="http://schemas.openxmlformats.org/officeDocument/2006/relationships/hyperlink" Target="https://osf.io/nhqgs" TargetMode="External"/><Relationship Id="rId1442" Type="http://schemas.openxmlformats.org/officeDocument/2006/relationships/hyperlink" Target="https://osf.io/9r7au" TargetMode="External"/><Relationship Id="rId1443" Type="http://schemas.openxmlformats.org/officeDocument/2006/relationships/hyperlink" Target="https://osf.io/fj6e8" TargetMode="External"/><Relationship Id="rId1477" Type="http://schemas.openxmlformats.org/officeDocument/2006/relationships/hyperlink" Target="https://osf.io/n32zj" TargetMode="External"/><Relationship Id="rId1478" Type="http://schemas.openxmlformats.org/officeDocument/2006/relationships/hyperlink" Target="https://osf.io/9p2qr" TargetMode="External"/><Relationship Id="rId1479" Type="http://schemas.openxmlformats.org/officeDocument/2006/relationships/hyperlink" Target="https://osf.io/9p2qr" TargetMode="External"/><Relationship Id="rId646" Type="http://schemas.openxmlformats.org/officeDocument/2006/relationships/hyperlink" Target="https://doi.org/10.1037/0022-3514.71.2.230." TargetMode="External"/><Relationship Id="rId645" Type="http://schemas.openxmlformats.org/officeDocument/2006/relationships/hyperlink" Target="https://osf.io/y36m8" TargetMode="External"/><Relationship Id="rId644" Type="http://schemas.openxmlformats.org/officeDocument/2006/relationships/hyperlink" Target="https://doi.org/10.1371/journal.pone.0096339" TargetMode="External"/><Relationship Id="rId643" Type="http://schemas.openxmlformats.org/officeDocument/2006/relationships/hyperlink" Target="https://doi.org/10.1371/journal.pone.0096339" TargetMode="External"/><Relationship Id="rId649" Type="http://schemas.openxmlformats.org/officeDocument/2006/relationships/hyperlink" Target="https://doi.org/10.1037/0022-3514.71.2.230." TargetMode="External"/><Relationship Id="rId648" Type="http://schemas.openxmlformats.org/officeDocument/2006/relationships/hyperlink" Target="https://doi.org/10.1037/0022-3514.71.2.230." TargetMode="External"/><Relationship Id="rId647" Type="http://schemas.openxmlformats.org/officeDocument/2006/relationships/hyperlink" Target="https://doi.org/10.1037/0022-3514.71.2.230." TargetMode="External"/><Relationship Id="rId1470" Type="http://schemas.openxmlformats.org/officeDocument/2006/relationships/hyperlink" Target="https://osf.io/p6jxm" TargetMode="External"/><Relationship Id="rId1471" Type="http://schemas.openxmlformats.org/officeDocument/2006/relationships/hyperlink" Target="https://osf.io/b7zek" TargetMode="External"/><Relationship Id="rId1472" Type="http://schemas.openxmlformats.org/officeDocument/2006/relationships/hyperlink" Target="https://osf.io/2rnj5" TargetMode="External"/><Relationship Id="rId642" Type="http://schemas.openxmlformats.org/officeDocument/2006/relationships/hyperlink" Target="https://doi.org/10.1371/journal.pone.0096339" TargetMode="External"/><Relationship Id="rId1473" Type="http://schemas.openxmlformats.org/officeDocument/2006/relationships/hyperlink" Target="https://osf.io/z6qw2" TargetMode="External"/><Relationship Id="rId641" Type="http://schemas.openxmlformats.org/officeDocument/2006/relationships/hyperlink" Target="https://doi.org/10.1371/journal.pone.0096339" TargetMode="External"/><Relationship Id="rId1474" Type="http://schemas.openxmlformats.org/officeDocument/2006/relationships/hyperlink" Target="https://osf.io/vtz2i" TargetMode="External"/><Relationship Id="rId640" Type="http://schemas.openxmlformats.org/officeDocument/2006/relationships/hyperlink" Target="https://osf.io/cifn3" TargetMode="External"/><Relationship Id="rId1475" Type="http://schemas.openxmlformats.org/officeDocument/2006/relationships/hyperlink" Target="https://osf.io/ny7t5" TargetMode="External"/><Relationship Id="rId1476" Type="http://schemas.openxmlformats.org/officeDocument/2006/relationships/hyperlink" Target="https://osf.io/3fjvt" TargetMode="External"/><Relationship Id="rId1466" Type="http://schemas.openxmlformats.org/officeDocument/2006/relationships/hyperlink" Target="https://osf.io/csm3d" TargetMode="External"/><Relationship Id="rId1467" Type="http://schemas.openxmlformats.org/officeDocument/2006/relationships/hyperlink" Target="https://osf.io/csm3d" TargetMode="External"/><Relationship Id="rId1468" Type="http://schemas.openxmlformats.org/officeDocument/2006/relationships/hyperlink" Target="https://osf.io/js7gd" TargetMode="External"/><Relationship Id="rId1469" Type="http://schemas.openxmlformats.org/officeDocument/2006/relationships/hyperlink" Target="https://osf.io/b2agf" TargetMode="External"/><Relationship Id="rId635" Type="http://schemas.openxmlformats.org/officeDocument/2006/relationships/hyperlink" Target="https://doi.org/10.17605/OSF.IO/BTH36" TargetMode="External"/><Relationship Id="rId634" Type="http://schemas.openxmlformats.org/officeDocument/2006/relationships/hyperlink" Target="https://doi.org/10.1177/0956797617719730" TargetMode="External"/><Relationship Id="rId633" Type="http://schemas.openxmlformats.org/officeDocument/2006/relationships/hyperlink" Target="https://aspredicted.org/737_DYZ" TargetMode="External"/><Relationship Id="rId632" Type="http://schemas.openxmlformats.org/officeDocument/2006/relationships/hyperlink" Target="https://aspredicted.org/737_DYZ" TargetMode="External"/><Relationship Id="rId639" Type="http://schemas.openxmlformats.org/officeDocument/2006/relationships/hyperlink" Target="https://osf.io/cifn3" TargetMode="External"/><Relationship Id="rId638" Type="http://schemas.openxmlformats.org/officeDocument/2006/relationships/hyperlink" Target="https://web.archive.org/web/20220103002744/https://github.com/eplebel/science-commons/blob/master/curated/ego-depletion/Pond%20et%20al%20(2011%2C%20Study%203)%20unpublished%20dataset%20methodological%20details.pdf" TargetMode="External"/><Relationship Id="rId637" Type="http://schemas.openxmlformats.org/officeDocument/2006/relationships/hyperlink" Target="https://web.archive.org/web/20220103002744/https://github.com/eplebel/science-commons/blob/master/curated/ego-depletion/Pond%20et%20al%20(2011%2C%20Study%203)%20unpublished%20dataset%20methodological%20details.pdf" TargetMode="External"/><Relationship Id="rId636" Type="http://schemas.openxmlformats.org/officeDocument/2006/relationships/hyperlink" Target="https://doi.org/10.17605/OSF.IO/BTH36" TargetMode="External"/><Relationship Id="rId1460" Type="http://schemas.openxmlformats.org/officeDocument/2006/relationships/hyperlink" Target="https://osf.io/ywk2q" TargetMode="External"/><Relationship Id="rId1461" Type="http://schemas.openxmlformats.org/officeDocument/2006/relationships/hyperlink" Target="https://osf.io/76j48" TargetMode="External"/><Relationship Id="rId631" Type="http://schemas.openxmlformats.org/officeDocument/2006/relationships/hyperlink" Target="https://osf.io/fdh4m/" TargetMode="External"/><Relationship Id="rId1462" Type="http://schemas.openxmlformats.org/officeDocument/2006/relationships/hyperlink" Target="https://osf.io/pnius" TargetMode="External"/><Relationship Id="rId630" Type="http://schemas.openxmlformats.org/officeDocument/2006/relationships/hyperlink" Target="https://osf.io/fdh4m/" TargetMode="External"/><Relationship Id="rId1463" Type="http://schemas.openxmlformats.org/officeDocument/2006/relationships/hyperlink" Target="https://osf.io/zjmkg/" TargetMode="External"/><Relationship Id="rId1464" Type="http://schemas.openxmlformats.org/officeDocument/2006/relationships/hyperlink" Target="https://osf.io/rkqw2" TargetMode="External"/><Relationship Id="rId1465" Type="http://schemas.openxmlformats.org/officeDocument/2006/relationships/hyperlink" Target="https://osf.io/5ygej" TargetMode="External"/><Relationship Id="rId1411" Type="http://schemas.openxmlformats.org/officeDocument/2006/relationships/hyperlink" Target="https://osf.io/4ewkh" TargetMode="External"/><Relationship Id="rId1895" Type="http://schemas.openxmlformats.org/officeDocument/2006/relationships/hyperlink" Target="https://rstudio-pubs-static.s3.amazonaws.com/960761_d9b8d67ca3454d3db5b0023e3b583df6.html" TargetMode="External"/><Relationship Id="rId1412" Type="http://schemas.openxmlformats.org/officeDocument/2006/relationships/hyperlink" Target="https://doi.org/10.17605/OSF.IO/THM7D" TargetMode="External"/><Relationship Id="rId1896" Type="http://schemas.openxmlformats.org/officeDocument/2006/relationships/hyperlink" Target="https://rstudio-pubs-static.s3.amazonaws.com/960761_d9b8d67ca3454d3db5b0023e3b583df6.html" TargetMode="External"/><Relationship Id="rId1413" Type="http://schemas.openxmlformats.org/officeDocument/2006/relationships/hyperlink" Target="https://osf.io/4ewkh" TargetMode="External"/><Relationship Id="rId1897" Type="http://schemas.openxmlformats.org/officeDocument/2006/relationships/hyperlink" Target="https://rstudio-pubs-static.s3.amazonaws.com/960761_d9b8d67ca3454d3db5b0023e3b583df6.html" TargetMode="External"/><Relationship Id="rId1414" Type="http://schemas.openxmlformats.org/officeDocument/2006/relationships/hyperlink" Target="http://osf.io/6yfxz" TargetMode="External"/><Relationship Id="rId1898" Type="http://schemas.openxmlformats.org/officeDocument/2006/relationships/hyperlink" Target="https://rstudio-pubs-static.s3.amazonaws.com/960761_d9b8d67ca3454d3db5b0023e3b583df6.html" TargetMode="External"/><Relationship Id="rId1415" Type="http://schemas.openxmlformats.org/officeDocument/2006/relationships/hyperlink" Target="https://osf.io/4ewkh" TargetMode="External"/><Relationship Id="rId1899" Type="http://schemas.openxmlformats.org/officeDocument/2006/relationships/hyperlink" Target="https://rstudio-pubs-static.s3.amazonaws.com/960761_d9b8d67ca3454d3db5b0023e3b583df6.html" TargetMode="External"/><Relationship Id="rId1416" Type="http://schemas.openxmlformats.org/officeDocument/2006/relationships/hyperlink" Target="https://doi.org/10.17605/OSF.IO/AY2YE" TargetMode="External"/><Relationship Id="rId1417" Type="http://schemas.openxmlformats.org/officeDocument/2006/relationships/hyperlink" Target="https://osf.io/4ewkh" TargetMode="External"/><Relationship Id="rId1418" Type="http://schemas.openxmlformats.org/officeDocument/2006/relationships/hyperlink" Target="https://doi.org/10.17605/OSF.IO/AY2YE" TargetMode="External"/><Relationship Id="rId1419" Type="http://schemas.openxmlformats.org/officeDocument/2006/relationships/hyperlink" Target="https://osf.io/4ewkh" TargetMode="External"/><Relationship Id="rId1890" Type="http://schemas.openxmlformats.org/officeDocument/2006/relationships/hyperlink" Target="https://rstudio-pubs-static.s3.amazonaws.com/960761_d9b8d67ca3454d3db5b0023e3b583df6.html" TargetMode="External"/><Relationship Id="rId1891" Type="http://schemas.openxmlformats.org/officeDocument/2006/relationships/hyperlink" Target="https://rstudio-pubs-static.s3.amazonaws.com/960761_d9b8d67ca3454d3db5b0023e3b583df6.html" TargetMode="External"/><Relationship Id="rId1892" Type="http://schemas.openxmlformats.org/officeDocument/2006/relationships/hyperlink" Target="https://rstudio-pubs-static.s3.amazonaws.com/960761_d9b8d67ca3454d3db5b0023e3b583df6.html" TargetMode="External"/><Relationship Id="rId1893" Type="http://schemas.openxmlformats.org/officeDocument/2006/relationships/hyperlink" Target="https://rstudio-pubs-static.s3.amazonaws.com/960761_d9b8d67ca3454d3db5b0023e3b583df6.html" TargetMode="External"/><Relationship Id="rId1410" Type="http://schemas.openxmlformats.org/officeDocument/2006/relationships/hyperlink" Target="http://osf.io/6yfxz" TargetMode="External"/><Relationship Id="rId1894" Type="http://schemas.openxmlformats.org/officeDocument/2006/relationships/hyperlink" Target="https://rstudio-pubs-static.s3.amazonaws.com/960761_d9b8d67ca3454d3db5b0023e3b583df6.html" TargetMode="External"/><Relationship Id="rId1400" Type="http://schemas.openxmlformats.org/officeDocument/2006/relationships/hyperlink" Target="https://osf.io/4ewkh" TargetMode="External"/><Relationship Id="rId1884" Type="http://schemas.openxmlformats.org/officeDocument/2006/relationships/hyperlink" Target="https://rpubs.com/ayodeledada/yousif2019" TargetMode="External"/><Relationship Id="rId1401" Type="http://schemas.openxmlformats.org/officeDocument/2006/relationships/hyperlink" Target="http://osf.io/6yfxz" TargetMode="External"/><Relationship Id="rId1885" Type="http://schemas.openxmlformats.org/officeDocument/2006/relationships/hyperlink" Target="https://osf.io/g9yrc" TargetMode="External"/><Relationship Id="rId1402" Type="http://schemas.openxmlformats.org/officeDocument/2006/relationships/hyperlink" Target="https://osf.io/4ewkh" TargetMode="External"/><Relationship Id="rId1886" Type="http://schemas.openxmlformats.org/officeDocument/2006/relationships/hyperlink" Target="https://osf.io/vcmdp" TargetMode="External"/><Relationship Id="rId1403" Type="http://schemas.openxmlformats.org/officeDocument/2006/relationships/hyperlink" Target="https://doi.org/10.17605/OSF.IO/THM7D" TargetMode="External"/><Relationship Id="rId1887" Type="http://schemas.openxmlformats.org/officeDocument/2006/relationships/hyperlink" Target="https://rpubs.com/ayodeledada/yousif2019" TargetMode="External"/><Relationship Id="rId1404" Type="http://schemas.openxmlformats.org/officeDocument/2006/relationships/hyperlink" Target="https://osf.io/4ewkh" TargetMode="External"/><Relationship Id="rId1888" Type="http://schemas.openxmlformats.org/officeDocument/2006/relationships/hyperlink" Target="https://osf.io/g9yrc" TargetMode="External"/><Relationship Id="rId1405" Type="http://schemas.openxmlformats.org/officeDocument/2006/relationships/hyperlink" Target="http://osf.io/6yfxz" TargetMode="External"/><Relationship Id="rId1889" Type="http://schemas.openxmlformats.org/officeDocument/2006/relationships/hyperlink" Target="https://osf.io/vcmdp" TargetMode="External"/><Relationship Id="rId1406" Type="http://schemas.openxmlformats.org/officeDocument/2006/relationships/hyperlink" Target="https://osf.io/4ewkh" TargetMode="External"/><Relationship Id="rId1407" Type="http://schemas.openxmlformats.org/officeDocument/2006/relationships/hyperlink" Target="https://doi.org/10.17605/OSF.IO/THM7D" TargetMode="External"/><Relationship Id="rId1408" Type="http://schemas.openxmlformats.org/officeDocument/2006/relationships/hyperlink" Target="https://osf.io/w4gj2" TargetMode="External"/><Relationship Id="rId1409" Type="http://schemas.openxmlformats.org/officeDocument/2006/relationships/hyperlink" Target="https://osf.io/4ewkh" TargetMode="External"/><Relationship Id="rId1880" Type="http://schemas.openxmlformats.org/officeDocument/2006/relationships/hyperlink" Target="https://aspredicted.org/uv6ha.pdf" TargetMode="External"/><Relationship Id="rId1881" Type="http://schemas.openxmlformats.org/officeDocument/2006/relationships/hyperlink" Target="https://aspredicted.org/uv6ha.pdf" TargetMode="External"/><Relationship Id="rId1882" Type="http://schemas.openxmlformats.org/officeDocument/2006/relationships/hyperlink" Target="https://rstudio-pubs-static.s3.amazonaws.com/1159352_e9a668d9124f415e8831bab302f49b6b.html" TargetMode="External"/><Relationship Id="rId1883" Type="http://schemas.openxmlformats.org/officeDocument/2006/relationships/hyperlink" Target="https://osf.io/g9yrc" TargetMode="External"/><Relationship Id="rId1433" Type="http://schemas.openxmlformats.org/officeDocument/2006/relationships/hyperlink" Target="https://osf.io/4ewkh" TargetMode="External"/><Relationship Id="rId1434" Type="http://schemas.openxmlformats.org/officeDocument/2006/relationships/hyperlink" Target="https://doi.org/10.17605/OSF.IO/M9VRK" TargetMode="External"/><Relationship Id="rId1435" Type="http://schemas.openxmlformats.org/officeDocument/2006/relationships/hyperlink" Target="https://osf.io/4ewkh" TargetMode="External"/><Relationship Id="rId1436" Type="http://schemas.openxmlformats.org/officeDocument/2006/relationships/hyperlink" Target="http://osf.io/2ukpq" TargetMode="External"/><Relationship Id="rId1437" Type="http://schemas.openxmlformats.org/officeDocument/2006/relationships/hyperlink" Target="https://osf.io/4ewkh" TargetMode="External"/><Relationship Id="rId1438" Type="http://schemas.openxmlformats.org/officeDocument/2006/relationships/hyperlink" Target="https://doi.org/10.17605/OSF.IO/M9VRK" TargetMode="External"/><Relationship Id="rId1439" Type="http://schemas.openxmlformats.org/officeDocument/2006/relationships/hyperlink" Target="https://osf.io/4ewkh" TargetMode="External"/><Relationship Id="rId609" Type="http://schemas.openxmlformats.org/officeDocument/2006/relationships/hyperlink" Target="https://osf.io/fdh4m/" TargetMode="External"/><Relationship Id="rId608" Type="http://schemas.openxmlformats.org/officeDocument/2006/relationships/hyperlink" Target="https://aspredicted.org/Y47_RW5" TargetMode="External"/><Relationship Id="rId607" Type="http://schemas.openxmlformats.org/officeDocument/2006/relationships/hyperlink" Target="https://aspredicted.org/Y47_RW5" TargetMode="External"/><Relationship Id="rId602" Type="http://schemas.openxmlformats.org/officeDocument/2006/relationships/hyperlink" Target="https://aspredicted.org/G5N_YRH" TargetMode="External"/><Relationship Id="rId601" Type="http://schemas.openxmlformats.org/officeDocument/2006/relationships/hyperlink" Target="https://osf.io/r57d6" TargetMode="External"/><Relationship Id="rId600" Type="http://schemas.openxmlformats.org/officeDocument/2006/relationships/hyperlink" Target="https://osf.io/r57d6" TargetMode="External"/><Relationship Id="rId606" Type="http://schemas.openxmlformats.org/officeDocument/2006/relationships/hyperlink" Target="https://osf.io/fdh4m/" TargetMode="External"/><Relationship Id="rId605" Type="http://schemas.openxmlformats.org/officeDocument/2006/relationships/hyperlink" Target="https://osf.io/fdh4m/" TargetMode="External"/><Relationship Id="rId604" Type="http://schemas.openxmlformats.org/officeDocument/2006/relationships/hyperlink" Target="https://osf.io/fdh4m/" TargetMode="External"/><Relationship Id="rId603" Type="http://schemas.openxmlformats.org/officeDocument/2006/relationships/hyperlink" Target="https://aspredicted.org/G5N_YRH" TargetMode="External"/><Relationship Id="rId1430" Type="http://schemas.openxmlformats.org/officeDocument/2006/relationships/hyperlink" Target="https://doi.org/10.17605/OSF.IO/R3KTH" TargetMode="External"/><Relationship Id="rId1431" Type="http://schemas.openxmlformats.org/officeDocument/2006/relationships/hyperlink" Target="https://osf.io/4ewkh" TargetMode="External"/><Relationship Id="rId1432" Type="http://schemas.openxmlformats.org/officeDocument/2006/relationships/hyperlink" Target="http://osf.io/2ukpq" TargetMode="External"/><Relationship Id="rId1422" Type="http://schemas.openxmlformats.org/officeDocument/2006/relationships/hyperlink" Target="https://doi.org/10.17605/OSF.IO/AY2YE" TargetMode="External"/><Relationship Id="rId1423" Type="http://schemas.openxmlformats.org/officeDocument/2006/relationships/hyperlink" Target="https://osf.io/4ewkh" TargetMode="External"/><Relationship Id="rId1424" Type="http://schemas.openxmlformats.org/officeDocument/2006/relationships/hyperlink" Target="https://doi.org/10.17605/OSF.IO/3G3HV" TargetMode="External"/><Relationship Id="rId1425" Type="http://schemas.openxmlformats.org/officeDocument/2006/relationships/hyperlink" Target="https://osf.io/4ewkh" TargetMode="External"/><Relationship Id="rId1426" Type="http://schemas.openxmlformats.org/officeDocument/2006/relationships/hyperlink" Target="https://osf.io/xcg6e/?view_only=d0fcb2bb73fb4648ad6e3da300505f65" TargetMode="External"/><Relationship Id="rId1427" Type="http://schemas.openxmlformats.org/officeDocument/2006/relationships/hyperlink" Target="https://doi.org/10.17605/OSF.IO/3G3HV" TargetMode="External"/><Relationship Id="rId1428" Type="http://schemas.openxmlformats.org/officeDocument/2006/relationships/hyperlink" Target="https://osf.io/4ewkh" TargetMode="External"/><Relationship Id="rId1429" Type="http://schemas.openxmlformats.org/officeDocument/2006/relationships/hyperlink" Target="https://osf.io/uw36p" TargetMode="External"/><Relationship Id="rId1420" Type="http://schemas.openxmlformats.org/officeDocument/2006/relationships/hyperlink" Target="https://doi.org/10.17605/OSF.IO/AY2YE" TargetMode="External"/><Relationship Id="rId1421" Type="http://schemas.openxmlformats.org/officeDocument/2006/relationships/hyperlink" Target="https://osf.io/4ewkh" TargetMode="External"/><Relationship Id="rId1059" Type="http://schemas.openxmlformats.org/officeDocument/2006/relationships/hyperlink" Target="http://osf.io/k89fc" TargetMode="External"/><Relationship Id="rId228" Type="http://schemas.openxmlformats.org/officeDocument/2006/relationships/hyperlink" Target="https://aspredicted.org/slogin.php?s=AhaPdyHcZf" TargetMode="External"/><Relationship Id="rId227" Type="http://schemas.openxmlformats.org/officeDocument/2006/relationships/hyperlink" Target="https://aspredicted.org/slogin.php?s=AhaPdyHcZf" TargetMode="External"/><Relationship Id="rId226" Type="http://schemas.openxmlformats.org/officeDocument/2006/relationships/hyperlink" Target="https://onlinelibrary.wiley.com/doi/pdf/10.1111/padm.12860" TargetMode="External"/><Relationship Id="rId225" Type="http://schemas.openxmlformats.org/officeDocument/2006/relationships/hyperlink" Target="https://aspredicted.org/slogin.php?s=AhaPdyHcZf" TargetMode="External"/><Relationship Id="rId229" Type="http://schemas.openxmlformats.org/officeDocument/2006/relationships/hyperlink" Target="https://doi.org/10.1111/padm.12860" TargetMode="External"/><Relationship Id="rId1050" Type="http://schemas.openxmlformats.org/officeDocument/2006/relationships/hyperlink" Target="https://osf.io/4ewkh" TargetMode="External"/><Relationship Id="rId220" Type="http://schemas.openxmlformats.org/officeDocument/2006/relationships/hyperlink" Target="https://thekeep.eiu.edu/theses/4783" TargetMode="External"/><Relationship Id="rId1051" Type="http://schemas.openxmlformats.org/officeDocument/2006/relationships/hyperlink" Target="http://osf.io/s37h6/" TargetMode="External"/><Relationship Id="rId1052" Type="http://schemas.openxmlformats.org/officeDocument/2006/relationships/hyperlink" Target="http://doi.org/10.1007/s13164-018-0400-9" TargetMode="External"/><Relationship Id="rId1053" Type="http://schemas.openxmlformats.org/officeDocument/2006/relationships/hyperlink" Target="https://osf.io/4ewkh" TargetMode="External"/><Relationship Id="rId1054" Type="http://schemas.openxmlformats.org/officeDocument/2006/relationships/hyperlink" Target="https://doi.org/10.17605/OSF.IO/THM7D" TargetMode="External"/><Relationship Id="rId224" Type="http://schemas.openxmlformats.org/officeDocument/2006/relationships/hyperlink" Target="https://doi.org/10.1111/padm.12860" TargetMode="External"/><Relationship Id="rId1055" Type="http://schemas.openxmlformats.org/officeDocument/2006/relationships/hyperlink" Target="http://osf.io/6yfxz" TargetMode="External"/><Relationship Id="rId223" Type="http://schemas.openxmlformats.org/officeDocument/2006/relationships/hyperlink" Target="https://doi.org/10.1002/pam.21702" TargetMode="External"/><Relationship Id="rId1056" Type="http://schemas.openxmlformats.org/officeDocument/2006/relationships/hyperlink" Target="http://doi.org/10.1007/s13164-018-0400-9" TargetMode="External"/><Relationship Id="rId222" Type="http://schemas.openxmlformats.org/officeDocument/2006/relationships/hyperlink" Target="https://thekeep.eiu.edu/theses/5025/?utm_source=thekeep.eiu.edu%2Ftheses%2F5025&amp;utm_medium=PDF&amp;utm_campaign=PDFCoverPages" TargetMode="External"/><Relationship Id="rId1057" Type="http://schemas.openxmlformats.org/officeDocument/2006/relationships/hyperlink" Target="https://osf.io/4ewkh" TargetMode="External"/><Relationship Id="rId221" Type="http://schemas.openxmlformats.org/officeDocument/2006/relationships/hyperlink" Target="https://thekeep.eiu.edu/theses/5025?utm_source=thekeep.eiu.edu%2Ftheses%2F5025&amp;utm_medium=PDF&amp;utm_campaign=PDFCoverPages" TargetMode="External"/><Relationship Id="rId1058" Type="http://schemas.openxmlformats.org/officeDocument/2006/relationships/hyperlink" Target="https://doi.org/10.17605/OSF.IO/AY2YE" TargetMode="External"/><Relationship Id="rId1048" Type="http://schemas.openxmlformats.org/officeDocument/2006/relationships/hyperlink" Target="http://osf.io/pfng2" TargetMode="External"/><Relationship Id="rId1049" Type="http://schemas.openxmlformats.org/officeDocument/2006/relationships/hyperlink" Target="http://doi.org/10.1007/s13164-018-0400-9" TargetMode="External"/><Relationship Id="rId217" Type="http://schemas.openxmlformats.org/officeDocument/2006/relationships/hyperlink" Target="https://thekeep.eiu.edu/theses/4783" TargetMode="External"/><Relationship Id="rId216" Type="http://schemas.openxmlformats.org/officeDocument/2006/relationships/hyperlink" Target="https://thekeep.eiu.edu/theses/5025/?utm_source=thekeep.eiu.edu%2Ftheses%2F5025&amp;utm_medium=PDF&amp;utm_campaign=PDFCoverPages" TargetMode="External"/><Relationship Id="rId215" Type="http://schemas.openxmlformats.org/officeDocument/2006/relationships/hyperlink" Target="https://thekeep.eiu.edu/theses/5025?utm_source=thekeep.eiu.edu%2Ftheses%2F5025&amp;utm_medium=PDF&amp;utm_campaign=PDFCoverPages" TargetMode="External"/><Relationship Id="rId699" Type="http://schemas.openxmlformats.org/officeDocument/2006/relationships/hyperlink" Target="https://doi.org/10.1037/arc0000007" TargetMode="External"/><Relationship Id="rId214" Type="http://schemas.openxmlformats.org/officeDocument/2006/relationships/hyperlink" Target="https://thekeep.eiu.edu/theses/4783" TargetMode="External"/><Relationship Id="rId698" Type="http://schemas.openxmlformats.org/officeDocument/2006/relationships/hyperlink" Target="https://osf.io/ryfse/" TargetMode="External"/><Relationship Id="rId219" Type="http://schemas.openxmlformats.org/officeDocument/2006/relationships/hyperlink" Target="https://thekeep.eiu.edu/theses/5025/?utm_source=thekeep.eiu.edu%2Ftheses%2F5025&amp;utm_medium=PDF&amp;utm_campaign=PDFCoverPages" TargetMode="External"/><Relationship Id="rId218" Type="http://schemas.openxmlformats.org/officeDocument/2006/relationships/hyperlink" Target="https://thekeep.eiu.edu/theses/5025?utm_source=thekeep.eiu.edu%2Ftheses%2F5025&amp;utm_medium=PDF&amp;utm_campaign=PDFCoverPages" TargetMode="External"/><Relationship Id="rId693" Type="http://schemas.openxmlformats.org/officeDocument/2006/relationships/hyperlink" Target="https://osf.io/u6ghv" TargetMode="External"/><Relationship Id="rId1040" Type="http://schemas.openxmlformats.org/officeDocument/2006/relationships/hyperlink" Target="http://doi.org/10.1007/s13164-018-0400-9" TargetMode="External"/><Relationship Id="rId692" Type="http://schemas.openxmlformats.org/officeDocument/2006/relationships/hyperlink" Target="https://osf.io/ryfse/" TargetMode="External"/><Relationship Id="rId1041" Type="http://schemas.openxmlformats.org/officeDocument/2006/relationships/hyperlink" Target="https://osf.io/4ewkh" TargetMode="External"/><Relationship Id="rId691" Type="http://schemas.openxmlformats.org/officeDocument/2006/relationships/hyperlink" Target="https://osf.io/ryfse/" TargetMode="External"/><Relationship Id="rId1042" Type="http://schemas.openxmlformats.org/officeDocument/2006/relationships/hyperlink" Target="https://doi.org/10.17605/OSF.IO/5NZ6W" TargetMode="External"/><Relationship Id="rId690" Type="http://schemas.openxmlformats.org/officeDocument/2006/relationships/hyperlink" Target="https://osf.io/ct89g/" TargetMode="External"/><Relationship Id="rId1043" Type="http://schemas.openxmlformats.org/officeDocument/2006/relationships/hyperlink" Target="http://osf.io/ejmyw" TargetMode="External"/><Relationship Id="rId213" Type="http://schemas.openxmlformats.org/officeDocument/2006/relationships/hyperlink" Target="https://thekeep.eiu.edu/theses/5025/?utm_source=thekeep.eiu.edu%2Ftheses%2F5025&amp;utm_medium=PDF&amp;utm_campaign=PDFCoverPages" TargetMode="External"/><Relationship Id="rId697" Type="http://schemas.openxmlformats.org/officeDocument/2006/relationships/hyperlink" Target="https://osf.io/ryfse/" TargetMode="External"/><Relationship Id="rId1044" Type="http://schemas.openxmlformats.org/officeDocument/2006/relationships/hyperlink" Target="http://doi.org/10.1007/s13164-018-0400-9" TargetMode="External"/><Relationship Id="rId212" Type="http://schemas.openxmlformats.org/officeDocument/2006/relationships/hyperlink" Target="https://thekeep.eiu.edu/theses/5025?utm_source=thekeep.eiu.edu%2Ftheses%2F5025&amp;utm_medium=PDF&amp;utm_campaign=PDFCoverPages" TargetMode="External"/><Relationship Id="rId696" Type="http://schemas.openxmlformats.org/officeDocument/2006/relationships/hyperlink" Target="https://osf.io/ct89g/" TargetMode="External"/><Relationship Id="rId1045" Type="http://schemas.openxmlformats.org/officeDocument/2006/relationships/hyperlink" Target="https://osf.io/4ewkh" TargetMode="External"/><Relationship Id="rId211" Type="http://schemas.openxmlformats.org/officeDocument/2006/relationships/hyperlink" Target="https://thekeep.eiu.edu/theses/4783" TargetMode="External"/><Relationship Id="rId695" Type="http://schemas.openxmlformats.org/officeDocument/2006/relationships/hyperlink" Target="https://osf.io/ct89g/" TargetMode="External"/><Relationship Id="rId1046" Type="http://schemas.openxmlformats.org/officeDocument/2006/relationships/hyperlink" Target="https://doi.org/10.17605/OSF.IO/SSDMT" TargetMode="External"/><Relationship Id="rId210" Type="http://schemas.openxmlformats.org/officeDocument/2006/relationships/hyperlink" Target="https://thekeep.eiu.edu/theses/5025/?utm_source=thekeep.eiu.edu%2Ftheses%2F5025&amp;utm_medium=PDF&amp;utm_campaign=PDFCoverPages" TargetMode="External"/><Relationship Id="rId694" Type="http://schemas.openxmlformats.org/officeDocument/2006/relationships/hyperlink" Target="https://osf.io/u6ghv" TargetMode="External"/><Relationship Id="rId1047" Type="http://schemas.openxmlformats.org/officeDocument/2006/relationships/hyperlink" Target="http://osf.io/qdekc/" TargetMode="External"/><Relationship Id="rId249" Type="http://schemas.openxmlformats.org/officeDocument/2006/relationships/hyperlink" Target="https://aspredicted.org/~AhaPdyHcZf" TargetMode="External"/><Relationship Id="rId248" Type="http://schemas.openxmlformats.org/officeDocument/2006/relationships/hyperlink" Target="https://aspredicted.org/~AhaPdyHcZf" TargetMode="External"/><Relationship Id="rId247" Type="http://schemas.openxmlformats.org/officeDocument/2006/relationships/hyperlink" Target="https://doi.org/10.1002/pam.21702" TargetMode="External"/><Relationship Id="rId1070" Type="http://schemas.openxmlformats.org/officeDocument/2006/relationships/hyperlink" Target="https://doi.org/10.17605/OSF.IO/Y62DH" TargetMode="External"/><Relationship Id="rId1071" Type="http://schemas.openxmlformats.org/officeDocument/2006/relationships/hyperlink" Target="http://osf.io/xrhqe/" TargetMode="External"/><Relationship Id="rId1072" Type="http://schemas.openxmlformats.org/officeDocument/2006/relationships/hyperlink" Target="http://doi.org/10.1007/s13164-018-0400-9" TargetMode="External"/><Relationship Id="rId242" Type="http://schemas.openxmlformats.org/officeDocument/2006/relationships/hyperlink" Target="https://doi.org/10.1002/pam.21702" TargetMode="External"/><Relationship Id="rId1073" Type="http://schemas.openxmlformats.org/officeDocument/2006/relationships/hyperlink" Target="https://osf.io/4ewkh" TargetMode="External"/><Relationship Id="rId241" Type="http://schemas.openxmlformats.org/officeDocument/2006/relationships/hyperlink" Target="https://aspredicted.org/slogin.php?s=AhaPdyHcZf" TargetMode="External"/><Relationship Id="rId1074" Type="http://schemas.openxmlformats.org/officeDocument/2006/relationships/hyperlink" Target="https://doi.org/10.17605/OSF.IO/W62XY" TargetMode="External"/><Relationship Id="rId240" Type="http://schemas.openxmlformats.org/officeDocument/2006/relationships/hyperlink" Target="https://onlinelibrary.wiley.com/doi/pdf/10.1111/padm.12860" TargetMode="External"/><Relationship Id="rId1075" Type="http://schemas.openxmlformats.org/officeDocument/2006/relationships/hyperlink" Target="http://osf.io/7e8hz" TargetMode="External"/><Relationship Id="rId1076" Type="http://schemas.openxmlformats.org/officeDocument/2006/relationships/hyperlink" Target="http://doi.org/10.1007/s13164-018-0400-9" TargetMode="External"/><Relationship Id="rId246" Type="http://schemas.openxmlformats.org/officeDocument/2006/relationships/hyperlink" Target="https://aspredicted.org/slogin.php?s=AhaPdyHcZf" TargetMode="External"/><Relationship Id="rId1077" Type="http://schemas.openxmlformats.org/officeDocument/2006/relationships/hyperlink" Target="https://osf.io/4ewkh" TargetMode="External"/><Relationship Id="rId245" Type="http://schemas.openxmlformats.org/officeDocument/2006/relationships/hyperlink" Target="https://onlinelibrary.wiley.com/doi/pdf/10.1111/padm.12860" TargetMode="External"/><Relationship Id="rId1078" Type="http://schemas.openxmlformats.org/officeDocument/2006/relationships/hyperlink" Target="https://doi.org/10.17605/OSF.IO/R3KTH" TargetMode="External"/><Relationship Id="rId244" Type="http://schemas.openxmlformats.org/officeDocument/2006/relationships/hyperlink" Target="https://aspredicted.org/~AhaPdyHcZf" TargetMode="External"/><Relationship Id="rId1079" Type="http://schemas.openxmlformats.org/officeDocument/2006/relationships/hyperlink" Target="http://osf.io/d8uvg/" TargetMode="External"/><Relationship Id="rId243" Type="http://schemas.openxmlformats.org/officeDocument/2006/relationships/hyperlink" Target="https://aspredicted.org/~AhaPdyHcZf" TargetMode="External"/><Relationship Id="rId239" Type="http://schemas.openxmlformats.org/officeDocument/2006/relationships/hyperlink" Target="https://aspredicted.org/~AhaPdyHcZf" TargetMode="External"/><Relationship Id="rId238" Type="http://schemas.openxmlformats.org/officeDocument/2006/relationships/hyperlink" Target="https://aspredicted.org/~AhaPdyHcZf" TargetMode="External"/><Relationship Id="rId237" Type="http://schemas.openxmlformats.org/officeDocument/2006/relationships/hyperlink" Target="https://doi.org/10.1002/pam.21702" TargetMode="External"/><Relationship Id="rId236" Type="http://schemas.openxmlformats.org/officeDocument/2006/relationships/hyperlink" Target="https://aspredicted.org/slogin.php?s=AhaPdyHcZf" TargetMode="External"/><Relationship Id="rId1060" Type="http://schemas.openxmlformats.org/officeDocument/2006/relationships/hyperlink" Target="http://doi.org/10.1007/s13164-018-0400-9" TargetMode="External"/><Relationship Id="rId1061" Type="http://schemas.openxmlformats.org/officeDocument/2006/relationships/hyperlink" Target="https://osf.io/4ewkh" TargetMode="External"/><Relationship Id="rId231" Type="http://schemas.openxmlformats.org/officeDocument/2006/relationships/hyperlink" Target="https://onlinelibrary.wiley.com/doi/pdf/10.1111/padm.12860" TargetMode="External"/><Relationship Id="rId1062" Type="http://schemas.openxmlformats.org/officeDocument/2006/relationships/hyperlink" Target="https://doi.org/10.17605/OSF.IO/7EN89" TargetMode="External"/><Relationship Id="rId230" Type="http://schemas.openxmlformats.org/officeDocument/2006/relationships/hyperlink" Target="https://aspredicted.org/slogin.php?s=AhaPdyHcZf" TargetMode="External"/><Relationship Id="rId1063" Type="http://schemas.openxmlformats.org/officeDocument/2006/relationships/hyperlink" Target="http://osf.io/ggw7c/" TargetMode="External"/><Relationship Id="rId1064" Type="http://schemas.openxmlformats.org/officeDocument/2006/relationships/hyperlink" Target="http://doi.org/10.1007/s13164-018-0400-9" TargetMode="External"/><Relationship Id="rId1065" Type="http://schemas.openxmlformats.org/officeDocument/2006/relationships/hyperlink" Target="https://osf.io/4ewkh" TargetMode="External"/><Relationship Id="rId235" Type="http://schemas.openxmlformats.org/officeDocument/2006/relationships/hyperlink" Target="https://onlinelibrary.wiley.com/doi/pdf/10.1111/padm.12860" TargetMode="External"/><Relationship Id="rId1066" Type="http://schemas.openxmlformats.org/officeDocument/2006/relationships/hyperlink" Target="https://doi.org/10.17605/OSF.IO/3G3HV" TargetMode="External"/><Relationship Id="rId234" Type="http://schemas.openxmlformats.org/officeDocument/2006/relationships/hyperlink" Target="https://aspredicted.org/slogin.php?s=AhaPdyHcZf" TargetMode="External"/><Relationship Id="rId1067" Type="http://schemas.openxmlformats.org/officeDocument/2006/relationships/hyperlink" Target="http://osf.io/rpkjk/" TargetMode="External"/><Relationship Id="rId233" Type="http://schemas.openxmlformats.org/officeDocument/2006/relationships/hyperlink" Target="https://doi.org/10.1002/pam.21702" TargetMode="External"/><Relationship Id="rId1068" Type="http://schemas.openxmlformats.org/officeDocument/2006/relationships/hyperlink" Target="http://doi.org/10.1007/s13164-018-0400-9" TargetMode="External"/><Relationship Id="rId232" Type="http://schemas.openxmlformats.org/officeDocument/2006/relationships/hyperlink" Target="https://aspredicted.org/slogin.php?s=AhaPdyHcZf" TargetMode="External"/><Relationship Id="rId1069" Type="http://schemas.openxmlformats.org/officeDocument/2006/relationships/hyperlink" Target="https://osf.io/4ewkh" TargetMode="External"/><Relationship Id="rId1015" Type="http://schemas.openxmlformats.org/officeDocument/2006/relationships/hyperlink" Target="https://osf.io/4ewkh" TargetMode="External"/><Relationship Id="rId1499" Type="http://schemas.openxmlformats.org/officeDocument/2006/relationships/hyperlink" Target="https://osf.io/3ubv9" TargetMode="External"/><Relationship Id="rId1016" Type="http://schemas.openxmlformats.org/officeDocument/2006/relationships/hyperlink" Target="https://doi.org/10.17605/OSF.IO/P56KE" TargetMode="External"/><Relationship Id="rId1017" Type="http://schemas.openxmlformats.org/officeDocument/2006/relationships/hyperlink" Target="http://osf.io/5eanz/" TargetMode="External"/><Relationship Id="rId1018" Type="http://schemas.openxmlformats.org/officeDocument/2006/relationships/hyperlink" Target="http://doi.org/10.1007/s13164-018-0400-9" TargetMode="External"/><Relationship Id="rId1019" Type="http://schemas.openxmlformats.org/officeDocument/2006/relationships/hyperlink" Target="https://osf.io/4ewkh" TargetMode="External"/><Relationship Id="rId668" Type="http://schemas.openxmlformats.org/officeDocument/2006/relationships/hyperlink" Target="https://osf.io/scayl" TargetMode="External"/><Relationship Id="rId667" Type="http://schemas.openxmlformats.org/officeDocument/2006/relationships/hyperlink" Target="https://osf.io/y36m8" TargetMode="External"/><Relationship Id="rId666" Type="http://schemas.openxmlformats.org/officeDocument/2006/relationships/hyperlink" Target="https://osf.io/y36m8" TargetMode="External"/><Relationship Id="rId665" Type="http://schemas.openxmlformats.org/officeDocument/2006/relationships/hyperlink" Target="https://osf.io/y36m8" TargetMode="External"/><Relationship Id="rId669" Type="http://schemas.openxmlformats.org/officeDocument/2006/relationships/hyperlink" Target="https://osf.io/y36m8" TargetMode="External"/><Relationship Id="rId1490" Type="http://schemas.openxmlformats.org/officeDocument/2006/relationships/hyperlink" Target="https://osf.io/g754e" TargetMode="External"/><Relationship Id="rId660" Type="http://schemas.openxmlformats.org/officeDocument/2006/relationships/hyperlink" Target="https://doi.org/10.1037/0022-3514.71.2.230." TargetMode="External"/><Relationship Id="rId1491" Type="http://schemas.openxmlformats.org/officeDocument/2006/relationships/hyperlink" Target="https://osf.io/3va2j" TargetMode="External"/><Relationship Id="rId1492" Type="http://schemas.openxmlformats.org/officeDocument/2006/relationships/hyperlink" Target="https://osf.io/qm5n6" TargetMode="External"/><Relationship Id="rId1493" Type="http://schemas.openxmlformats.org/officeDocument/2006/relationships/hyperlink" Target="https://osf.io/ca8t3" TargetMode="External"/><Relationship Id="rId1010" Type="http://schemas.openxmlformats.org/officeDocument/2006/relationships/hyperlink" Target="https://doi.org/10.17605/OSF.IO/JW84M" TargetMode="External"/><Relationship Id="rId1494" Type="http://schemas.openxmlformats.org/officeDocument/2006/relationships/hyperlink" Target="https://osf.io/fkcn5" TargetMode="External"/><Relationship Id="rId664" Type="http://schemas.openxmlformats.org/officeDocument/2006/relationships/hyperlink" Target="https://osf.io/y36m8" TargetMode="External"/><Relationship Id="rId1011" Type="http://schemas.openxmlformats.org/officeDocument/2006/relationships/hyperlink" Target="https://doi.org/10.1037/a0015960" TargetMode="External"/><Relationship Id="rId1495" Type="http://schemas.openxmlformats.org/officeDocument/2006/relationships/hyperlink" Target="https://osf.io/rc2kz" TargetMode="External"/><Relationship Id="rId663" Type="http://schemas.openxmlformats.org/officeDocument/2006/relationships/hyperlink" Target="https://doi.org/10.1037/0022-3514.71.2.230." TargetMode="External"/><Relationship Id="rId1012" Type="http://schemas.openxmlformats.org/officeDocument/2006/relationships/hyperlink" Target="http://osf.io/ykt7z" TargetMode="External"/><Relationship Id="rId1496" Type="http://schemas.openxmlformats.org/officeDocument/2006/relationships/hyperlink" Target="https://osf.io/rc2kz" TargetMode="External"/><Relationship Id="rId662" Type="http://schemas.openxmlformats.org/officeDocument/2006/relationships/hyperlink" Target="https://doi.org/10.1037/0022-3514.71.2.230." TargetMode="External"/><Relationship Id="rId1013" Type="http://schemas.openxmlformats.org/officeDocument/2006/relationships/hyperlink" Target="https://doi.org/10.1037/a0015960" TargetMode="External"/><Relationship Id="rId1497" Type="http://schemas.openxmlformats.org/officeDocument/2006/relationships/hyperlink" Target="https://osf.io/dh4jx" TargetMode="External"/><Relationship Id="rId661" Type="http://schemas.openxmlformats.org/officeDocument/2006/relationships/hyperlink" Target="https://doi.org/10.1037/0022-3514.71.2.230." TargetMode="External"/><Relationship Id="rId1014" Type="http://schemas.openxmlformats.org/officeDocument/2006/relationships/hyperlink" Target="http://doi.org/10.1007/s13164-018-0400-9" TargetMode="External"/><Relationship Id="rId1498" Type="http://schemas.openxmlformats.org/officeDocument/2006/relationships/hyperlink" Target="https://osf.io/dh4jx" TargetMode="External"/><Relationship Id="rId1004" Type="http://schemas.openxmlformats.org/officeDocument/2006/relationships/hyperlink" Target="http://osf.io/wy8ab" TargetMode="External"/><Relationship Id="rId1488" Type="http://schemas.openxmlformats.org/officeDocument/2006/relationships/hyperlink" Target="https://osf.io/x2gmb" TargetMode="External"/><Relationship Id="rId1005" Type="http://schemas.openxmlformats.org/officeDocument/2006/relationships/hyperlink" Target="http://osf.io/jb8yp/" TargetMode="External"/><Relationship Id="rId1489" Type="http://schemas.openxmlformats.org/officeDocument/2006/relationships/hyperlink" Target="https://osf.io/irgbs" TargetMode="External"/><Relationship Id="rId1006" Type="http://schemas.openxmlformats.org/officeDocument/2006/relationships/hyperlink" Target="http://osf.io/78sqa/" TargetMode="External"/><Relationship Id="rId1007" Type="http://schemas.openxmlformats.org/officeDocument/2006/relationships/hyperlink" Target="https://doi.org/10.1037/a0015960" TargetMode="External"/><Relationship Id="rId1008" Type="http://schemas.openxmlformats.org/officeDocument/2006/relationships/hyperlink" Target="http://doi.org/10.1007/s13164-018-0400-9" TargetMode="External"/><Relationship Id="rId1009" Type="http://schemas.openxmlformats.org/officeDocument/2006/relationships/hyperlink" Target="https://osf.io/4ewkh" TargetMode="External"/><Relationship Id="rId657" Type="http://schemas.openxmlformats.org/officeDocument/2006/relationships/hyperlink" Target="https://osf.io/scayl" TargetMode="External"/><Relationship Id="rId656" Type="http://schemas.openxmlformats.org/officeDocument/2006/relationships/hyperlink" Target="https://osf.io/y36m8" TargetMode="External"/><Relationship Id="rId655" Type="http://schemas.openxmlformats.org/officeDocument/2006/relationships/hyperlink" Target="https://doi.org/10.1037/0022-3514.83.1.44" TargetMode="External"/><Relationship Id="rId654" Type="http://schemas.openxmlformats.org/officeDocument/2006/relationships/hyperlink" Target="https://osf.io/y36m8" TargetMode="External"/><Relationship Id="rId659" Type="http://schemas.openxmlformats.org/officeDocument/2006/relationships/hyperlink" Target="https://doi.org/10.1037/0022-3514.71.2.230." TargetMode="External"/><Relationship Id="rId658" Type="http://schemas.openxmlformats.org/officeDocument/2006/relationships/hyperlink" Target="https://doi.org/10.1037/0022-3514.71.2.230." TargetMode="External"/><Relationship Id="rId1480" Type="http://schemas.openxmlformats.org/officeDocument/2006/relationships/hyperlink" Target="https://osf.io/5f42t" TargetMode="External"/><Relationship Id="rId1481" Type="http://schemas.openxmlformats.org/officeDocument/2006/relationships/hyperlink" Target="https://osf.io/s9m2k" TargetMode="External"/><Relationship Id="rId1482" Type="http://schemas.openxmlformats.org/officeDocument/2006/relationships/hyperlink" Target="https://osf.io/6xjqm" TargetMode="External"/><Relationship Id="rId1483" Type="http://schemas.openxmlformats.org/officeDocument/2006/relationships/hyperlink" Target="https://osf.io/kcwfa" TargetMode="External"/><Relationship Id="rId653" Type="http://schemas.openxmlformats.org/officeDocument/2006/relationships/hyperlink" Target="https://osf.io/y36m8" TargetMode="External"/><Relationship Id="rId1000" Type="http://schemas.openxmlformats.org/officeDocument/2006/relationships/hyperlink" Target="http://osf.io/yb38c" TargetMode="External"/><Relationship Id="rId1484" Type="http://schemas.openxmlformats.org/officeDocument/2006/relationships/hyperlink" Target="https://osf.io/bk79y" TargetMode="External"/><Relationship Id="rId652" Type="http://schemas.openxmlformats.org/officeDocument/2006/relationships/hyperlink" Target="https://osf.io/y36m8" TargetMode="External"/><Relationship Id="rId1001" Type="http://schemas.openxmlformats.org/officeDocument/2006/relationships/hyperlink" Target="http://doi.org/10.1007/s13164-018-0400-9" TargetMode="External"/><Relationship Id="rId1485" Type="http://schemas.openxmlformats.org/officeDocument/2006/relationships/hyperlink" Target="https://osf.io/bk79y" TargetMode="External"/><Relationship Id="rId651" Type="http://schemas.openxmlformats.org/officeDocument/2006/relationships/hyperlink" Target="https://doi.org/10.1037/0022-3514.71.2.230." TargetMode="External"/><Relationship Id="rId1002" Type="http://schemas.openxmlformats.org/officeDocument/2006/relationships/hyperlink" Target="https://osf.io/4ewkh" TargetMode="External"/><Relationship Id="rId1486" Type="http://schemas.openxmlformats.org/officeDocument/2006/relationships/hyperlink" Target="https://osf.io/a5ukz" TargetMode="External"/><Relationship Id="rId650" Type="http://schemas.openxmlformats.org/officeDocument/2006/relationships/hyperlink" Target="https://doi.org/10.1037/0022-3514.71.2.230." TargetMode="External"/><Relationship Id="rId1003" Type="http://schemas.openxmlformats.org/officeDocument/2006/relationships/hyperlink" Target="https://doi.org/10.17605/OSF.IO/CKJTF" TargetMode="External"/><Relationship Id="rId1487" Type="http://schemas.openxmlformats.org/officeDocument/2006/relationships/hyperlink" Target="https://osf.io/bxumv" TargetMode="External"/><Relationship Id="rId1037" Type="http://schemas.openxmlformats.org/officeDocument/2006/relationships/hyperlink" Target="https://doi.org/10.17605/OSF.IO/QP8V3" TargetMode="External"/><Relationship Id="rId1038" Type="http://schemas.openxmlformats.org/officeDocument/2006/relationships/hyperlink" Target="http://osf.io/3sn6j" TargetMode="External"/><Relationship Id="rId1039" Type="http://schemas.openxmlformats.org/officeDocument/2006/relationships/hyperlink" Target="http://osf.io/dbx75/" TargetMode="External"/><Relationship Id="rId206" Type="http://schemas.openxmlformats.org/officeDocument/2006/relationships/hyperlink" Target="https://thekeep.eiu.edu/theses/5025?utm_source=thekeep.eiu.edu%2Ftheses%2F5025&amp;utm_medium=PDF&amp;utm_campaign=PDFCoverPages" TargetMode="External"/><Relationship Id="rId205" Type="http://schemas.openxmlformats.org/officeDocument/2006/relationships/hyperlink" Target="https://thekeep.eiu.edu/theses/4783" TargetMode="External"/><Relationship Id="rId689" Type="http://schemas.openxmlformats.org/officeDocument/2006/relationships/hyperlink" Target="https://osf.io/ct89g/" TargetMode="External"/><Relationship Id="rId204" Type="http://schemas.openxmlformats.org/officeDocument/2006/relationships/hyperlink" Target="https://thekeep.eiu.edu/theses/5025/?utm_source=thekeep.eiu.edu%2Ftheses%2F5025&amp;utm_medium=PDF&amp;utm_campaign=PDFCoverPages" TargetMode="External"/><Relationship Id="rId688" Type="http://schemas.openxmlformats.org/officeDocument/2006/relationships/hyperlink" Target="https://osf.io/ct89g/" TargetMode="External"/><Relationship Id="rId203" Type="http://schemas.openxmlformats.org/officeDocument/2006/relationships/hyperlink" Target="https://thekeep.eiu.edu/theses/5025?utm_source=thekeep.eiu.edu%2Ftheses%2F5025&amp;utm_medium=PDF&amp;utm_campaign=PDFCoverPages" TargetMode="External"/><Relationship Id="rId687" Type="http://schemas.openxmlformats.org/officeDocument/2006/relationships/hyperlink" Target="https://osf.io/ct89g/" TargetMode="External"/><Relationship Id="rId209" Type="http://schemas.openxmlformats.org/officeDocument/2006/relationships/hyperlink" Target="https://thekeep.eiu.edu/theses/5025?utm_source=thekeep.eiu.edu%2Ftheses%2F5025&amp;utm_medium=PDF&amp;utm_campaign=PDFCoverPages" TargetMode="External"/><Relationship Id="rId208" Type="http://schemas.openxmlformats.org/officeDocument/2006/relationships/hyperlink" Target="https://thekeep.eiu.edu/theses/4783" TargetMode="External"/><Relationship Id="rId207" Type="http://schemas.openxmlformats.org/officeDocument/2006/relationships/hyperlink" Target="https://thekeep.eiu.edu/theses/5025/?utm_source=thekeep.eiu.edu%2Ftheses%2F5025&amp;utm_medium=PDF&amp;utm_campaign=PDFCoverPages" TargetMode="External"/><Relationship Id="rId682" Type="http://schemas.openxmlformats.org/officeDocument/2006/relationships/hyperlink" Target="https://osf.io/czbzg/" TargetMode="External"/><Relationship Id="rId681" Type="http://schemas.openxmlformats.org/officeDocument/2006/relationships/hyperlink" Target="https://osf.io/czbzg/" TargetMode="External"/><Relationship Id="rId1030" Type="http://schemas.openxmlformats.org/officeDocument/2006/relationships/hyperlink" Target="http://osf.io/z2fj8" TargetMode="External"/><Relationship Id="rId680" Type="http://schemas.openxmlformats.org/officeDocument/2006/relationships/hyperlink" Target="https://osf.io/v3hfb/" TargetMode="External"/><Relationship Id="rId1031" Type="http://schemas.openxmlformats.org/officeDocument/2006/relationships/hyperlink" Target="http://doi.org/10.1007/s13164-018-0400-9" TargetMode="External"/><Relationship Id="rId1032" Type="http://schemas.openxmlformats.org/officeDocument/2006/relationships/hyperlink" Target="https://osf.io/4ewkh" TargetMode="External"/><Relationship Id="rId202" Type="http://schemas.openxmlformats.org/officeDocument/2006/relationships/hyperlink" Target="https://thekeep.eiu.edu/theses/4783" TargetMode="External"/><Relationship Id="rId686" Type="http://schemas.openxmlformats.org/officeDocument/2006/relationships/hyperlink" Target="https://osf.io/ct89g/" TargetMode="External"/><Relationship Id="rId1033" Type="http://schemas.openxmlformats.org/officeDocument/2006/relationships/hyperlink" Target="https://doi.org/10.17605/OSF.IO/QP8V3" TargetMode="External"/><Relationship Id="rId201" Type="http://schemas.openxmlformats.org/officeDocument/2006/relationships/hyperlink" Target="https://thekeep.eiu.edu/theses/5025/?utm_source=thekeep.eiu.edu%2Ftheses%2F5025&amp;utm_medium=PDF&amp;utm_campaign=PDFCoverPages" TargetMode="External"/><Relationship Id="rId685" Type="http://schemas.openxmlformats.org/officeDocument/2006/relationships/hyperlink" Target="https://osf.io/ct89g/" TargetMode="External"/><Relationship Id="rId1034" Type="http://schemas.openxmlformats.org/officeDocument/2006/relationships/hyperlink" Target="http://osf.io/4yuym" TargetMode="External"/><Relationship Id="rId200" Type="http://schemas.openxmlformats.org/officeDocument/2006/relationships/hyperlink" Target="https://thekeep.eiu.edu/theses/5025?utm_source=thekeep.eiu.edu%2Ftheses%2F5025&amp;utm_medium=PDF&amp;utm_campaign=PDFCoverPages" TargetMode="External"/><Relationship Id="rId684" Type="http://schemas.openxmlformats.org/officeDocument/2006/relationships/hyperlink" Target="https://www.ejwagenmakers.com/2012/Appendix_PoPS_WagenmakersEtAl.pdf" TargetMode="External"/><Relationship Id="rId1035" Type="http://schemas.openxmlformats.org/officeDocument/2006/relationships/hyperlink" Target="http://doi.org/10.1007/s13164-018-0400-9" TargetMode="External"/><Relationship Id="rId683" Type="http://schemas.openxmlformats.org/officeDocument/2006/relationships/hyperlink" Target="https://www.ejwagenmakers.com/2012/Appendix_PoPS_WagenmakersEtAl.pdf" TargetMode="External"/><Relationship Id="rId1036" Type="http://schemas.openxmlformats.org/officeDocument/2006/relationships/hyperlink" Target="https://osf.io/4ewkh" TargetMode="External"/><Relationship Id="rId1026" Type="http://schemas.openxmlformats.org/officeDocument/2006/relationships/hyperlink" Target="https://osf.io/4ewkh" TargetMode="External"/><Relationship Id="rId1027" Type="http://schemas.openxmlformats.org/officeDocument/2006/relationships/hyperlink" Target="http://osf.io/n6r3b/" TargetMode="External"/><Relationship Id="rId1028" Type="http://schemas.openxmlformats.org/officeDocument/2006/relationships/hyperlink" Target="http://doi.org/10.1007/s13164-018-0400-9" TargetMode="External"/><Relationship Id="rId1029" Type="http://schemas.openxmlformats.org/officeDocument/2006/relationships/hyperlink" Target="https://osf.io/4ewkh" TargetMode="External"/><Relationship Id="rId679" Type="http://schemas.openxmlformats.org/officeDocument/2006/relationships/hyperlink" Target="https://osf.io/v3hfb/" TargetMode="External"/><Relationship Id="rId678" Type="http://schemas.openxmlformats.org/officeDocument/2006/relationships/hyperlink" Target="https://osf.io/scayl" TargetMode="External"/><Relationship Id="rId677" Type="http://schemas.openxmlformats.org/officeDocument/2006/relationships/hyperlink" Target="https://osf.io/y36m8" TargetMode="External"/><Relationship Id="rId676" Type="http://schemas.openxmlformats.org/officeDocument/2006/relationships/hyperlink" Target="https://osf.io/scayl" TargetMode="External"/><Relationship Id="rId671" Type="http://schemas.openxmlformats.org/officeDocument/2006/relationships/hyperlink" Target="https://osf.io/y36m8" TargetMode="External"/><Relationship Id="rId670" Type="http://schemas.openxmlformats.org/officeDocument/2006/relationships/hyperlink" Target="https://osf.io/scayl" TargetMode="External"/><Relationship Id="rId1020" Type="http://schemas.openxmlformats.org/officeDocument/2006/relationships/hyperlink" Target="http://osf.io/txs86" TargetMode="External"/><Relationship Id="rId1021" Type="http://schemas.openxmlformats.org/officeDocument/2006/relationships/hyperlink" Target="http://doi.org/10.1007/s13164-018-0400-9" TargetMode="External"/><Relationship Id="rId675" Type="http://schemas.openxmlformats.org/officeDocument/2006/relationships/hyperlink" Target="https://osf.io/y36m8" TargetMode="External"/><Relationship Id="rId1022" Type="http://schemas.openxmlformats.org/officeDocument/2006/relationships/hyperlink" Target="https://osf.io/4ewkh" TargetMode="External"/><Relationship Id="rId674" Type="http://schemas.openxmlformats.org/officeDocument/2006/relationships/hyperlink" Target="https://osf.io/scayl" TargetMode="External"/><Relationship Id="rId1023" Type="http://schemas.openxmlformats.org/officeDocument/2006/relationships/hyperlink" Target="https://doi.org/10.17605/OSF.IO/ZWKMN" TargetMode="External"/><Relationship Id="rId673" Type="http://schemas.openxmlformats.org/officeDocument/2006/relationships/hyperlink" Target="https://osf.io/y36m8" TargetMode="External"/><Relationship Id="rId1024" Type="http://schemas.openxmlformats.org/officeDocument/2006/relationships/hyperlink" Target="http://osf.io/cvuwy/" TargetMode="External"/><Relationship Id="rId672" Type="http://schemas.openxmlformats.org/officeDocument/2006/relationships/hyperlink" Target="https://osf.io/scayl" TargetMode="External"/><Relationship Id="rId1025" Type="http://schemas.openxmlformats.org/officeDocument/2006/relationships/hyperlink" Target="http://doi.org/10.1007/s13164-018-0400-9" TargetMode="External"/><Relationship Id="rId190" Type="http://schemas.openxmlformats.org/officeDocument/2006/relationships/hyperlink" Target="https://osf.io/zb5j2/" TargetMode="External"/><Relationship Id="rId194" Type="http://schemas.openxmlformats.org/officeDocument/2006/relationships/hyperlink" Target="https://thekeep.eiu.edu/theses/5025?utm_source=thekeep.eiu.edu%2Ftheses%2F5025&amp;utm_medium=PDF&amp;utm_campaign=PDFCoverPages" TargetMode="External"/><Relationship Id="rId193" Type="http://schemas.openxmlformats.org/officeDocument/2006/relationships/hyperlink" Target="https://thekeep.eiu.edu/theses/4783" TargetMode="External"/><Relationship Id="rId192" Type="http://schemas.openxmlformats.org/officeDocument/2006/relationships/hyperlink" Target="https://thekeep.eiu.edu/theses/5025" TargetMode="External"/><Relationship Id="rId191" Type="http://schemas.openxmlformats.org/officeDocument/2006/relationships/hyperlink" Target="https://thekeep.eiu.edu/theses/5025" TargetMode="External"/><Relationship Id="rId187" Type="http://schemas.openxmlformats.org/officeDocument/2006/relationships/hyperlink" Target="https://osf.io/zb5j2/" TargetMode="External"/><Relationship Id="rId186" Type="http://schemas.openxmlformats.org/officeDocument/2006/relationships/hyperlink" Target="https://osf.io/zb5j2/" TargetMode="External"/><Relationship Id="rId185" Type="http://schemas.openxmlformats.org/officeDocument/2006/relationships/hyperlink" Target="https://osf.io/zb5j2" TargetMode="External"/><Relationship Id="rId184" Type="http://schemas.openxmlformats.org/officeDocument/2006/relationships/hyperlink" Target="https://osf.io/zb5j2" TargetMode="External"/><Relationship Id="rId189" Type="http://schemas.openxmlformats.org/officeDocument/2006/relationships/hyperlink" Target="https://osf.io/zb5j2/" TargetMode="External"/><Relationship Id="rId188" Type="http://schemas.openxmlformats.org/officeDocument/2006/relationships/hyperlink" Target="https://doi.org/10.1016/j.obhdp.2018.10.004" TargetMode="External"/><Relationship Id="rId183" Type="http://schemas.openxmlformats.org/officeDocument/2006/relationships/hyperlink" Target="https://osf.io/zb5j2" TargetMode="External"/><Relationship Id="rId182" Type="http://schemas.openxmlformats.org/officeDocument/2006/relationships/hyperlink" Target="https://osf.io/zb5j2" TargetMode="External"/><Relationship Id="rId181" Type="http://schemas.openxmlformats.org/officeDocument/2006/relationships/hyperlink" Target="https://osf.io/zb5j2" TargetMode="External"/><Relationship Id="rId180" Type="http://schemas.openxmlformats.org/officeDocument/2006/relationships/hyperlink" Target="https://osf.io/zb5j2" TargetMode="External"/><Relationship Id="rId176" Type="http://schemas.openxmlformats.org/officeDocument/2006/relationships/hyperlink" Target="https://doi.org/10.1017/pds.2024.14" TargetMode="External"/><Relationship Id="rId175" Type="http://schemas.openxmlformats.org/officeDocument/2006/relationships/hyperlink" Target="https://www.cambridge.org/core/services/aop-cambridge-core/content/view/F3A32DC9C940254CAFE6529A7C7C80A1/S2732527X24000142a.pdf/replication-studies-in-engineering-design-a-feasibility-study.pdf" TargetMode="External"/><Relationship Id="rId174" Type="http://schemas.openxmlformats.org/officeDocument/2006/relationships/hyperlink" Target="https://doi.org/10.1108/S1574-076520240000026005" TargetMode="External"/><Relationship Id="rId173" Type="http://schemas.openxmlformats.org/officeDocument/2006/relationships/hyperlink" Target="https://www.emerald.com/insight/content/doi/10.1108/s1574-076520240000026005/full/pdf?title=fraudulent-research-practices-in-accounting-a-replication-and-extension-of-bailey-hasselback-and-karcher-2001" TargetMode="External"/><Relationship Id="rId179" Type="http://schemas.openxmlformats.org/officeDocument/2006/relationships/hyperlink" Target="https://osf.io/zb5j2" TargetMode="External"/><Relationship Id="rId178" Type="http://schemas.openxmlformats.org/officeDocument/2006/relationships/hyperlink" Target="https://osf.io/zb5j2" TargetMode="External"/><Relationship Id="rId177" Type="http://schemas.openxmlformats.org/officeDocument/2006/relationships/hyperlink" Target="https://doi.org/10.1017/pds.2024.14" TargetMode="External"/><Relationship Id="rId1910" Type="http://schemas.openxmlformats.org/officeDocument/2006/relationships/hyperlink" Target="https://osf.io/z6rfa" TargetMode="External"/><Relationship Id="rId1911" Type="http://schemas.openxmlformats.org/officeDocument/2006/relationships/hyperlink" Target="https://osf.io/9fdhb/" TargetMode="External"/><Relationship Id="rId1912" Type="http://schemas.openxmlformats.org/officeDocument/2006/relationships/hyperlink" Target="https://osf.io/h37qu" TargetMode="External"/><Relationship Id="rId1913" Type="http://schemas.openxmlformats.org/officeDocument/2006/relationships/hyperlink" Target="https://osf.io/z6rfa" TargetMode="External"/><Relationship Id="rId1914" Type="http://schemas.openxmlformats.org/officeDocument/2006/relationships/hyperlink" Target="https://osf.io/9fdhb/" TargetMode="External"/><Relationship Id="rId1915" Type="http://schemas.openxmlformats.org/officeDocument/2006/relationships/hyperlink" Target="https://osf.io/h37qu" TargetMode="External"/><Relationship Id="rId1916" Type="http://schemas.openxmlformats.org/officeDocument/2006/relationships/hyperlink" Target="https://osf.io/ab9q3" TargetMode="External"/><Relationship Id="rId1917" Type="http://schemas.openxmlformats.org/officeDocument/2006/relationships/hyperlink" Target="https://rstudio-pubs-static.s3.amazonaws.com/696061_39068ca5d4344e6894d818cbf8f2c60e.html" TargetMode="External"/><Relationship Id="rId1918" Type="http://schemas.openxmlformats.org/officeDocument/2006/relationships/hyperlink" Target="https://osf.io/ab9q3" TargetMode="External"/><Relationship Id="rId1919" Type="http://schemas.openxmlformats.org/officeDocument/2006/relationships/hyperlink" Target="https://osf.io/wsj2f" TargetMode="External"/><Relationship Id="rId1900" Type="http://schemas.openxmlformats.org/officeDocument/2006/relationships/hyperlink" Target="https://rstudio-pubs-static.s3.amazonaws.com/960761_d9b8d67ca3454d3db5b0023e3b583df6.html" TargetMode="External"/><Relationship Id="rId1901" Type="http://schemas.openxmlformats.org/officeDocument/2006/relationships/hyperlink" Target="https://rstudio-pubs-static.s3.amazonaws.com/960761_d9b8d67ca3454d3db5b0023e3b583df6.html" TargetMode="External"/><Relationship Id="rId1902" Type="http://schemas.openxmlformats.org/officeDocument/2006/relationships/hyperlink" Target="https://rstudio-pubs-static.s3.amazonaws.com/960761_d9b8d67ca3454d3db5b0023e3b583df6.html" TargetMode="External"/><Relationship Id="rId1903" Type="http://schemas.openxmlformats.org/officeDocument/2006/relationships/hyperlink" Target="https://rstudio-pubs-static.s3.amazonaws.com/960761_d9b8d67ca3454d3db5b0023e3b583df6.html" TargetMode="External"/><Relationship Id="rId1904" Type="http://schemas.openxmlformats.org/officeDocument/2006/relationships/hyperlink" Target="https://rpubs.com/rcatapano/Zaval_replication_report" TargetMode="External"/><Relationship Id="rId1905" Type="http://schemas.openxmlformats.org/officeDocument/2006/relationships/hyperlink" Target="https://rpubs.com/rcatapano/Zaval_replication_report" TargetMode="External"/><Relationship Id="rId1906" Type="http://schemas.openxmlformats.org/officeDocument/2006/relationships/hyperlink" Target="https://rpubs.com/rcatapano/Zaval_replication_report" TargetMode="External"/><Relationship Id="rId1907" Type="http://schemas.openxmlformats.org/officeDocument/2006/relationships/hyperlink" Target="https://rpubs.com/rcatapano/Zaval_replication_report" TargetMode="External"/><Relationship Id="rId1908" Type="http://schemas.openxmlformats.org/officeDocument/2006/relationships/hyperlink" Target="https://rpubs.com/rcatapano/Zaval_replication_report" TargetMode="External"/><Relationship Id="rId1909" Type="http://schemas.openxmlformats.org/officeDocument/2006/relationships/hyperlink" Target="https://osf.io/z6rfa" TargetMode="External"/><Relationship Id="rId198" Type="http://schemas.openxmlformats.org/officeDocument/2006/relationships/hyperlink" Target="https://thekeep.eiu.edu/theses/5025/?utm_source=thekeep.eiu.edu%2Ftheses%2F5025&amp;utm_medium=PDF&amp;utm_campaign=PDFCoverPages" TargetMode="External"/><Relationship Id="rId197" Type="http://schemas.openxmlformats.org/officeDocument/2006/relationships/hyperlink" Target="https://thekeep.eiu.edu/theses/5025?utm_source=thekeep.eiu.edu%2Ftheses%2F5025&amp;utm_medium=PDF&amp;utm_campaign=PDFCoverPages" TargetMode="External"/><Relationship Id="rId196" Type="http://schemas.openxmlformats.org/officeDocument/2006/relationships/hyperlink" Target="https://thekeep.eiu.edu/theses/4783" TargetMode="External"/><Relationship Id="rId195" Type="http://schemas.openxmlformats.org/officeDocument/2006/relationships/hyperlink" Target="https://thekeep.eiu.edu/theses/5025/?utm_source=thekeep.eiu.edu%2Ftheses%2F5025&amp;utm_medium=PDF&amp;utm_campaign=PDFCoverPages" TargetMode="External"/><Relationship Id="rId199" Type="http://schemas.openxmlformats.org/officeDocument/2006/relationships/hyperlink" Target="https://thekeep.eiu.edu/theses/4783" TargetMode="External"/><Relationship Id="rId150" Type="http://schemas.openxmlformats.org/officeDocument/2006/relationships/hyperlink" Target="https://www.prolific.co" TargetMode="External"/><Relationship Id="rId149" Type="http://schemas.openxmlformats.org/officeDocument/2006/relationships/hyperlink" Target="https://www.prolific.co" TargetMode="External"/><Relationship Id="rId148" Type="http://schemas.openxmlformats.org/officeDocument/2006/relationships/hyperlink" Target="https://www.prolific.co" TargetMode="External"/><Relationship Id="rId1090" Type="http://schemas.openxmlformats.org/officeDocument/2006/relationships/hyperlink" Target="https://doi.org/10.17605/OSF.IO/DNQE7" TargetMode="External"/><Relationship Id="rId1091" Type="http://schemas.openxmlformats.org/officeDocument/2006/relationships/hyperlink" Target="http://osf.io/f5svw" TargetMode="External"/><Relationship Id="rId1092" Type="http://schemas.openxmlformats.org/officeDocument/2006/relationships/hyperlink" Target="http://doi.org/10.1007/s13164-018-0400-9" TargetMode="External"/><Relationship Id="rId1093" Type="http://schemas.openxmlformats.org/officeDocument/2006/relationships/hyperlink" Target="https://osf.io/4ewkh" TargetMode="External"/><Relationship Id="rId1094" Type="http://schemas.openxmlformats.org/officeDocument/2006/relationships/hyperlink" Target="https://doi.org/10.17605/OSF.IO/9VXSF" TargetMode="External"/><Relationship Id="rId143" Type="http://schemas.openxmlformats.org/officeDocument/2006/relationships/hyperlink" Target="https://osf.io/8kzgd" TargetMode="External"/><Relationship Id="rId1095" Type="http://schemas.openxmlformats.org/officeDocument/2006/relationships/hyperlink" Target="http://osf.io/bv4ep" TargetMode="External"/><Relationship Id="rId142" Type="http://schemas.openxmlformats.org/officeDocument/2006/relationships/hyperlink" Target="https://osf.io/8kzgd" TargetMode="External"/><Relationship Id="rId1096" Type="http://schemas.openxmlformats.org/officeDocument/2006/relationships/hyperlink" Target="http://doi.org/10.1007/s13164-018-0400-9" TargetMode="External"/><Relationship Id="rId141" Type="http://schemas.openxmlformats.org/officeDocument/2006/relationships/hyperlink" Target="https://osf.io/8kzgd" TargetMode="External"/><Relationship Id="rId1097" Type="http://schemas.openxmlformats.org/officeDocument/2006/relationships/hyperlink" Target="https://osf.io/4ewkh" TargetMode="External"/><Relationship Id="rId140" Type="http://schemas.openxmlformats.org/officeDocument/2006/relationships/hyperlink" Target="https://osf.io/8kzgd" TargetMode="External"/><Relationship Id="rId1098" Type="http://schemas.openxmlformats.org/officeDocument/2006/relationships/hyperlink" Target="https://doi.org/10.17605/OSF.IO/HBPXN" TargetMode="External"/><Relationship Id="rId147" Type="http://schemas.openxmlformats.org/officeDocument/2006/relationships/hyperlink" Target="https://www.prolific.co" TargetMode="External"/><Relationship Id="rId1099" Type="http://schemas.openxmlformats.org/officeDocument/2006/relationships/hyperlink" Target="http://osf.io/w9bza/" TargetMode="External"/><Relationship Id="rId146" Type="http://schemas.openxmlformats.org/officeDocument/2006/relationships/hyperlink" Target="https://www.prolific.co" TargetMode="External"/><Relationship Id="rId145" Type="http://schemas.openxmlformats.org/officeDocument/2006/relationships/hyperlink" Target="https://www.prolific.co" TargetMode="External"/><Relationship Id="rId144" Type="http://schemas.openxmlformats.org/officeDocument/2006/relationships/hyperlink" Target="https://www.prolific.co" TargetMode="External"/><Relationship Id="rId139" Type="http://schemas.openxmlformats.org/officeDocument/2006/relationships/hyperlink" Target="https://osf.io/8kzgd" TargetMode="External"/><Relationship Id="rId138" Type="http://schemas.openxmlformats.org/officeDocument/2006/relationships/hyperlink" Target="https://osf.io/8kzgd" TargetMode="External"/><Relationship Id="rId137" Type="http://schemas.openxmlformats.org/officeDocument/2006/relationships/hyperlink" Target="https://osf.io/8ga4s?view_only=38d7630a8c6e4eb6aee200540eec175d" TargetMode="External"/><Relationship Id="rId1080" Type="http://schemas.openxmlformats.org/officeDocument/2006/relationships/hyperlink" Target="http://doi.org/10.1007/s13164-018-0400-9" TargetMode="External"/><Relationship Id="rId1081" Type="http://schemas.openxmlformats.org/officeDocument/2006/relationships/hyperlink" Target="https://osf.io/4ewkh" TargetMode="External"/><Relationship Id="rId1082" Type="http://schemas.openxmlformats.org/officeDocument/2006/relationships/hyperlink" Target="https://doi.org/10.17605/OSF.IO/M9VRK" TargetMode="External"/><Relationship Id="rId1083" Type="http://schemas.openxmlformats.org/officeDocument/2006/relationships/hyperlink" Target="http://osf.io/2ukpq" TargetMode="External"/><Relationship Id="rId132" Type="http://schemas.openxmlformats.org/officeDocument/2006/relationships/hyperlink" Target="https://osf.io/8ga4s?view_only=38d7630a8c6e4eb6aee200540eec175d" TargetMode="External"/><Relationship Id="rId1084" Type="http://schemas.openxmlformats.org/officeDocument/2006/relationships/hyperlink" Target="http://doi.org/10.1007/s13164-018-0400-9" TargetMode="External"/><Relationship Id="rId131" Type="http://schemas.openxmlformats.org/officeDocument/2006/relationships/hyperlink" Target="https://osf.io/8ga4s?view_only=38d7630a8c6e4eb6aee200540eec175d" TargetMode="External"/><Relationship Id="rId1085" Type="http://schemas.openxmlformats.org/officeDocument/2006/relationships/hyperlink" Target="https://osf.io/4ewkh" TargetMode="External"/><Relationship Id="rId130" Type="http://schemas.openxmlformats.org/officeDocument/2006/relationships/hyperlink" Target="https://osf.io/8ga4s?view_only=38d7630a8c6e4eb6aee200540eec175d" TargetMode="External"/><Relationship Id="rId1086" Type="http://schemas.openxmlformats.org/officeDocument/2006/relationships/hyperlink" Target="https://doi.org/10.17605/OSF.IO/9E3T5" TargetMode="External"/><Relationship Id="rId1087" Type="http://schemas.openxmlformats.org/officeDocument/2006/relationships/hyperlink" Target="http://osf.io/ka5wv/" TargetMode="External"/><Relationship Id="rId136" Type="http://schemas.openxmlformats.org/officeDocument/2006/relationships/hyperlink" Target="https://osf.io/8ga4s?view_only=38d7630a8c6e4eb6aee200540eec175d" TargetMode="External"/><Relationship Id="rId1088" Type="http://schemas.openxmlformats.org/officeDocument/2006/relationships/hyperlink" Target="http://doi.org/10.1007/s13164-018-0400-9" TargetMode="External"/><Relationship Id="rId135" Type="http://schemas.openxmlformats.org/officeDocument/2006/relationships/hyperlink" Target="https://osf.io/8ga4s?view_only=38d7630a8c6e4eb6aee200540eec175d" TargetMode="External"/><Relationship Id="rId1089" Type="http://schemas.openxmlformats.org/officeDocument/2006/relationships/hyperlink" Target="https://osf.io/4ewkh" TargetMode="External"/><Relationship Id="rId134" Type="http://schemas.openxmlformats.org/officeDocument/2006/relationships/hyperlink" Target="https://osf.io/8ga4s?view_only=38d7630a8c6e4eb6aee200540eec175d" TargetMode="External"/><Relationship Id="rId133" Type="http://schemas.openxmlformats.org/officeDocument/2006/relationships/hyperlink" Target="https://osf.io/8ga4s?view_only=38d7630a8c6e4eb6aee200540eec175d" TargetMode="External"/><Relationship Id="rId172" Type="http://schemas.openxmlformats.org/officeDocument/2006/relationships/hyperlink" Target="https://doi.org/10.1017/S0272263124000342" TargetMode="External"/><Relationship Id="rId171" Type="http://schemas.openxmlformats.org/officeDocument/2006/relationships/hyperlink" Target="https://doi.org/10.1017/S0272263124000342" TargetMode="External"/><Relationship Id="rId170" Type="http://schemas.openxmlformats.org/officeDocument/2006/relationships/hyperlink" Target="https://doi.org/10.1177/0267658310386439" TargetMode="External"/><Relationship Id="rId165" Type="http://schemas.openxmlformats.org/officeDocument/2006/relationships/hyperlink" Target="https://doi.org/10.1017/S0272263124000342" TargetMode="External"/><Relationship Id="rId164" Type="http://schemas.openxmlformats.org/officeDocument/2006/relationships/hyperlink" Target="https://doi.org/10.1177/0267658310386439" TargetMode="External"/><Relationship Id="rId163" Type="http://schemas.openxmlformats.org/officeDocument/2006/relationships/hyperlink" Target="https://doi.org/10.1017/S0272263124000342" TargetMode="External"/><Relationship Id="rId162" Type="http://schemas.openxmlformats.org/officeDocument/2006/relationships/hyperlink" Target="https://doi.org/10.1017/S0272263124000342" TargetMode="External"/><Relationship Id="rId169" Type="http://schemas.openxmlformats.org/officeDocument/2006/relationships/hyperlink" Target="https://doi.org/10.1017/S0272263124000342" TargetMode="External"/><Relationship Id="rId168" Type="http://schemas.openxmlformats.org/officeDocument/2006/relationships/hyperlink" Target="https://doi.org/10.1017/S0272263124000342" TargetMode="External"/><Relationship Id="rId167" Type="http://schemas.openxmlformats.org/officeDocument/2006/relationships/hyperlink" Target="https://doi.org/10.1177/0267658310386439" TargetMode="External"/><Relationship Id="rId166" Type="http://schemas.openxmlformats.org/officeDocument/2006/relationships/hyperlink" Target="https://doi.org/10.1017/S0272263124000342" TargetMode="External"/><Relationship Id="rId161" Type="http://schemas.openxmlformats.org/officeDocument/2006/relationships/hyperlink" Target="https://doi.org/10.1177/0267658310386439" TargetMode="External"/><Relationship Id="rId160" Type="http://schemas.openxmlformats.org/officeDocument/2006/relationships/hyperlink" Target="https://osf.io/t2vkp/" TargetMode="External"/><Relationship Id="rId159" Type="http://schemas.openxmlformats.org/officeDocument/2006/relationships/hyperlink" Target="https://doi.org/10.1002/jeab.915" TargetMode="External"/><Relationship Id="rId154" Type="http://schemas.openxmlformats.org/officeDocument/2006/relationships/hyperlink" Target="https://www.prolific.co" TargetMode="External"/><Relationship Id="rId153" Type="http://schemas.openxmlformats.org/officeDocument/2006/relationships/hyperlink" Target="https://www.prolific.co" TargetMode="External"/><Relationship Id="rId152" Type="http://schemas.openxmlformats.org/officeDocument/2006/relationships/hyperlink" Target="https://www.prolific.co" TargetMode="External"/><Relationship Id="rId151" Type="http://schemas.openxmlformats.org/officeDocument/2006/relationships/hyperlink" Target="https://www.prolific.co" TargetMode="External"/><Relationship Id="rId158" Type="http://schemas.openxmlformats.org/officeDocument/2006/relationships/hyperlink" Target="https://doi.org/10.1002/jeab.705" TargetMode="External"/><Relationship Id="rId157" Type="http://schemas.openxmlformats.org/officeDocument/2006/relationships/hyperlink" Target="https://www.prolific.co" TargetMode="External"/><Relationship Id="rId156" Type="http://schemas.openxmlformats.org/officeDocument/2006/relationships/hyperlink" Target="https://www.prolific.co" TargetMode="External"/><Relationship Id="rId155" Type="http://schemas.openxmlformats.org/officeDocument/2006/relationships/hyperlink" Target="https://www.prolific.co" TargetMode="External"/><Relationship Id="rId1972" Type="http://schemas.openxmlformats.org/officeDocument/2006/relationships/hyperlink" Target="https://osf.io/efzv3" TargetMode="External"/><Relationship Id="rId1973" Type="http://schemas.openxmlformats.org/officeDocument/2006/relationships/hyperlink" Target="https://osf.io/jubxw" TargetMode="External"/><Relationship Id="rId1974" Type="http://schemas.openxmlformats.org/officeDocument/2006/relationships/hyperlink" Target="https://osf.io/bstxp/" TargetMode="External"/><Relationship Id="rId1975" Type="http://schemas.openxmlformats.org/officeDocument/2006/relationships/hyperlink" Target="https://osf.io/9hn4c" TargetMode="External"/><Relationship Id="rId1976" Type="http://schemas.openxmlformats.org/officeDocument/2006/relationships/hyperlink" Target="https://osf.io/zpyj3" TargetMode="External"/><Relationship Id="rId1977" Type="http://schemas.openxmlformats.org/officeDocument/2006/relationships/hyperlink" Target="https://osf.io/jnq7e" TargetMode="External"/><Relationship Id="rId1978" Type="http://schemas.openxmlformats.org/officeDocument/2006/relationships/hyperlink" Target="https://osf.io/zj5n3" TargetMode="External"/><Relationship Id="rId1979" Type="http://schemas.openxmlformats.org/officeDocument/2006/relationships/hyperlink" Target="https://osf.io/6h5af" TargetMode="External"/><Relationship Id="rId1970" Type="http://schemas.openxmlformats.org/officeDocument/2006/relationships/hyperlink" Target="https://osf.io/srgg5" TargetMode="External"/><Relationship Id="rId1971" Type="http://schemas.openxmlformats.org/officeDocument/2006/relationships/hyperlink" Target="https://osf.io/knh6y" TargetMode="External"/><Relationship Id="rId1961" Type="http://schemas.openxmlformats.org/officeDocument/2006/relationships/hyperlink" Target="https://osf.io/2mtr3" TargetMode="External"/><Relationship Id="rId1962" Type="http://schemas.openxmlformats.org/officeDocument/2006/relationships/hyperlink" Target="https://osf.io/kgwf6" TargetMode="External"/><Relationship Id="rId1963" Type="http://schemas.openxmlformats.org/officeDocument/2006/relationships/hyperlink" Target="https://osf.io/mgjxv" TargetMode="External"/><Relationship Id="rId1964" Type="http://schemas.openxmlformats.org/officeDocument/2006/relationships/hyperlink" Target="https://osf.io/67mzc" TargetMode="External"/><Relationship Id="rId1965" Type="http://schemas.openxmlformats.org/officeDocument/2006/relationships/hyperlink" Target="https://osf.io/67mzc" TargetMode="External"/><Relationship Id="rId1966" Type="http://schemas.openxmlformats.org/officeDocument/2006/relationships/hyperlink" Target="https://osf.io/r3dt9" TargetMode="External"/><Relationship Id="rId1967" Type="http://schemas.openxmlformats.org/officeDocument/2006/relationships/hyperlink" Target="https://osf.io/67mzc" TargetMode="External"/><Relationship Id="rId1968" Type="http://schemas.openxmlformats.org/officeDocument/2006/relationships/hyperlink" Target="https://osf.io/67mzc" TargetMode="External"/><Relationship Id="rId1969" Type="http://schemas.openxmlformats.org/officeDocument/2006/relationships/hyperlink" Target="https://osf.io/knh6y" TargetMode="External"/><Relationship Id="rId1960" Type="http://schemas.openxmlformats.org/officeDocument/2006/relationships/hyperlink" Target="https://osf.io/kchf9" TargetMode="External"/><Relationship Id="rId1510" Type="http://schemas.openxmlformats.org/officeDocument/2006/relationships/hyperlink" Target="https://osf.io/psab8" TargetMode="External"/><Relationship Id="rId1994" Type="http://schemas.openxmlformats.org/officeDocument/2006/relationships/hyperlink" Target="https://osf.io/b4ga9" TargetMode="External"/><Relationship Id="rId1511" Type="http://schemas.openxmlformats.org/officeDocument/2006/relationships/hyperlink" Target="https://osf.io/y8njt" TargetMode="External"/><Relationship Id="rId1995" Type="http://schemas.openxmlformats.org/officeDocument/2006/relationships/hyperlink" Target="https://osf.io/84fyw" TargetMode="External"/><Relationship Id="rId1512" Type="http://schemas.openxmlformats.org/officeDocument/2006/relationships/hyperlink" Target="https://osf.io/tqf2u" TargetMode="External"/><Relationship Id="rId1996" Type="http://schemas.openxmlformats.org/officeDocument/2006/relationships/hyperlink" Target="https://osf.io/84fyw" TargetMode="External"/><Relationship Id="rId1513" Type="http://schemas.openxmlformats.org/officeDocument/2006/relationships/hyperlink" Target="https://osf.io/bvu64" TargetMode="External"/><Relationship Id="rId1997" Type="http://schemas.openxmlformats.org/officeDocument/2006/relationships/hyperlink" Target="https://osf.io/t64fw" TargetMode="External"/><Relationship Id="rId1514" Type="http://schemas.openxmlformats.org/officeDocument/2006/relationships/hyperlink" Target="https://osf.io/asn7w" TargetMode="External"/><Relationship Id="rId1998" Type="http://schemas.openxmlformats.org/officeDocument/2006/relationships/hyperlink" Target="https://osf.io/drvhe" TargetMode="External"/><Relationship Id="rId1515" Type="http://schemas.openxmlformats.org/officeDocument/2006/relationships/hyperlink" Target="https://osf.io/fsut4" TargetMode="External"/><Relationship Id="rId1999" Type="http://schemas.openxmlformats.org/officeDocument/2006/relationships/hyperlink" Target="https://osf.io/r4dve" TargetMode="External"/><Relationship Id="rId1516" Type="http://schemas.openxmlformats.org/officeDocument/2006/relationships/hyperlink" Target="https://osf.io/xtcuv" TargetMode="External"/><Relationship Id="rId1517" Type="http://schemas.openxmlformats.org/officeDocument/2006/relationships/hyperlink" Target="https://osf.io/bhnkq" TargetMode="External"/><Relationship Id="rId1518" Type="http://schemas.openxmlformats.org/officeDocument/2006/relationships/hyperlink" Target="https://osf.io/bhnkq" TargetMode="External"/><Relationship Id="rId1519" Type="http://schemas.openxmlformats.org/officeDocument/2006/relationships/hyperlink" Target="https://osf.io/gyn9e" TargetMode="External"/><Relationship Id="rId1990" Type="http://schemas.openxmlformats.org/officeDocument/2006/relationships/hyperlink" Target="https://osf.io/j8pbk" TargetMode="External"/><Relationship Id="rId1991" Type="http://schemas.openxmlformats.org/officeDocument/2006/relationships/hyperlink" Target="https://osf.io/j8pbk" TargetMode="External"/><Relationship Id="rId1992" Type="http://schemas.openxmlformats.org/officeDocument/2006/relationships/hyperlink" Target="https://osf.io/84fyw" TargetMode="External"/><Relationship Id="rId1993" Type="http://schemas.openxmlformats.org/officeDocument/2006/relationships/hyperlink" Target="https://osf.io/84fyw" TargetMode="External"/><Relationship Id="rId1983" Type="http://schemas.openxmlformats.org/officeDocument/2006/relationships/hyperlink" Target="https://osf.io/wh5gb" TargetMode="External"/><Relationship Id="rId1500" Type="http://schemas.openxmlformats.org/officeDocument/2006/relationships/hyperlink" Target="https://osf.io/e3ry5" TargetMode="External"/><Relationship Id="rId1984" Type="http://schemas.openxmlformats.org/officeDocument/2006/relationships/hyperlink" Target="https://osf.io/k2teb" TargetMode="External"/><Relationship Id="rId1501" Type="http://schemas.openxmlformats.org/officeDocument/2006/relationships/hyperlink" Target="https://osf.io/f59hn" TargetMode="External"/><Relationship Id="rId1985" Type="http://schemas.openxmlformats.org/officeDocument/2006/relationships/hyperlink" Target="https://osf.io/k2teb" TargetMode="External"/><Relationship Id="rId1502" Type="http://schemas.openxmlformats.org/officeDocument/2006/relationships/hyperlink" Target="https://osf.io/f59hn" TargetMode="External"/><Relationship Id="rId1986" Type="http://schemas.openxmlformats.org/officeDocument/2006/relationships/hyperlink" Target="https://osf.io/3cgxv" TargetMode="External"/><Relationship Id="rId1503" Type="http://schemas.openxmlformats.org/officeDocument/2006/relationships/hyperlink" Target="https://osf.io/ktnmc" TargetMode="External"/><Relationship Id="rId1987" Type="http://schemas.openxmlformats.org/officeDocument/2006/relationships/hyperlink" Target="https://osf.io/mgjxv" TargetMode="External"/><Relationship Id="rId1504" Type="http://schemas.openxmlformats.org/officeDocument/2006/relationships/hyperlink" Target="https://osf.io/chf7m" TargetMode="External"/><Relationship Id="rId1988" Type="http://schemas.openxmlformats.org/officeDocument/2006/relationships/hyperlink" Target="https://osf.io/j8pbk" TargetMode="External"/><Relationship Id="rId1505" Type="http://schemas.openxmlformats.org/officeDocument/2006/relationships/hyperlink" Target="https://osf.io/chf7m" TargetMode="External"/><Relationship Id="rId1989" Type="http://schemas.openxmlformats.org/officeDocument/2006/relationships/hyperlink" Target="https://osf.io/jqaac" TargetMode="External"/><Relationship Id="rId1506" Type="http://schemas.openxmlformats.org/officeDocument/2006/relationships/hyperlink" Target="https://osf.io/2h4vx" TargetMode="External"/><Relationship Id="rId1507" Type="http://schemas.openxmlformats.org/officeDocument/2006/relationships/hyperlink" Target="https://osf.io/ep2an" TargetMode="External"/><Relationship Id="rId1508" Type="http://schemas.openxmlformats.org/officeDocument/2006/relationships/hyperlink" Target="https://osf.io/ep2an" TargetMode="External"/><Relationship Id="rId1509" Type="http://schemas.openxmlformats.org/officeDocument/2006/relationships/hyperlink" Target="https://osf.io/x7c9i" TargetMode="External"/><Relationship Id="rId1980" Type="http://schemas.openxmlformats.org/officeDocument/2006/relationships/hyperlink" Target="https://osf.io/zj5n3" TargetMode="External"/><Relationship Id="rId1981" Type="http://schemas.openxmlformats.org/officeDocument/2006/relationships/hyperlink" Target="https://osf.io/zj5n3" TargetMode="External"/><Relationship Id="rId1982" Type="http://schemas.openxmlformats.org/officeDocument/2006/relationships/hyperlink" Target="https://osf.io/k2teb" TargetMode="External"/><Relationship Id="rId1930" Type="http://schemas.openxmlformats.org/officeDocument/2006/relationships/hyperlink" Target="https://osf.io/vk2cs" TargetMode="External"/><Relationship Id="rId1931" Type="http://schemas.openxmlformats.org/officeDocument/2006/relationships/hyperlink" Target="https://osf.io/agxwv" TargetMode="External"/><Relationship Id="rId1932" Type="http://schemas.openxmlformats.org/officeDocument/2006/relationships/hyperlink" Target="https://osf.io/vk2cs" TargetMode="External"/><Relationship Id="rId1933" Type="http://schemas.openxmlformats.org/officeDocument/2006/relationships/hyperlink" Target="https://osf.io/agxwv" TargetMode="External"/><Relationship Id="rId1934" Type="http://schemas.openxmlformats.org/officeDocument/2006/relationships/hyperlink" Target="https://osf.io/vk2cs" TargetMode="External"/><Relationship Id="rId1935" Type="http://schemas.openxmlformats.org/officeDocument/2006/relationships/hyperlink" Target="https://osf.io/agxwv" TargetMode="External"/><Relationship Id="rId1936" Type="http://schemas.openxmlformats.org/officeDocument/2006/relationships/hyperlink" Target="https://osf.io/vk2cs" TargetMode="External"/><Relationship Id="rId1937" Type="http://schemas.openxmlformats.org/officeDocument/2006/relationships/hyperlink" Target="https://osf.io/agxwv" TargetMode="External"/><Relationship Id="rId1938" Type="http://schemas.openxmlformats.org/officeDocument/2006/relationships/hyperlink" Target="https://osf.io/vk2cs" TargetMode="External"/><Relationship Id="rId1939" Type="http://schemas.openxmlformats.org/officeDocument/2006/relationships/hyperlink" Target="https://osf.io/jpwd3" TargetMode="External"/><Relationship Id="rId1920" Type="http://schemas.openxmlformats.org/officeDocument/2006/relationships/hyperlink" Target="https://rstudio-pubs-static.s3.amazonaws.com/696061_39068ca5d4344e6894d818cbf8f2c60e.html" TargetMode="External"/><Relationship Id="rId1921" Type="http://schemas.openxmlformats.org/officeDocument/2006/relationships/hyperlink" Target="https://osf.io/ab9q3" TargetMode="External"/><Relationship Id="rId1922" Type="http://schemas.openxmlformats.org/officeDocument/2006/relationships/hyperlink" Target="https://osf.io/yt5q8/" TargetMode="External"/><Relationship Id="rId1923" Type="http://schemas.openxmlformats.org/officeDocument/2006/relationships/hyperlink" Target="https://osf.io/yt5q8/" TargetMode="External"/><Relationship Id="rId1924" Type="http://schemas.openxmlformats.org/officeDocument/2006/relationships/hyperlink" Target="https://osf.io/agxwv" TargetMode="External"/><Relationship Id="rId1925" Type="http://schemas.openxmlformats.org/officeDocument/2006/relationships/hyperlink" Target="https://osf.io/agxwv" TargetMode="External"/><Relationship Id="rId1926" Type="http://schemas.openxmlformats.org/officeDocument/2006/relationships/hyperlink" Target="https://osf.io/vk2cs" TargetMode="External"/><Relationship Id="rId1927" Type="http://schemas.openxmlformats.org/officeDocument/2006/relationships/hyperlink" Target="https://osf.io/agxwv" TargetMode="External"/><Relationship Id="rId1928" Type="http://schemas.openxmlformats.org/officeDocument/2006/relationships/hyperlink" Target="https://osf.io/vk2cs" TargetMode="External"/><Relationship Id="rId1929" Type="http://schemas.openxmlformats.org/officeDocument/2006/relationships/hyperlink" Target="https://osf.io/agxwv" TargetMode="External"/><Relationship Id="rId1950" Type="http://schemas.openxmlformats.org/officeDocument/2006/relationships/hyperlink" Target="https://rpubs.com/dmetaxak/correll2007" TargetMode="External"/><Relationship Id="rId1951" Type="http://schemas.openxmlformats.org/officeDocument/2006/relationships/hyperlink" Target="https://rpubs.com/staciaking/craig2014" TargetMode="External"/><Relationship Id="rId1952" Type="http://schemas.openxmlformats.org/officeDocument/2006/relationships/hyperlink" Target="https://rpubs.com/isabellamullen/1255746" TargetMode="External"/><Relationship Id="rId1953" Type="http://schemas.openxmlformats.org/officeDocument/2006/relationships/hyperlink" Target="https://osf.io/szcuk" TargetMode="External"/><Relationship Id="rId1954" Type="http://schemas.openxmlformats.org/officeDocument/2006/relationships/hyperlink" Target="https://osf.io/szcuk" TargetMode="External"/><Relationship Id="rId1955" Type="http://schemas.openxmlformats.org/officeDocument/2006/relationships/hyperlink" Target="https://osf.io/3kpjx" TargetMode="External"/><Relationship Id="rId1956" Type="http://schemas.openxmlformats.org/officeDocument/2006/relationships/hyperlink" Target="https://osf.io/szcuk" TargetMode="External"/><Relationship Id="rId1957" Type="http://schemas.openxmlformats.org/officeDocument/2006/relationships/hyperlink" Target="https://osf.io/szcuk" TargetMode="External"/><Relationship Id="rId1958" Type="http://schemas.openxmlformats.org/officeDocument/2006/relationships/hyperlink" Target="https://osf.io/kchf9" TargetMode="External"/><Relationship Id="rId1959" Type="http://schemas.openxmlformats.org/officeDocument/2006/relationships/hyperlink" Target="https://osf.io/yrbq9" TargetMode="External"/><Relationship Id="rId1940" Type="http://schemas.openxmlformats.org/officeDocument/2006/relationships/hyperlink" Target="https://osf.io/jpwd3" TargetMode="External"/><Relationship Id="rId1941" Type="http://schemas.openxmlformats.org/officeDocument/2006/relationships/hyperlink" Target="https://osf.io/wj3bm" TargetMode="External"/><Relationship Id="rId1942" Type="http://schemas.openxmlformats.org/officeDocument/2006/relationships/hyperlink" Target="https://osf.io/wj3bm" TargetMode="External"/><Relationship Id="rId1943" Type="http://schemas.openxmlformats.org/officeDocument/2006/relationships/hyperlink" Target="https://osf.io/wj3bm" TargetMode="External"/><Relationship Id="rId1944" Type="http://schemas.openxmlformats.org/officeDocument/2006/relationships/hyperlink" Target="https://osf.io/vmfue" TargetMode="External"/><Relationship Id="rId1945" Type="http://schemas.openxmlformats.org/officeDocument/2006/relationships/hyperlink" Target="https://osf.io/7d3ha" TargetMode="External"/><Relationship Id="rId1946" Type="http://schemas.openxmlformats.org/officeDocument/2006/relationships/hyperlink" Target="https://osf.io/7d3ha" TargetMode="External"/><Relationship Id="rId1947" Type="http://schemas.openxmlformats.org/officeDocument/2006/relationships/hyperlink" Target="https://osf.io/7d3ha" TargetMode="External"/><Relationship Id="rId1948" Type="http://schemas.openxmlformats.org/officeDocument/2006/relationships/hyperlink" Target="https://rpubs.com/dmetaxak/correll2007" TargetMode="External"/><Relationship Id="rId1949" Type="http://schemas.openxmlformats.org/officeDocument/2006/relationships/hyperlink" Target="https://rpubs.com/dmetaxak/correll2007" TargetMode="External"/><Relationship Id="rId1576" Type="http://schemas.openxmlformats.org/officeDocument/2006/relationships/hyperlink" Target="https://osf.io/ak3rj" TargetMode="External"/><Relationship Id="rId1577" Type="http://schemas.openxmlformats.org/officeDocument/2006/relationships/hyperlink" Target="https://osf.io/es7ub" TargetMode="External"/><Relationship Id="rId1578" Type="http://schemas.openxmlformats.org/officeDocument/2006/relationships/hyperlink" Target="https://osf.io/es7ub" TargetMode="External"/><Relationship Id="rId1579" Type="http://schemas.openxmlformats.org/officeDocument/2006/relationships/hyperlink" Target="https://osf.io/nrjs5" TargetMode="External"/><Relationship Id="rId509" Type="http://schemas.openxmlformats.org/officeDocument/2006/relationships/hyperlink" Target="https://osf.io/tjr7a/" TargetMode="External"/><Relationship Id="rId508" Type="http://schemas.openxmlformats.org/officeDocument/2006/relationships/hyperlink" Target="https://osf.io/tjr7a/" TargetMode="External"/><Relationship Id="rId503" Type="http://schemas.openxmlformats.org/officeDocument/2006/relationships/hyperlink" Target="https://osf.io/ja3wc" TargetMode="External"/><Relationship Id="rId987" Type="http://schemas.openxmlformats.org/officeDocument/2006/relationships/hyperlink" Target="http://osf.io/bv42c/" TargetMode="External"/><Relationship Id="rId502" Type="http://schemas.openxmlformats.org/officeDocument/2006/relationships/hyperlink" Target="https://osf.io/ja3wc" TargetMode="External"/><Relationship Id="rId986" Type="http://schemas.openxmlformats.org/officeDocument/2006/relationships/hyperlink" Target="http://osf.io/8kf3p/" TargetMode="External"/><Relationship Id="rId501" Type="http://schemas.openxmlformats.org/officeDocument/2006/relationships/hyperlink" Target="https://osf.io/yqxme" TargetMode="External"/><Relationship Id="rId985" Type="http://schemas.openxmlformats.org/officeDocument/2006/relationships/hyperlink" Target="https://doi.org/10.17605/OSF.IO/TFC6X" TargetMode="External"/><Relationship Id="rId500" Type="http://schemas.openxmlformats.org/officeDocument/2006/relationships/hyperlink" Target="https://osf.io/yqxme" TargetMode="External"/><Relationship Id="rId984" Type="http://schemas.openxmlformats.org/officeDocument/2006/relationships/hyperlink" Target="https://osf.io/4ewkh" TargetMode="External"/><Relationship Id="rId507" Type="http://schemas.openxmlformats.org/officeDocument/2006/relationships/hyperlink" Target="https://digitalcommons.montclair.edu/student-research-symposium/2024/poster01/21/" TargetMode="External"/><Relationship Id="rId506" Type="http://schemas.openxmlformats.org/officeDocument/2006/relationships/hyperlink" Target="https://digitalcommons.montclair.edu/student-research-symposium/2024/poster01/21/" TargetMode="External"/><Relationship Id="rId505" Type="http://schemas.openxmlformats.org/officeDocument/2006/relationships/hyperlink" Target="https://cornerstone.lib.mnsu.edu/etds/1424/" TargetMode="External"/><Relationship Id="rId989" Type="http://schemas.openxmlformats.org/officeDocument/2006/relationships/hyperlink" Target="http://doi.org/10.1007/s13164-018-0400-9" TargetMode="External"/><Relationship Id="rId504" Type="http://schemas.openxmlformats.org/officeDocument/2006/relationships/hyperlink" Target="https://cornerstone.lib.mnsu.edu/etds/1424/" TargetMode="External"/><Relationship Id="rId988" Type="http://schemas.openxmlformats.org/officeDocument/2006/relationships/hyperlink" Target="http://osf.io/693bm/" TargetMode="External"/><Relationship Id="rId1570" Type="http://schemas.openxmlformats.org/officeDocument/2006/relationships/hyperlink" Target="https://osf.io/x5szy" TargetMode="External"/><Relationship Id="rId1571" Type="http://schemas.openxmlformats.org/officeDocument/2006/relationships/hyperlink" Target="https://osf.io/hzka3" TargetMode="External"/><Relationship Id="rId983" Type="http://schemas.openxmlformats.org/officeDocument/2006/relationships/hyperlink" Target="http://doi.org/10.1007/s13164-018-0400-9" TargetMode="External"/><Relationship Id="rId1572" Type="http://schemas.openxmlformats.org/officeDocument/2006/relationships/hyperlink" Target="https://osf.io/hzka3" TargetMode="External"/><Relationship Id="rId982" Type="http://schemas.openxmlformats.org/officeDocument/2006/relationships/hyperlink" Target="http://osf.io/p48sa/" TargetMode="External"/><Relationship Id="rId1573" Type="http://schemas.openxmlformats.org/officeDocument/2006/relationships/hyperlink" Target="https://osf.io/8dzpj" TargetMode="External"/><Relationship Id="rId981" Type="http://schemas.openxmlformats.org/officeDocument/2006/relationships/hyperlink" Target="https://doi.org/10.17605/OSF.IO/N5ZSX" TargetMode="External"/><Relationship Id="rId1574" Type="http://schemas.openxmlformats.org/officeDocument/2006/relationships/hyperlink" Target="https://osf.io/sxnu6" TargetMode="External"/><Relationship Id="rId980" Type="http://schemas.openxmlformats.org/officeDocument/2006/relationships/hyperlink" Target="https://osf.io/4ewkh" TargetMode="External"/><Relationship Id="rId1575" Type="http://schemas.openxmlformats.org/officeDocument/2006/relationships/hyperlink" Target="https://osf.io/ak3rj" TargetMode="External"/><Relationship Id="rId1565" Type="http://schemas.openxmlformats.org/officeDocument/2006/relationships/hyperlink" Target="https://osf.io/yc2fe" TargetMode="External"/><Relationship Id="rId1566" Type="http://schemas.openxmlformats.org/officeDocument/2006/relationships/hyperlink" Target="https://osf.io/vdc5m" TargetMode="External"/><Relationship Id="rId1567" Type="http://schemas.openxmlformats.org/officeDocument/2006/relationships/hyperlink" Target="https://osf.io/vdc5m" TargetMode="External"/><Relationship Id="rId1568" Type="http://schemas.openxmlformats.org/officeDocument/2006/relationships/hyperlink" Target="https://osf.io/fw6hv" TargetMode="External"/><Relationship Id="rId1569" Type="http://schemas.openxmlformats.org/officeDocument/2006/relationships/hyperlink" Target="https://osf.io/fw6hv" TargetMode="External"/><Relationship Id="rId976" Type="http://schemas.openxmlformats.org/officeDocument/2006/relationships/hyperlink" Target="https://doi.org/10.17605/OSF.IO/GZRMV" TargetMode="External"/><Relationship Id="rId975" Type="http://schemas.openxmlformats.org/officeDocument/2006/relationships/hyperlink" Target="https://osf.io/4ewkh" TargetMode="External"/><Relationship Id="rId974" Type="http://schemas.openxmlformats.org/officeDocument/2006/relationships/hyperlink" Target="http://doi.org/10.1007/s13164-018-0400-9" TargetMode="External"/><Relationship Id="rId973" Type="http://schemas.openxmlformats.org/officeDocument/2006/relationships/hyperlink" Target="https://osf.io/658pq/" TargetMode="External"/><Relationship Id="rId979" Type="http://schemas.openxmlformats.org/officeDocument/2006/relationships/hyperlink" Target="http://doi.org/10.1007/s13164-018-0400-9" TargetMode="External"/><Relationship Id="rId978" Type="http://schemas.openxmlformats.org/officeDocument/2006/relationships/hyperlink" Target="http://osf.io/m8t3k/" TargetMode="External"/><Relationship Id="rId977" Type="http://schemas.openxmlformats.org/officeDocument/2006/relationships/hyperlink" Target="http://osf.io/hdz5x" TargetMode="External"/><Relationship Id="rId1560" Type="http://schemas.openxmlformats.org/officeDocument/2006/relationships/hyperlink" Target="https://osf.io/efjn3" TargetMode="External"/><Relationship Id="rId972" Type="http://schemas.openxmlformats.org/officeDocument/2006/relationships/hyperlink" Target="https://osf.io/uxajg" TargetMode="External"/><Relationship Id="rId1561" Type="http://schemas.openxmlformats.org/officeDocument/2006/relationships/hyperlink" Target="https://osf.io/cehgp" TargetMode="External"/><Relationship Id="rId971" Type="http://schemas.openxmlformats.org/officeDocument/2006/relationships/hyperlink" Target="https://osf.io/uxajg" TargetMode="External"/><Relationship Id="rId1562" Type="http://schemas.openxmlformats.org/officeDocument/2006/relationships/hyperlink" Target="https://osf.io/mv3i7" TargetMode="External"/><Relationship Id="rId970" Type="http://schemas.openxmlformats.org/officeDocument/2006/relationships/hyperlink" Target="https://osf.io/uxajg" TargetMode="External"/><Relationship Id="rId1563" Type="http://schemas.openxmlformats.org/officeDocument/2006/relationships/hyperlink" Target="https://osf.io/3rtvz" TargetMode="External"/><Relationship Id="rId1564" Type="http://schemas.openxmlformats.org/officeDocument/2006/relationships/hyperlink" Target="https://osf.io/3rtvz" TargetMode="External"/><Relationship Id="rId1114" Type="http://schemas.openxmlformats.org/officeDocument/2006/relationships/hyperlink" Target="http://osf.io/pjdkg" TargetMode="External"/><Relationship Id="rId1598" Type="http://schemas.openxmlformats.org/officeDocument/2006/relationships/hyperlink" Target="https://osf.io/7czwd" TargetMode="External"/><Relationship Id="rId1115" Type="http://schemas.openxmlformats.org/officeDocument/2006/relationships/hyperlink" Target="http://doi.org/10.1007/s13164-018-0400-9" TargetMode="External"/><Relationship Id="rId1599" Type="http://schemas.openxmlformats.org/officeDocument/2006/relationships/hyperlink" Target="https://osf.io/b9dpu" TargetMode="External"/><Relationship Id="rId1116" Type="http://schemas.openxmlformats.org/officeDocument/2006/relationships/hyperlink" Target="https://osf.io/4ewkh" TargetMode="External"/><Relationship Id="rId1117" Type="http://schemas.openxmlformats.org/officeDocument/2006/relationships/hyperlink" Target="https://doi.org/10.17605/OSF.IO/69DQC" TargetMode="External"/><Relationship Id="rId1118" Type="http://schemas.openxmlformats.org/officeDocument/2006/relationships/hyperlink" Target="http://doi.org/10.1007/s13164-018-0400-9" TargetMode="External"/><Relationship Id="rId1119" Type="http://schemas.openxmlformats.org/officeDocument/2006/relationships/hyperlink" Target="https://osf.io/4ewkh" TargetMode="External"/><Relationship Id="rId525" Type="http://schemas.openxmlformats.org/officeDocument/2006/relationships/hyperlink" Target="https://osf.io/p2hr3" TargetMode="External"/><Relationship Id="rId524" Type="http://schemas.openxmlformats.org/officeDocument/2006/relationships/hyperlink" Target="https://osf.io/p2hr3" TargetMode="External"/><Relationship Id="rId523" Type="http://schemas.openxmlformats.org/officeDocument/2006/relationships/hyperlink" Target="https://osf.io/p2hr3" TargetMode="External"/><Relationship Id="rId522" Type="http://schemas.openxmlformats.org/officeDocument/2006/relationships/hyperlink" Target="https://aspredicted.org/PHY_PZZ" TargetMode="External"/><Relationship Id="rId529" Type="http://schemas.openxmlformats.org/officeDocument/2006/relationships/hyperlink" Target="https://osf.io/p2hr3" TargetMode="External"/><Relationship Id="rId528" Type="http://schemas.openxmlformats.org/officeDocument/2006/relationships/hyperlink" Target="https://osf.io/p2hr3" TargetMode="External"/><Relationship Id="rId527" Type="http://schemas.openxmlformats.org/officeDocument/2006/relationships/hyperlink" Target="https://osf.io/p2hr3" TargetMode="External"/><Relationship Id="rId526" Type="http://schemas.openxmlformats.org/officeDocument/2006/relationships/hyperlink" Target="https://osf.io/p2hr3" TargetMode="External"/><Relationship Id="rId1590" Type="http://schemas.openxmlformats.org/officeDocument/2006/relationships/hyperlink" Target="https://osf.io/p3gz2" TargetMode="External"/><Relationship Id="rId1591" Type="http://schemas.openxmlformats.org/officeDocument/2006/relationships/hyperlink" Target="https://osf.io/7bnfp" TargetMode="External"/><Relationship Id="rId1592" Type="http://schemas.openxmlformats.org/officeDocument/2006/relationships/hyperlink" Target="https://osf.io/v3e2z" TargetMode="External"/><Relationship Id="rId1593" Type="http://schemas.openxmlformats.org/officeDocument/2006/relationships/hyperlink" Target="https://osf.io/kg2x5" TargetMode="External"/><Relationship Id="rId521" Type="http://schemas.openxmlformats.org/officeDocument/2006/relationships/hyperlink" Target="https://aspredicted.org/PHY_PZZ" TargetMode="External"/><Relationship Id="rId1110" Type="http://schemas.openxmlformats.org/officeDocument/2006/relationships/hyperlink" Target="https://osf.io/4ewkh" TargetMode="External"/><Relationship Id="rId1594" Type="http://schemas.openxmlformats.org/officeDocument/2006/relationships/hyperlink" Target="https://osf.io/2jwi6" TargetMode="External"/><Relationship Id="rId520" Type="http://schemas.openxmlformats.org/officeDocument/2006/relationships/hyperlink" Target="https://researchbox.org/1499" TargetMode="External"/><Relationship Id="rId1111" Type="http://schemas.openxmlformats.org/officeDocument/2006/relationships/hyperlink" Target="https://doi.org/10.17605/OSF.IO/N5ZSX" TargetMode="External"/><Relationship Id="rId1595" Type="http://schemas.openxmlformats.org/officeDocument/2006/relationships/hyperlink" Target="https://osf.io/jhn4g" TargetMode="External"/><Relationship Id="rId1112" Type="http://schemas.openxmlformats.org/officeDocument/2006/relationships/hyperlink" Target="http://doi.org/10.1007/s13164-018-0400-9" TargetMode="External"/><Relationship Id="rId1596" Type="http://schemas.openxmlformats.org/officeDocument/2006/relationships/hyperlink" Target="https://osf.io/68m2c" TargetMode="External"/><Relationship Id="rId1113" Type="http://schemas.openxmlformats.org/officeDocument/2006/relationships/hyperlink" Target="https://osf.io/4ewkh" TargetMode="External"/><Relationship Id="rId1597" Type="http://schemas.openxmlformats.org/officeDocument/2006/relationships/hyperlink" Target="https://osf.io/7czwd" TargetMode="External"/><Relationship Id="rId1103" Type="http://schemas.openxmlformats.org/officeDocument/2006/relationships/hyperlink" Target="http://osf.io/4gvd5/" TargetMode="External"/><Relationship Id="rId1587" Type="http://schemas.openxmlformats.org/officeDocument/2006/relationships/hyperlink" Target="https://osf.io/q7hm4" TargetMode="External"/><Relationship Id="rId1104" Type="http://schemas.openxmlformats.org/officeDocument/2006/relationships/hyperlink" Target="http://osf.io/jtsnn/" TargetMode="External"/><Relationship Id="rId1588" Type="http://schemas.openxmlformats.org/officeDocument/2006/relationships/hyperlink" Target="https://osf.io/p3gz2" TargetMode="External"/><Relationship Id="rId1105" Type="http://schemas.openxmlformats.org/officeDocument/2006/relationships/hyperlink" Target="http://doi.org/10.1007/s13164-018-0400-9" TargetMode="External"/><Relationship Id="rId1589" Type="http://schemas.openxmlformats.org/officeDocument/2006/relationships/hyperlink" Target="https://osf.io/7bnfp" TargetMode="External"/><Relationship Id="rId1106" Type="http://schemas.openxmlformats.org/officeDocument/2006/relationships/hyperlink" Target="https://osf.io/4ewkh" TargetMode="External"/><Relationship Id="rId1107" Type="http://schemas.openxmlformats.org/officeDocument/2006/relationships/hyperlink" Target="https://doi.org/10.17605/OSF.IO/Q2E5K" TargetMode="External"/><Relationship Id="rId1108" Type="http://schemas.openxmlformats.org/officeDocument/2006/relationships/hyperlink" Target="http://osf.io/6ds5e/" TargetMode="External"/><Relationship Id="rId1109" Type="http://schemas.openxmlformats.org/officeDocument/2006/relationships/hyperlink" Target="http://doi.org/10.1007/s13164-018-0400-9" TargetMode="External"/><Relationship Id="rId519" Type="http://schemas.openxmlformats.org/officeDocument/2006/relationships/hyperlink" Target="https://aspredicted.org/blind.php?x=6w6gu4" TargetMode="External"/><Relationship Id="rId514" Type="http://schemas.openxmlformats.org/officeDocument/2006/relationships/hyperlink" Target="https://doi.org/10.1257/rct.3585-2.0" TargetMode="External"/><Relationship Id="rId998" Type="http://schemas.openxmlformats.org/officeDocument/2006/relationships/hyperlink" Target="http://doi.org/10.1007/s13164-018-0400-9" TargetMode="External"/><Relationship Id="rId513" Type="http://schemas.openxmlformats.org/officeDocument/2006/relationships/hyperlink" Target="https://osf.io/tjr7a/" TargetMode="External"/><Relationship Id="rId997" Type="http://schemas.openxmlformats.org/officeDocument/2006/relationships/hyperlink" Target="http://osf.io/7er6r/" TargetMode="External"/><Relationship Id="rId512" Type="http://schemas.openxmlformats.org/officeDocument/2006/relationships/hyperlink" Target="https://osf.io/tjr7a/" TargetMode="External"/><Relationship Id="rId996" Type="http://schemas.openxmlformats.org/officeDocument/2006/relationships/hyperlink" Target="https://doi.org/10.17605/OSF.IO/N9HDV" TargetMode="External"/><Relationship Id="rId511" Type="http://schemas.openxmlformats.org/officeDocument/2006/relationships/hyperlink" Target="https://osf.io/tjr7a/" TargetMode="External"/><Relationship Id="rId995" Type="http://schemas.openxmlformats.org/officeDocument/2006/relationships/hyperlink" Target="https://osf.io/4ewkh" TargetMode="External"/><Relationship Id="rId518" Type="http://schemas.openxmlformats.org/officeDocument/2006/relationships/hyperlink" Target="https://researchbox.org/1499" TargetMode="External"/><Relationship Id="rId517" Type="http://schemas.openxmlformats.org/officeDocument/2006/relationships/hyperlink" Target="https://aspredicted.org/blind.php?x=6w6gu4" TargetMode="External"/><Relationship Id="rId516" Type="http://schemas.openxmlformats.org/officeDocument/2006/relationships/hyperlink" Target="https://doi.org/10.1257/rct.3585-2.0" TargetMode="External"/><Relationship Id="rId515" Type="http://schemas.openxmlformats.org/officeDocument/2006/relationships/hyperlink" Target="https://doi.org/10.1257/rct.3585-2.0" TargetMode="External"/><Relationship Id="rId999" Type="http://schemas.openxmlformats.org/officeDocument/2006/relationships/hyperlink" Target="https://osf.io/4ewkh" TargetMode="External"/><Relationship Id="rId990" Type="http://schemas.openxmlformats.org/officeDocument/2006/relationships/hyperlink" Target="https://osf.io/4ewkh" TargetMode="External"/><Relationship Id="rId1580" Type="http://schemas.openxmlformats.org/officeDocument/2006/relationships/hyperlink" Target="https://osf.io/b9jtc" TargetMode="External"/><Relationship Id="rId1581" Type="http://schemas.openxmlformats.org/officeDocument/2006/relationships/hyperlink" Target="https://osf.io/b9jtc" TargetMode="External"/><Relationship Id="rId1582" Type="http://schemas.openxmlformats.org/officeDocument/2006/relationships/hyperlink" Target="https://osf.io/6vsc4" TargetMode="External"/><Relationship Id="rId510" Type="http://schemas.openxmlformats.org/officeDocument/2006/relationships/hyperlink" Target="https://osf.io/tjr7a/" TargetMode="External"/><Relationship Id="rId994" Type="http://schemas.openxmlformats.org/officeDocument/2006/relationships/hyperlink" Target="https://osf.io/4ewkh" TargetMode="External"/><Relationship Id="rId1583" Type="http://schemas.openxmlformats.org/officeDocument/2006/relationships/hyperlink" Target="https://osf.io/9uqxr" TargetMode="External"/><Relationship Id="rId993" Type="http://schemas.openxmlformats.org/officeDocument/2006/relationships/hyperlink" Target="http://doi.org/10.1007/s13164-018-0400-9" TargetMode="External"/><Relationship Id="rId1100" Type="http://schemas.openxmlformats.org/officeDocument/2006/relationships/hyperlink" Target="http://doi.org/10.1007/s13164-018-0400-9" TargetMode="External"/><Relationship Id="rId1584" Type="http://schemas.openxmlformats.org/officeDocument/2006/relationships/hyperlink" Target="https://osf.io/ty9xh" TargetMode="External"/><Relationship Id="rId992" Type="http://schemas.openxmlformats.org/officeDocument/2006/relationships/hyperlink" Target="http://osf.io/pjdkg" TargetMode="External"/><Relationship Id="rId1101" Type="http://schemas.openxmlformats.org/officeDocument/2006/relationships/hyperlink" Target="https://osf.io/4ewkh" TargetMode="External"/><Relationship Id="rId1585" Type="http://schemas.openxmlformats.org/officeDocument/2006/relationships/hyperlink" Target="https://osf.io/ty9xh" TargetMode="External"/><Relationship Id="rId991" Type="http://schemas.openxmlformats.org/officeDocument/2006/relationships/hyperlink" Target="https://doi.org/10.17605/OSF.IO/69DQC" TargetMode="External"/><Relationship Id="rId1102" Type="http://schemas.openxmlformats.org/officeDocument/2006/relationships/hyperlink" Target="https://doi.org/10.17605/OSF.IO/26YZU" TargetMode="External"/><Relationship Id="rId1586" Type="http://schemas.openxmlformats.org/officeDocument/2006/relationships/hyperlink" Target="https://osf.io/a6mje" TargetMode="External"/><Relationship Id="rId1532" Type="http://schemas.openxmlformats.org/officeDocument/2006/relationships/hyperlink" Target="https://osf.io/u3x7s" TargetMode="External"/><Relationship Id="rId1533" Type="http://schemas.openxmlformats.org/officeDocument/2006/relationships/hyperlink" Target="https://osf.io/uhnd2" TargetMode="External"/><Relationship Id="rId1534" Type="http://schemas.openxmlformats.org/officeDocument/2006/relationships/hyperlink" Target="https://osf.io/853ue" TargetMode="External"/><Relationship Id="rId1535" Type="http://schemas.openxmlformats.org/officeDocument/2006/relationships/hyperlink" Target="https://osf.io/853ue" TargetMode="External"/><Relationship Id="rId1536" Type="http://schemas.openxmlformats.org/officeDocument/2006/relationships/hyperlink" Target="http://osf.io/vy1bc" TargetMode="External"/><Relationship Id="rId1537" Type="http://schemas.openxmlformats.org/officeDocument/2006/relationships/hyperlink" Target="https://osf.io/2pbaf" TargetMode="External"/><Relationship Id="rId1538" Type="http://schemas.openxmlformats.org/officeDocument/2006/relationships/hyperlink" Target="https://osf.io/36dr5" TargetMode="External"/><Relationship Id="rId1539" Type="http://schemas.openxmlformats.org/officeDocument/2006/relationships/hyperlink" Target="https://osf.io/v7bjc" TargetMode="External"/><Relationship Id="rId949" Type="http://schemas.openxmlformats.org/officeDocument/2006/relationships/hyperlink" Target="https://osf.io/j8a4p" TargetMode="External"/><Relationship Id="rId948" Type="http://schemas.openxmlformats.org/officeDocument/2006/relationships/hyperlink" Target="https://doi.org/10.17605/OSF.IO/J8A4P" TargetMode="External"/><Relationship Id="rId943" Type="http://schemas.openxmlformats.org/officeDocument/2006/relationships/hyperlink" Target="https://doi.org/10.17605/OSF.IO/J8A4P" TargetMode="External"/><Relationship Id="rId942" Type="http://schemas.openxmlformats.org/officeDocument/2006/relationships/hyperlink" Target="https://doi.org/10.17605/OSF.IO/J8A4P" TargetMode="External"/><Relationship Id="rId941" Type="http://schemas.openxmlformats.org/officeDocument/2006/relationships/hyperlink" Target="https://osf.io/x9tq5" TargetMode="External"/><Relationship Id="rId940" Type="http://schemas.openxmlformats.org/officeDocument/2006/relationships/hyperlink" Target="https://osf.io/j8a4p" TargetMode="External"/><Relationship Id="rId947" Type="http://schemas.openxmlformats.org/officeDocument/2006/relationships/hyperlink" Target="https://doi.org/10.17605/OSF.IO/J8A4P" TargetMode="External"/><Relationship Id="rId946" Type="http://schemas.openxmlformats.org/officeDocument/2006/relationships/hyperlink" Target="https://osf.io/x9tq5" TargetMode="External"/><Relationship Id="rId945" Type="http://schemas.openxmlformats.org/officeDocument/2006/relationships/hyperlink" Target="https://osf.io/j8a4p" TargetMode="External"/><Relationship Id="rId944" Type="http://schemas.openxmlformats.org/officeDocument/2006/relationships/hyperlink" Target="https://osf.io/j8a4p" TargetMode="External"/><Relationship Id="rId1530" Type="http://schemas.openxmlformats.org/officeDocument/2006/relationships/hyperlink" Target="https://osf.io/6zdct" TargetMode="External"/><Relationship Id="rId1531" Type="http://schemas.openxmlformats.org/officeDocument/2006/relationships/hyperlink" Target="https://osf.io/6zdct" TargetMode="External"/><Relationship Id="rId1521" Type="http://schemas.openxmlformats.org/officeDocument/2006/relationships/hyperlink" Target="https://osf.io/k7chx" TargetMode="External"/><Relationship Id="rId1522" Type="http://schemas.openxmlformats.org/officeDocument/2006/relationships/hyperlink" Target="https://osf.io/9mkae" TargetMode="External"/><Relationship Id="rId1523" Type="http://schemas.openxmlformats.org/officeDocument/2006/relationships/hyperlink" Target="https://osf.io/9mkae" TargetMode="External"/><Relationship Id="rId1524" Type="http://schemas.openxmlformats.org/officeDocument/2006/relationships/hyperlink" Target="https://osf.io/a4fmg" TargetMode="External"/><Relationship Id="rId1525" Type="http://schemas.openxmlformats.org/officeDocument/2006/relationships/hyperlink" Target="https://osf.io/9apd7" TargetMode="External"/><Relationship Id="rId1526" Type="http://schemas.openxmlformats.org/officeDocument/2006/relationships/hyperlink" Target="https://osf.io/suyfc" TargetMode="External"/><Relationship Id="rId1527" Type="http://schemas.openxmlformats.org/officeDocument/2006/relationships/hyperlink" Target="https://osf.io/79y8g" TargetMode="External"/><Relationship Id="rId1528" Type="http://schemas.openxmlformats.org/officeDocument/2006/relationships/hyperlink" Target="https://osf.io/79y8g" TargetMode="External"/><Relationship Id="rId1529" Type="http://schemas.openxmlformats.org/officeDocument/2006/relationships/hyperlink" Target="https://osf.io/tys7b" TargetMode="External"/><Relationship Id="rId939" Type="http://schemas.openxmlformats.org/officeDocument/2006/relationships/hyperlink" Target="https://osf.io/j8a4p" TargetMode="External"/><Relationship Id="rId938" Type="http://schemas.openxmlformats.org/officeDocument/2006/relationships/hyperlink" Target="https://doi.org/10.17605/OSF.IO/J8A4P" TargetMode="External"/><Relationship Id="rId937" Type="http://schemas.openxmlformats.org/officeDocument/2006/relationships/hyperlink" Target="https://doi.org/10.17605/OSF.IO/J8A4P" TargetMode="External"/><Relationship Id="rId932" Type="http://schemas.openxmlformats.org/officeDocument/2006/relationships/hyperlink" Target="https://doi.org/10.17605/OSF.IO/J8A4P" TargetMode="External"/><Relationship Id="rId931" Type="http://schemas.openxmlformats.org/officeDocument/2006/relationships/hyperlink" Target="https://osf.io/x9tq5" TargetMode="External"/><Relationship Id="rId930" Type="http://schemas.openxmlformats.org/officeDocument/2006/relationships/hyperlink" Target="https://osf.io/j8a4p" TargetMode="External"/><Relationship Id="rId936" Type="http://schemas.openxmlformats.org/officeDocument/2006/relationships/hyperlink" Target="https://osf.io/x9tq5" TargetMode="External"/><Relationship Id="rId935" Type="http://schemas.openxmlformats.org/officeDocument/2006/relationships/hyperlink" Target="https://osf.io/j8a4p" TargetMode="External"/><Relationship Id="rId934" Type="http://schemas.openxmlformats.org/officeDocument/2006/relationships/hyperlink" Target="https://osf.io/j8a4p" TargetMode="External"/><Relationship Id="rId933" Type="http://schemas.openxmlformats.org/officeDocument/2006/relationships/hyperlink" Target="https://doi.org/10.17605/OSF.IO/J8A4P" TargetMode="External"/><Relationship Id="rId1520" Type="http://schemas.openxmlformats.org/officeDocument/2006/relationships/hyperlink" Target="https://osf.io/3amj4" TargetMode="External"/><Relationship Id="rId1554" Type="http://schemas.openxmlformats.org/officeDocument/2006/relationships/hyperlink" Target="https://osf.io/zpwne" TargetMode="External"/><Relationship Id="rId1555" Type="http://schemas.openxmlformats.org/officeDocument/2006/relationships/hyperlink" Target="https://osf.io/rqtgz" TargetMode="External"/><Relationship Id="rId1556" Type="http://schemas.openxmlformats.org/officeDocument/2006/relationships/hyperlink" Target="https://osf.io/rqtgz" TargetMode="External"/><Relationship Id="rId1557" Type="http://schemas.openxmlformats.org/officeDocument/2006/relationships/hyperlink" Target="https://osf.io/2idfu" TargetMode="External"/><Relationship Id="rId1558" Type="http://schemas.openxmlformats.org/officeDocument/2006/relationships/hyperlink" Target="https://osf.io/4hqd6" TargetMode="External"/><Relationship Id="rId1559" Type="http://schemas.openxmlformats.org/officeDocument/2006/relationships/hyperlink" Target="https://osf.io/efjn3" TargetMode="External"/><Relationship Id="rId965" Type="http://schemas.openxmlformats.org/officeDocument/2006/relationships/hyperlink" Target="https://osf.io/ktjc4/" TargetMode="External"/><Relationship Id="rId964" Type="http://schemas.openxmlformats.org/officeDocument/2006/relationships/hyperlink" Target="https://osf.io/q6tv8" TargetMode="External"/><Relationship Id="rId963" Type="http://schemas.openxmlformats.org/officeDocument/2006/relationships/hyperlink" Target="https://osf.io/q6tv8" TargetMode="External"/><Relationship Id="rId962" Type="http://schemas.openxmlformats.org/officeDocument/2006/relationships/hyperlink" Target="https://osf.io/q6tv8" TargetMode="External"/><Relationship Id="rId969" Type="http://schemas.openxmlformats.org/officeDocument/2006/relationships/hyperlink" Target="https://osf.io/rtn9s/" TargetMode="External"/><Relationship Id="rId968" Type="http://schemas.openxmlformats.org/officeDocument/2006/relationships/hyperlink" Target="https://osf.io/rtn9s/" TargetMode="External"/><Relationship Id="rId967" Type="http://schemas.openxmlformats.org/officeDocument/2006/relationships/hyperlink" Target="https://dx.doi.org/10.2139/ssrn.2586261" TargetMode="External"/><Relationship Id="rId966" Type="http://schemas.openxmlformats.org/officeDocument/2006/relationships/hyperlink" Target="https://osf.io/ktjc4/" TargetMode="External"/><Relationship Id="rId961" Type="http://schemas.openxmlformats.org/officeDocument/2006/relationships/hyperlink" Target="https://osf.io/q6tv8" TargetMode="External"/><Relationship Id="rId1550" Type="http://schemas.openxmlformats.org/officeDocument/2006/relationships/hyperlink" Target="https://www.uky.edu/AS/PoliSci/Peffley/pdf/Sniderman/Amodio_et_al_2008_JPSP_Individual%20Differences%20in%20the%20Regulation%20of%20Intergroup%20Bias.pdf" TargetMode="External"/><Relationship Id="rId960" Type="http://schemas.openxmlformats.org/officeDocument/2006/relationships/hyperlink" Target="https://osf.io/j8a4p" TargetMode="External"/><Relationship Id="rId1551" Type="http://schemas.openxmlformats.org/officeDocument/2006/relationships/hyperlink" Target="https://osf.io/ysxmf" TargetMode="External"/><Relationship Id="rId1552" Type="http://schemas.openxmlformats.org/officeDocument/2006/relationships/hyperlink" Target="https://osf.io/dqybc" TargetMode="External"/><Relationship Id="rId1553" Type="http://schemas.openxmlformats.org/officeDocument/2006/relationships/hyperlink" Target="https://osf.io/dqybc" TargetMode="External"/><Relationship Id="rId1543" Type="http://schemas.openxmlformats.org/officeDocument/2006/relationships/hyperlink" Target="https://osf.io/tarp4" TargetMode="External"/><Relationship Id="rId1544" Type="http://schemas.openxmlformats.org/officeDocument/2006/relationships/hyperlink" Target="https://osf.io/ctvej" TargetMode="External"/><Relationship Id="rId1545" Type="http://schemas.openxmlformats.org/officeDocument/2006/relationships/hyperlink" Target="https://osf.io/ctvej" TargetMode="External"/><Relationship Id="rId1546" Type="http://schemas.openxmlformats.org/officeDocument/2006/relationships/hyperlink" Target="https://osf.io/wcgx5" TargetMode="External"/><Relationship Id="rId1547" Type="http://schemas.openxmlformats.org/officeDocument/2006/relationships/hyperlink" Target="https://osf.io/ngxye" TargetMode="External"/><Relationship Id="rId1548" Type="http://schemas.openxmlformats.org/officeDocument/2006/relationships/hyperlink" Target="https://osf.io/wcgx5" TargetMode="External"/><Relationship Id="rId1549" Type="http://schemas.openxmlformats.org/officeDocument/2006/relationships/hyperlink" Target="https://osf.io/ngxye" TargetMode="External"/><Relationship Id="rId959" Type="http://schemas.openxmlformats.org/officeDocument/2006/relationships/hyperlink" Target="https://osf.io/j8a4p" TargetMode="External"/><Relationship Id="rId954" Type="http://schemas.openxmlformats.org/officeDocument/2006/relationships/hyperlink" Target="https://osf.io/j8a4p" TargetMode="External"/><Relationship Id="rId953" Type="http://schemas.openxmlformats.org/officeDocument/2006/relationships/hyperlink" Target="https://doi.org/10.17605/OSF.IO/J8A4P" TargetMode="External"/><Relationship Id="rId952" Type="http://schemas.openxmlformats.org/officeDocument/2006/relationships/hyperlink" Target="https://doi.org/10.17605/OSF.IO/J8A4P" TargetMode="External"/><Relationship Id="rId951" Type="http://schemas.openxmlformats.org/officeDocument/2006/relationships/hyperlink" Target="https://osf.io/x9tq5" TargetMode="External"/><Relationship Id="rId958" Type="http://schemas.openxmlformats.org/officeDocument/2006/relationships/hyperlink" Target="https://doi.org/10.17605/OSF.IO/J8A4P" TargetMode="External"/><Relationship Id="rId957" Type="http://schemas.openxmlformats.org/officeDocument/2006/relationships/hyperlink" Target="https://doi.org/10.17605/OSF.IO/J8A4P" TargetMode="External"/><Relationship Id="rId956" Type="http://schemas.openxmlformats.org/officeDocument/2006/relationships/hyperlink" Target="https://osf.io/x9tq5" TargetMode="External"/><Relationship Id="rId955" Type="http://schemas.openxmlformats.org/officeDocument/2006/relationships/hyperlink" Target="https://osf.io/j8a4p" TargetMode="External"/><Relationship Id="rId950" Type="http://schemas.openxmlformats.org/officeDocument/2006/relationships/hyperlink" Target="https://osf.io/j8a4p" TargetMode="External"/><Relationship Id="rId1540" Type="http://schemas.openxmlformats.org/officeDocument/2006/relationships/hyperlink" Target="https://osf.io/v7bjc" TargetMode="External"/><Relationship Id="rId1541" Type="http://schemas.openxmlformats.org/officeDocument/2006/relationships/hyperlink" Target="https://osf.io/c8qhv" TargetMode="External"/><Relationship Id="rId1542" Type="http://schemas.openxmlformats.org/officeDocument/2006/relationships/hyperlink" Target="https://osf.io/c8qhv" TargetMode="External"/><Relationship Id="rId2027" Type="http://schemas.openxmlformats.org/officeDocument/2006/relationships/hyperlink" Target="https://doi.org/10.1037/a0015960" TargetMode="External"/><Relationship Id="rId2028" Type="http://schemas.openxmlformats.org/officeDocument/2006/relationships/hyperlink" Target="https://osf.io/ejcfw" TargetMode="External"/><Relationship Id="rId2029" Type="http://schemas.openxmlformats.org/officeDocument/2006/relationships/hyperlink" Target="https://osf.io/ejcfw" TargetMode="External"/><Relationship Id="rId590" Type="http://schemas.openxmlformats.org/officeDocument/2006/relationships/hyperlink" Target="https://osf.io/r57d6" TargetMode="External"/><Relationship Id="rId107" Type="http://schemas.openxmlformats.org/officeDocument/2006/relationships/hyperlink" Target="https://aspredicted.org/" TargetMode="External"/><Relationship Id="rId106" Type="http://schemas.openxmlformats.org/officeDocument/2006/relationships/hyperlink" Target="https://aspredicted.org/" TargetMode="External"/><Relationship Id="rId105" Type="http://schemas.openxmlformats.org/officeDocument/2006/relationships/hyperlink" Target="https://doi.org/10.1016/j.drugalcdep.2024.111323" TargetMode="External"/><Relationship Id="rId589" Type="http://schemas.openxmlformats.org/officeDocument/2006/relationships/hyperlink" Target="https://osf.io/r57d6" TargetMode="External"/><Relationship Id="rId104" Type="http://schemas.openxmlformats.org/officeDocument/2006/relationships/hyperlink" Target="https://doi.org/10.1016/j.drugalcdep.2024.111323" TargetMode="External"/><Relationship Id="rId588" Type="http://schemas.openxmlformats.org/officeDocument/2006/relationships/hyperlink" Target="https://aspredicted.org/G5N_YRH" TargetMode="External"/><Relationship Id="rId109" Type="http://schemas.openxmlformats.org/officeDocument/2006/relationships/hyperlink" Target="https://aspredicted.org/" TargetMode="External"/><Relationship Id="rId1170" Type="http://schemas.openxmlformats.org/officeDocument/2006/relationships/hyperlink" Target="https://osf.io/4ewkh" TargetMode="External"/><Relationship Id="rId108" Type="http://schemas.openxmlformats.org/officeDocument/2006/relationships/hyperlink" Target="https://doi.org/10.1016/j.drugalcdep.2024.111323" TargetMode="External"/><Relationship Id="rId1171" Type="http://schemas.openxmlformats.org/officeDocument/2006/relationships/hyperlink" Target="https://osf.io/exqch" TargetMode="External"/><Relationship Id="rId583" Type="http://schemas.openxmlformats.org/officeDocument/2006/relationships/hyperlink" Target="https://aspredicted.org/YZ9_THH" TargetMode="External"/><Relationship Id="rId1172" Type="http://schemas.openxmlformats.org/officeDocument/2006/relationships/hyperlink" Target="https://doi.org/10.17605/OSF.IO/THM7D" TargetMode="External"/><Relationship Id="rId582" Type="http://schemas.openxmlformats.org/officeDocument/2006/relationships/hyperlink" Target="https://aspredicted.org/YZ9_THH" TargetMode="External"/><Relationship Id="rId1173" Type="http://schemas.openxmlformats.org/officeDocument/2006/relationships/hyperlink" Target="http://doi.org/10.1007/s13164-018-0400-9" TargetMode="External"/><Relationship Id="rId2020" Type="http://schemas.openxmlformats.org/officeDocument/2006/relationships/hyperlink" Target="https://osf.io/mwzdy" TargetMode="External"/><Relationship Id="rId581" Type="http://schemas.openxmlformats.org/officeDocument/2006/relationships/hyperlink" Target="https://osf.io/gwq48" TargetMode="External"/><Relationship Id="rId1174" Type="http://schemas.openxmlformats.org/officeDocument/2006/relationships/hyperlink" Target="https://osf.io/4ewkh" TargetMode="External"/><Relationship Id="rId2021" Type="http://schemas.openxmlformats.org/officeDocument/2006/relationships/hyperlink" Target="https://osf.io/7ch92" TargetMode="External"/><Relationship Id="rId580" Type="http://schemas.openxmlformats.org/officeDocument/2006/relationships/hyperlink" Target="https://osf.io/gwq48" TargetMode="External"/><Relationship Id="rId1175" Type="http://schemas.openxmlformats.org/officeDocument/2006/relationships/hyperlink" Target="http://osf.io/6yfxz" TargetMode="External"/><Relationship Id="rId2022" Type="http://schemas.openxmlformats.org/officeDocument/2006/relationships/hyperlink" Target="https://osf.io/ejcfw" TargetMode="External"/><Relationship Id="rId103" Type="http://schemas.openxmlformats.org/officeDocument/2006/relationships/hyperlink" Target="https://aspredicted.org/" TargetMode="External"/><Relationship Id="rId587" Type="http://schemas.openxmlformats.org/officeDocument/2006/relationships/hyperlink" Target="https://aspredicted.org/G5N_YRH" TargetMode="External"/><Relationship Id="rId1176" Type="http://schemas.openxmlformats.org/officeDocument/2006/relationships/hyperlink" Target="http://doi.org/10.1007/s13164-018-0400-9" TargetMode="External"/><Relationship Id="rId2023" Type="http://schemas.openxmlformats.org/officeDocument/2006/relationships/hyperlink" Target="https://doi.org/10.1037/a0015960" TargetMode="External"/><Relationship Id="rId102" Type="http://schemas.openxmlformats.org/officeDocument/2006/relationships/hyperlink" Target="https://aspredicted.org/" TargetMode="External"/><Relationship Id="rId586" Type="http://schemas.openxmlformats.org/officeDocument/2006/relationships/hyperlink" Target="https://osf.io/r57d6" TargetMode="External"/><Relationship Id="rId1177" Type="http://schemas.openxmlformats.org/officeDocument/2006/relationships/hyperlink" Target="https://osf.io/4ewkh" TargetMode="External"/><Relationship Id="rId2024" Type="http://schemas.openxmlformats.org/officeDocument/2006/relationships/hyperlink" Target="https://osf.io/ejcfw" TargetMode="External"/><Relationship Id="rId101" Type="http://schemas.openxmlformats.org/officeDocument/2006/relationships/hyperlink" Target="https://doi.org/10.1016/j.drugalcdep.2024.111323" TargetMode="External"/><Relationship Id="rId585" Type="http://schemas.openxmlformats.org/officeDocument/2006/relationships/hyperlink" Target="https://osf.io/r57d6" TargetMode="External"/><Relationship Id="rId1178" Type="http://schemas.openxmlformats.org/officeDocument/2006/relationships/hyperlink" Target="https://doi.org/10.17605/OSF.IO/THM7D" TargetMode="External"/><Relationship Id="rId2025" Type="http://schemas.openxmlformats.org/officeDocument/2006/relationships/hyperlink" Target="https://doi.org/10.1037/a0015960" TargetMode="External"/><Relationship Id="rId100" Type="http://schemas.openxmlformats.org/officeDocument/2006/relationships/hyperlink" Target="https://aspredicted.org/3KR_RSK" TargetMode="External"/><Relationship Id="rId584" Type="http://schemas.openxmlformats.org/officeDocument/2006/relationships/hyperlink" Target="https://osf.io/r57d6" TargetMode="External"/><Relationship Id="rId1179" Type="http://schemas.openxmlformats.org/officeDocument/2006/relationships/hyperlink" Target="http://doi.org/10.1007/s13164-018-0400-9" TargetMode="External"/><Relationship Id="rId2026" Type="http://schemas.openxmlformats.org/officeDocument/2006/relationships/hyperlink" Target="https://osf.io/ejcfw" TargetMode="External"/><Relationship Id="rId1169" Type="http://schemas.openxmlformats.org/officeDocument/2006/relationships/hyperlink" Target="http://doi.org/10.1007/s13164-018-0400-9" TargetMode="External"/><Relationship Id="rId2016" Type="http://schemas.openxmlformats.org/officeDocument/2006/relationships/hyperlink" Target="https://osf.io/27cuc" TargetMode="External"/><Relationship Id="rId2017" Type="http://schemas.openxmlformats.org/officeDocument/2006/relationships/hyperlink" Target="https://osf.io/qwked" TargetMode="External"/><Relationship Id="rId2018" Type="http://schemas.openxmlformats.org/officeDocument/2006/relationships/hyperlink" Target="https://osf.io/qwked" TargetMode="External"/><Relationship Id="rId2019" Type="http://schemas.openxmlformats.org/officeDocument/2006/relationships/hyperlink" Target="https://osf.io/7ch92" TargetMode="External"/><Relationship Id="rId579" Type="http://schemas.openxmlformats.org/officeDocument/2006/relationships/hyperlink" Target="https://osf.io/gwq48" TargetMode="External"/><Relationship Id="rId578" Type="http://schemas.openxmlformats.org/officeDocument/2006/relationships/hyperlink" Target="https://aspredicted.org/16C_RCH" TargetMode="External"/><Relationship Id="rId577" Type="http://schemas.openxmlformats.org/officeDocument/2006/relationships/hyperlink" Target="https://aspredicted.org/16C_RCH" TargetMode="External"/><Relationship Id="rId1160" Type="http://schemas.openxmlformats.org/officeDocument/2006/relationships/hyperlink" Target="http://doi.org/10.1007/s13164-018-0400-9" TargetMode="External"/><Relationship Id="rId572" Type="http://schemas.openxmlformats.org/officeDocument/2006/relationships/hyperlink" Target="https://aspredicted.org/TBY_14V" TargetMode="External"/><Relationship Id="rId1161" Type="http://schemas.openxmlformats.org/officeDocument/2006/relationships/hyperlink" Target="https://osf.io/4ewkh" TargetMode="External"/><Relationship Id="rId571" Type="http://schemas.openxmlformats.org/officeDocument/2006/relationships/hyperlink" Target="https://osf.io/yxusb" TargetMode="External"/><Relationship Id="rId1162" Type="http://schemas.openxmlformats.org/officeDocument/2006/relationships/hyperlink" Target="http://osf.io/6yfxz" TargetMode="External"/><Relationship Id="rId570" Type="http://schemas.openxmlformats.org/officeDocument/2006/relationships/hyperlink" Target="https://osf.io/yxusb" TargetMode="External"/><Relationship Id="rId1163" Type="http://schemas.openxmlformats.org/officeDocument/2006/relationships/hyperlink" Target="http://doi.org/10.1007/s13164-018-0400-9" TargetMode="External"/><Relationship Id="rId2010" Type="http://schemas.openxmlformats.org/officeDocument/2006/relationships/hyperlink" Target="https://osf.io/69xfj" TargetMode="External"/><Relationship Id="rId1164" Type="http://schemas.openxmlformats.org/officeDocument/2006/relationships/hyperlink" Target="https://osf.io/4ewkh" TargetMode="External"/><Relationship Id="rId2011" Type="http://schemas.openxmlformats.org/officeDocument/2006/relationships/hyperlink" Target="https://osf.io/367yu" TargetMode="External"/><Relationship Id="rId576" Type="http://schemas.openxmlformats.org/officeDocument/2006/relationships/hyperlink" Target="https://osf.io/x73nv" TargetMode="External"/><Relationship Id="rId1165" Type="http://schemas.openxmlformats.org/officeDocument/2006/relationships/hyperlink" Target="https://doi.org/10.17605/OSF.IO/THM7D" TargetMode="External"/><Relationship Id="rId2012" Type="http://schemas.openxmlformats.org/officeDocument/2006/relationships/hyperlink" Target="https://osf.io/bmnca" TargetMode="External"/><Relationship Id="rId575" Type="http://schemas.openxmlformats.org/officeDocument/2006/relationships/hyperlink" Target="https://osf.io/x73nv" TargetMode="External"/><Relationship Id="rId1166" Type="http://schemas.openxmlformats.org/officeDocument/2006/relationships/hyperlink" Target="http://doi.org/10.1007/s13164-018-0400-9" TargetMode="External"/><Relationship Id="rId2013" Type="http://schemas.openxmlformats.org/officeDocument/2006/relationships/hyperlink" Target="https://osf.io/s73x6" TargetMode="External"/><Relationship Id="rId574" Type="http://schemas.openxmlformats.org/officeDocument/2006/relationships/hyperlink" Target="https://osf.io/x73nv" TargetMode="External"/><Relationship Id="rId1167" Type="http://schemas.openxmlformats.org/officeDocument/2006/relationships/hyperlink" Target="https://osf.io/4ewkh" TargetMode="External"/><Relationship Id="rId2014" Type="http://schemas.openxmlformats.org/officeDocument/2006/relationships/hyperlink" Target="https://osf.io/qwked" TargetMode="External"/><Relationship Id="rId573" Type="http://schemas.openxmlformats.org/officeDocument/2006/relationships/hyperlink" Target="https://aspredicted.org/TBY_14V" TargetMode="External"/><Relationship Id="rId1168" Type="http://schemas.openxmlformats.org/officeDocument/2006/relationships/hyperlink" Target="http://osf.io/6yfxz" TargetMode="External"/><Relationship Id="rId2015" Type="http://schemas.openxmlformats.org/officeDocument/2006/relationships/hyperlink" Target="https://osf.io/qwked" TargetMode="External"/><Relationship Id="rId2049" Type="http://schemas.openxmlformats.org/officeDocument/2006/relationships/hyperlink" Target="https://osf.io/ejcfw" TargetMode="External"/><Relationship Id="rId129" Type="http://schemas.openxmlformats.org/officeDocument/2006/relationships/hyperlink" Target="https://osf.io/8ga4s?view_only=38d7630a8c6e4eb6aee200540eec175d" TargetMode="External"/><Relationship Id="rId128" Type="http://schemas.openxmlformats.org/officeDocument/2006/relationships/hyperlink" Target="https://osf.io/8ga4s?view_only=38d7630a8c6e4eb6aee200540eec175d" TargetMode="External"/><Relationship Id="rId127" Type="http://schemas.openxmlformats.org/officeDocument/2006/relationships/hyperlink" Target="https://osf.io/8ga4s?view_only=38d7630a8c6e4eb6aee200540eec175d" TargetMode="External"/><Relationship Id="rId126" Type="http://schemas.openxmlformats.org/officeDocument/2006/relationships/hyperlink" Target="https://osf.io/8ga4s?view_only=38d7630a8c6e4eb6aee200540eec175d" TargetMode="External"/><Relationship Id="rId1190" Type="http://schemas.openxmlformats.org/officeDocument/2006/relationships/hyperlink" Target="https://doi.org/10.17605/OSF.IO/THM7D" TargetMode="External"/><Relationship Id="rId1191" Type="http://schemas.openxmlformats.org/officeDocument/2006/relationships/hyperlink" Target="http://doi.org/10.1007/s13164-018-0400-9" TargetMode="External"/><Relationship Id="rId1192" Type="http://schemas.openxmlformats.org/officeDocument/2006/relationships/hyperlink" Target="https://osf.io/4ewkh" TargetMode="External"/><Relationship Id="rId1193" Type="http://schemas.openxmlformats.org/officeDocument/2006/relationships/hyperlink" Target="http://osf.io/6yfxz" TargetMode="External"/><Relationship Id="rId2040" Type="http://schemas.openxmlformats.org/officeDocument/2006/relationships/hyperlink" Target="https://osf.io/ejcfw" TargetMode="External"/><Relationship Id="rId121" Type="http://schemas.openxmlformats.org/officeDocument/2006/relationships/hyperlink" Target="https://doi.org/10.1007/s40732-024-00597-x" TargetMode="External"/><Relationship Id="rId1194" Type="http://schemas.openxmlformats.org/officeDocument/2006/relationships/hyperlink" Target="http://doi.org/10.1007/s13164-018-0400-9" TargetMode="External"/><Relationship Id="rId2041" Type="http://schemas.openxmlformats.org/officeDocument/2006/relationships/hyperlink" Target="https://osf.io/ejcfw" TargetMode="External"/><Relationship Id="rId120" Type="http://schemas.openxmlformats.org/officeDocument/2006/relationships/hyperlink" Target="https://doi.org/10.1007/s40732-024-00597-x" TargetMode="External"/><Relationship Id="rId1195" Type="http://schemas.openxmlformats.org/officeDocument/2006/relationships/hyperlink" Target="https://osf.io/4ewkh" TargetMode="External"/><Relationship Id="rId2042" Type="http://schemas.openxmlformats.org/officeDocument/2006/relationships/hyperlink" Target="https://osf.io/ejcfw" TargetMode="External"/><Relationship Id="rId1196" Type="http://schemas.openxmlformats.org/officeDocument/2006/relationships/hyperlink" Target="https://doi.org/10.17605/OSF.IO/AY2YE" TargetMode="External"/><Relationship Id="rId2043" Type="http://schemas.openxmlformats.org/officeDocument/2006/relationships/hyperlink" Target="https://osf.io/ejcfw" TargetMode="External"/><Relationship Id="rId1197" Type="http://schemas.openxmlformats.org/officeDocument/2006/relationships/hyperlink" Target="http://doi.org/10.1007/s13164-018-0400-9" TargetMode="External"/><Relationship Id="rId2044" Type="http://schemas.openxmlformats.org/officeDocument/2006/relationships/hyperlink" Target="https://osf.io/ejcfw" TargetMode="External"/><Relationship Id="rId125" Type="http://schemas.openxmlformats.org/officeDocument/2006/relationships/hyperlink" Target="https://osf.io/8ga4s?view_only=38d7630a8c6e4eb6aee200540eec175d" TargetMode="External"/><Relationship Id="rId1198" Type="http://schemas.openxmlformats.org/officeDocument/2006/relationships/hyperlink" Target="https://osf.io/4ewkh" TargetMode="External"/><Relationship Id="rId2045" Type="http://schemas.openxmlformats.org/officeDocument/2006/relationships/hyperlink" Target="https://osf.io/ejcfw" TargetMode="External"/><Relationship Id="rId124" Type="http://schemas.openxmlformats.org/officeDocument/2006/relationships/hyperlink" Target="https://osf.io/8ga4s?view_only=38d7630a8c6e4eb6aee200540eec175d" TargetMode="External"/><Relationship Id="rId1199" Type="http://schemas.openxmlformats.org/officeDocument/2006/relationships/hyperlink" Target="https://doi.org/10.17605/OSF.IO/AY2YE" TargetMode="External"/><Relationship Id="rId2046" Type="http://schemas.openxmlformats.org/officeDocument/2006/relationships/hyperlink" Target="https://osf.io/ejcfw" TargetMode="External"/><Relationship Id="rId123" Type="http://schemas.openxmlformats.org/officeDocument/2006/relationships/hyperlink" Target="https://osf.io/8ga4s?view_only=38d7630a8c6e4eb6aee200540eec175d" TargetMode="External"/><Relationship Id="rId2047" Type="http://schemas.openxmlformats.org/officeDocument/2006/relationships/hyperlink" Target="https://osf.io/ejcfw" TargetMode="External"/><Relationship Id="rId122" Type="http://schemas.openxmlformats.org/officeDocument/2006/relationships/hyperlink" Target="https://osf.io/8ga4s?view_only=38d7630a8c6e4eb6aee200540eec175d" TargetMode="External"/><Relationship Id="rId2048" Type="http://schemas.openxmlformats.org/officeDocument/2006/relationships/hyperlink" Target="https://osf.io/ejcfw" TargetMode="External"/><Relationship Id="rId2038" Type="http://schemas.openxmlformats.org/officeDocument/2006/relationships/hyperlink" Target="https://osf.io/ejcfw" TargetMode="External"/><Relationship Id="rId2039" Type="http://schemas.openxmlformats.org/officeDocument/2006/relationships/hyperlink" Target="https://osf.io/ejcfw" TargetMode="External"/><Relationship Id="rId118" Type="http://schemas.openxmlformats.org/officeDocument/2006/relationships/hyperlink" Target="https://aspredicted.org/" TargetMode="External"/><Relationship Id="rId117" Type="http://schemas.openxmlformats.org/officeDocument/2006/relationships/hyperlink" Target="https://doi.org/10.1016/j.drugalcdep.2024.111323" TargetMode="External"/><Relationship Id="rId116" Type="http://schemas.openxmlformats.org/officeDocument/2006/relationships/hyperlink" Target="https://aspredicted.org/" TargetMode="External"/><Relationship Id="rId115" Type="http://schemas.openxmlformats.org/officeDocument/2006/relationships/hyperlink" Target="https://aspredicted.org/" TargetMode="External"/><Relationship Id="rId599" Type="http://schemas.openxmlformats.org/officeDocument/2006/relationships/hyperlink" Target="https://osf.io/r57d6" TargetMode="External"/><Relationship Id="rId1180" Type="http://schemas.openxmlformats.org/officeDocument/2006/relationships/hyperlink" Target="https://osf.io/4ewkh" TargetMode="External"/><Relationship Id="rId1181" Type="http://schemas.openxmlformats.org/officeDocument/2006/relationships/hyperlink" Target="http://osf.io/6yfxz" TargetMode="External"/><Relationship Id="rId119" Type="http://schemas.openxmlformats.org/officeDocument/2006/relationships/hyperlink" Target="https://aspredicted.org/" TargetMode="External"/><Relationship Id="rId1182" Type="http://schemas.openxmlformats.org/officeDocument/2006/relationships/hyperlink" Target="http://doi.org/10.1007/s13164-018-0400-9" TargetMode="External"/><Relationship Id="rId110" Type="http://schemas.openxmlformats.org/officeDocument/2006/relationships/hyperlink" Target="https://aspredicted.org/" TargetMode="External"/><Relationship Id="rId594" Type="http://schemas.openxmlformats.org/officeDocument/2006/relationships/hyperlink" Target="https://osf.io/r57d6" TargetMode="External"/><Relationship Id="rId1183" Type="http://schemas.openxmlformats.org/officeDocument/2006/relationships/hyperlink" Target="https://osf.io/4ewkh" TargetMode="External"/><Relationship Id="rId2030" Type="http://schemas.openxmlformats.org/officeDocument/2006/relationships/hyperlink" Target="https://osf.io/ejcfw" TargetMode="External"/><Relationship Id="rId593" Type="http://schemas.openxmlformats.org/officeDocument/2006/relationships/hyperlink" Target="https://aspredicted.org/G5N_YRH" TargetMode="External"/><Relationship Id="rId1184" Type="http://schemas.openxmlformats.org/officeDocument/2006/relationships/hyperlink" Target="https://doi.org/10.17605/OSF.IO/THM7D" TargetMode="External"/><Relationship Id="rId2031" Type="http://schemas.openxmlformats.org/officeDocument/2006/relationships/hyperlink" Target="https://osf.io/ejcfw" TargetMode="External"/><Relationship Id="rId592" Type="http://schemas.openxmlformats.org/officeDocument/2006/relationships/hyperlink" Target="https://aspredicted.org/G5N_YRH" TargetMode="External"/><Relationship Id="rId1185" Type="http://schemas.openxmlformats.org/officeDocument/2006/relationships/hyperlink" Target="http://doi.org/10.1007/s13164-018-0400-9" TargetMode="External"/><Relationship Id="rId2032" Type="http://schemas.openxmlformats.org/officeDocument/2006/relationships/hyperlink" Target="https://osf.io/ejcfw" TargetMode="External"/><Relationship Id="rId591" Type="http://schemas.openxmlformats.org/officeDocument/2006/relationships/hyperlink" Target="https://osf.io/r57d6" TargetMode="External"/><Relationship Id="rId1186" Type="http://schemas.openxmlformats.org/officeDocument/2006/relationships/hyperlink" Target="https://osf.io/4ewkh" TargetMode="External"/><Relationship Id="rId2033" Type="http://schemas.openxmlformats.org/officeDocument/2006/relationships/hyperlink" Target="https://osf.io/ejcfw" TargetMode="External"/><Relationship Id="rId114" Type="http://schemas.openxmlformats.org/officeDocument/2006/relationships/hyperlink" Target="https://doi.org/10.1016/j.drugalcdep.2024.111323" TargetMode="External"/><Relationship Id="rId598" Type="http://schemas.openxmlformats.org/officeDocument/2006/relationships/hyperlink" Target="https://aspredicted.org/G5N_YRH" TargetMode="External"/><Relationship Id="rId1187" Type="http://schemas.openxmlformats.org/officeDocument/2006/relationships/hyperlink" Target="http://osf.io/6yfxz" TargetMode="External"/><Relationship Id="rId2034" Type="http://schemas.openxmlformats.org/officeDocument/2006/relationships/hyperlink" Target="https://osf.io/ejcfw" TargetMode="External"/><Relationship Id="rId113" Type="http://schemas.openxmlformats.org/officeDocument/2006/relationships/hyperlink" Target="https://aspredicted.org/" TargetMode="External"/><Relationship Id="rId597" Type="http://schemas.openxmlformats.org/officeDocument/2006/relationships/hyperlink" Target="https://aspredicted.org/G5N_YRH" TargetMode="External"/><Relationship Id="rId1188" Type="http://schemas.openxmlformats.org/officeDocument/2006/relationships/hyperlink" Target="http://doi.org/10.1007/s13164-018-0400-9" TargetMode="External"/><Relationship Id="rId2035" Type="http://schemas.openxmlformats.org/officeDocument/2006/relationships/hyperlink" Target="https://osf.io/ejcfw" TargetMode="External"/><Relationship Id="rId112" Type="http://schemas.openxmlformats.org/officeDocument/2006/relationships/hyperlink" Target="https://aspredicted.org/" TargetMode="External"/><Relationship Id="rId596" Type="http://schemas.openxmlformats.org/officeDocument/2006/relationships/hyperlink" Target="https://osf.io/r57d6" TargetMode="External"/><Relationship Id="rId1189" Type="http://schemas.openxmlformats.org/officeDocument/2006/relationships/hyperlink" Target="https://osf.io/4ewkh" TargetMode="External"/><Relationship Id="rId2036" Type="http://schemas.openxmlformats.org/officeDocument/2006/relationships/hyperlink" Target="https://osf.io/ejcfw" TargetMode="External"/><Relationship Id="rId111" Type="http://schemas.openxmlformats.org/officeDocument/2006/relationships/hyperlink" Target="https://doi.org/10.1016/j.drugalcdep.2024.111323" TargetMode="External"/><Relationship Id="rId595" Type="http://schemas.openxmlformats.org/officeDocument/2006/relationships/hyperlink" Target="https://osf.io/r57d6" TargetMode="External"/><Relationship Id="rId2037" Type="http://schemas.openxmlformats.org/officeDocument/2006/relationships/hyperlink" Target="https://osf.io/ejcfw" TargetMode="External"/><Relationship Id="rId1136" Type="http://schemas.openxmlformats.org/officeDocument/2006/relationships/hyperlink" Target="http://doi.org/10.1007/s13164-018-0400-9" TargetMode="External"/><Relationship Id="rId1137" Type="http://schemas.openxmlformats.org/officeDocument/2006/relationships/hyperlink" Target="https://osf.io/4ewkh" TargetMode="External"/><Relationship Id="rId1138" Type="http://schemas.openxmlformats.org/officeDocument/2006/relationships/hyperlink" Target="https://doi.org/10.17605/OSF.IO/QP8V3" TargetMode="External"/><Relationship Id="rId1139" Type="http://schemas.openxmlformats.org/officeDocument/2006/relationships/hyperlink" Target="https://osf.io/pgvej" TargetMode="External"/><Relationship Id="rId547" Type="http://schemas.openxmlformats.org/officeDocument/2006/relationships/hyperlink" Target="https://osf.io/e5k4j/" TargetMode="External"/><Relationship Id="rId546" Type="http://schemas.openxmlformats.org/officeDocument/2006/relationships/hyperlink" Target="https://osf.io/e5k4j/" TargetMode="External"/><Relationship Id="rId545" Type="http://schemas.openxmlformats.org/officeDocument/2006/relationships/hyperlink" Target="https://osf.io/e5k4j/" TargetMode="External"/><Relationship Id="rId544" Type="http://schemas.openxmlformats.org/officeDocument/2006/relationships/hyperlink" Target="https://osf.io/e5k4j/" TargetMode="External"/><Relationship Id="rId549" Type="http://schemas.openxmlformats.org/officeDocument/2006/relationships/hyperlink" Target="https://osf.io/e5k4j/" TargetMode="External"/><Relationship Id="rId548" Type="http://schemas.openxmlformats.org/officeDocument/2006/relationships/hyperlink" Target="https://osf.io/e5k4j/" TargetMode="External"/><Relationship Id="rId1130" Type="http://schemas.openxmlformats.org/officeDocument/2006/relationships/hyperlink" Target="http://doi.org/10.1007/s13164-018-0400-9" TargetMode="External"/><Relationship Id="rId1131" Type="http://schemas.openxmlformats.org/officeDocument/2006/relationships/hyperlink" Target="https://osf.io/4ewkh" TargetMode="External"/><Relationship Id="rId543" Type="http://schemas.openxmlformats.org/officeDocument/2006/relationships/hyperlink" Target="https://osf.io/e5k4j/" TargetMode="External"/><Relationship Id="rId1132" Type="http://schemas.openxmlformats.org/officeDocument/2006/relationships/hyperlink" Target="https://doi.org/10.17605/OSF.IO/69DQC" TargetMode="External"/><Relationship Id="rId542" Type="http://schemas.openxmlformats.org/officeDocument/2006/relationships/hyperlink" Target="https://osf.io/e5k4j/" TargetMode="External"/><Relationship Id="rId1133" Type="http://schemas.openxmlformats.org/officeDocument/2006/relationships/hyperlink" Target="http://doi.org/10.1007/s13164-018-0400-9" TargetMode="External"/><Relationship Id="rId541" Type="http://schemas.openxmlformats.org/officeDocument/2006/relationships/hyperlink" Target="https://doi.org/10.5465/AMPROC.2024.19578abstract" TargetMode="External"/><Relationship Id="rId1134" Type="http://schemas.openxmlformats.org/officeDocument/2006/relationships/hyperlink" Target="https://osf.io/4ewkh" TargetMode="External"/><Relationship Id="rId540" Type="http://schemas.openxmlformats.org/officeDocument/2006/relationships/hyperlink" Target="https://osf.io/8cbua/" TargetMode="External"/><Relationship Id="rId1135" Type="http://schemas.openxmlformats.org/officeDocument/2006/relationships/hyperlink" Target="https://doi.org/10.17605/OSF.IO/JW84M" TargetMode="External"/><Relationship Id="rId1125" Type="http://schemas.openxmlformats.org/officeDocument/2006/relationships/hyperlink" Target="https://osf.io/4ewkh" TargetMode="External"/><Relationship Id="rId1126" Type="http://schemas.openxmlformats.org/officeDocument/2006/relationships/hyperlink" Target="http://osf.io/pjdkg" TargetMode="External"/><Relationship Id="rId1127" Type="http://schemas.openxmlformats.org/officeDocument/2006/relationships/hyperlink" Target="http://doi.org/10.1007/s13164-018-0400-9" TargetMode="External"/><Relationship Id="rId1128" Type="http://schemas.openxmlformats.org/officeDocument/2006/relationships/hyperlink" Target="https://osf.io/4ewkh" TargetMode="External"/><Relationship Id="rId1129" Type="http://schemas.openxmlformats.org/officeDocument/2006/relationships/hyperlink" Target="https://doi.org/10.17605/OSF.IO/69DQC" TargetMode="External"/><Relationship Id="rId536" Type="http://schemas.openxmlformats.org/officeDocument/2006/relationships/hyperlink" Target="https://osf.io/8cbua/" TargetMode="External"/><Relationship Id="rId535" Type="http://schemas.openxmlformats.org/officeDocument/2006/relationships/hyperlink" Target="https://osf.io/8cbua/" TargetMode="External"/><Relationship Id="rId534" Type="http://schemas.openxmlformats.org/officeDocument/2006/relationships/hyperlink" Target="https://osf.io/p2hr3" TargetMode="External"/><Relationship Id="rId533" Type="http://schemas.openxmlformats.org/officeDocument/2006/relationships/hyperlink" Target="https://osf.io/p2hr3" TargetMode="External"/><Relationship Id="rId539" Type="http://schemas.openxmlformats.org/officeDocument/2006/relationships/hyperlink" Target="https://osf.io/8cbua/" TargetMode="External"/><Relationship Id="rId538" Type="http://schemas.openxmlformats.org/officeDocument/2006/relationships/hyperlink" Target="https://osf.io/8cbua/" TargetMode="External"/><Relationship Id="rId537" Type="http://schemas.openxmlformats.org/officeDocument/2006/relationships/hyperlink" Target="https://osf.io/8cbua/" TargetMode="External"/><Relationship Id="rId1120" Type="http://schemas.openxmlformats.org/officeDocument/2006/relationships/hyperlink" Target="http://osf.io/pjdkg" TargetMode="External"/><Relationship Id="rId532" Type="http://schemas.openxmlformats.org/officeDocument/2006/relationships/hyperlink" Target="https://osf.io/p2hr3" TargetMode="External"/><Relationship Id="rId1121" Type="http://schemas.openxmlformats.org/officeDocument/2006/relationships/hyperlink" Target="http://doi.org/10.1007/s13164-018-0400-9" TargetMode="External"/><Relationship Id="rId531" Type="http://schemas.openxmlformats.org/officeDocument/2006/relationships/hyperlink" Target="https://osf.io/p2hr3" TargetMode="External"/><Relationship Id="rId1122" Type="http://schemas.openxmlformats.org/officeDocument/2006/relationships/hyperlink" Target="https://osf.io/4ewkh" TargetMode="External"/><Relationship Id="rId530" Type="http://schemas.openxmlformats.org/officeDocument/2006/relationships/hyperlink" Target="https://osf.io/p2hr3" TargetMode="External"/><Relationship Id="rId1123" Type="http://schemas.openxmlformats.org/officeDocument/2006/relationships/hyperlink" Target="https://doi.org/10.17605/OSF.IO/69DQC" TargetMode="External"/><Relationship Id="rId1124" Type="http://schemas.openxmlformats.org/officeDocument/2006/relationships/hyperlink" Target="http://doi.org/10.1007/s13164-018-0400-9" TargetMode="External"/><Relationship Id="rId1158" Type="http://schemas.openxmlformats.org/officeDocument/2006/relationships/hyperlink" Target="https://osf.io/4ewkh" TargetMode="External"/><Relationship Id="rId2005" Type="http://schemas.openxmlformats.org/officeDocument/2006/relationships/hyperlink" Target="https://osf.io/5uw3j" TargetMode="External"/><Relationship Id="rId1159" Type="http://schemas.openxmlformats.org/officeDocument/2006/relationships/hyperlink" Target="https://doi.org/10.17605/OSF.IO/5NZ6W" TargetMode="External"/><Relationship Id="rId2006" Type="http://schemas.openxmlformats.org/officeDocument/2006/relationships/hyperlink" Target="https://osf.io/qb4f4" TargetMode="External"/><Relationship Id="rId2007" Type="http://schemas.openxmlformats.org/officeDocument/2006/relationships/hyperlink" Target="https://osf.io/5uw3j" TargetMode="External"/><Relationship Id="rId2008" Type="http://schemas.openxmlformats.org/officeDocument/2006/relationships/hyperlink" Target="https://osf.io/5uw3j" TargetMode="External"/><Relationship Id="rId2009" Type="http://schemas.openxmlformats.org/officeDocument/2006/relationships/hyperlink" Target="https://osf.io/367yu" TargetMode="External"/><Relationship Id="rId569" Type="http://schemas.openxmlformats.org/officeDocument/2006/relationships/hyperlink" Target="https://osf.io/yxusb" TargetMode="External"/><Relationship Id="rId568" Type="http://schemas.openxmlformats.org/officeDocument/2006/relationships/hyperlink" Target="https://aspredicted.org/XHN_76L" TargetMode="External"/><Relationship Id="rId567" Type="http://schemas.openxmlformats.org/officeDocument/2006/relationships/hyperlink" Target="https://aspredicted.org/XHN_76L" TargetMode="External"/><Relationship Id="rId566" Type="http://schemas.openxmlformats.org/officeDocument/2006/relationships/hyperlink" Target="https://osf.io/g6u9q" TargetMode="External"/><Relationship Id="rId561" Type="http://schemas.openxmlformats.org/officeDocument/2006/relationships/hyperlink" Target="https://osf.io/g6u9q" TargetMode="External"/><Relationship Id="rId1150" Type="http://schemas.openxmlformats.org/officeDocument/2006/relationships/hyperlink" Target="http://doi.org/10.1007/s13164-018-0400-9" TargetMode="External"/><Relationship Id="rId560" Type="http://schemas.openxmlformats.org/officeDocument/2006/relationships/hyperlink" Target="https://osf.io/g6u9q" TargetMode="External"/><Relationship Id="rId1151" Type="http://schemas.openxmlformats.org/officeDocument/2006/relationships/hyperlink" Target="https://osf.io/4ewkh" TargetMode="External"/><Relationship Id="rId1152" Type="http://schemas.openxmlformats.org/officeDocument/2006/relationships/hyperlink" Target="https://doi.org/10.17605/OSF.IO/QP8V3" TargetMode="External"/><Relationship Id="rId1153" Type="http://schemas.openxmlformats.org/officeDocument/2006/relationships/hyperlink" Target="http://doi.org/10.1007/s13164-018-0400-9" TargetMode="External"/><Relationship Id="rId2000" Type="http://schemas.openxmlformats.org/officeDocument/2006/relationships/hyperlink" Target="https://osf.io/g4phs" TargetMode="External"/><Relationship Id="rId565" Type="http://schemas.openxmlformats.org/officeDocument/2006/relationships/hyperlink" Target="https://osf.io/g6u9q" TargetMode="External"/><Relationship Id="rId1154" Type="http://schemas.openxmlformats.org/officeDocument/2006/relationships/hyperlink" Target="https://osf.io/4ewkh" TargetMode="External"/><Relationship Id="rId2001" Type="http://schemas.openxmlformats.org/officeDocument/2006/relationships/hyperlink" Target="https://osf.io/r4dve" TargetMode="External"/><Relationship Id="rId564" Type="http://schemas.openxmlformats.org/officeDocument/2006/relationships/hyperlink" Target="https://osf.io/g6u9q" TargetMode="External"/><Relationship Id="rId1155" Type="http://schemas.openxmlformats.org/officeDocument/2006/relationships/hyperlink" Target="https://doi.org/10.17605/OSF.IO/QP8V3" TargetMode="External"/><Relationship Id="rId2002" Type="http://schemas.openxmlformats.org/officeDocument/2006/relationships/hyperlink" Target="https://osf.io/s48ht" TargetMode="External"/><Relationship Id="rId563" Type="http://schemas.openxmlformats.org/officeDocument/2006/relationships/hyperlink" Target="https://aspredicted.org/XHN_76L" TargetMode="External"/><Relationship Id="rId1156" Type="http://schemas.openxmlformats.org/officeDocument/2006/relationships/hyperlink" Target="https://osf.io/fymue" TargetMode="External"/><Relationship Id="rId2003" Type="http://schemas.openxmlformats.org/officeDocument/2006/relationships/hyperlink" Target="https://osf.io/kmqtq" TargetMode="External"/><Relationship Id="rId562" Type="http://schemas.openxmlformats.org/officeDocument/2006/relationships/hyperlink" Target="https://aspredicted.org/XHN_76L" TargetMode="External"/><Relationship Id="rId1157" Type="http://schemas.openxmlformats.org/officeDocument/2006/relationships/hyperlink" Target="http://doi.org/10.1007/s13164-018-0400-9" TargetMode="External"/><Relationship Id="rId2004" Type="http://schemas.openxmlformats.org/officeDocument/2006/relationships/hyperlink" Target="https://osf.io/s48ht" TargetMode="External"/><Relationship Id="rId1147" Type="http://schemas.openxmlformats.org/officeDocument/2006/relationships/hyperlink" Target="http://doi.org/10.1007/s13164-018-0400-9" TargetMode="External"/><Relationship Id="rId1148" Type="http://schemas.openxmlformats.org/officeDocument/2006/relationships/hyperlink" Target="https://osf.io/4ewkh" TargetMode="External"/><Relationship Id="rId1149" Type="http://schemas.openxmlformats.org/officeDocument/2006/relationships/hyperlink" Target="https://doi.org/10.17605/OSF.IO/QP8V3" TargetMode="External"/><Relationship Id="rId558" Type="http://schemas.openxmlformats.org/officeDocument/2006/relationships/hyperlink" Target="https://aspredicted.org/XHN_76L" TargetMode="External"/><Relationship Id="rId557" Type="http://schemas.openxmlformats.org/officeDocument/2006/relationships/hyperlink" Target="https://aspredicted.org/XHN_76L" TargetMode="External"/><Relationship Id="rId556" Type="http://schemas.openxmlformats.org/officeDocument/2006/relationships/hyperlink" Target="https://osf.io/fdh4m/" TargetMode="External"/><Relationship Id="rId555" Type="http://schemas.openxmlformats.org/officeDocument/2006/relationships/hyperlink" Target="https://osf.io/fdh4m/" TargetMode="External"/><Relationship Id="rId559" Type="http://schemas.openxmlformats.org/officeDocument/2006/relationships/hyperlink" Target="https://osf.io/g6u9q" TargetMode="External"/><Relationship Id="rId550" Type="http://schemas.openxmlformats.org/officeDocument/2006/relationships/hyperlink" Target="https://osf.io/e5k4j/" TargetMode="External"/><Relationship Id="rId1140" Type="http://schemas.openxmlformats.org/officeDocument/2006/relationships/hyperlink" Target="http://doi.org/10.1007/s13164-018-0400-9" TargetMode="External"/><Relationship Id="rId1141" Type="http://schemas.openxmlformats.org/officeDocument/2006/relationships/hyperlink" Target="https://osf.io/4ewkh" TargetMode="External"/><Relationship Id="rId1142" Type="http://schemas.openxmlformats.org/officeDocument/2006/relationships/hyperlink" Target="https://doi.org/10.17605/OSF.IO/QP8V3" TargetMode="External"/><Relationship Id="rId554" Type="http://schemas.openxmlformats.org/officeDocument/2006/relationships/hyperlink" Target="https://osf.io/fdh4m/" TargetMode="External"/><Relationship Id="rId1143" Type="http://schemas.openxmlformats.org/officeDocument/2006/relationships/hyperlink" Target="http://doi.org/10.1007/s13164-018-0400-9" TargetMode="External"/><Relationship Id="rId553" Type="http://schemas.openxmlformats.org/officeDocument/2006/relationships/hyperlink" Target="https://osf.io/e5k4j/" TargetMode="External"/><Relationship Id="rId1144" Type="http://schemas.openxmlformats.org/officeDocument/2006/relationships/hyperlink" Target="https://osf.io/4ewkh" TargetMode="External"/><Relationship Id="rId552" Type="http://schemas.openxmlformats.org/officeDocument/2006/relationships/hyperlink" Target="https://osf.io/e5k4j/" TargetMode="External"/><Relationship Id="rId1145" Type="http://schemas.openxmlformats.org/officeDocument/2006/relationships/hyperlink" Target="https://doi.org/10.17605/OSF.IO/QP8V3" TargetMode="External"/><Relationship Id="rId551" Type="http://schemas.openxmlformats.org/officeDocument/2006/relationships/hyperlink" Target="https://osf.io/e5k4j/" TargetMode="External"/><Relationship Id="rId1146" Type="http://schemas.openxmlformats.org/officeDocument/2006/relationships/hyperlink" Target="https://osf.io/nxp9w" TargetMode="External"/><Relationship Id="rId2090" Type="http://schemas.openxmlformats.org/officeDocument/2006/relationships/hyperlink" Target="https://osf.io/ejcfw" TargetMode="External"/><Relationship Id="rId2091" Type="http://schemas.openxmlformats.org/officeDocument/2006/relationships/hyperlink" Target="https://osf.io/ejcfw" TargetMode="External"/><Relationship Id="rId2092" Type="http://schemas.openxmlformats.org/officeDocument/2006/relationships/hyperlink" Target="https://osf.io/ejcfw" TargetMode="External"/><Relationship Id="rId2093" Type="http://schemas.openxmlformats.org/officeDocument/2006/relationships/hyperlink" Target="https://osf.io/ejcfw" TargetMode="External"/><Relationship Id="rId2094" Type="http://schemas.openxmlformats.org/officeDocument/2006/relationships/hyperlink" Target="https://osf.io/ejcfw" TargetMode="External"/><Relationship Id="rId2095" Type="http://schemas.openxmlformats.org/officeDocument/2006/relationships/hyperlink" Target="https://osf.io/ejcfw" TargetMode="External"/><Relationship Id="rId2096" Type="http://schemas.openxmlformats.org/officeDocument/2006/relationships/hyperlink" Target="https://osf.io/ejcfw" TargetMode="External"/><Relationship Id="rId2097" Type="http://schemas.openxmlformats.org/officeDocument/2006/relationships/hyperlink" Target="https://osf.io/ejcfw" TargetMode="External"/><Relationship Id="rId2098" Type="http://schemas.openxmlformats.org/officeDocument/2006/relationships/hyperlink" Target="https://osf.io/ejcfw" TargetMode="External"/><Relationship Id="rId2099" Type="http://schemas.openxmlformats.org/officeDocument/2006/relationships/hyperlink" Target="https://osf.io/ejcfw" TargetMode="External"/><Relationship Id="rId2060" Type="http://schemas.openxmlformats.org/officeDocument/2006/relationships/hyperlink" Target="https://osf.io/ejcfw" TargetMode="External"/><Relationship Id="rId2061" Type="http://schemas.openxmlformats.org/officeDocument/2006/relationships/hyperlink" Target="https://osf.io/ejcfw" TargetMode="External"/><Relationship Id="rId2062" Type="http://schemas.openxmlformats.org/officeDocument/2006/relationships/hyperlink" Target="https://osf.io/ejcfw" TargetMode="External"/><Relationship Id="rId2063" Type="http://schemas.openxmlformats.org/officeDocument/2006/relationships/hyperlink" Target="https://osf.io/ejcfw" TargetMode="External"/><Relationship Id="rId2064" Type="http://schemas.openxmlformats.org/officeDocument/2006/relationships/hyperlink" Target="https://osf.io/ejcfw" TargetMode="External"/><Relationship Id="rId2065" Type="http://schemas.openxmlformats.org/officeDocument/2006/relationships/hyperlink" Target="https://osf.io/ejcfw" TargetMode="External"/><Relationship Id="rId2066" Type="http://schemas.openxmlformats.org/officeDocument/2006/relationships/hyperlink" Target="https://osf.io/ejcfw" TargetMode="External"/><Relationship Id="rId2067" Type="http://schemas.openxmlformats.org/officeDocument/2006/relationships/hyperlink" Target="https://osf.io/ejcfw" TargetMode="External"/><Relationship Id="rId2068" Type="http://schemas.openxmlformats.org/officeDocument/2006/relationships/hyperlink" Target="https://osf.io/ejcfw" TargetMode="External"/><Relationship Id="rId2069" Type="http://schemas.openxmlformats.org/officeDocument/2006/relationships/hyperlink" Target="https://osf.io/ejcfw" TargetMode="External"/><Relationship Id="rId2050" Type="http://schemas.openxmlformats.org/officeDocument/2006/relationships/hyperlink" Target="https://osf.io/ejcfw" TargetMode="External"/><Relationship Id="rId2051" Type="http://schemas.openxmlformats.org/officeDocument/2006/relationships/hyperlink" Target="https://osf.io/ejcfw" TargetMode="External"/><Relationship Id="rId495" Type="http://schemas.openxmlformats.org/officeDocument/2006/relationships/hyperlink" Target="https://osf.io/ja3wc" TargetMode="External"/><Relationship Id="rId2052" Type="http://schemas.openxmlformats.org/officeDocument/2006/relationships/hyperlink" Target="https://osf.io/ejcfw" TargetMode="External"/><Relationship Id="rId494" Type="http://schemas.openxmlformats.org/officeDocument/2006/relationships/hyperlink" Target="https://osf.io/yqxme" TargetMode="External"/><Relationship Id="rId2053" Type="http://schemas.openxmlformats.org/officeDocument/2006/relationships/hyperlink" Target="https://osf.io/ejcfw" TargetMode="External"/><Relationship Id="rId493" Type="http://schemas.openxmlformats.org/officeDocument/2006/relationships/hyperlink" Target="https://osf.io/yqxme" TargetMode="External"/><Relationship Id="rId2054" Type="http://schemas.openxmlformats.org/officeDocument/2006/relationships/hyperlink" Target="https://osf.io/ejcfw" TargetMode="External"/><Relationship Id="rId492" Type="http://schemas.openxmlformats.org/officeDocument/2006/relationships/hyperlink" Target="https://osf.io/yqxme" TargetMode="External"/><Relationship Id="rId2055" Type="http://schemas.openxmlformats.org/officeDocument/2006/relationships/hyperlink" Target="https://osf.io/ejcfw" TargetMode="External"/><Relationship Id="rId499" Type="http://schemas.openxmlformats.org/officeDocument/2006/relationships/hyperlink" Target="https://doi.org/10.1177/1948550619843931" TargetMode="External"/><Relationship Id="rId2056" Type="http://schemas.openxmlformats.org/officeDocument/2006/relationships/hyperlink" Target="https://osf.io/ejcfw" TargetMode="External"/><Relationship Id="rId498" Type="http://schemas.openxmlformats.org/officeDocument/2006/relationships/hyperlink" Target="https://osf.io/yqxme" TargetMode="External"/><Relationship Id="rId2057" Type="http://schemas.openxmlformats.org/officeDocument/2006/relationships/hyperlink" Target="https://osf.io/ejcfw" TargetMode="External"/><Relationship Id="rId497" Type="http://schemas.openxmlformats.org/officeDocument/2006/relationships/hyperlink" Target="https://osf.io/8hz3s)" TargetMode="External"/><Relationship Id="rId2058" Type="http://schemas.openxmlformats.org/officeDocument/2006/relationships/hyperlink" Target="https://osf.io/ejcfw" TargetMode="External"/><Relationship Id="rId496" Type="http://schemas.openxmlformats.org/officeDocument/2006/relationships/hyperlink" Target="https://osf.io/ja3wc" TargetMode="External"/><Relationship Id="rId2059" Type="http://schemas.openxmlformats.org/officeDocument/2006/relationships/hyperlink" Target="https://osf.io/ejcfw" TargetMode="External"/><Relationship Id="rId2080" Type="http://schemas.openxmlformats.org/officeDocument/2006/relationships/hyperlink" Target="https://osf.io/ejcfw" TargetMode="External"/><Relationship Id="rId2081" Type="http://schemas.openxmlformats.org/officeDocument/2006/relationships/hyperlink" Target="https://osf.io/ejcfw" TargetMode="External"/><Relationship Id="rId2082" Type="http://schemas.openxmlformats.org/officeDocument/2006/relationships/hyperlink" Target="https://osf.io/ejcfw" TargetMode="External"/><Relationship Id="rId2083" Type="http://schemas.openxmlformats.org/officeDocument/2006/relationships/hyperlink" Target="https://osf.io/ejcfw" TargetMode="External"/><Relationship Id="rId2084" Type="http://schemas.openxmlformats.org/officeDocument/2006/relationships/hyperlink" Target="https://osf.io/ejcfw" TargetMode="External"/><Relationship Id="rId2085" Type="http://schemas.openxmlformats.org/officeDocument/2006/relationships/hyperlink" Target="https://osf.io/ejcfw" TargetMode="External"/><Relationship Id="rId2086" Type="http://schemas.openxmlformats.org/officeDocument/2006/relationships/hyperlink" Target="https://osf.io/ejcfw" TargetMode="External"/><Relationship Id="rId2087" Type="http://schemas.openxmlformats.org/officeDocument/2006/relationships/hyperlink" Target="https://osf.io/ejcfw" TargetMode="External"/><Relationship Id="rId2088" Type="http://schemas.openxmlformats.org/officeDocument/2006/relationships/hyperlink" Target="https://osf.io/ejcfw" TargetMode="External"/><Relationship Id="rId2089" Type="http://schemas.openxmlformats.org/officeDocument/2006/relationships/hyperlink" Target="https://osf.io/ejcfw" TargetMode="External"/><Relationship Id="rId2070" Type="http://schemas.openxmlformats.org/officeDocument/2006/relationships/hyperlink" Target="https://osf.io/ejcfw" TargetMode="External"/><Relationship Id="rId2071" Type="http://schemas.openxmlformats.org/officeDocument/2006/relationships/hyperlink" Target="https://osf.io/ejcfw" TargetMode="External"/><Relationship Id="rId2072" Type="http://schemas.openxmlformats.org/officeDocument/2006/relationships/hyperlink" Target="https://osf.io/ejcfw" TargetMode="External"/><Relationship Id="rId2073" Type="http://schemas.openxmlformats.org/officeDocument/2006/relationships/hyperlink" Target="https://osf.io/ejcfw" TargetMode="External"/><Relationship Id="rId2074" Type="http://schemas.openxmlformats.org/officeDocument/2006/relationships/hyperlink" Target="https://osf.io/ejcfw" TargetMode="External"/><Relationship Id="rId2075" Type="http://schemas.openxmlformats.org/officeDocument/2006/relationships/hyperlink" Target="https://osf.io/ejcfw" TargetMode="External"/><Relationship Id="rId2076" Type="http://schemas.openxmlformats.org/officeDocument/2006/relationships/hyperlink" Target="https://osf.io/ejcfw" TargetMode="External"/><Relationship Id="rId2077" Type="http://schemas.openxmlformats.org/officeDocument/2006/relationships/hyperlink" Target="https://osf.io/ejcfw" TargetMode="External"/><Relationship Id="rId2078" Type="http://schemas.openxmlformats.org/officeDocument/2006/relationships/hyperlink" Target="https://osf.io/ejcfw" TargetMode="External"/><Relationship Id="rId2079" Type="http://schemas.openxmlformats.org/officeDocument/2006/relationships/hyperlink" Target="https://osf.io/ejcfw" TargetMode="External"/><Relationship Id="rId1610" Type="http://schemas.openxmlformats.org/officeDocument/2006/relationships/hyperlink" Target="https://osf.io/3uw96" TargetMode="External"/><Relationship Id="rId1611" Type="http://schemas.openxmlformats.org/officeDocument/2006/relationships/hyperlink" Target="https://osf.io/5afur" TargetMode="External"/><Relationship Id="rId1612" Type="http://schemas.openxmlformats.org/officeDocument/2006/relationships/hyperlink" Target="https://osf.io/cy9v4" TargetMode="External"/><Relationship Id="rId1613" Type="http://schemas.openxmlformats.org/officeDocument/2006/relationships/hyperlink" Target="http://www.communicationcache.com/uploads/1/0/8/8/10887248/self-regulation_and_selective_exposure-_the_impact_of_depleted_self-regulation_resources_on_confirmatory_information_processing.pdf" TargetMode="External"/><Relationship Id="rId1614" Type="http://schemas.openxmlformats.org/officeDocument/2006/relationships/hyperlink" Target="https://osf.io/9pnct" TargetMode="External"/><Relationship Id="rId1615" Type="http://schemas.openxmlformats.org/officeDocument/2006/relationships/hyperlink" Target="https://osf.io/9pnct" TargetMode="External"/><Relationship Id="rId1616" Type="http://schemas.openxmlformats.org/officeDocument/2006/relationships/hyperlink" Target="https://osf.io/e35y2" TargetMode="External"/><Relationship Id="rId907" Type="http://schemas.openxmlformats.org/officeDocument/2006/relationships/hyperlink" Target="https://doi.org/10/gg6grh" TargetMode="External"/><Relationship Id="rId1617" Type="http://schemas.openxmlformats.org/officeDocument/2006/relationships/hyperlink" Target="https://osf.io/7q5us" TargetMode="External"/><Relationship Id="rId906" Type="http://schemas.openxmlformats.org/officeDocument/2006/relationships/hyperlink" Target="https://osf.io/9avrm" TargetMode="External"/><Relationship Id="rId1618" Type="http://schemas.openxmlformats.org/officeDocument/2006/relationships/hyperlink" Target="https://osf.io/pktma" TargetMode="External"/><Relationship Id="rId905" Type="http://schemas.openxmlformats.org/officeDocument/2006/relationships/hyperlink" Target="https://osf.io/sejyp" TargetMode="External"/><Relationship Id="rId1619" Type="http://schemas.openxmlformats.org/officeDocument/2006/relationships/hyperlink" Target="https://osf.io/pktma" TargetMode="External"/><Relationship Id="rId904" Type="http://schemas.openxmlformats.org/officeDocument/2006/relationships/hyperlink" Target="https://doi.org/10/gg6grh" TargetMode="External"/><Relationship Id="rId909" Type="http://schemas.openxmlformats.org/officeDocument/2006/relationships/hyperlink" Target="https://doi.org/10/gb4vmc" TargetMode="External"/><Relationship Id="rId908" Type="http://schemas.openxmlformats.org/officeDocument/2006/relationships/hyperlink" Target="https://osf.io/sejyp" TargetMode="External"/><Relationship Id="rId903" Type="http://schemas.openxmlformats.org/officeDocument/2006/relationships/hyperlink" Target="https://osf.io/sejyp" TargetMode="External"/><Relationship Id="rId902" Type="http://schemas.openxmlformats.org/officeDocument/2006/relationships/hyperlink" Target="https://doi.org/10/ggb75r" TargetMode="External"/><Relationship Id="rId901" Type="http://schemas.openxmlformats.org/officeDocument/2006/relationships/hyperlink" Target="https://osf.io/szntm" TargetMode="External"/><Relationship Id="rId900" Type="http://schemas.openxmlformats.org/officeDocument/2006/relationships/hyperlink" Target="https://osf.io/sejyp" TargetMode="External"/><Relationship Id="rId1600" Type="http://schemas.openxmlformats.org/officeDocument/2006/relationships/hyperlink" Target="https://osf.io/nx6dr" TargetMode="External"/><Relationship Id="rId1601" Type="http://schemas.openxmlformats.org/officeDocument/2006/relationships/hyperlink" Target="https://osf.io/nx6dr" TargetMode="External"/><Relationship Id="rId1602" Type="http://schemas.openxmlformats.org/officeDocument/2006/relationships/hyperlink" Target="https://kops.uni-konstanz.de/server/api/core/bitstreams/f8cf3efc-7de6-49c4-8ff8-ce1e1a9b6892/content" TargetMode="External"/><Relationship Id="rId1603" Type="http://schemas.openxmlformats.org/officeDocument/2006/relationships/hyperlink" Target="https://osf.io/cjr7d" TargetMode="External"/><Relationship Id="rId1604" Type="http://schemas.openxmlformats.org/officeDocument/2006/relationships/hyperlink" Target="https://osf.io/45vwm" TargetMode="External"/><Relationship Id="rId1605" Type="http://schemas.openxmlformats.org/officeDocument/2006/relationships/hyperlink" Target="https://osf.io/45vwm" TargetMode="External"/><Relationship Id="rId1606" Type="http://schemas.openxmlformats.org/officeDocument/2006/relationships/hyperlink" Target="https://osf.io/fuj2c" TargetMode="External"/><Relationship Id="rId1607" Type="http://schemas.openxmlformats.org/officeDocument/2006/relationships/hyperlink" Target="https://osf.io/3m7qw" TargetMode="External"/><Relationship Id="rId1608" Type="http://schemas.openxmlformats.org/officeDocument/2006/relationships/hyperlink" Target="https://osf.io/3m7qw" TargetMode="External"/><Relationship Id="rId1609" Type="http://schemas.openxmlformats.org/officeDocument/2006/relationships/hyperlink" Target="https://osf.io/4peq6" TargetMode="External"/><Relationship Id="rId1631" Type="http://schemas.openxmlformats.org/officeDocument/2006/relationships/hyperlink" Target="https://osf.io/3rxvs" TargetMode="External"/><Relationship Id="rId1632" Type="http://schemas.openxmlformats.org/officeDocument/2006/relationships/hyperlink" Target="https://osf.io/3rxvs" TargetMode="External"/><Relationship Id="rId1633" Type="http://schemas.openxmlformats.org/officeDocument/2006/relationships/hyperlink" Target="https://osf.io/2r7nk" TargetMode="External"/><Relationship Id="rId1634" Type="http://schemas.openxmlformats.org/officeDocument/2006/relationships/hyperlink" Target="https://doi.org/10.1016/j.appet.2020.104808" TargetMode="External"/><Relationship Id="rId1635" Type="http://schemas.openxmlformats.org/officeDocument/2006/relationships/hyperlink" Target="http://hdl.handle.net/1765/98670" TargetMode="External"/><Relationship Id="rId1636" Type="http://schemas.openxmlformats.org/officeDocument/2006/relationships/hyperlink" Target="https://doi.org/10.1016/j.appet.2013.12.020" TargetMode="External"/><Relationship Id="rId1637" Type="http://schemas.openxmlformats.org/officeDocument/2006/relationships/hyperlink" Target="https://osf.io/sptyb" TargetMode="External"/><Relationship Id="rId1638" Type="http://schemas.openxmlformats.org/officeDocument/2006/relationships/hyperlink" Target="https://osf.io/sptyb" TargetMode="External"/><Relationship Id="rId929" Type="http://schemas.openxmlformats.org/officeDocument/2006/relationships/hyperlink" Target="https://osf.io/j8a4p" TargetMode="External"/><Relationship Id="rId1639" Type="http://schemas.openxmlformats.org/officeDocument/2006/relationships/hyperlink" Target="https://doi.org/10.17605/OSF.IO/693JY" TargetMode="External"/><Relationship Id="rId928" Type="http://schemas.openxmlformats.org/officeDocument/2006/relationships/hyperlink" Target="https://doi.org/10.17605/OSF.IO/J8A4P" TargetMode="External"/><Relationship Id="rId927" Type="http://schemas.openxmlformats.org/officeDocument/2006/relationships/hyperlink" Target="https://doi.org/10.17605/OSF.IO/J8A4P" TargetMode="External"/><Relationship Id="rId926" Type="http://schemas.openxmlformats.org/officeDocument/2006/relationships/hyperlink" Target="https://osf.io/x9tq5" TargetMode="External"/><Relationship Id="rId921" Type="http://schemas.openxmlformats.org/officeDocument/2006/relationships/hyperlink" Target="https://doi.org/10/f8qfrh" TargetMode="External"/><Relationship Id="rId920" Type="http://schemas.openxmlformats.org/officeDocument/2006/relationships/hyperlink" Target="https://doi.org/10/gb4sh4" TargetMode="External"/><Relationship Id="rId925" Type="http://schemas.openxmlformats.org/officeDocument/2006/relationships/hyperlink" Target="https://osf.io/3xcnm/" TargetMode="External"/><Relationship Id="rId924" Type="http://schemas.openxmlformats.org/officeDocument/2006/relationships/hyperlink" Target="https://osf.io/3xcnm/" TargetMode="External"/><Relationship Id="rId923" Type="http://schemas.openxmlformats.org/officeDocument/2006/relationships/hyperlink" Target="https://doi.org/10/f8qfrh" TargetMode="External"/><Relationship Id="rId922" Type="http://schemas.openxmlformats.org/officeDocument/2006/relationships/hyperlink" Target="https://osf.io/nc49e" TargetMode="External"/><Relationship Id="rId1630" Type="http://schemas.openxmlformats.org/officeDocument/2006/relationships/hyperlink" Target="https://osf.io/2kjgz" TargetMode="External"/><Relationship Id="rId1620" Type="http://schemas.openxmlformats.org/officeDocument/2006/relationships/hyperlink" Target="https://osf.io/5pjsn" TargetMode="External"/><Relationship Id="rId1621" Type="http://schemas.openxmlformats.org/officeDocument/2006/relationships/hyperlink" Target="https://osf.io/zdw87" TargetMode="External"/><Relationship Id="rId1622" Type="http://schemas.openxmlformats.org/officeDocument/2006/relationships/hyperlink" Target="https://osf.io/5pjsn" TargetMode="External"/><Relationship Id="rId1623" Type="http://schemas.openxmlformats.org/officeDocument/2006/relationships/hyperlink" Target="https://osf.io/zdw87" TargetMode="External"/><Relationship Id="rId1624" Type="http://schemas.openxmlformats.org/officeDocument/2006/relationships/hyperlink" Target="https://osf.io/3hndq" TargetMode="External"/><Relationship Id="rId1625" Type="http://schemas.openxmlformats.org/officeDocument/2006/relationships/hyperlink" Target="https://osf.io/t75e3" TargetMode="External"/><Relationship Id="rId1626" Type="http://schemas.openxmlformats.org/officeDocument/2006/relationships/hyperlink" Target="https://osf.io/t75e3" TargetMode="External"/><Relationship Id="rId1627" Type="http://schemas.openxmlformats.org/officeDocument/2006/relationships/hyperlink" Target="https://osf.io/mptb2" TargetMode="External"/><Relationship Id="rId918" Type="http://schemas.openxmlformats.org/officeDocument/2006/relationships/hyperlink" Target="https://doi.org/10/gb4sh4" TargetMode="External"/><Relationship Id="rId1628" Type="http://schemas.openxmlformats.org/officeDocument/2006/relationships/hyperlink" Target="https://osf.io/2kjgz" TargetMode="External"/><Relationship Id="rId917" Type="http://schemas.openxmlformats.org/officeDocument/2006/relationships/hyperlink" Target="https://doi.org/10/gbwx4j" TargetMode="External"/><Relationship Id="rId1629" Type="http://schemas.openxmlformats.org/officeDocument/2006/relationships/hyperlink" Target="https://osf.io/mptb2" TargetMode="External"/><Relationship Id="rId916" Type="http://schemas.openxmlformats.org/officeDocument/2006/relationships/hyperlink" Target="https://osf.io/cs82h" TargetMode="External"/><Relationship Id="rId915" Type="http://schemas.openxmlformats.org/officeDocument/2006/relationships/hyperlink" Target="https://osf.io/sejyp" TargetMode="External"/><Relationship Id="rId919" Type="http://schemas.openxmlformats.org/officeDocument/2006/relationships/hyperlink" Target="https://osf.io/yt9vb" TargetMode="External"/><Relationship Id="rId910" Type="http://schemas.openxmlformats.org/officeDocument/2006/relationships/hyperlink" Target="https://osf.io/sejyp" TargetMode="External"/><Relationship Id="rId914" Type="http://schemas.openxmlformats.org/officeDocument/2006/relationships/hyperlink" Target="https://doi.org/10/gbwx4j" TargetMode="External"/><Relationship Id="rId913" Type="http://schemas.openxmlformats.org/officeDocument/2006/relationships/hyperlink" Target="https://osf.io/sejyp" TargetMode="External"/><Relationship Id="rId912" Type="http://schemas.openxmlformats.org/officeDocument/2006/relationships/hyperlink" Target="https://doi.org/10/gb4vmc" TargetMode="External"/><Relationship Id="rId911" Type="http://schemas.openxmlformats.org/officeDocument/2006/relationships/hyperlink" Target="https://osf.io/yd69c" TargetMode="External"/><Relationship Id="rId1213" Type="http://schemas.openxmlformats.org/officeDocument/2006/relationships/hyperlink" Target="http://doi.org/10.1007/s13164-018-0400-9" TargetMode="External"/><Relationship Id="rId1697" Type="http://schemas.openxmlformats.org/officeDocument/2006/relationships/hyperlink" Target="https://doi.org/10.1098/rsos.231240" TargetMode="External"/><Relationship Id="rId1214" Type="http://schemas.openxmlformats.org/officeDocument/2006/relationships/hyperlink" Target="https://osf.io/4ewkh" TargetMode="External"/><Relationship Id="rId1698" Type="http://schemas.openxmlformats.org/officeDocument/2006/relationships/hyperlink" Target="https://osf.io/92der" TargetMode="External"/><Relationship Id="rId1215" Type="http://schemas.openxmlformats.org/officeDocument/2006/relationships/hyperlink" Target="https://doi.org/10.17605/OSF.IO/R3KTH" TargetMode="External"/><Relationship Id="rId1699" Type="http://schemas.openxmlformats.org/officeDocument/2006/relationships/hyperlink" Target="https://rstudio-pubs-static.s3.amazonaws.com/694306_59178dc09b8648e598a3e535876c9246.html" TargetMode="External"/><Relationship Id="rId1216" Type="http://schemas.openxmlformats.org/officeDocument/2006/relationships/hyperlink" Target="http://dx.doi.org/10.1027/1864-9335/a000186" TargetMode="External"/><Relationship Id="rId1217" Type="http://schemas.openxmlformats.org/officeDocument/2006/relationships/hyperlink" Target="http://osf.io/2ukpq" TargetMode="External"/><Relationship Id="rId1218" Type="http://schemas.openxmlformats.org/officeDocument/2006/relationships/hyperlink" Target="https://doi.org/10.17605/OSF.IO/M9VRK" TargetMode="External"/><Relationship Id="rId1219" Type="http://schemas.openxmlformats.org/officeDocument/2006/relationships/hyperlink" Target="http://osf.io/2ukpq" TargetMode="External"/><Relationship Id="rId866" Type="http://schemas.openxmlformats.org/officeDocument/2006/relationships/hyperlink" Target="https://osf.io/sejyp" TargetMode="External"/><Relationship Id="rId865" Type="http://schemas.openxmlformats.org/officeDocument/2006/relationships/hyperlink" Target="https://doi.org/10/gbnk55" TargetMode="External"/><Relationship Id="rId864" Type="http://schemas.openxmlformats.org/officeDocument/2006/relationships/hyperlink" Target="https://osf.io/sejyp" TargetMode="External"/><Relationship Id="rId863" Type="http://schemas.openxmlformats.org/officeDocument/2006/relationships/hyperlink" Target="https://doi.org/10/f9h49k" TargetMode="External"/><Relationship Id="rId869" Type="http://schemas.openxmlformats.org/officeDocument/2006/relationships/hyperlink" Target="https://osf.io/sejyp" TargetMode="External"/><Relationship Id="rId868" Type="http://schemas.openxmlformats.org/officeDocument/2006/relationships/hyperlink" Target="https://doi.org/10/gbnk55" TargetMode="External"/><Relationship Id="rId867" Type="http://schemas.openxmlformats.org/officeDocument/2006/relationships/hyperlink" Target="https://osf.io/e6pq5" TargetMode="External"/><Relationship Id="rId1690" Type="http://schemas.openxmlformats.org/officeDocument/2006/relationships/hyperlink" Target="https://rstudio-pubs-static.s3.amazonaws.com/694306_59178dc09b8648e598a3e535876c9246.html" TargetMode="External"/><Relationship Id="rId1691" Type="http://schemas.openxmlformats.org/officeDocument/2006/relationships/hyperlink" Target="https://doi.org/10.1098/rsos.231240" TargetMode="External"/><Relationship Id="rId1692" Type="http://schemas.openxmlformats.org/officeDocument/2006/relationships/hyperlink" Target="https://osf.io/92der" TargetMode="External"/><Relationship Id="rId862" Type="http://schemas.openxmlformats.org/officeDocument/2006/relationships/hyperlink" Target="https://osf.io/j7syt" TargetMode="External"/><Relationship Id="rId1693" Type="http://schemas.openxmlformats.org/officeDocument/2006/relationships/hyperlink" Target="https://rstudio-pubs-static.s3.amazonaws.com/694306_59178dc09b8648e598a3e535876c9246.html" TargetMode="External"/><Relationship Id="rId861" Type="http://schemas.openxmlformats.org/officeDocument/2006/relationships/hyperlink" Target="https://osf.io/sejyp" TargetMode="External"/><Relationship Id="rId1210" Type="http://schemas.openxmlformats.org/officeDocument/2006/relationships/hyperlink" Target="https://osf.io/4ewkh" TargetMode="External"/><Relationship Id="rId1694" Type="http://schemas.openxmlformats.org/officeDocument/2006/relationships/hyperlink" Target="https://doi.org/10.1098/rsos.231240" TargetMode="External"/><Relationship Id="rId860" Type="http://schemas.openxmlformats.org/officeDocument/2006/relationships/hyperlink" Target="https://doi.org/10/f9h49k" TargetMode="External"/><Relationship Id="rId1211" Type="http://schemas.openxmlformats.org/officeDocument/2006/relationships/hyperlink" Target="https://doi.org/10.17605/OSF.IO/3G3HV" TargetMode="External"/><Relationship Id="rId1695" Type="http://schemas.openxmlformats.org/officeDocument/2006/relationships/hyperlink" Target="https://osf.io/92der" TargetMode="External"/><Relationship Id="rId1212" Type="http://schemas.openxmlformats.org/officeDocument/2006/relationships/hyperlink" Target="https://osf.io/u8g3x" TargetMode="External"/><Relationship Id="rId1696" Type="http://schemas.openxmlformats.org/officeDocument/2006/relationships/hyperlink" Target="https://rstudio-pubs-static.s3.amazonaws.com/694306_59178dc09b8648e598a3e535876c9246.html" TargetMode="External"/><Relationship Id="rId1202" Type="http://schemas.openxmlformats.org/officeDocument/2006/relationships/hyperlink" Target="https://doi.org/10.17605/OSF.IO/AY2YE" TargetMode="External"/><Relationship Id="rId1686" Type="http://schemas.openxmlformats.org/officeDocument/2006/relationships/hyperlink" Target="https://osf.io/kspm6" TargetMode="External"/><Relationship Id="rId1203" Type="http://schemas.openxmlformats.org/officeDocument/2006/relationships/hyperlink" Target="http://doi.org/10.1007/s13164-018-0400-9" TargetMode="External"/><Relationship Id="rId1687" Type="http://schemas.openxmlformats.org/officeDocument/2006/relationships/hyperlink" Target="https://rstudio-pubs-static.s3.amazonaws.com/817655_c94c0f2142fc466fa36a6790ee3fcdde.html" TargetMode="External"/><Relationship Id="rId1204" Type="http://schemas.openxmlformats.org/officeDocument/2006/relationships/hyperlink" Target="https://osf.io/4ewkh" TargetMode="External"/><Relationship Id="rId1688" Type="http://schemas.openxmlformats.org/officeDocument/2006/relationships/hyperlink" Target="https://rstudio-pubs-static.s3.amazonaws.com/817655_c94c0f2142fc466fa36a6790ee3fcdde.html" TargetMode="External"/><Relationship Id="rId1205" Type="http://schemas.openxmlformats.org/officeDocument/2006/relationships/hyperlink" Target="https://doi.org/10.17605/OSF.IO/AY2YE" TargetMode="External"/><Relationship Id="rId1689" Type="http://schemas.openxmlformats.org/officeDocument/2006/relationships/hyperlink" Target="https://osf.io/t3rpq" TargetMode="External"/><Relationship Id="rId1206" Type="http://schemas.openxmlformats.org/officeDocument/2006/relationships/hyperlink" Target="http://doi.org/10.1007/s13164-018-0400-9" TargetMode="External"/><Relationship Id="rId1207" Type="http://schemas.openxmlformats.org/officeDocument/2006/relationships/hyperlink" Target="https://osf.io/4ewkh" TargetMode="External"/><Relationship Id="rId1208" Type="http://schemas.openxmlformats.org/officeDocument/2006/relationships/hyperlink" Target="https://doi.org/10.17605/OSF.IO/3G3HV" TargetMode="External"/><Relationship Id="rId1209" Type="http://schemas.openxmlformats.org/officeDocument/2006/relationships/hyperlink" Target="http://doi.org/10.1007/s13164-018-0400-9" TargetMode="External"/><Relationship Id="rId855" Type="http://schemas.openxmlformats.org/officeDocument/2006/relationships/hyperlink" Target="https://osf.io/sejyp" TargetMode="External"/><Relationship Id="rId854" Type="http://schemas.openxmlformats.org/officeDocument/2006/relationships/hyperlink" Target="https://doi.org/10/f8646f" TargetMode="External"/><Relationship Id="rId853" Type="http://schemas.openxmlformats.org/officeDocument/2006/relationships/hyperlink" Target="https://doi.org/10/f8646f" TargetMode="External"/><Relationship Id="rId852" Type="http://schemas.openxmlformats.org/officeDocument/2006/relationships/hyperlink" Target="https://www.pnas.org/action/downloadSupplement?doi=10.1073%2Fpnas.1606574113&amp;file=pnas.1606574113.sapp.pdf" TargetMode="External"/><Relationship Id="rId859" Type="http://schemas.openxmlformats.org/officeDocument/2006/relationships/hyperlink" Target="https://osf.io/sejyp" TargetMode="External"/><Relationship Id="rId858" Type="http://schemas.openxmlformats.org/officeDocument/2006/relationships/hyperlink" Target="https://doi.org/10/f8646f" TargetMode="External"/><Relationship Id="rId857" Type="http://schemas.openxmlformats.org/officeDocument/2006/relationships/hyperlink" Target="https://doi.org/10/f8646f" TargetMode="External"/><Relationship Id="rId856" Type="http://schemas.openxmlformats.org/officeDocument/2006/relationships/hyperlink" Target="https://osf.io/8z2tm" TargetMode="External"/><Relationship Id="rId1680" Type="http://schemas.openxmlformats.org/officeDocument/2006/relationships/hyperlink" Target="https://osf.io/s2d6t" TargetMode="External"/><Relationship Id="rId1681" Type="http://schemas.openxmlformats.org/officeDocument/2006/relationships/hyperlink" Target="http://osf.io/c5fza" TargetMode="External"/><Relationship Id="rId851" Type="http://schemas.openxmlformats.org/officeDocument/2006/relationships/hyperlink" Target="https://osf.io/sejyp" TargetMode="External"/><Relationship Id="rId1682" Type="http://schemas.openxmlformats.org/officeDocument/2006/relationships/hyperlink" Target="https://osf.io/s2d6t" TargetMode="External"/><Relationship Id="rId850" Type="http://schemas.openxmlformats.org/officeDocument/2006/relationships/hyperlink" Target="https://doi.org/10/f8hms6" TargetMode="External"/><Relationship Id="rId1683" Type="http://schemas.openxmlformats.org/officeDocument/2006/relationships/hyperlink" Target="https://osf.io/689xc" TargetMode="External"/><Relationship Id="rId1200" Type="http://schemas.openxmlformats.org/officeDocument/2006/relationships/hyperlink" Target="http://doi.org/10.1007/s13164-018-0400-9" TargetMode="External"/><Relationship Id="rId1684" Type="http://schemas.openxmlformats.org/officeDocument/2006/relationships/hyperlink" Target="https://osf.io/689xc" TargetMode="External"/><Relationship Id="rId1201" Type="http://schemas.openxmlformats.org/officeDocument/2006/relationships/hyperlink" Target="https://osf.io/4ewkh" TargetMode="External"/><Relationship Id="rId1685" Type="http://schemas.openxmlformats.org/officeDocument/2006/relationships/hyperlink" Target="https://osf.io/xwn9m/" TargetMode="External"/><Relationship Id="rId1235" Type="http://schemas.openxmlformats.org/officeDocument/2006/relationships/hyperlink" Target="https://aspredicted.org/mq97g.pdf" TargetMode="External"/><Relationship Id="rId1236" Type="http://schemas.openxmlformats.org/officeDocument/2006/relationships/hyperlink" Target="https://osf.io/nra37" TargetMode="External"/><Relationship Id="rId1237" Type="http://schemas.openxmlformats.org/officeDocument/2006/relationships/hyperlink" Target="https://aspredicted.org/mq97g.pdf" TargetMode="External"/><Relationship Id="rId1238" Type="http://schemas.openxmlformats.org/officeDocument/2006/relationships/hyperlink" Target="https://aspredicted.org/mq97g.pdf" TargetMode="External"/><Relationship Id="rId1239" Type="http://schemas.openxmlformats.org/officeDocument/2006/relationships/hyperlink" Target="https://osf.io/avy86" TargetMode="External"/><Relationship Id="rId409" Type="http://schemas.openxmlformats.org/officeDocument/2006/relationships/hyperlink" Target="https://doi.org/10.1007/s40732-020-00453-8" TargetMode="External"/><Relationship Id="rId404" Type="http://schemas.openxmlformats.org/officeDocument/2006/relationships/hyperlink" Target="https://doi.org/10.1007/s10802-020-00712-w" TargetMode="External"/><Relationship Id="rId888" Type="http://schemas.openxmlformats.org/officeDocument/2006/relationships/hyperlink" Target="https://osf.io/sejyp" TargetMode="External"/><Relationship Id="rId403" Type="http://schemas.openxmlformats.org/officeDocument/2006/relationships/hyperlink" Target="https://se.ifi.uni-heidelberg.de/fileadmin/pdf/publications/2016_The_Role_of_Method_Chains.pdf" TargetMode="External"/><Relationship Id="rId887" Type="http://schemas.openxmlformats.org/officeDocument/2006/relationships/hyperlink" Target="https://doi.org/10/crgh" TargetMode="External"/><Relationship Id="rId402" Type="http://schemas.openxmlformats.org/officeDocument/2006/relationships/hyperlink" Target="https://doi.org/10.1109/ICCQ60895.2024.10576941" TargetMode="External"/><Relationship Id="rId886" Type="http://schemas.openxmlformats.org/officeDocument/2006/relationships/hyperlink" Target="https://osf.io/kpvwg" TargetMode="External"/><Relationship Id="rId401" Type="http://schemas.openxmlformats.org/officeDocument/2006/relationships/hyperlink" Target="https://doi.org/10.1145/3649217.3653545" TargetMode="External"/><Relationship Id="rId885" Type="http://schemas.openxmlformats.org/officeDocument/2006/relationships/hyperlink" Target="https://aspredicted.org/ij46t.pdf" TargetMode="External"/><Relationship Id="rId408" Type="http://schemas.openxmlformats.org/officeDocument/2006/relationships/hyperlink" Target="https://osf.io/8qub2" TargetMode="External"/><Relationship Id="rId407" Type="http://schemas.openxmlformats.org/officeDocument/2006/relationships/hyperlink" Target="https://osf.io/8qub2" TargetMode="External"/><Relationship Id="rId406" Type="http://schemas.openxmlformats.org/officeDocument/2006/relationships/hyperlink" Target="https://doi.org/10.1016/j.xjmad.2024.100075" TargetMode="External"/><Relationship Id="rId405" Type="http://schemas.openxmlformats.org/officeDocument/2006/relationships/hyperlink" Target="https://doi.org/10.1016/j.xjmad.2024.100075" TargetMode="External"/><Relationship Id="rId889" Type="http://schemas.openxmlformats.org/officeDocument/2006/relationships/hyperlink" Target="https://doi.org/10/gsv6xm" TargetMode="External"/><Relationship Id="rId880" Type="http://schemas.openxmlformats.org/officeDocument/2006/relationships/hyperlink" Target="https://osf.io/cyg6v" TargetMode="External"/><Relationship Id="rId1230" Type="http://schemas.openxmlformats.org/officeDocument/2006/relationships/hyperlink" Target="http://doi.org/10.1007/s13164-018-0400-9" TargetMode="External"/><Relationship Id="rId400" Type="http://schemas.openxmlformats.org/officeDocument/2006/relationships/hyperlink" Target="https://doi.org/10.1145/3649217.3653545" TargetMode="External"/><Relationship Id="rId884" Type="http://schemas.openxmlformats.org/officeDocument/2006/relationships/hyperlink" Target="https://osf.io/sejyp" TargetMode="External"/><Relationship Id="rId1231" Type="http://schemas.openxmlformats.org/officeDocument/2006/relationships/hyperlink" Target="https://osf.io/4ewkh" TargetMode="External"/><Relationship Id="rId883" Type="http://schemas.openxmlformats.org/officeDocument/2006/relationships/hyperlink" Target="https://doi.org/10/crgh" TargetMode="External"/><Relationship Id="rId1232" Type="http://schemas.openxmlformats.org/officeDocument/2006/relationships/hyperlink" Target="https://osf.io/mykq6" TargetMode="External"/><Relationship Id="rId882" Type="http://schemas.openxmlformats.org/officeDocument/2006/relationships/hyperlink" Target="https://osf.io/sejyp" TargetMode="External"/><Relationship Id="rId1233" Type="http://schemas.openxmlformats.org/officeDocument/2006/relationships/hyperlink" Target="https://doi.org/10.17605/OSF.IO/9VXSF" TargetMode="External"/><Relationship Id="rId881" Type="http://schemas.openxmlformats.org/officeDocument/2006/relationships/hyperlink" Target="https://doi.org/10/f9hmdp" TargetMode="External"/><Relationship Id="rId1234" Type="http://schemas.openxmlformats.org/officeDocument/2006/relationships/hyperlink" Target="https://doi.org/10.1098/rsos.231090" TargetMode="External"/><Relationship Id="rId1224" Type="http://schemas.openxmlformats.org/officeDocument/2006/relationships/hyperlink" Target="http://doi.org/10.1007/s13164-018-0400-9" TargetMode="External"/><Relationship Id="rId1225" Type="http://schemas.openxmlformats.org/officeDocument/2006/relationships/hyperlink" Target="https://osf.io/4ewkh" TargetMode="External"/><Relationship Id="rId1226" Type="http://schemas.openxmlformats.org/officeDocument/2006/relationships/hyperlink" Target="https://doi.org/10.17605/OSF.IO/9VXSF" TargetMode="External"/><Relationship Id="rId1227" Type="http://schemas.openxmlformats.org/officeDocument/2006/relationships/hyperlink" Target="http://doi.org/10.1007/s13164-018-0400-9" TargetMode="External"/><Relationship Id="rId1228" Type="http://schemas.openxmlformats.org/officeDocument/2006/relationships/hyperlink" Target="https://osf.io/4ewkh" TargetMode="External"/><Relationship Id="rId1229" Type="http://schemas.openxmlformats.org/officeDocument/2006/relationships/hyperlink" Target="https://doi.org/10.17605/OSF.IO/9VXSF" TargetMode="External"/><Relationship Id="rId877" Type="http://schemas.openxmlformats.org/officeDocument/2006/relationships/hyperlink" Target="https://www.pnas.org/doi/suppl/10.1073/pnas.1610834113" TargetMode="External"/><Relationship Id="rId876" Type="http://schemas.openxmlformats.org/officeDocument/2006/relationships/hyperlink" Target="https://osf.io/sejyp" TargetMode="External"/><Relationship Id="rId875" Type="http://schemas.openxmlformats.org/officeDocument/2006/relationships/hyperlink" Target="https://doi.org/10/gfqzv6" TargetMode="External"/><Relationship Id="rId874" Type="http://schemas.openxmlformats.org/officeDocument/2006/relationships/hyperlink" Target="https://osf.io/gq2fr" TargetMode="External"/><Relationship Id="rId879" Type="http://schemas.openxmlformats.org/officeDocument/2006/relationships/hyperlink" Target="https://osf.io/sejyp" TargetMode="External"/><Relationship Id="rId878" Type="http://schemas.openxmlformats.org/officeDocument/2006/relationships/hyperlink" Target="https://doi.org/10/f9hmdp" TargetMode="External"/><Relationship Id="rId873" Type="http://schemas.openxmlformats.org/officeDocument/2006/relationships/hyperlink" Target="https://osf.io/qfhe4/" TargetMode="External"/><Relationship Id="rId1220" Type="http://schemas.openxmlformats.org/officeDocument/2006/relationships/hyperlink" Target="https://doi.org/10.17605/OSF.IO/M9VRK" TargetMode="External"/><Relationship Id="rId872" Type="http://schemas.openxmlformats.org/officeDocument/2006/relationships/hyperlink" Target="https://osf.io/sejyp" TargetMode="External"/><Relationship Id="rId1221" Type="http://schemas.openxmlformats.org/officeDocument/2006/relationships/hyperlink" Target="http://doi.org/10.1007/s13164-018-0400-9" TargetMode="External"/><Relationship Id="rId871" Type="http://schemas.openxmlformats.org/officeDocument/2006/relationships/hyperlink" Target="https://doi.org/10/gfqzv6" TargetMode="External"/><Relationship Id="rId1222" Type="http://schemas.openxmlformats.org/officeDocument/2006/relationships/hyperlink" Target="https://osf.io/4ewkh" TargetMode="External"/><Relationship Id="rId870" Type="http://schemas.openxmlformats.org/officeDocument/2006/relationships/hyperlink" Target="https://ftp.ebi.ac.uk/biostudies/nfs/S-EPMC/472/S-EPMC6275472/Files/pnas.1717092115.sapp.pdf" TargetMode="External"/><Relationship Id="rId1223" Type="http://schemas.openxmlformats.org/officeDocument/2006/relationships/hyperlink" Target="https://doi.org/10.17605/OSF.IO/DNQE7" TargetMode="External"/><Relationship Id="rId1653" Type="http://schemas.openxmlformats.org/officeDocument/2006/relationships/hyperlink" Target="https://doi.org/10.17605/OSF.IO/WZXQ9" TargetMode="External"/><Relationship Id="rId1654" Type="http://schemas.openxmlformats.org/officeDocument/2006/relationships/hyperlink" Target="https://osf.io/wzxq9" TargetMode="External"/><Relationship Id="rId1655" Type="http://schemas.openxmlformats.org/officeDocument/2006/relationships/hyperlink" Target="https://osf.io/wbs96" TargetMode="External"/><Relationship Id="rId1656" Type="http://schemas.openxmlformats.org/officeDocument/2006/relationships/hyperlink" Target="https://osf.io/wbs96" TargetMode="External"/><Relationship Id="rId1657" Type="http://schemas.openxmlformats.org/officeDocument/2006/relationships/hyperlink" Target="https://osf.io/e89gh" TargetMode="External"/><Relationship Id="rId1658" Type="http://schemas.openxmlformats.org/officeDocument/2006/relationships/hyperlink" Target="https://osf.io/e89gh" TargetMode="External"/><Relationship Id="rId1659" Type="http://schemas.openxmlformats.org/officeDocument/2006/relationships/hyperlink" Target="https://doi.org/10.17605/OSF.IO/VK6D9" TargetMode="External"/><Relationship Id="rId829" Type="http://schemas.openxmlformats.org/officeDocument/2006/relationships/hyperlink" Target="https://doi.org/10/b9dr" TargetMode="External"/><Relationship Id="rId828" Type="http://schemas.openxmlformats.org/officeDocument/2006/relationships/hyperlink" Target="https://osf.io/sejyp" TargetMode="External"/><Relationship Id="rId827" Type="http://schemas.openxmlformats.org/officeDocument/2006/relationships/hyperlink" Target="https://doi.org/10/gd4t95" TargetMode="External"/><Relationship Id="rId822" Type="http://schemas.openxmlformats.org/officeDocument/2006/relationships/hyperlink" Target="https://doi.org/10/f7fzmv" TargetMode="External"/><Relationship Id="rId821" Type="http://schemas.openxmlformats.org/officeDocument/2006/relationships/hyperlink" Target="https://osf.io/xd947" TargetMode="External"/><Relationship Id="rId820" Type="http://schemas.openxmlformats.org/officeDocument/2006/relationships/hyperlink" Target="https://osf.io/sejyp" TargetMode="External"/><Relationship Id="rId826" Type="http://schemas.openxmlformats.org/officeDocument/2006/relationships/hyperlink" Target="https://osf.io/e37nu" TargetMode="External"/><Relationship Id="rId825" Type="http://schemas.openxmlformats.org/officeDocument/2006/relationships/hyperlink" Target="https://osf.io/sejyp" TargetMode="External"/><Relationship Id="rId824" Type="http://schemas.openxmlformats.org/officeDocument/2006/relationships/hyperlink" Target="https://doi.org/10/gd4t95" TargetMode="External"/><Relationship Id="rId823" Type="http://schemas.openxmlformats.org/officeDocument/2006/relationships/hyperlink" Target="https://osf.io/sejyp" TargetMode="External"/><Relationship Id="rId1650" Type="http://schemas.openxmlformats.org/officeDocument/2006/relationships/hyperlink" Target="https://osf.io/wmbp2" TargetMode="External"/><Relationship Id="rId1651" Type="http://schemas.openxmlformats.org/officeDocument/2006/relationships/hyperlink" Target="https://doi.org/10.17605/OSF.IO/HPK2M" TargetMode="External"/><Relationship Id="rId1652" Type="http://schemas.openxmlformats.org/officeDocument/2006/relationships/hyperlink" Target="https://osf.io/hpk2m" TargetMode="External"/><Relationship Id="rId1642" Type="http://schemas.openxmlformats.org/officeDocument/2006/relationships/hyperlink" Target="https://osf.io/8ew6s" TargetMode="External"/><Relationship Id="rId1643" Type="http://schemas.openxmlformats.org/officeDocument/2006/relationships/hyperlink" Target="https://doi.org/10.17605/OSF.IO/4KR6E" TargetMode="External"/><Relationship Id="rId1644" Type="http://schemas.openxmlformats.org/officeDocument/2006/relationships/hyperlink" Target="https://osf.io/4kr6e" TargetMode="External"/><Relationship Id="rId1645" Type="http://schemas.openxmlformats.org/officeDocument/2006/relationships/hyperlink" Target="https://doi.org/10.17605/OSF.IO/NMRJG" TargetMode="External"/><Relationship Id="rId1646" Type="http://schemas.openxmlformats.org/officeDocument/2006/relationships/hyperlink" Target="https://osf.io/nmrjg" TargetMode="External"/><Relationship Id="rId1647" Type="http://schemas.openxmlformats.org/officeDocument/2006/relationships/hyperlink" Target="https://doi.org/10.17605/OSF.IO/PK952" TargetMode="External"/><Relationship Id="rId1648" Type="http://schemas.openxmlformats.org/officeDocument/2006/relationships/hyperlink" Target="https://osf.io/pk952" TargetMode="External"/><Relationship Id="rId1649" Type="http://schemas.openxmlformats.org/officeDocument/2006/relationships/hyperlink" Target="https://doi.org/10.17605/OSF.IO/WMBP2" TargetMode="External"/><Relationship Id="rId819" Type="http://schemas.openxmlformats.org/officeDocument/2006/relationships/hyperlink" Target="https://doi.org/10/f7fzmv" TargetMode="External"/><Relationship Id="rId818" Type="http://schemas.openxmlformats.org/officeDocument/2006/relationships/hyperlink" Target="https://osf.io/sejyp" TargetMode="External"/><Relationship Id="rId817" Type="http://schemas.openxmlformats.org/officeDocument/2006/relationships/hyperlink" Target="https://doi.org/10/f8jpjp" TargetMode="External"/><Relationship Id="rId816" Type="http://schemas.openxmlformats.org/officeDocument/2006/relationships/hyperlink" Target="https://osf.io/6vnm5" TargetMode="External"/><Relationship Id="rId811" Type="http://schemas.openxmlformats.org/officeDocument/2006/relationships/hyperlink" Target="https://osf.io/wc4xm" TargetMode="External"/><Relationship Id="rId810" Type="http://schemas.openxmlformats.org/officeDocument/2006/relationships/hyperlink" Target="https://osf.io/sejyp" TargetMode="External"/><Relationship Id="rId815" Type="http://schemas.openxmlformats.org/officeDocument/2006/relationships/hyperlink" Target="https://osf.io/sejyp" TargetMode="External"/><Relationship Id="rId814" Type="http://schemas.openxmlformats.org/officeDocument/2006/relationships/hyperlink" Target="https://doi.org/10/f8jpjp" TargetMode="External"/><Relationship Id="rId813" Type="http://schemas.openxmlformats.org/officeDocument/2006/relationships/hyperlink" Target="https://osf.io/sejyp" TargetMode="External"/><Relationship Id="rId812" Type="http://schemas.openxmlformats.org/officeDocument/2006/relationships/hyperlink" Target="https://doi.org/10/gckbgp" TargetMode="External"/><Relationship Id="rId1640" Type="http://schemas.openxmlformats.org/officeDocument/2006/relationships/hyperlink" Target="https://osf.io/693jy" TargetMode="External"/><Relationship Id="rId1641" Type="http://schemas.openxmlformats.org/officeDocument/2006/relationships/hyperlink" Target="https://doi.org/10.17605/OSF.IO/8EW6S" TargetMode="External"/><Relationship Id="rId1675" Type="http://schemas.openxmlformats.org/officeDocument/2006/relationships/hyperlink" Target="https://osf.io/tpzk9" TargetMode="External"/><Relationship Id="rId1676" Type="http://schemas.openxmlformats.org/officeDocument/2006/relationships/hyperlink" Target="https://osf.io/tpzk9" TargetMode="External"/><Relationship Id="rId1677" Type="http://schemas.openxmlformats.org/officeDocument/2006/relationships/hyperlink" Target="https://osf.io/m9suf" TargetMode="External"/><Relationship Id="rId1678" Type="http://schemas.openxmlformats.org/officeDocument/2006/relationships/hyperlink" Target="https://osf.io/m9suf" TargetMode="External"/><Relationship Id="rId1679" Type="http://schemas.openxmlformats.org/officeDocument/2006/relationships/hyperlink" Target="http://osf.io/c5fza" TargetMode="External"/><Relationship Id="rId849" Type="http://schemas.openxmlformats.org/officeDocument/2006/relationships/hyperlink" Target="https://osf.io/nuw8e" TargetMode="External"/><Relationship Id="rId844" Type="http://schemas.openxmlformats.org/officeDocument/2006/relationships/hyperlink" Target="https://doi.org/10/gfzkq8" TargetMode="External"/><Relationship Id="rId843" Type="http://schemas.openxmlformats.org/officeDocument/2006/relationships/hyperlink" Target="https://osf.io/tg2xb" TargetMode="External"/><Relationship Id="rId842" Type="http://schemas.openxmlformats.org/officeDocument/2006/relationships/hyperlink" Target="https://osf.io/sejyp" TargetMode="External"/><Relationship Id="rId841" Type="http://schemas.openxmlformats.org/officeDocument/2006/relationships/hyperlink" Target="https://doi.org/10/gfzkq8" TargetMode="External"/><Relationship Id="rId848" Type="http://schemas.openxmlformats.org/officeDocument/2006/relationships/hyperlink" Target="https://osf.io/sejyp" TargetMode="External"/><Relationship Id="rId847" Type="http://schemas.openxmlformats.org/officeDocument/2006/relationships/hyperlink" Target="https://doi.org/10/f8hms6" TargetMode="External"/><Relationship Id="rId846" Type="http://schemas.openxmlformats.org/officeDocument/2006/relationships/hyperlink" Target="https://www.pnas.org/action/downloadSupplement?doi=10.1073%2Fpnas.1508932113&amp;file=pnas.201508932SI.pdf" TargetMode="External"/><Relationship Id="rId845" Type="http://schemas.openxmlformats.org/officeDocument/2006/relationships/hyperlink" Target="https://osf.io/sejyp" TargetMode="External"/><Relationship Id="rId1670" Type="http://schemas.openxmlformats.org/officeDocument/2006/relationships/hyperlink" Target="https://osf.io/hsntd" TargetMode="External"/><Relationship Id="rId840" Type="http://schemas.openxmlformats.org/officeDocument/2006/relationships/hyperlink" Target="https://osf.io/sejyp" TargetMode="External"/><Relationship Id="rId1671" Type="http://schemas.openxmlformats.org/officeDocument/2006/relationships/hyperlink" Target="https://osf.io/vqzx9" TargetMode="External"/><Relationship Id="rId1672" Type="http://schemas.openxmlformats.org/officeDocument/2006/relationships/hyperlink" Target="https://osf.io/vqzx9" TargetMode="External"/><Relationship Id="rId1673" Type="http://schemas.openxmlformats.org/officeDocument/2006/relationships/hyperlink" Target="https://osf.io/fs3ut" TargetMode="External"/><Relationship Id="rId1674" Type="http://schemas.openxmlformats.org/officeDocument/2006/relationships/hyperlink" Target="https://osf.io/fs3ut" TargetMode="External"/><Relationship Id="rId1664" Type="http://schemas.openxmlformats.org/officeDocument/2006/relationships/hyperlink" Target="https://osf.io/pyt4e" TargetMode="External"/><Relationship Id="rId1665" Type="http://schemas.openxmlformats.org/officeDocument/2006/relationships/hyperlink" Target="https://osf.io/8ybk5" TargetMode="External"/><Relationship Id="rId1666" Type="http://schemas.openxmlformats.org/officeDocument/2006/relationships/hyperlink" Target="https://osf.io/8ybk5" TargetMode="External"/><Relationship Id="rId1667" Type="http://schemas.openxmlformats.org/officeDocument/2006/relationships/hyperlink" Target="https://osf.io/vj2xr" TargetMode="External"/><Relationship Id="rId1668" Type="http://schemas.openxmlformats.org/officeDocument/2006/relationships/hyperlink" Target="https://osf.io/vj2xr" TargetMode="External"/><Relationship Id="rId1669" Type="http://schemas.openxmlformats.org/officeDocument/2006/relationships/hyperlink" Target="https://osf.io/hsntd" TargetMode="External"/><Relationship Id="rId839" Type="http://schemas.openxmlformats.org/officeDocument/2006/relationships/hyperlink" Target="https://doi.org/10/gbxsnh" TargetMode="External"/><Relationship Id="rId838" Type="http://schemas.openxmlformats.org/officeDocument/2006/relationships/hyperlink" Target="https://osf.io/7qnv4" TargetMode="External"/><Relationship Id="rId833" Type="http://schemas.openxmlformats.org/officeDocument/2006/relationships/hyperlink" Target="https://doi.org/10/b9dr" TargetMode="External"/><Relationship Id="rId832" Type="http://schemas.openxmlformats.org/officeDocument/2006/relationships/hyperlink" Target="https://osf.io/eknym" TargetMode="External"/><Relationship Id="rId831" Type="http://schemas.openxmlformats.org/officeDocument/2006/relationships/hyperlink" Target="https://osf.io/ev794" TargetMode="External"/><Relationship Id="rId830" Type="http://schemas.openxmlformats.org/officeDocument/2006/relationships/hyperlink" Target="https://osf.io/sejyp" TargetMode="External"/><Relationship Id="rId837" Type="http://schemas.openxmlformats.org/officeDocument/2006/relationships/hyperlink" Target="https://aspredicted.org/w82be.pdf" TargetMode="External"/><Relationship Id="rId836" Type="http://schemas.openxmlformats.org/officeDocument/2006/relationships/hyperlink" Target="https://osf.io/sejyp" TargetMode="External"/><Relationship Id="rId835" Type="http://schemas.openxmlformats.org/officeDocument/2006/relationships/hyperlink" Target="https://doi.org/10/gbxsnh" TargetMode="External"/><Relationship Id="rId834" Type="http://schemas.openxmlformats.org/officeDocument/2006/relationships/hyperlink" Target="https://osf.io/sejyp" TargetMode="External"/><Relationship Id="rId1660" Type="http://schemas.openxmlformats.org/officeDocument/2006/relationships/hyperlink" Target="https://osf.io/ictp5" TargetMode="External"/><Relationship Id="rId1661" Type="http://schemas.openxmlformats.org/officeDocument/2006/relationships/hyperlink" Target="https://osf.io/2hk76" TargetMode="External"/><Relationship Id="rId1662" Type="http://schemas.openxmlformats.org/officeDocument/2006/relationships/hyperlink" Target="https://osf.io/2hk76" TargetMode="External"/><Relationship Id="rId1663" Type="http://schemas.openxmlformats.org/officeDocument/2006/relationships/hyperlink" Target="https://osf.io/pyt4e" TargetMode="External"/><Relationship Id="rId2148" Type="http://schemas.openxmlformats.org/officeDocument/2006/relationships/vmlDrawing" Target="../drawings/vmlDrawing1.vml"/><Relationship Id="rId469" Type="http://schemas.openxmlformats.org/officeDocument/2006/relationships/hyperlink" Target="https://doi.org/10.1037/pspp0000263" TargetMode="External"/><Relationship Id="rId468" Type="http://schemas.openxmlformats.org/officeDocument/2006/relationships/hyperlink" Target="https://osf.io/6m5tb" TargetMode="External"/><Relationship Id="rId467" Type="http://schemas.openxmlformats.org/officeDocument/2006/relationships/hyperlink" Target="https://osf.io/6m5tb" TargetMode="External"/><Relationship Id="rId1290" Type="http://schemas.openxmlformats.org/officeDocument/2006/relationships/hyperlink" Target="http://osf.io/5eanz/" TargetMode="External"/><Relationship Id="rId1291" Type="http://schemas.openxmlformats.org/officeDocument/2006/relationships/hyperlink" Target="http://osf.io/txs86" TargetMode="External"/><Relationship Id="rId1292" Type="http://schemas.openxmlformats.org/officeDocument/2006/relationships/hyperlink" Target="https://doi.org/10.17605/OSF.IO/ZWKMN" TargetMode="External"/><Relationship Id="rId462" Type="http://schemas.openxmlformats.org/officeDocument/2006/relationships/hyperlink" Target="https://osf.io/6m5tb" TargetMode="External"/><Relationship Id="rId1293" Type="http://schemas.openxmlformats.org/officeDocument/2006/relationships/hyperlink" Target="https://osf.io/qg3m2/registrations" TargetMode="External"/><Relationship Id="rId2140" Type="http://schemas.openxmlformats.org/officeDocument/2006/relationships/hyperlink" Target="https://osf.io/rf7zq" TargetMode="External"/><Relationship Id="rId461" Type="http://schemas.openxmlformats.org/officeDocument/2006/relationships/hyperlink" Target="https://osf.io/6m5tb" TargetMode="External"/><Relationship Id="rId1294" Type="http://schemas.openxmlformats.org/officeDocument/2006/relationships/hyperlink" Target="http://osf.io/cvuwy/" TargetMode="External"/><Relationship Id="rId2141" Type="http://schemas.openxmlformats.org/officeDocument/2006/relationships/hyperlink" Target="https://osf.io/ypcz5" TargetMode="External"/><Relationship Id="rId460" Type="http://schemas.openxmlformats.org/officeDocument/2006/relationships/hyperlink" Target="https://osf.io/yajmp" TargetMode="External"/><Relationship Id="rId1295" Type="http://schemas.openxmlformats.org/officeDocument/2006/relationships/hyperlink" Target="https://osf.io/qg3m2/registrations" TargetMode="External"/><Relationship Id="rId2142" Type="http://schemas.openxmlformats.org/officeDocument/2006/relationships/hyperlink" Target="https://doi.org/10.1186/s40163-021-00141-0" TargetMode="External"/><Relationship Id="rId1296" Type="http://schemas.openxmlformats.org/officeDocument/2006/relationships/hyperlink" Target="https://osf.io/qg3m2/registrations" TargetMode="External"/><Relationship Id="rId2143" Type="http://schemas.openxmlformats.org/officeDocument/2006/relationships/hyperlink" Target="https://doi.org/10.17605/OSF.IO/DT24J" TargetMode="External"/><Relationship Id="rId466" Type="http://schemas.openxmlformats.org/officeDocument/2006/relationships/hyperlink" Target="https://osf.io/yajmp" TargetMode="External"/><Relationship Id="rId1297" Type="http://schemas.openxmlformats.org/officeDocument/2006/relationships/hyperlink" Target="http://osf.io/n6r3b/" TargetMode="External"/><Relationship Id="rId2144" Type="http://schemas.openxmlformats.org/officeDocument/2006/relationships/hyperlink" Target="https://doi.org/10.17605/OSF.IO/DT24J" TargetMode="External"/><Relationship Id="rId465" Type="http://schemas.openxmlformats.org/officeDocument/2006/relationships/hyperlink" Target="https://osf.io/yajmp" TargetMode="External"/><Relationship Id="rId1298" Type="http://schemas.openxmlformats.org/officeDocument/2006/relationships/hyperlink" Target="https://osf.io/qg3m2/registrations" TargetMode="External"/><Relationship Id="rId2145" Type="http://schemas.openxmlformats.org/officeDocument/2006/relationships/hyperlink" Target="https://doi.org/10.17605/OSF.IO/DT24J" TargetMode="External"/><Relationship Id="rId464" Type="http://schemas.openxmlformats.org/officeDocument/2006/relationships/hyperlink" Target="https://osf.io/yajmp" TargetMode="External"/><Relationship Id="rId1299" Type="http://schemas.openxmlformats.org/officeDocument/2006/relationships/hyperlink" Target="https://osf.io/qg3m2/" TargetMode="External"/><Relationship Id="rId2146" Type="http://schemas.openxmlformats.org/officeDocument/2006/relationships/hyperlink" Target="https://www.econstor.eu/bitstream/10419/253653/1/JCRE-2022-2.pdf)" TargetMode="External"/><Relationship Id="rId463" Type="http://schemas.openxmlformats.org/officeDocument/2006/relationships/hyperlink" Target="https://doi.org/10.1037/pspp0000263" TargetMode="External"/><Relationship Id="rId2147" Type="http://schemas.openxmlformats.org/officeDocument/2006/relationships/drawing" Target="../drawings/drawing1.xml"/><Relationship Id="rId2137" Type="http://schemas.openxmlformats.org/officeDocument/2006/relationships/hyperlink" Target="https://osf.io/fsv82" TargetMode="External"/><Relationship Id="rId2138" Type="http://schemas.openxmlformats.org/officeDocument/2006/relationships/hyperlink" Target="https://osf.io/ysqft" TargetMode="External"/><Relationship Id="rId2139" Type="http://schemas.openxmlformats.org/officeDocument/2006/relationships/hyperlink" Target="https://osf.io/vdmz6" TargetMode="External"/><Relationship Id="rId459" Type="http://schemas.openxmlformats.org/officeDocument/2006/relationships/hyperlink" Target="https://osf.io/yajmp" TargetMode="External"/><Relationship Id="rId458" Type="http://schemas.openxmlformats.org/officeDocument/2006/relationships/hyperlink" Target="https://osf.io/yajmp" TargetMode="External"/><Relationship Id="rId457" Type="http://schemas.openxmlformats.org/officeDocument/2006/relationships/hyperlink" Target="https://doi.org/10.1037/pspp0000263" TargetMode="External"/><Relationship Id="rId456" Type="http://schemas.openxmlformats.org/officeDocument/2006/relationships/hyperlink" Target="https://osf.io/6m5tb" TargetMode="External"/><Relationship Id="rId1280" Type="http://schemas.openxmlformats.org/officeDocument/2006/relationships/hyperlink" Target="http://osf.io/yb38c" TargetMode="External"/><Relationship Id="rId1281" Type="http://schemas.openxmlformats.org/officeDocument/2006/relationships/hyperlink" Target="https://doi.org/10.17605/OSF.IO/CKJTF" TargetMode="External"/><Relationship Id="rId451" Type="http://schemas.openxmlformats.org/officeDocument/2006/relationships/hyperlink" Target="https://doi.org/10.1037/pspp0000263" TargetMode="External"/><Relationship Id="rId1282" Type="http://schemas.openxmlformats.org/officeDocument/2006/relationships/hyperlink" Target="https://osf.io/7dh3m" TargetMode="External"/><Relationship Id="rId450" Type="http://schemas.openxmlformats.org/officeDocument/2006/relationships/hyperlink" Target="https://osf.io/6m5tb" TargetMode="External"/><Relationship Id="rId1283" Type="http://schemas.openxmlformats.org/officeDocument/2006/relationships/hyperlink" Target="http://osf.io/wy8ab" TargetMode="External"/><Relationship Id="rId2130" Type="http://schemas.openxmlformats.org/officeDocument/2006/relationships/hyperlink" Target="https://osf.io/d89fx" TargetMode="External"/><Relationship Id="rId1284" Type="http://schemas.openxmlformats.org/officeDocument/2006/relationships/hyperlink" Target="https://osf.io/7dh3m" TargetMode="External"/><Relationship Id="rId2131" Type="http://schemas.openxmlformats.org/officeDocument/2006/relationships/hyperlink" Target="https://osf.io/d5t2b" TargetMode="External"/><Relationship Id="rId1285" Type="http://schemas.openxmlformats.org/officeDocument/2006/relationships/hyperlink" Target="http://osf.io/jb8yp/" TargetMode="External"/><Relationship Id="rId2132" Type="http://schemas.openxmlformats.org/officeDocument/2006/relationships/hyperlink" Target="https://osf.io/7edwb" TargetMode="External"/><Relationship Id="rId455" Type="http://schemas.openxmlformats.org/officeDocument/2006/relationships/hyperlink" Target="https://osf.io/6m5tb" TargetMode="External"/><Relationship Id="rId1286" Type="http://schemas.openxmlformats.org/officeDocument/2006/relationships/hyperlink" Target="http://osf.io/78sqa/" TargetMode="External"/><Relationship Id="rId2133" Type="http://schemas.openxmlformats.org/officeDocument/2006/relationships/hyperlink" Target="https://osf.io/hsrbu" TargetMode="External"/><Relationship Id="rId454" Type="http://schemas.openxmlformats.org/officeDocument/2006/relationships/hyperlink" Target="https://osf.io/yajmp" TargetMode="External"/><Relationship Id="rId1287" Type="http://schemas.openxmlformats.org/officeDocument/2006/relationships/hyperlink" Target="https://doi.org/10.17605/OSF.IO/JW84M" TargetMode="External"/><Relationship Id="rId2134" Type="http://schemas.openxmlformats.org/officeDocument/2006/relationships/hyperlink" Target="https://osf.io/a8c36" TargetMode="External"/><Relationship Id="rId453" Type="http://schemas.openxmlformats.org/officeDocument/2006/relationships/hyperlink" Target="https://osf.io/yajmp" TargetMode="External"/><Relationship Id="rId1288" Type="http://schemas.openxmlformats.org/officeDocument/2006/relationships/hyperlink" Target="http://osf.io/ykt7z" TargetMode="External"/><Relationship Id="rId2135" Type="http://schemas.openxmlformats.org/officeDocument/2006/relationships/hyperlink" Target="https://osf.io/tpmnq" TargetMode="External"/><Relationship Id="rId452" Type="http://schemas.openxmlformats.org/officeDocument/2006/relationships/hyperlink" Target="https://osf.io/yajmp" TargetMode="External"/><Relationship Id="rId1289" Type="http://schemas.openxmlformats.org/officeDocument/2006/relationships/hyperlink" Target="https://doi.org/10.17605/OSF.IO/P56KE" TargetMode="External"/><Relationship Id="rId2136" Type="http://schemas.openxmlformats.org/officeDocument/2006/relationships/hyperlink" Target="https://osf.io/sw98r" TargetMode="External"/><Relationship Id="rId491" Type="http://schemas.openxmlformats.org/officeDocument/2006/relationships/hyperlink" Target="https://doi.org/10.1177/1948550619843931" TargetMode="External"/><Relationship Id="rId490" Type="http://schemas.openxmlformats.org/officeDocument/2006/relationships/hyperlink" Target="https://osf.io/yqxme" TargetMode="External"/><Relationship Id="rId489" Type="http://schemas.openxmlformats.org/officeDocument/2006/relationships/hyperlink" Target="https://osf.io/yqxme/registrations." TargetMode="External"/><Relationship Id="rId484" Type="http://schemas.openxmlformats.org/officeDocument/2006/relationships/hyperlink" Target="https://osf.io/yqxme" TargetMode="External"/><Relationship Id="rId483" Type="http://schemas.openxmlformats.org/officeDocument/2006/relationships/hyperlink" Target="https://doi.org/10.1177/1948550619843931" TargetMode="External"/><Relationship Id="rId482" Type="http://schemas.openxmlformats.org/officeDocument/2006/relationships/hyperlink" Target="https://osf.io/yqxme" TargetMode="External"/><Relationship Id="rId481" Type="http://schemas.openxmlformats.org/officeDocument/2006/relationships/hyperlink" Target="https://osf.io/ja3wc)" TargetMode="External"/><Relationship Id="rId488" Type="http://schemas.openxmlformats.org/officeDocument/2006/relationships/hyperlink" Target="https://osf.io/ja3wc" TargetMode="External"/><Relationship Id="rId487" Type="http://schemas.openxmlformats.org/officeDocument/2006/relationships/hyperlink" Target="https://osf.io/ja3wc" TargetMode="External"/><Relationship Id="rId486" Type="http://schemas.openxmlformats.org/officeDocument/2006/relationships/hyperlink" Target="https://osf.io/yqxme" TargetMode="External"/><Relationship Id="rId485" Type="http://schemas.openxmlformats.org/officeDocument/2006/relationships/hyperlink" Target="https://osf.io/yqxme" TargetMode="External"/><Relationship Id="rId480" Type="http://schemas.openxmlformats.org/officeDocument/2006/relationships/hyperlink" Target="https://osf.io/6m5tb" TargetMode="External"/><Relationship Id="rId479" Type="http://schemas.openxmlformats.org/officeDocument/2006/relationships/hyperlink" Target="https://osf.io/6m5tb" TargetMode="External"/><Relationship Id="rId478" Type="http://schemas.openxmlformats.org/officeDocument/2006/relationships/hyperlink" Target="https://osf.io/yajmp" TargetMode="External"/><Relationship Id="rId473" Type="http://schemas.openxmlformats.org/officeDocument/2006/relationships/hyperlink" Target="https://osf.io/6m5tb" TargetMode="External"/><Relationship Id="rId472" Type="http://schemas.openxmlformats.org/officeDocument/2006/relationships/hyperlink" Target="https://osf.io/yajmp" TargetMode="External"/><Relationship Id="rId471" Type="http://schemas.openxmlformats.org/officeDocument/2006/relationships/hyperlink" Target="https://osf.io/yajmp" TargetMode="External"/><Relationship Id="rId470" Type="http://schemas.openxmlformats.org/officeDocument/2006/relationships/hyperlink" Target="https://osf.io/yajmp" TargetMode="External"/><Relationship Id="rId477" Type="http://schemas.openxmlformats.org/officeDocument/2006/relationships/hyperlink" Target="https://osf.io/yajmp" TargetMode="External"/><Relationship Id="rId476" Type="http://schemas.openxmlformats.org/officeDocument/2006/relationships/hyperlink" Target="https://osf.io/yajmp" TargetMode="External"/><Relationship Id="rId475" Type="http://schemas.openxmlformats.org/officeDocument/2006/relationships/hyperlink" Target="https://doi.org/10.1037/pspp0000263" TargetMode="External"/><Relationship Id="rId474" Type="http://schemas.openxmlformats.org/officeDocument/2006/relationships/hyperlink" Target="https://osf.io/6m5tb" TargetMode="External"/><Relationship Id="rId1257" Type="http://schemas.openxmlformats.org/officeDocument/2006/relationships/hyperlink" Target="https://osf.io/9fcjx" TargetMode="External"/><Relationship Id="rId2104" Type="http://schemas.openxmlformats.org/officeDocument/2006/relationships/hyperlink" Target="https://osf.io/ejcfw" TargetMode="External"/><Relationship Id="rId1258" Type="http://schemas.openxmlformats.org/officeDocument/2006/relationships/hyperlink" Target="https://osf.io/q6tv8" TargetMode="External"/><Relationship Id="rId2105" Type="http://schemas.openxmlformats.org/officeDocument/2006/relationships/hyperlink" Target="https://osf.io/ejcfw" TargetMode="External"/><Relationship Id="rId1259" Type="http://schemas.openxmlformats.org/officeDocument/2006/relationships/hyperlink" Target="https://osf.io/ktjc4/" TargetMode="External"/><Relationship Id="rId2106" Type="http://schemas.openxmlformats.org/officeDocument/2006/relationships/hyperlink" Target="https://osf.io/b8pwq" TargetMode="External"/><Relationship Id="rId2107" Type="http://schemas.openxmlformats.org/officeDocument/2006/relationships/hyperlink" Target="https://osf.io/a3394" TargetMode="External"/><Relationship Id="rId2108" Type="http://schemas.openxmlformats.org/officeDocument/2006/relationships/hyperlink" Target="https://osf.io/nd2fk" TargetMode="External"/><Relationship Id="rId2109" Type="http://schemas.openxmlformats.org/officeDocument/2006/relationships/hyperlink" Target="https://osf.io/9z5nv" TargetMode="External"/><Relationship Id="rId426" Type="http://schemas.openxmlformats.org/officeDocument/2006/relationships/hyperlink" Target="https://osf.io/6m5tb" TargetMode="External"/><Relationship Id="rId425" Type="http://schemas.openxmlformats.org/officeDocument/2006/relationships/hyperlink" Target="https://osf.io/6m5tb" TargetMode="External"/><Relationship Id="rId424" Type="http://schemas.openxmlformats.org/officeDocument/2006/relationships/hyperlink" Target="https://osf.io/yajmp" TargetMode="External"/><Relationship Id="rId423" Type="http://schemas.openxmlformats.org/officeDocument/2006/relationships/hyperlink" Target="https://osf.io/yajmp" TargetMode="External"/><Relationship Id="rId429" Type="http://schemas.openxmlformats.org/officeDocument/2006/relationships/hyperlink" Target="https://osf.io/yajmp" TargetMode="External"/><Relationship Id="rId428" Type="http://schemas.openxmlformats.org/officeDocument/2006/relationships/hyperlink" Target="https://osf.io/yajmp" TargetMode="External"/><Relationship Id="rId427" Type="http://schemas.openxmlformats.org/officeDocument/2006/relationships/hyperlink" Target="https://doi.org/10.1037/pspp0000263" TargetMode="External"/><Relationship Id="rId1250" Type="http://schemas.openxmlformats.org/officeDocument/2006/relationships/hyperlink" Target="https://osf.io/nsk8h/?view_only=b1e702d061484d1bb4150754892d9197" TargetMode="External"/><Relationship Id="rId1251" Type="http://schemas.openxmlformats.org/officeDocument/2006/relationships/hyperlink" Target="https://osf.io/nsk8h/?view_only=b1e702d061484d1bb4150754892d9197" TargetMode="External"/><Relationship Id="rId1252" Type="http://schemas.openxmlformats.org/officeDocument/2006/relationships/hyperlink" Target="https://osf.io/krx8m/?view_only=069f8366242e4dccb0309ccf89f88324." TargetMode="External"/><Relationship Id="rId422" Type="http://schemas.openxmlformats.org/officeDocument/2006/relationships/hyperlink" Target="https://osf.io/yajmp" TargetMode="External"/><Relationship Id="rId1253" Type="http://schemas.openxmlformats.org/officeDocument/2006/relationships/hyperlink" Target="https://osf.io/ne9dy/registrations" TargetMode="External"/><Relationship Id="rId2100" Type="http://schemas.openxmlformats.org/officeDocument/2006/relationships/hyperlink" Target="https://osf.io/ejcfw" TargetMode="External"/><Relationship Id="rId421" Type="http://schemas.openxmlformats.org/officeDocument/2006/relationships/hyperlink" Target="https://doi.org/10.1037/pspp0000263" TargetMode="External"/><Relationship Id="rId1254" Type="http://schemas.openxmlformats.org/officeDocument/2006/relationships/hyperlink" Target="https://osf.io/wys6d" TargetMode="External"/><Relationship Id="rId2101" Type="http://schemas.openxmlformats.org/officeDocument/2006/relationships/hyperlink" Target="https://osf.io/ejcfw" TargetMode="External"/><Relationship Id="rId420" Type="http://schemas.openxmlformats.org/officeDocument/2006/relationships/hyperlink" Target="https://osf.io/6m5tb" TargetMode="External"/><Relationship Id="rId1255" Type="http://schemas.openxmlformats.org/officeDocument/2006/relationships/hyperlink" Target="https://osf.io/9fcjx" TargetMode="External"/><Relationship Id="rId2102" Type="http://schemas.openxmlformats.org/officeDocument/2006/relationships/hyperlink" Target="https://osf.io/ejcfw" TargetMode="External"/><Relationship Id="rId1256" Type="http://schemas.openxmlformats.org/officeDocument/2006/relationships/hyperlink" Target="https://osf.io/q6tv8" TargetMode="External"/><Relationship Id="rId2103" Type="http://schemas.openxmlformats.org/officeDocument/2006/relationships/hyperlink" Target="https://osf.io/ejcfw" TargetMode="External"/><Relationship Id="rId1246" Type="http://schemas.openxmlformats.org/officeDocument/2006/relationships/hyperlink" Target="https://osf.io/d5e7b" TargetMode="External"/><Relationship Id="rId1247" Type="http://schemas.openxmlformats.org/officeDocument/2006/relationships/hyperlink" Target="https://osf.io/dwr2m" TargetMode="External"/><Relationship Id="rId1248" Type="http://schemas.openxmlformats.org/officeDocument/2006/relationships/hyperlink" Target="https://osf.io/2kryw" TargetMode="External"/><Relationship Id="rId1249" Type="http://schemas.openxmlformats.org/officeDocument/2006/relationships/hyperlink" Target="https://osf.io/49xea" TargetMode="External"/><Relationship Id="rId415" Type="http://schemas.openxmlformats.org/officeDocument/2006/relationships/hyperlink" Target="https://doi.org/10.1037/pspp0000263" TargetMode="External"/><Relationship Id="rId899" Type="http://schemas.openxmlformats.org/officeDocument/2006/relationships/hyperlink" Target="https://doi.org/10/ggb75r" TargetMode="External"/><Relationship Id="rId414" Type="http://schemas.openxmlformats.org/officeDocument/2006/relationships/hyperlink" Target="https://osf.io/6m5tb)" TargetMode="External"/><Relationship Id="rId898" Type="http://schemas.openxmlformats.org/officeDocument/2006/relationships/hyperlink" Target="https://osf.io/sejyp" TargetMode="External"/><Relationship Id="rId413" Type="http://schemas.openxmlformats.org/officeDocument/2006/relationships/hyperlink" Target="https://osf.io/yajmp" TargetMode="External"/><Relationship Id="rId897" Type="http://schemas.openxmlformats.org/officeDocument/2006/relationships/hyperlink" Target="https://doi.org/10/f74fb4" TargetMode="External"/><Relationship Id="rId412" Type="http://schemas.openxmlformats.org/officeDocument/2006/relationships/hyperlink" Target="https://osf.io/yajmp" TargetMode="External"/><Relationship Id="rId896" Type="http://schemas.openxmlformats.org/officeDocument/2006/relationships/hyperlink" Target="https://osf.io/3pu8d" TargetMode="External"/><Relationship Id="rId419" Type="http://schemas.openxmlformats.org/officeDocument/2006/relationships/hyperlink" Target="https://osf.io/6m5tb" TargetMode="External"/><Relationship Id="rId418" Type="http://schemas.openxmlformats.org/officeDocument/2006/relationships/hyperlink" Target="https://osf.io/yajmp" TargetMode="External"/><Relationship Id="rId417" Type="http://schemas.openxmlformats.org/officeDocument/2006/relationships/hyperlink" Target="https://osf.io/yajmp" TargetMode="External"/><Relationship Id="rId416" Type="http://schemas.openxmlformats.org/officeDocument/2006/relationships/hyperlink" Target="https://osf.io/yajmp" TargetMode="External"/><Relationship Id="rId891" Type="http://schemas.openxmlformats.org/officeDocument/2006/relationships/hyperlink" Target="https://osf.io/4aqu7" TargetMode="External"/><Relationship Id="rId890" Type="http://schemas.openxmlformats.org/officeDocument/2006/relationships/hyperlink" Target="https://osf.io/sejyp" TargetMode="External"/><Relationship Id="rId1240" Type="http://schemas.openxmlformats.org/officeDocument/2006/relationships/hyperlink" Target="https://osf.io/pxr93" TargetMode="External"/><Relationship Id="rId1241" Type="http://schemas.openxmlformats.org/officeDocument/2006/relationships/hyperlink" Target="https://osf.io/9x765" TargetMode="External"/><Relationship Id="rId411" Type="http://schemas.openxmlformats.org/officeDocument/2006/relationships/hyperlink" Target="https://doi.org/10.1007/s40732-020-00453-8" TargetMode="External"/><Relationship Id="rId895" Type="http://schemas.openxmlformats.org/officeDocument/2006/relationships/hyperlink" Target="https://osf.io/sejyp" TargetMode="External"/><Relationship Id="rId1242" Type="http://schemas.openxmlformats.org/officeDocument/2006/relationships/hyperlink" Target="https://osf.io/7ufyv" TargetMode="External"/><Relationship Id="rId410" Type="http://schemas.openxmlformats.org/officeDocument/2006/relationships/hyperlink" Target="https://doi.org/10.1007/s40732-020-00453-8" TargetMode="External"/><Relationship Id="rId894" Type="http://schemas.openxmlformats.org/officeDocument/2006/relationships/hyperlink" Target="https://doi.org/10/f74fb4" TargetMode="External"/><Relationship Id="rId1243" Type="http://schemas.openxmlformats.org/officeDocument/2006/relationships/hyperlink" Target="https://osf.io/5ybej/." TargetMode="External"/><Relationship Id="rId893" Type="http://schemas.openxmlformats.org/officeDocument/2006/relationships/hyperlink" Target="https://osf.io/sejyp" TargetMode="External"/><Relationship Id="rId1244" Type="http://schemas.openxmlformats.org/officeDocument/2006/relationships/hyperlink" Target="https://osf.io/efjn3" TargetMode="External"/><Relationship Id="rId892" Type="http://schemas.openxmlformats.org/officeDocument/2006/relationships/hyperlink" Target="https://doi.org/10/gsv6xm" TargetMode="External"/><Relationship Id="rId1245" Type="http://schemas.openxmlformats.org/officeDocument/2006/relationships/hyperlink" Target="https://osf.io/d5e7b" TargetMode="External"/><Relationship Id="rId1279" Type="http://schemas.openxmlformats.org/officeDocument/2006/relationships/hyperlink" Target="http://osf.io/7er6r/" TargetMode="External"/><Relationship Id="rId2126" Type="http://schemas.openxmlformats.org/officeDocument/2006/relationships/hyperlink" Target="https://osf.io/kr7sm" TargetMode="External"/><Relationship Id="rId2127" Type="http://schemas.openxmlformats.org/officeDocument/2006/relationships/hyperlink" Target="https://osf.io/nb4wk" TargetMode="External"/><Relationship Id="rId2128" Type="http://schemas.openxmlformats.org/officeDocument/2006/relationships/hyperlink" Target="https://osf.io/8esfd" TargetMode="External"/><Relationship Id="rId2129" Type="http://schemas.openxmlformats.org/officeDocument/2006/relationships/hyperlink" Target="https://osf.io/r9xc6" TargetMode="External"/><Relationship Id="rId448" Type="http://schemas.openxmlformats.org/officeDocument/2006/relationships/hyperlink" Target="https://osf.io/yajmp" TargetMode="External"/><Relationship Id="rId447" Type="http://schemas.openxmlformats.org/officeDocument/2006/relationships/hyperlink" Target="https://osf.io/yajmp" TargetMode="External"/><Relationship Id="rId446" Type="http://schemas.openxmlformats.org/officeDocument/2006/relationships/hyperlink" Target="https://osf.io/yajmp" TargetMode="External"/><Relationship Id="rId445" Type="http://schemas.openxmlformats.org/officeDocument/2006/relationships/hyperlink" Target="https://doi.org/10.1037/pspp0000263" TargetMode="External"/><Relationship Id="rId449" Type="http://schemas.openxmlformats.org/officeDocument/2006/relationships/hyperlink" Target="https://osf.io/6m5tb" TargetMode="External"/><Relationship Id="rId1270" Type="http://schemas.openxmlformats.org/officeDocument/2006/relationships/hyperlink" Target="http://osf.io/8kf3p/" TargetMode="External"/><Relationship Id="rId440" Type="http://schemas.openxmlformats.org/officeDocument/2006/relationships/hyperlink" Target="https://osf.io/yajmp" TargetMode="External"/><Relationship Id="rId1271" Type="http://schemas.openxmlformats.org/officeDocument/2006/relationships/hyperlink" Target="http://osf.io/bv42c/" TargetMode="External"/><Relationship Id="rId1272" Type="http://schemas.openxmlformats.org/officeDocument/2006/relationships/hyperlink" Target="http://osf.io/693bm/" TargetMode="External"/><Relationship Id="rId1273" Type="http://schemas.openxmlformats.org/officeDocument/2006/relationships/hyperlink" Target="https://doi.org/10.17605/OSF.IO/69DQC" TargetMode="External"/><Relationship Id="rId2120" Type="http://schemas.openxmlformats.org/officeDocument/2006/relationships/hyperlink" Target="https://osf.io/pujg2" TargetMode="External"/><Relationship Id="rId1274" Type="http://schemas.openxmlformats.org/officeDocument/2006/relationships/hyperlink" Target="https://osf.io/w6qub/" TargetMode="External"/><Relationship Id="rId2121" Type="http://schemas.openxmlformats.org/officeDocument/2006/relationships/hyperlink" Target="https://osf.io/2anqg" TargetMode="External"/><Relationship Id="rId444" Type="http://schemas.openxmlformats.org/officeDocument/2006/relationships/hyperlink" Target="https://osf.io/6m5tb" TargetMode="External"/><Relationship Id="rId1275" Type="http://schemas.openxmlformats.org/officeDocument/2006/relationships/hyperlink" Target="http://osf.io/pjdkg" TargetMode="External"/><Relationship Id="rId2122" Type="http://schemas.openxmlformats.org/officeDocument/2006/relationships/hyperlink" Target="https://osf.io/xga9p" TargetMode="External"/><Relationship Id="rId443" Type="http://schemas.openxmlformats.org/officeDocument/2006/relationships/hyperlink" Target="https://osf.io/6m5tb" TargetMode="External"/><Relationship Id="rId1276" Type="http://schemas.openxmlformats.org/officeDocument/2006/relationships/hyperlink" Target="https://osf.io/w6qub/" TargetMode="External"/><Relationship Id="rId2123" Type="http://schemas.openxmlformats.org/officeDocument/2006/relationships/hyperlink" Target="https://osf.io/wcvnu" TargetMode="External"/><Relationship Id="rId442" Type="http://schemas.openxmlformats.org/officeDocument/2006/relationships/hyperlink" Target="https://osf.io/yajmp" TargetMode="External"/><Relationship Id="rId1277" Type="http://schemas.openxmlformats.org/officeDocument/2006/relationships/hyperlink" Target="https://osf.io/4ewkh" TargetMode="External"/><Relationship Id="rId2124" Type="http://schemas.openxmlformats.org/officeDocument/2006/relationships/hyperlink" Target="https://osf.io/mxrnp" TargetMode="External"/><Relationship Id="rId441" Type="http://schemas.openxmlformats.org/officeDocument/2006/relationships/hyperlink" Target="https://osf.io/yajmp" TargetMode="External"/><Relationship Id="rId1278" Type="http://schemas.openxmlformats.org/officeDocument/2006/relationships/hyperlink" Target="https://doi.org/10.17605/OSF.IO/N9HDV" TargetMode="External"/><Relationship Id="rId2125" Type="http://schemas.openxmlformats.org/officeDocument/2006/relationships/hyperlink" Target="https://osf.io/qvc8s" TargetMode="External"/><Relationship Id="rId1268" Type="http://schemas.openxmlformats.org/officeDocument/2006/relationships/hyperlink" Target="http://osf.io/p48sa/" TargetMode="External"/><Relationship Id="rId2115" Type="http://schemas.openxmlformats.org/officeDocument/2006/relationships/hyperlink" Target="https://osf.io/t974m" TargetMode="External"/><Relationship Id="rId1269" Type="http://schemas.openxmlformats.org/officeDocument/2006/relationships/hyperlink" Target="https://doi.org/10.17605/OSF.IO/TFC6X" TargetMode="External"/><Relationship Id="rId2116" Type="http://schemas.openxmlformats.org/officeDocument/2006/relationships/hyperlink" Target="https://osf.io/h3yw6" TargetMode="External"/><Relationship Id="rId2117" Type="http://schemas.openxmlformats.org/officeDocument/2006/relationships/hyperlink" Target="https://osf.io/kx5mj" TargetMode="External"/><Relationship Id="rId2118" Type="http://schemas.openxmlformats.org/officeDocument/2006/relationships/hyperlink" Target="https://osf.io/rycnp" TargetMode="External"/><Relationship Id="rId2119" Type="http://schemas.openxmlformats.org/officeDocument/2006/relationships/hyperlink" Target="https://osf.io/s5qzk" TargetMode="External"/><Relationship Id="rId437" Type="http://schemas.openxmlformats.org/officeDocument/2006/relationships/hyperlink" Target="https://osf.io/6m5tb" TargetMode="External"/><Relationship Id="rId436" Type="http://schemas.openxmlformats.org/officeDocument/2006/relationships/hyperlink" Target="https://osf.io/yajmp" TargetMode="External"/><Relationship Id="rId435" Type="http://schemas.openxmlformats.org/officeDocument/2006/relationships/hyperlink" Target="https://osf.io/yajmp" TargetMode="External"/><Relationship Id="rId434" Type="http://schemas.openxmlformats.org/officeDocument/2006/relationships/hyperlink" Target="https://osf.io/yajmp" TargetMode="External"/><Relationship Id="rId439" Type="http://schemas.openxmlformats.org/officeDocument/2006/relationships/hyperlink" Target="https://doi.org/10.1037/pspp0000263" TargetMode="External"/><Relationship Id="rId438" Type="http://schemas.openxmlformats.org/officeDocument/2006/relationships/hyperlink" Target="https://osf.io/6m5tb" TargetMode="External"/><Relationship Id="rId1260" Type="http://schemas.openxmlformats.org/officeDocument/2006/relationships/hyperlink" Target="https://dx.doi.org/10.2139/ssrn.2586261" TargetMode="External"/><Relationship Id="rId1261" Type="http://schemas.openxmlformats.org/officeDocument/2006/relationships/hyperlink" Target="https://osf.io/rtn9s/" TargetMode="External"/><Relationship Id="rId1262" Type="http://schemas.openxmlformats.org/officeDocument/2006/relationships/hyperlink" Target="https://osf.io/uxajg" TargetMode="External"/><Relationship Id="rId1263" Type="http://schemas.openxmlformats.org/officeDocument/2006/relationships/hyperlink" Target="https://osf.io/uxajg" TargetMode="External"/><Relationship Id="rId2110" Type="http://schemas.openxmlformats.org/officeDocument/2006/relationships/hyperlink" Target="https://osf.io/yjpzs" TargetMode="External"/><Relationship Id="rId433" Type="http://schemas.openxmlformats.org/officeDocument/2006/relationships/hyperlink" Target="https://doi.org/10.1037/pspp0000263" TargetMode="External"/><Relationship Id="rId1264" Type="http://schemas.openxmlformats.org/officeDocument/2006/relationships/hyperlink" Target="https://doi.org/10.17605/OSF.IO/GZRMV" TargetMode="External"/><Relationship Id="rId2111" Type="http://schemas.openxmlformats.org/officeDocument/2006/relationships/hyperlink" Target="https://osf.io/v89qn" TargetMode="External"/><Relationship Id="rId432" Type="http://schemas.openxmlformats.org/officeDocument/2006/relationships/hyperlink" Target="https://osf.io/6m5tb" TargetMode="External"/><Relationship Id="rId1265" Type="http://schemas.openxmlformats.org/officeDocument/2006/relationships/hyperlink" Target="http://osf.io/hdz5x" TargetMode="External"/><Relationship Id="rId2112" Type="http://schemas.openxmlformats.org/officeDocument/2006/relationships/hyperlink" Target="https://osf.io/d78na" TargetMode="External"/><Relationship Id="rId431" Type="http://schemas.openxmlformats.org/officeDocument/2006/relationships/hyperlink" Target="https://osf.io/6m5tb" TargetMode="External"/><Relationship Id="rId1266" Type="http://schemas.openxmlformats.org/officeDocument/2006/relationships/hyperlink" Target="http://osf.io/m8t3k/" TargetMode="External"/><Relationship Id="rId2113" Type="http://schemas.openxmlformats.org/officeDocument/2006/relationships/hyperlink" Target="https://osf.io/d3h4u" TargetMode="External"/><Relationship Id="rId430" Type="http://schemas.openxmlformats.org/officeDocument/2006/relationships/hyperlink" Target="https://osf.io/yajmp" TargetMode="External"/><Relationship Id="rId1267" Type="http://schemas.openxmlformats.org/officeDocument/2006/relationships/hyperlink" Target="https://doi.org/10.17605/OSF.IO/N5ZSX" TargetMode="External"/><Relationship Id="rId2114" Type="http://schemas.openxmlformats.org/officeDocument/2006/relationships/hyperlink" Target="https://osf.io/p42w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xJDFi9AZRlHlZ8zxZ8pogfKFGSJiXpeB/view?usp=drivesdk" TargetMode="External"/><Relationship Id="rId391" Type="http://schemas.openxmlformats.org/officeDocument/2006/relationships/hyperlink" Target="https://drive.google.com/file/d/1L6r7Is4dN-Wh4wY-_mmmCPEDR_wsVjkO/view?usp=drivesdk" TargetMode="External"/><Relationship Id="rId390" Type="http://schemas.openxmlformats.org/officeDocument/2006/relationships/hyperlink" Target="https://drive.google.com/file/d/1QF3uA9_pwrWOzXdkZ1UyE6QcFceppW3C/view?usp=drivesdk" TargetMode="External"/><Relationship Id="rId1" Type="http://schemas.openxmlformats.org/officeDocument/2006/relationships/hyperlink" Target="https://drive.google.com/file/d/1g2LUlGntoVWUQi433rats2xlfqkwajdf/view?usp=drivesdk" TargetMode="External"/><Relationship Id="rId2" Type="http://schemas.openxmlformats.org/officeDocument/2006/relationships/hyperlink" Target="https://drive.google.com/file/d/16b2RhNig_5iqWitXUKqz28-xsE4N6txd/view?usp=drivesdk" TargetMode="External"/><Relationship Id="rId3" Type="http://schemas.openxmlformats.org/officeDocument/2006/relationships/hyperlink" Target="https://drive.google.com/file/d/1tin9nciEOGqNUz2Yx-ZnwQtqTwJGFR6v/view?usp=drivesdk" TargetMode="External"/><Relationship Id="rId4" Type="http://schemas.openxmlformats.org/officeDocument/2006/relationships/hyperlink" Target="https://docs.google.com/document/d/15ukjAVIprceHouxCDvFr3DO3hAQxWGyoAXtWMm3JZas/edit?usp=drivesdk" TargetMode="External"/><Relationship Id="rId9" Type="http://schemas.openxmlformats.org/officeDocument/2006/relationships/hyperlink" Target="https://drive.google.com/file/d/1VZDnfEGeyJj49a66gDRh43UDo7SaB9Cn/view?usp=drivesdk" TargetMode="External"/><Relationship Id="rId385" Type="http://schemas.openxmlformats.org/officeDocument/2006/relationships/hyperlink" Target="https://drive.google.com/file/d/1htcfPlWHtz8E91jbq14ETkimhcWUSyMj/view?usp=drivesdk" TargetMode="External"/><Relationship Id="rId384" Type="http://schemas.openxmlformats.org/officeDocument/2006/relationships/hyperlink" Target="https://drive.google.com/file/d/1Nb1xwSCq02ajI3h9-mZBwiuifn_7H1iR/view?usp=drivesdk" TargetMode="External"/><Relationship Id="rId383" Type="http://schemas.openxmlformats.org/officeDocument/2006/relationships/hyperlink" Target="https://drive.google.com/file/d/14h-UnLvc59XK91wSbRiIAUMtz5chtiz5/view?usp=drivesdk" TargetMode="External"/><Relationship Id="rId382" Type="http://schemas.openxmlformats.org/officeDocument/2006/relationships/hyperlink" Target="https://drive.google.com/file/d/1Wa36K9XT0urN9xsiAgUftQdgL9C9HECn/view?usp=drivesdk" TargetMode="External"/><Relationship Id="rId5" Type="http://schemas.openxmlformats.org/officeDocument/2006/relationships/hyperlink" Target="https://drive.google.com/file/d/1ljVoDtYBz0iPIIVFLmoGyAGWDfVCncq9/view?usp=drivesdk" TargetMode="External"/><Relationship Id="rId389" Type="http://schemas.openxmlformats.org/officeDocument/2006/relationships/hyperlink" Target="https://drive.google.com/file/d/17yvRZkdBULPZU-hy9QprgZuJeonQfAel/view?usp=drivesdk" TargetMode="External"/><Relationship Id="rId6" Type="http://schemas.openxmlformats.org/officeDocument/2006/relationships/hyperlink" Target="https://drive.google.com/file/d/1EK0iig6kRzrCroz49dDEP_mf3A-HoVQR/view?usp=drivesdk" TargetMode="External"/><Relationship Id="rId388" Type="http://schemas.openxmlformats.org/officeDocument/2006/relationships/hyperlink" Target="https://drive.google.com/file/d/1MGnCE7goqJ_cEkFuDi-kMu34wrO-f2Oo/view?usp=drivesdk" TargetMode="External"/><Relationship Id="rId7" Type="http://schemas.openxmlformats.org/officeDocument/2006/relationships/hyperlink" Target="https://drive.google.com/file/d/1zwRoxz5Sn0X6IsPbbi0ZGnyNqMlsqV_i/view?usp=drivesdk" TargetMode="External"/><Relationship Id="rId387" Type="http://schemas.openxmlformats.org/officeDocument/2006/relationships/hyperlink" Target="https://drive.google.com/file/d/1XqhWmKG3ZvoLJmLnPSVfonhhVjkaOyOo/view?usp=drivesdk" TargetMode="External"/><Relationship Id="rId8" Type="http://schemas.openxmlformats.org/officeDocument/2006/relationships/hyperlink" Target="https://drive.google.com/file/d/14dOJ5ND4VtF3gZcZWTmHDAh5mU0QkdYy/view?usp=drivesdk" TargetMode="External"/><Relationship Id="rId386" Type="http://schemas.openxmlformats.org/officeDocument/2006/relationships/hyperlink" Target="https://drive.google.com/file/d/151z21j0N9goJiyhqVea_1u4UA83qXS6l/view?usp=drivesdk" TargetMode="External"/><Relationship Id="rId381" Type="http://schemas.openxmlformats.org/officeDocument/2006/relationships/hyperlink" Target="https://drive.google.com/file/d/1H2OS8Rk6wh8PVpv13iom_WUpLu0fEeBU/view?usp=drivesdk" TargetMode="External"/><Relationship Id="rId380" Type="http://schemas.openxmlformats.org/officeDocument/2006/relationships/hyperlink" Target="https://drive.google.com/file/d/1EqB8fMj26KyIHeW4JSKwYFh3F2LTTq5t/view?usp=drivesdk" TargetMode="External"/><Relationship Id="rId379" Type="http://schemas.openxmlformats.org/officeDocument/2006/relationships/hyperlink" Target="https://drive.google.com/file/d/1APm26rD_UpSxwv_f7ANPXDv5utKWJ7q3/view?usp=drivesdk" TargetMode="External"/><Relationship Id="rId374" Type="http://schemas.openxmlformats.org/officeDocument/2006/relationships/hyperlink" Target="https://drive.google.com/file/d/10xyzPhQJ8BoXAmXBEBA_mIn8qqh_KbTE/view?usp=drivesdk" TargetMode="External"/><Relationship Id="rId373" Type="http://schemas.openxmlformats.org/officeDocument/2006/relationships/hyperlink" Target="https://drive.google.com/file/d/1KEBKYl19fq4HtJxW3DL6KczxjYJ94hp2/view?usp=drivesdk" TargetMode="External"/><Relationship Id="rId372" Type="http://schemas.openxmlformats.org/officeDocument/2006/relationships/hyperlink" Target="https://drive.google.com/file/d/1iPMC-k9xrxfHtNZFhdKSSGpPAPPmY3J4/view?usp=drivesdk" TargetMode="External"/><Relationship Id="rId371" Type="http://schemas.openxmlformats.org/officeDocument/2006/relationships/hyperlink" Target="https://drive.google.com/file/d/1-XMlXEjoIspJ3kqVPF-O6pr1PklAU4DF/view?usp=drivesdk" TargetMode="External"/><Relationship Id="rId378" Type="http://schemas.openxmlformats.org/officeDocument/2006/relationships/hyperlink" Target="https://drive.google.com/file/d/1KQ3HceHXpPMAET83TvUhFe9qSsDbMT1k/view?usp=drivesdk" TargetMode="External"/><Relationship Id="rId377" Type="http://schemas.openxmlformats.org/officeDocument/2006/relationships/hyperlink" Target="https://drive.google.com/file/d/1HAhZicYSIRv7N-8s64Lp9_8_UnTnmDSR/view?usp=drivesdk" TargetMode="External"/><Relationship Id="rId376" Type="http://schemas.openxmlformats.org/officeDocument/2006/relationships/hyperlink" Target="https://drive.google.com/file/d/124BmUuJPp02lcLBvH8AsEmEsbphUT5fW/view?usp=drivesdk" TargetMode="External"/><Relationship Id="rId375" Type="http://schemas.openxmlformats.org/officeDocument/2006/relationships/hyperlink" Target="https://drive.google.com/file/d/1S2villzYudFC9-TeVhxXKsxBqLRSgA1s/view?usp=drivesdk" TargetMode="External"/><Relationship Id="rId396" Type="http://schemas.openxmlformats.org/officeDocument/2006/relationships/hyperlink" Target="https://drive.google.com/file/d/1tYHVLCainLtOj9rVkmXJWVeSI6ydEAvX/view?usp=drivesdk" TargetMode="External"/><Relationship Id="rId395" Type="http://schemas.openxmlformats.org/officeDocument/2006/relationships/hyperlink" Target="https://drive.google.com/file/d/1HlSsul-f2PZvtm7eAB3JNvLefgA9BMVI/view?usp=drivesdk" TargetMode="External"/><Relationship Id="rId394" Type="http://schemas.openxmlformats.org/officeDocument/2006/relationships/hyperlink" Target="https://drive.google.com/file/d/11dnTmqa4ngMJOr32H46bjdjydQPpSfqT/view?usp=drivesdk" TargetMode="External"/><Relationship Id="rId393" Type="http://schemas.openxmlformats.org/officeDocument/2006/relationships/hyperlink" Target="https://drive.google.com/file/d/1L4wamJsRPsyXxKeW3GaFCUieXSvb00LA/view?usp=drivesdk" TargetMode="External"/><Relationship Id="rId399" Type="http://schemas.openxmlformats.org/officeDocument/2006/relationships/hyperlink" Target="https://drive.google.com/file/d/1biYeTzhPqrassKU32rFpIQXkmaCzUR_H/view?usp=drivesdk" TargetMode="External"/><Relationship Id="rId398" Type="http://schemas.openxmlformats.org/officeDocument/2006/relationships/hyperlink" Target="https://drive.google.com/file/d/1H1LGxInHGwZQlib48Sk8tAS3t5eXTLL_/view?usp=drivesdk" TargetMode="External"/><Relationship Id="rId397" Type="http://schemas.openxmlformats.org/officeDocument/2006/relationships/hyperlink" Target="https://drive.google.com/file/d/1-FUitYcnAKMu52rxwYLJUGd9TwUYmGfa/view?usp=drivesdk" TargetMode="External"/><Relationship Id="rId808" Type="http://schemas.openxmlformats.org/officeDocument/2006/relationships/hyperlink" Target="https://drive.google.com/file/d/1p9EfrEPmDrshSQQyoPV1qK7eirjasytX/view?usp=drivesdk" TargetMode="External"/><Relationship Id="rId807" Type="http://schemas.openxmlformats.org/officeDocument/2006/relationships/hyperlink" Target="https://drive.google.com/file/d/1QViH4ajHq8X5kkbFfEdjYYy64Zu212y8/view?usp=drivesdk" TargetMode="External"/><Relationship Id="rId806" Type="http://schemas.openxmlformats.org/officeDocument/2006/relationships/hyperlink" Target="https://drive.google.com/file/d/1R36UqBtXAtA4BMYOQZDdBTMQHYPhyClu/view?usp=drivesdk" TargetMode="External"/><Relationship Id="rId805" Type="http://schemas.openxmlformats.org/officeDocument/2006/relationships/hyperlink" Target="https://drive.google.com/file/d/1fG33_gUttrbjxOWCW-_NMak-KhKBrija/view?usp=drivesdk" TargetMode="External"/><Relationship Id="rId809" Type="http://schemas.openxmlformats.org/officeDocument/2006/relationships/hyperlink" Target="https://drive.google.com/file/d/10-cf4o0AuxlLhrP13LowyOyLXJEcfPon/view?usp=drivesdk" TargetMode="External"/><Relationship Id="rId800" Type="http://schemas.openxmlformats.org/officeDocument/2006/relationships/hyperlink" Target="https://drive.google.com/file/d/1Y8g9Mt2NlD4L3SEcN0KuE57CVvxX5ojn/view?usp=drivesdk" TargetMode="External"/><Relationship Id="rId804" Type="http://schemas.openxmlformats.org/officeDocument/2006/relationships/hyperlink" Target="https://drive.google.com/file/d/1FA-zcvOHTA7xvok7vsBsqo32SwSG_W0T/view?usp=drivesdk" TargetMode="External"/><Relationship Id="rId803" Type="http://schemas.openxmlformats.org/officeDocument/2006/relationships/hyperlink" Target="https://drive.google.com/file/d/1dsvOBmBs1wP88rR3tXOp4XVBBUmmNcsQ/view?usp=drivesdk" TargetMode="External"/><Relationship Id="rId802" Type="http://schemas.openxmlformats.org/officeDocument/2006/relationships/hyperlink" Target="https://drive.google.com/file/d/1aNCopp6L-iHhMqKziEr--S-rJPm203hR/view?usp=drivesdk" TargetMode="External"/><Relationship Id="rId801" Type="http://schemas.openxmlformats.org/officeDocument/2006/relationships/hyperlink" Target="https://drive.google.com/file/d/15DG09z-Q1avKwoLeUifY-dU1v9ht0kXY/view?usp=drivesdk" TargetMode="External"/><Relationship Id="rId40" Type="http://schemas.openxmlformats.org/officeDocument/2006/relationships/hyperlink" Target="https://drive.google.com/file/d/1WIh1UwE7jPJA8hU3NXbY-M3lcnegUXKu/view?usp=drivesdk" TargetMode="External"/><Relationship Id="rId1334" Type="http://schemas.openxmlformats.org/officeDocument/2006/relationships/hyperlink" Target="https://drive.google.com/file/d/15WVNsHu4qw18Mufo3UCjKv6cq2gXORb0/view?usp=drivesdk" TargetMode="External"/><Relationship Id="rId1335" Type="http://schemas.openxmlformats.org/officeDocument/2006/relationships/hyperlink" Target="https://drive.google.com/file/d/1rfhy0H3N2i18Q2nk5882hihBrKt6EiZo/view?usp=drivesdk" TargetMode="External"/><Relationship Id="rId42" Type="http://schemas.openxmlformats.org/officeDocument/2006/relationships/hyperlink" Target="https://drive.google.com/file/d/1Wv1dUN1Cp7tFFGj4YbQreO65Epbbn6Xh/view?usp=drivesdk" TargetMode="External"/><Relationship Id="rId1336" Type="http://schemas.openxmlformats.org/officeDocument/2006/relationships/hyperlink" Target="https://drive.google.com/file/d/1iXbJmAfK9HnzZ8oDPYgQfHqZeVcgywaq/view?usp=drivesdk" TargetMode="External"/><Relationship Id="rId41" Type="http://schemas.openxmlformats.org/officeDocument/2006/relationships/hyperlink" Target="https://drive.google.com/file/d/1FayKMGLmSMT_bov4BfYaWoMBrnwpsyI1/view?usp=drivesdk" TargetMode="External"/><Relationship Id="rId1337" Type="http://schemas.openxmlformats.org/officeDocument/2006/relationships/hyperlink" Target="https://drive.google.com/file/d/1M0Xd_T8fusHFgXmv-HDFJpVyg0Ga7w1w/view?usp=drivesdk" TargetMode="External"/><Relationship Id="rId44" Type="http://schemas.openxmlformats.org/officeDocument/2006/relationships/hyperlink" Target="https://drive.google.com/file/d/1MYeoX2rRI6k_FOWsa46_QtPoTkdN8RPf/view?usp=drivesdk" TargetMode="External"/><Relationship Id="rId1338" Type="http://schemas.openxmlformats.org/officeDocument/2006/relationships/hyperlink" Target="https://drive.google.com/file/d/1ey3svgzi5RXI2O-RNCBTZkx8IlV-kKzo/view?usp=drivesdk" TargetMode="External"/><Relationship Id="rId43" Type="http://schemas.openxmlformats.org/officeDocument/2006/relationships/hyperlink" Target="https://drive.google.com/file/d/19LbincT2TjTg9YTUoJUivukthVOOv92o/view?usp=drivesdk" TargetMode="External"/><Relationship Id="rId1339" Type="http://schemas.openxmlformats.org/officeDocument/2006/relationships/hyperlink" Target="https://drive.google.com/file/d/1qyGORRGdQy-kyOSM_2vtKP7-BEAhuKWX/view?usp=drivesdk" TargetMode="External"/><Relationship Id="rId46" Type="http://schemas.openxmlformats.org/officeDocument/2006/relationships/hyperlink" Target="https://drive.google.com/file/d/1W_xP7aHQH5brzpdDHQgXX_slF9aWIndn/view?usp=drivesdk" TargetMode="External"/><Relationship Id="rId45" Type="http://schemas.openxmlformats.org/officeDocument/2006/relationships/hyperlink" Target="https://drive.google.com/file/d/1FHRJe-nZTJOpXWgxMLs63Q6F4QlKXCpU/view?usp=drivesdk" TargetMode="External"/><Relationship Id="rId745" Type="http://schemas.openxmlformats.org/officeDocument/2006/relationships/hyperlink" Target="https://drive.google.com/file/d/12-QJoC50RBrzSEp9gb50Wj-q2rFwe_UQ/view?usp=drivesdk" TargetMode="External"/><Relationship Id="rId744" Type="http://schemas.openxmlformats.org/officeDocument/2006/relationships/hyperlink" Target="https://drive.google.com/file/d/1z9vM-OymRrqp1u2xxHltR_nTYkRN8Bhe/view?usp=drivesdk" TargetMode="External"/><Relationship Id="rId743" Type="http://schemas.openxmlformats.org/officeDocument/2006/relationships/hyperlink" Target="https://drive.google.com/file/d/1eFWX5LIk2qUBEWJ46yJyou3O_bXjmNLe/view?usp=drivesdk" TargetMode="External"/><Relationship Id="rId742" Type="http://schemas.openxmlformats.org/officeDocument/2006/relationships/hyperlink" Target="https://drive.google.com/file/d/1xSVM7VMKatYnl6XkKdkAikq6Hru3wdAI/view?usp=drivesdk" TargetMode="External"/><Relationship Id="rId749" Type="http://schemas.openxmlformats.org/officeDocument/2006/relationships/hyperlink" Target="https://drive.google.com/file/d/1RWYs4BxngJFHCjARwIfsUfl_7-oYLebS/view?usp=drivesdk" TargetMode="External"/><Relationship Id="rId748" Type="http://schemas.openxmlformats.org/officeDocument/2006/relationships/hyperlink" Target="https://drive.google.com/file/d/1y1GzGYijv2hKxQybrnUBP_imhXHPoSF1/view?usp=drivesdk" TargetMode="External"/><Relationship Id="rId747" Type="http://schemas.openxmlformats.org/officeDocument/2006/relationships/hyperlink" Target="https://drive.google.com/file/d/1hN-J6Uky5FuFHoIu7VleAWRSmSqB3wMb/view?usp=drivesdk" TargetMode="External"/><Relationship Id="rId746" Type="http://schemas.openxmlformats.org/officeDocument/2006/relationships/hyperlink" Target="https://drive.google.com/file/d/1u1KUYNIvVhIV8JolkU3hmE9IAKO7Zwnq/view?usp=drivesdk" TargetMode="External"/><Relationship Id="rId48" Type="http://schemas.openxmlformats.org/officeDocument/2006/relationships/hyperlink" Target="https://drive.google.com/file/d/1_x8Pea-6YZcNah0kzL9Jhi4q0yFlhG9m/view?usp=drivesdk" TargetMode="External"/><Relationship Id="rId47" Type="http://schemas.openxmlformats.org/officeDocument/2006/relationships/hyperlink" Target="https://drive.google.com/file/d/13xJm6Rz0F0wAVzBVJcJbK0OtdZmHiXHE/view?usp=drivesdk" TargetMode="External"/><Relationship Id="rId49" Type="http://schemas.openxmlformats.org/officeDocument/2006/relationships/hyperlink" Target="https://drive.google.com/file/d/1NM8fVRUFqllAFs2jkXsuJUHn5OZ7-07h/view?usp=drivesdk" TargetMode="External"/><Relationship Id="rId741" Type="http://schemas.openxmlformats.org/officeDocument/2006/relationships/hyperlink" Target="https://drive.google.com/file/d/15VbpcEsW9L5op3IMpHA4I2dI5ndZgOpe/view?usp=drivesdk" TargetMode="External"/><Relationship Id="rId1330" Type="http://schemas.openxmlformats.org/officeDocument/2006/relationships/hyperlink" Target="https://drive.google.com/file/d/1m4pILp8FV7YtyobDHxoq8pojV_SH9CV7/view?usp=drivesdk" TargetMode="External"/><Relationship Id="rId740" Type="http://schemas.openxmlformats.org/officeDocument/2006/relationships/hyperlink" Target="https://drive.google.com/file/d/1VNZVfi392roXkffFia5wqQeCQjwEpyCc/view?usp=drivesdk" TargetMode="External"/><Relationship Id="rId1331" Type="http://schemas.openxmlformats.org/officeDocument/2006/relationships/hyperlink" Target="https://drive.google.com/file/d/1Q1ahJAjmoMnVd-4_yOjQiQ_6STDFGEiQ/view?usp=drivesdk" TargetMode="External"/><Relationship Id="rId1332" Type="http://schemas.openxmlformats.org/officeDocument/2006/relationships/hyperlink" Target="https://drive.google.com/file/d/1kb4iozdFSFtKZKGvaK7sOkqlr4kI2jg5/view?usp=drivesdk" TargetMode="External"/><Relationship Id="rId1333" Type="http://schemas.openxmlformats.org/officeDocument/2006/relationships/hyperlink" Target="https://drive.google.com/file/d/1rYKmBnC6-cppCzt4DERsstyRR5gk2db1/view?usp=drivesdk" TargetMode="External"/><Relationship Id="rId1323" Type="http://schemas.openxmlformats.org/officeDocument/2006/relationships/hyperlink" Target="https://drive.google.com/file/d/1kGdnrYJFp9Fedk9QHQtyDcczJB_LGP5s/view?usp=drivesdk" TargetMode="External"/><Relationship Id="rId1324" Type="http://schemas.openxmlformats.org/officeDocument/2006/relationships/hyperlink" Target="https://drive.google.com/file/d/1oLyXVFY64dU4qE6_b-iVXYa7asikLA1e/view?usp=drivesdk" TargetMode="External"/><Relationship Id="rId31" Type="http://schemas.openxmlformats.org/officeDocument/2006/relationships/hyperlink" Target="https://drive.google.com/file/d/1B5OEhsR85ozE9snbNlRjA9--q4dxVbDt/view?usp=drivesdk" TargetMode="External"/><Relationship Id="rId1325" Type="http://schemas.openxmlformats.org/officeDocument/2006/relationships/hyperlink" Target="https://drive.google.com/file/d/15kuHQf8erGaSOBxt1lOz994u1DIsHk_v/view?usp=drivesdk" TargetMode="External"/><Relationship Id="rId30" Type="http://schemas.openxmlformats.org/officeDocument/2006/relationships/hyperlink" Target="https://drive.google.com/file/d/1GqJOi3_wzA-P33ijSTbAmoPX6C_MOsTC/view?usp=drivesdk" TargetMode="External"/><Relationship Id="rId1326" Type="http://schemas.openxmlformats.org/officeDocument/2006/relationships/hyperlink" Target="https://drive.google.com/file/d/1EDHHFOSKkOQc-1kI7O0JVmaKcw9YK3p2/view?usp=drivesdk" TargetMode="External"/><Relationship Id="rId33" Type="http://schemas.openxmlformats.org/officeDocument/2006/relationships/hyperlink" Target="https://drive.google.com/file/d/1ig1riLJkwYA9QD_LRKQNT-2fw-KmcoZV/view?usp=drivesdk" TargetMode="External"/><Relationship Id="rId1327" Type="http://schemas.openxmlformats.org/officeDocument/2006/relationships/hyperlink" Target="https://drive.google.com/file/d/1jf3ctwxwUpc5AYKxlkNN-odE2ElrZuqN/view?usp=drivesdk" TargetMode="External"/><Relationship Id="rId32" Type="http://schemas.openxmlformats.org/officeDocument/2006/relationships/hyperlink" Target="https://drive.google.com/file/d/1lJHfVkGHOcLEsOsMmffxCq25FloygVUf/view?usp=drivesdk" TargetMode="External"/><Relationship Id="rId1328" Type="http://schemas.openxmlformats.org/officeDocument/2006/relationships/hyperlink" Target="https://drive.google.com/file/d/1kMj9bYJrk8644y4gPjpgYXSikwfmuYTS/view?usp=drivesdk" TargetMode="External"/><Relationship Id="rId35" Type="http://schemas.openxmlformats.org/officeDocument/2006/relationships/hyperlink" Target="https://drive.google.com/file/d/1lCXRjhgmnokQwUX121NSqljMp58vt7m8/view?usp=drivesdk" TargetMode="External"/><Relationship Id="rId1329" Type="http://schemas.openxmlformats.org/officeDocument/2006/relationships/hyperlink" Target="https://drive.google.com/file/d/1vQ1lUQP7E0bfjNjtCdLNAaUqgcbJ9PLU/view?usp=drivesdk" TargetMode="External"/><Relationship Id="rId34" Type="http://schemas.openxmlformats.org/officeDocument/2006/relationships/hyperlink" Target="https://drive.google.com/file/d/1TyonuU8faoL3qvV0nV5rWJKfa6ikeq22/view?usp=drivesdk" TargetMode="External"/><Relationship Id="rId739" Type="http://schemas.openxmlformats.org/officeDocument/2006/relationships/hyperlink" Target="https://drive.google.com/file/d/1E2mHJvDw_0w0e8vIm0HpIS0Ju6aQpYhO/view?usp=drivesdk" TargetMode="External"/><Relationship Id="rId734" Type="http://schemas.openxmlformats.org/officeDocument/2006/relationships/hyperlink" Target="https://drive.google.com/file/d/1TdFZluOSkUInT8sXikux3vYR7IOX4RMk/view?usp=drivesdk" TargetMode="External"/><Relationship Id="rId733" Type="http://schemas.openxmlformats.org/officeDocument/2006/relationships/hyperlink" Target="https://drive.google.com/file/d/1KGwRGETP91kM9JQ1Lkln3MN4JSxyj4OW/view?usp=drivesdk" TargetMode="External"/><Relationship Id="rId732" Type="http://schemas.openxmlformats.org/officeDocument/2006/relationships/hyperlink" Target="https://drive.google.com/file/d/16qY0dLq9qys2p0JL-JepbP82uCNsmR0S/view?usp=drivesdk" TargetMode="External"/><Relationship Id="rId731" Type="http://schemas.openxmlformats.org/officeDocument/2006/relationships/hyperlink" Target="https://drive.google.com/file/d/1Mbtg5W4r7YUV6SqGN7Y6QssV1kBq9eYn/view?usp=drivesdk" TargetMode="External"/><Relationship Id="rId738" Type="http://schemas.openxmlformats.org/officeDocument/2006/relationships/hyperlink" Target="https://drive.google.com/file/d/1WZ-wmp0ZBZO-MwxvYanAL8j3J4k47183/view?usp=drivesdk" TargetMode="External"/><Relationship Id="rId737" Type="http://schemas.openxmlformats.org/officeDocument/2006/relationships/hyperlink" Target="https://drive.google.com/file/d/1neMVHM3ME1ns4lZlT0zcHFK0hjaH4cLF/view?usp=drivesdk" TargetMode="External"/><Relationship Id="rId736" Type="http://schemas.openxmlformats.org/officeDocument/2006/relationships/hyperlink" Target="https://drive.google.com/file/d/1dqYztlMOBsUY1H2Tadvsh9mJOiZQ1nVh/view?usp=drivesdk" TargetMode="External"/><Relationship Id="rId735" Type="http://schemas.openxmlformats.org/officeDocument/2006/relationships/hyperlink" Target="https://drive.google.com/file/d/1Q-7NFLR9V_1Z9QaSQGnQmRUgw6UigOsQ/view?usp=drivesdk" TargetMode="External"/><Relationship Id="rId37" Type="http://schemas.openxmlformats.org/officeDocument/2006/relationships/hyperlink" Target="https://drive.google.com/file/d/1i0NZPeE_Sgjxpph9OhoD2_wsnFtzErII/view?usp=drivesdk" TargetMode="External"/><Relationship Id="rId36" Type="http://schemas.openxmlformats.org/officeDocument/2006/relationships/hyperlink" Target="https://drive.google.com/file/d/1veAXPhnoaw_fYNAIAN16U6nUGzUSP79f/view?usp=drivesdk" TargetMode="External"/><Relationship Id="rId39" Type="http://schemas.openxmlformats.org/officeDocument/2006/relationships/hyperlink" Target="https://drive.google.com/file/d/1crVTyBjSvkn5rjPdGKBZFEg4w7JSp2cs/view?usp=drivesdk" TargetMode="External"/><Relationship Id="rId38" Type="http://schemas.openxmlformats.org/officeDocument/2006/relationships/hyperlink" Target="https://drive.google.com/file/d/1CGZJrQ0m_0WpdGbyy3zDWnj-cRg8cw5-/view?usp=drivesdk" TargetMode="External"/><Relationship Id="rId730" Type="http://schemas.openxmlformats.org/officeDocument/2006/relationships/hyperlink" Target="https://drive.google.com/file/d/1mu475Zzy_-pzVxpT6L8wHxxpOPeohqGN/view?usp=drivesdk" TargetMode="External"/><Relationship Id="rId1320" Type="http://schemas.openxmlformats.org/officeDocument/2006/relationships/hyperlink" Target="https://drive.google.com/file/d/1DrC4ktWX9HamK4DWq_tF1P_2alxXHAnN/view?usp=drivesdk" TargetMode="External"/><Relationship Id="rId1321" Type="http://schemas.openxmlformats.org/officeDocument/2006/relationships/hyperlink" Target="https://drive.google.com/file/d/1IgOEeoYh65YudspFokk-VaTPbrQd0gtD/view?usp=drivesdk" TargetMode="External"/><Relationship Id="rId1322" Type="http://schemas.openxmlformats.org/officeDocument/2006/relationships/hyperlink" Target="https://drive.google.com/file/d/1PuD-vIYdn5C4vHU0YiqSuL7OPCmx9ttp/view?usp=drivesdk" TargetMode="External"/><Relationship Id="rId1356" Type="http://schemas.openxmlformats.org/officeDocument/2006/relationships/hyperlink" Target="https://drive.google.com/file/d/1fYU6m89P7a9_kPBInjEs0n_wRBj5O5zZ/view?usp=drivesdk" TargetMode="External"/><Relationship Id="rId1357" Type="http://schemas.openxmlformats.org/officeDocument/2006/relationships/hyperlink" Target="https://drive.google.com/file/d/1pcJJj-dcZ2YUNw-3w1ykB27KPj9Bj-By/view?usp=drivesdk" TargetMode="External"/><Relationship Id="rId20" Type="http://schemas.openxmlformats.org/officeDocument/2006/relationships/hyperlink" Target="https://drive.google.com/file/d/1tJdhVk4Vn-qFJw4c7_lMMTliT5FjiQyV/view?usp=drivesdk" TargetMode="External"/><Relationship Id="rId1358" Type="http://schemas.openxmlformats.org/officeDocument/2006/relationships/hyperlink" Target="https://drive.google.com/file/d/1tY7SvX2n-lCVOB9eR5KtC31EmD0a4uX2/view?usp=drivesdk" TargetMode="External"/><Relationship Id="rId1359" Type="http://schemas.openxmlformats.org/officeDocument/2006/relationships/hyperlink" Target="https://drive.google.com/file/d/1O4qy3ZvKUUKMZck64Co6Vh7IIH6aPDik/view?usp=drivesdk" TargetMode="External"/><Relationship Id="rId22" Type="http://schemas.openxmlformats.org/officeDocument/2006/relationships/hyperlink" Target="https://drive.google.com/file/d/1OGQs1lmQWehhi8Ls7qZW8us---Htsb3Q/view?usp=drivesdk" TargetMode="External"/><Relationship Id="rId21" Type="http://schemas.openxmlformats.org/officeDocument/2006/relationships/hyperlink" Target="https://drive.google.com/file/d/1RsHwxVTBzUNFBPZhCDdGTcSVgCrwTTK7/view?usp=drivesdk" TargetMode="External"/><Relationship Id="rId24" Type="http://schemas.openxmlformats.org/officeDocument/2006/relationships/hyperlink" Target="https://drive.google.com/file/d/1v0sDX0MqlrUpKGVTRWm4hWA1ClaDB-o4/view?usp=drivesdk" TargetMode="External"/><Relationship Id="rId23" Type="http://schemas.openxmlformats.org/officeDocument/2006/relationships/hyperlink" Target="https://drive.google.com/file/d/1RfTng7c7i7RaxBtl4QtmPb5tv1Ufc5Bc/view?usp=drivesdk" TargetMode="External"/><Relationship Id="rId767" Type="http://schemas.openxmlformats.org/officeDocument/2006/relationships/hyperlink" Target="https://drive.google.com/file/d/1uvNnSbKbMCM86OxWRFAhGKTZTJ6XCJE-/view?usp=drivesdk" TargetMode="External"/><Relationship Id="rId766" Type="http://schemas.openxmlformats.org/officeDocument/2006/relationships/hyperlink" Target="https://drive.google.com/file/d/15DQQpECVr9NdJZ7O7RNWRdNwXQ6KQeXe/view?usp=drivesdk" TargetMode="External"/><Relationship Id="rId765" Type="http://schemas.openxmlformats.org/officeDocument/2006/relationships/hyperlink" Target="https://drive.google.com/file/d/17zk5ntmJwRuglkdI2KDBsmDyHp9ZT9nk/view?usp=drivesdk" TargetMode="External"/><Relationship Id="rId764" Type="http://schemas.openxmlformats.org/officeDocument/2006/relationships/hyperlink" Target="https://drive.google.com/file/d/1pZNlp1XdYUtsNz_D8YxxUj7KaLbFmfHk/view?usp=drivesdk" TargetMode="External"/><Relationship Id="rId769" Type="http://schemas.openxmlformats.org/officeDocument/2006/relationships/hyperlink" Target="https://drive.google.com/file/d/1v82xrF9c9ehLJpxzdx2U84oHz4YW6M1g/view?usp=drivesdk" TargetMode="External"/><Relationship Id="rId768" Type="http://schemas.openxmlformats.org/officeDocument/2006/relationships/hyperlink" Target="https://drive.google.com/file/d/1Rd9xGPWDV88bQCLvGyH8PPp-DhHO-_DW/view?usp=drivesdk" TargetMode="External"/><Relationship Id="rId26" Type="http://schemas.openxmlformats.org/officeDocument/2006/relationships/hyperlink" Target="https://drive.google.com/file/d/1R4A7I9qCrUqFgaOi5jWAadFyXRp-Hhlv/view?usp=drivesdk" TargetMode="External"/><Relationship Id="rId25" Type="http://schemas.openxmlformats.org/officeDocument/2006/relationships/hyperlink" Target="https://drive.google.com/file/d/1ZD3-K7xghBRrVzzov8pEkGyv61Pn34My/view?usp=drivesdk" TargetMode="External"/><Relationship Id="rId28" Type="http://schemas.openxmlformats.org/officeDocument/2006/relationships/hyperlink" Target="https://drive.google.com/file/d/1cC7F5Emgvx8u0Dfs1MQ2f29zE6TMWOU8/view?usp=drivesdk" TargetMode="External"/><Relationship Id="rId1350" Type="http://schemas.openxmlformats.org/officeDocument/2006/relationships/hyperlink" Target="https://drive.google.com/file/d/1XrLjSPpAxn5KMB8LOBiyjOkXRag4jGSC/view?usp=drivesdk" TargetMode="External"/><Relationship Id="rId27" Type="http://schemas.openxmlformats.org/officeDocument/2006/relationships/hyperlink" Target="https://drive.google.com/file/d/1Gz4uZ-S5sDQDTjnZX5WWbthnPV2eYmNm/view?usp=drivesdk" TargetMode="External"/><Relationship Id="rId1351" Type="http://schemas.openxmlformats.org/officeDocument/2006/relationships/hyperlink" Target="https://drive.google.com/file/d/1sbpmVib3DRD00b_W6U6tFq_cgTbXsBXK/view?usp=drivesdk" TargetMode="External"/><Relationship Id="rId763" Type="http://schemas.openxmlformats.org/officeDocument/2006/relationships/hyperlink" Target="https://drive.google.com/file/d/1gRgJHSBe6N9GFTwpidg5erf-GYFKEsJL/view?usp=drivesdk" TargetMode="External"/><Relationship Id="rId1352" Type="http://schemas.openxmlformats.org/officeDocument/2006/relationships/hyperlink" Target="https://drive.google.com/file/d/1_iGxIOrj5vzUvhOaCiFYGOOkUVaaRx4p/view?usp=drivesdk" TargetMode="External"/><Relationship Id="rId29" Type="http://schemas.openxmlformats.org/officeDocument/2006/relationships/hyperlink" Target="https://drive.google.com/file/d/1Yi0-osiDCwvqr4jJfxit-NVW7RQ1SF29/view?usp=drivesdk" TargetMode="External"/><Relationship Id="rId762" Type="http://schemas.openxmlformats.org/officeDocument/2006/relationships/hyperlink" Target="https://drive.google.com/file/d/1F9_n_UhEAcWuePr4oCoaRdVdWXw-1HnA/view?usp=drivesdk" TargetMode="External"/><Relationship Id="rId1353" Type="http://schemas.openxmlformats.org/officeDocument/2006/relationships/hyperlink" Target="https://drive.google.com/file/d/1eolW8jXTH5JysX-KEzNra0wdcfMzRMQ7/view?usp=drivesdk" TargetMode="External"/><Relationship Id="rId761" Type="http://schemas.openxmlformats.org/officeDocument/2006/relationships/hyperlink" Target="https://drive.google.com/file/d/1hs6XpHWMiyMPANJzK7B4OuBvEZ7slY88/view?usp=drivesdk" TargetMode="External"/><Relationship Id="rId1354" Type="http://schemas.openxmlformats.org/officeDocument/2006/relationships/hyperlink" Target="https://drive.google.com/file/d/1sQtBrEeqN1XM_1Qv0mJvDeDfWVWHohWY/view?usp=drivesdk" TargetMode="External"/><Relationship Id="rId760" Type="http://schemas.openxmlformats.org/officeDocument/2006/relationships/hyperlink" Target="https://drive.google.com/file/d/1MEpc9c6ksJJFPoeqztJd7l8g_1S5mA-8/view?usp=drivesdk" TargetMode="External"/><Relationship Id="rId1355" Type="http://schemas.openxmlformats.org/officeDocument/2006/relationships/hyperlink" Target="https://drive.google.com/file/d/1esh5oqCpj4F374ZeOWGrHgAoZG4Cbaxf/view?usp=drivesdk" TargetMode="External"/><Relationship Id="rId1345" Type="http://schemas.openxmlformats.org/officeDocument/2006/relationships/hyperlink" Target="https://drive.google.com/file/d/1od2a-ouaTJO4fTukPdaEiu377d_BcufB/view?usp=drivesdk" TargetMode="External"/><Relationship Id="rId1346" Type="http://schemas.openxmlformats.org/officeDocument/2006/relationships/hyperlink" Target="https://drive.google.com/file/d/1Th-_BL7lfGgtgvuj6_C-xLWQLks88DXP/view?usp=drivesdk" TargetMode="External"/><Relationship Id="rId1347" Type="http://schemas.openxmlformats.org/officeDocument/2006/relationships/hyperlink" Target="https://drive.google.com/file/d/1p9X3tD24EWbnOA_5MSM9HTgujzLisIGn/view?usp=drivesdk" TargetMode="External"/><Relationship Id="rId1348" Type="http://schemas.openxmlformats.org/officeDocument/2006/relationships/hyperlink" Target="https://drive.google.com/file/d/1zZsKWNkjPZ_9g4uOGvy2Ov6tWL-rEee5/view?usp=drivesdk" TargetMode="External"/><Relationship Id="rId11" Type="http://schemas.openxmlformats.org/officeDocument/2006/relationships/hyperlink" Target="https://drive.google.com/file/d/19a3lbO9orvIn9kSVhTa4wHPIOE8aXVyn/view?usp=drivesdk" TargetMode="External"/><Relationship Id="rId1349" Type="http://schemas.openxmlformats.org/officeDocument/2006/relationships/hyperlink" Target="https://drive.google.com/file/d/1M25zQAcBVGOJlUmqXGI2IsFDOOQqBMhb/view?usp=drivesdk" TargetMode="External"/><Relationship Id="rId10" Type="http://schemas.openxmlformats.org/officeDocument/2006/relationships/hyperlink" Target="https://drive.google.com/file/d/1pN298dROLwX3oulVt9Wn2-PIOt25aqoR/view?usp=drivesdk" TargetMode="External"/><Relationship Id="rId13" Type="http://schemas.openxmlformats.org/officeDocument/2006/relationships/hyperlink" Target="https://drive.google.com/file/d/1gH5vScUQpI_fyA6bvJhOrh1BXm6M7wuu/view?usp=drivesdk" TargetMode="External"/><Relationship Id="rId12" Type="http://schemas.openxmlformats.org/officeDocument/2006/relationships/hyperlink" Target="https://drive.google.com/file/d/1Vzq0za2tbbXf0MOd29FuWvFP-2e12RCg/view?usp=drivesdk" TargetMode="External"/><Relationship Id="rId756" Type="http://schemas.openxmlformats.org/officeDocument/2006/relationships/hyperlink" Target="https://drive.google.com/file/d/1SAkzHUXu2em_LOpzZzUsNAbEmhFQYt6z/view?usp=drivesdk" TargetMode="External"/><Relationship Id="rId755" Type="http://schemas.openxmlformats.org/officeDocument/2006/relationships/hyperlink" Target="https://drive.google.com/file/d/1K1a6m1aYmLn1_vwhiSohmNLDtZ1Y4Ux_/view?usp=drivesdk" TargetMode="External"/><Relationship Id="rId754" Type="http://schemas.openxmlformats.org/officeDocument/2006/relationships/hyperlink" Target="https://drive.google.com/file/d/18XcHnZBS-SDEbuBnehiRFyGRPzzYWeeF/view?usp=drivesdk" TargetMode="External"/><Relationship Id="rId753" Type="http://schemas.openxmlformats.org/officeDocument/2006/relationships/hyperlink" Target="https://drive.google.com/file/d/14_Y2sJYhrMVCOOYkvc8B2OnD9Oj96po_/view?usp=drivesdk" TargetMode="External"/><Relationship Id="rId759" Type="http://schemas.openxmlformats.org/officeDocument/2006/relationships/hyperlink" Target="https://drive.google.com/file/d/13HKE_rn4Mbnjq9uqiyo3J7J3BkR53UfI/view?usp=drivesdk" TargetMode="External"/><Relationship Id="rId758" Type="http://schemas.openxmlformats.org/officeDocument/2006/relationships/hyperlink" Target="https://drive.google.com/file/d/1k1zAeWl01m62ZgoBtOmSJCCoqfFGxddZ/view?usp=drivesdk" TargetMode="External"/><Relationship Id="rId757" Type="http://schemas.openxmlformats.org/officeDocument/2006/relationships/hyperlink" Target="https://drive.google.com/file/d/1-T6lXw_9tDN2t-Z39SM1dhIPR_IhO8fF/view?usp=drivesdk" TargetMode="External"/><Relationship Id="rId15" Type="http://schemas.openxmlformats.org/officeDocument/2006/relationships/hyperlink" Target="https://drive.google.com/file/d/1zwhQmNxjp14soK3-40ryikikjujtIUBo/view?usp=drivesdk" TargetMode="External"/><Relationship Id="rId14" Type="http://schemas.openxmlformats.org/officeDocument/2006/relationships/hyperlink" Target="https://drive.google.com/file/d/1tZIfJB058zdF5aUmxzNo3WGNtaIxEYBi/view?usp=drivesdk" TargetMode="External"/><Relationship Id="rId17" Type="http://schemas.openxmlformats.org/officeDocument/2006/relationships/hyperlink" Target="https://drive.google.com/file/d/1kHUPZx3h_B6XPvWiwIKYjyxxXAvuCZky/view?usp=drivesdk" TargetMode="External"/><Relationship Id="rId16" Type="http://schemas.openxmlformats.org/officeDocument/2006/relationships/hyperlink" Target="https://drive.google.com/file/d/1OFquFaz47F3N7YxYEZs3N0lm43AFUxqH/view?usp=drivesdk" TargetMode="External"/><Relationship Id="rId1340" Type="http://schemas.openxmlformats.org/officeDocument/2006/relationships/hyperlink" Target="https://drive.google.com/file/d/1FWRQbooJB3yBxAT3Bu0VtKlQVOCCrmTE/view?usp=drivesdk" TargetMode="External"/><Relationship Id="rId19" Type="http://schemas.openxmlformats.org/officeDocument/2006/relationships/hyperlink" Target="https://drive.google.com/file/d/1k4G770E5hE0owoWvblXVTUu0uvORD8Qa/view?usp=drivesdk" TargetMode="External"/><Relationship Id="rId752" Type="http://schemas.openxmlformats.org/officeDocument/2006/relationships/hyperlink" Target="https://drive.google.com/file/d/1JBL7ACa1LCauL8Ee0-semKwkjovJ9Pgw/view?usp=drivesdk" TargetMode="External"/><Relationship Id="rId1341" Type="http://schemas.openxmlformats.org/officeDocument/2006/relationships/hyperlink" Target="https://drive.google.com/file/d/13YTFwHRFNpBSnxofMWEZYB4DFgqick6w/view?usp=drivesdk" TargetMode="External"/><Relationship Id="rId18" Type="http://schemas.openxmlformats.org/officeDocument/2006/relationships/hyperlink" Target="https://drive.google.com/file/d/1wLaBoP1xnyM5YvhTbp0wBKftvxK6iXtN/view?usp=drivesdk" TargetMode="External"/><Relationship Id="rId751" Type="http://schemas.openxmlformats.org/officeDocument/2006/relationships/hyperlink" Target="https://drive.google.com/file/d/1rk2IUs1sRK-aqHnQzlQBCIve807-cy1l/view?usp=drivesdk" TargetMode="External"/><Relationship Id="rId1342" Type="http://schemas.openxmlformats.org/officeDocument/2006/relationships/hyperlink" Target="https://drive.google.com/file/d/1DzRA3qe8CQXBgcDoOXxyAWU63P40Fwio/view?usp=drivesdk" TargetMode="External"/><Relationship Id="rId750" Type="http://schemas.openxmlformats.org/officeDocument/2006/relationships/hyperlink" Target="https://drive.google.com/file/d/1AXw8qY84rt7zhu4JXQNDv8qAI41V_l3t/view?usp=drivesdk" TargetMode="External"/><Relationship Id="rId1343" Type="http://schemas.openxmlformats.org/officeDocument/2006/relationships/hyperlink" Target="https://drive.google.com/file/d/119yIqQfYVVKN0GW9NpqUkpEkA8m1xmUD/view?usp=drivesdk" TargetMode="External"/><Relationship Id="rId1344" Type="http://schemas.openxmlformats.org/officeDocument/2006/relationships/hyperlink" Target="https://drive.google.com/file/d/15-Qaf3mc5XQEsuoEm8ghrVO5S8iGirFd/view?usp=drivesdk" TargetMode="External"/><Relationship Id="rId84" Type="http://schemas.openxmlformats.org/officeDocument/2006/relationships/hyperlink" Target="https://drive.google.com/file/d/1FE3TeIulxqbrqdkc2jTdYSSANKvf2sUn/view?usp=drivesdk" TargetMode="External"/><Relationship Id="rId83" Type="http://schemas.openxmlformats.org/officeDocument/2006/relationships/hyperlink" Target="https://drive.google.com/file/d/1dNsIIm2ZOx3nM-UaBdacNLX3itmoein_/view?usp=drivesdk" TargetMode="External"/><Relationship Id="rId86" Type="http://schemas.openxmlformats.org/officeDocument/2006/relationships/hyperlink" Target="https://drive.google.com/file/d/1jOoAQSfMt9sdMl9gpBJM84bvaX5uZuuu/view?usp=drivesdk" TargetMode="External"/><Relationship Id="rId85" Type="http://schemas.openxmlformats.org/officeDocument/2006/relationships/hyperlink" Target="https://drive.google.com/file/d/1z0rZD7X_coycSsuDGdLfw2SbmW-sJmVO/view?usp=drivesdk" TargetMode="External"/><Relationship Id="rId88" Type="http://schemas.openxmlformats.org/officeDocument/2006/relationships/hyperlink" Target="https://drive.google.com/file/d/1yHOlpM1uJaiU7kTahuRP2566vNJozaQa/view?usp=drivesdk" TargetMode="External"/><Relationship Id="rId87" Type="http://schemas.openxmlformats.org/officeDocument/2006/relationships/hyperlink" Target="https://drive.google.com/file/d/1HdhPJu0881YgnR4xynBt04t3L4d2n_Lj/view?usp=drivesdk" TargetMode="External"/><Relationship Id="rId89" Type="http://schemas.openxmlformats.org/officeDocument/2006/relationships/hyperlink" Target="https://drive.google.com/file/d/1eAoT78SA2YIGRpfWvrSQimqyc0AkJJKp/view?usp=drivesdk" TargetMode="External"/><Relationship Id="rId709" Type="http://schemas.openxmlformats.org/officeDocument/2006/relationships/hyperlink" Target="https://drive.google.com/file/d/1Fno1IJz68iXs7JWnmc01NK1s0TMRMxHi/view?usp=drivesdk" TargetMode="External"/><Relationship Id="rId708" Type="http://schemas.openxmlformats.org/officeDocument/2006/relationships/hyperlink" Target="https://drive.google.com/file/d/1evQDXWr9N4KV0RMwcCRfMKAkbspCGUUG/view?usp=drivesdk" TargetMode="External"/><Relationship Id="rId707" Type="http://schemas.openxmlformats.org/officeDocument/2006/relationships/hyperlink" Target="https://drive.google.com/file/d/1E31uybgDVJiRN0FEcJfVIX_of85BuGEz/view?usp=drivesdk" TargetMode="External"/><Relationship Id="rId706" Type="http://schemas.openxmlformats.org/officeDocument/2006/relationships/hyperlink" Target="https://drive.google.com/file/d/1AKsdj68dbJXeSGboPcfZ2uD3ua_fvFPP/view?usp=drivesdk" TargetMode="External"/><Relationship Id="rId80" Type="http://schemas.openxmlformats.org/officeDocument/2006/relationships/hyperlink" Target="https://drive.google.com/file/d/1JU2kq3G9WPJASDjMlbU9lJcCvzEOIVXp/view?usp=drivesdk" TargetMode="External"/><Relationship Id="rId82" Type="http://schemas.openxmlformats.org/officeDocument/2006/relationships/hyperlink" Target="https://drive.google.com/file/d/1CsaWJpOD5obyDy6WvpA1BXNqU8U7Mu0U/view?usp=drivesdk" TargetMode="External"/><Relationship Id="rId81" Type="http://schemas.openxmlformats.org/officeDocument/2006/relationships/hyperlink" Target="https://drive.google.com/file/d/1BFVFruV0jjAE8l2HmvLtol5pOiTpQWTn/view?usp=drivesdk" TargetMode="External"/><Relationship Id="rId701" Type="http://schemas.openxmlformats.org/officeDocument/2006/relationships/hyperlink" Target="https://drive.google.com/file/d/1VlyFF2XH_n9dzHKe2EMaqBWsh-0cgYrJ/view?usp=drivesdk" TargetMode="External"/><Relationship Id="rId700" Type="http://schemas.openxmlformats.org/officeDocument/2006/relationships/hyperlink" Target="https://drive.google.com/file/d/1Ea_lj0SN0yiXoEUsbmTc67SPDOrQH-yU/view?usp=drivesdk" TargetMode="External"/><Relationship Id="rId705" Type="http://schemas.openxmlformats.org/officeDocument/2006/relationships/hyperlink" Target="https://drive.google.com/file/d/1Chyql9h2DEg41XAYeRupg6Etz-OFp0us/view?usp=drivesdk" TargetMode="External"/><Relationship Id="rId704" Type="http://schemas.openxmlformats.org/officeDocument/2006/relationships/hyperlink" Target="https://drive.google.com/file/d/14xOP8LLETNXBDDadvwleV2pKnaxwaGBi/view?usp=drivesdk" TargetMode="External"/><Relationship Id="rId703" Type="http://schemas.openxmlformats.org/officeDocument/2006/relationships/hyperlink" Target="https://drive.google.com/file/d/19X5spXSqhBiEOOUR62_YtANpegjkcJ1f/view?usp=drivesdk" TargetMode="External"/><Relationship Id="rId702" Type="http://schemas.openxmlformats.org/officeDocument/2006/relationships/hyperlink" Target="https://drive.google.com/file/d/1nLprzUcZjsicDG7JT3icjAuAK7g2gLY1/view?usp=drivesdk" TargetMode="External"/><Relationship Id="rId73" Type="http://schemas.openxmlformats.org/officeDocument/2006/relationships/hyperlink" Target="https://drive.google.com/file/d/1kp1JsZoY0-OqsipfSkcn2zbeOmWUvza5/view?usp=drivesdk" TargetMode="External"/><Relationship Id="rId72" Type="http://schemas.openxmlformats.org/officeDocument/2006/relationships/hyperlink" Target="https://drive.google.com/file/d/1--cZkaqXLn13yFOImzvT04iJ4vAYVdge/view?usp=drivesdk" TargetMode="External"/><Relationship Id="rId75" Type="http://schemas.openxmlformats.org/officeDocument/2006/relationships/hyperlink" Target="https://drive.google.com/file/d/15dvVe0HWHCf6vjojm8XY8fI_lvS82uKp/view?usp=drivesdk" TargetMode="External"/><Relationship Id="rId74" Type="http://schemas.openxmlformats.org/officeDocument/2006/relationships/hyperlink" Target="https://drive.google.com/file/d/1C6cZH5weFLs0TeiT5kQs0URJpVSG6taY/view?usp=drivesdk" TargetMode="External"/><Relationship Id="rId77" Type="http://schemas.openxmlformats.org/officeDocument/2006/relationships/hyperlink" Target="https://drive.google.com/file/d/1d2D3WgKVnXnVLqWKgSPp1NiOfXcVqjPr/view?usp=drivesdk" TargetMode="External"/><Relationship Id="rId76" Type="http://schemas.openxmlformats.org/officeDocument/2006/relationships/hyperlink" Target="https://drive.google.com/file/d/1YgULcRj7eanxq1Att5Q6IxosLXgHcqOq/view?usp=drivesdk" TargetMode="External"/><Relationship Id="rId79" Type="http://schemas.openxmlformats.org/officeDocument/2006/relationships/hyperlink" Target="https://drive.google.com/file/d/1C6X_tBRsEk1ZuBm0JfJIShyFbqttZbk_/view?usp=drivesdk" TargetMode="External"/><Relationship Id="rId78" Type="http://schemas.openxmlformats.org/officeDocument/2006/relationships/hyperlink" Target="https://drive.google.com/file/d/1orWmBXwTbbyUtTNT_8t7VtQBQEaYJnz5/view?usp=drivesdk" TargetMode="External"/><Relationship Id="rId71" Type="http://schemas.openxmlformats.org/officeDocument/2006/relationships/hyperlink" Target="https://drive.google.com/file/d/1Gc2N_8-eaSyLrgIloaew1BBe3hqlDnAB/view?usp=drivesdk" TargetMode="External"/><Relationship Id="rId70" Type="http://schemas.openxmlformats.org/officeDocument/2006/relationships/hyperlink" Target="https://drive.google.com/file/d/1HAVr8uMvyL-jz1DQzOe-lZb9bWR1Typt/view?usp=drivesdk" TargetMode="External"/><Relationship Id="rId62" Type="http://schemas.openxmlformats.org/officeDocument/2006/relationships/hyperlink" Target="https://drive.google.com/file/d/1Ewwg-aAU3bSbKUqgbQkHYQDVkyW7wEnt/view?usp=drivesdk" TargetMode="External"/><Relationship Id="rId1312" Type="http://schemas.openxmlformats.org/officeDocument/2006/relationships/hyperlink" Target="https://drive.google.com/file/d/1kV7PFFLYbgc-Kw-sxuSqcN9skQ8U3QBY/view?usp=drivesdk" TargetMode="External"/><Relationship Id="rId61" Type="http://schemas.openxmlformats.org/officeDocument/2006/relationships/hyperlink" Target="https://drive.google.com/file/d/1zUHTcsJfnfyEPxnBbRwIfFnohsp_DvEU/view?usp=drivesdk" TargetMode="External"/><Relationship Id="rId1313" Type="http://schemas.openxmlformats.org/officeDocument/2006/relationships/hyperlink" Target="https://drive.google.com/file/d/13E6exELEtdG2RSbqcPYafnphBAN0Qwtm/view?usp=drivesdk" TargetMode="External"/><Relationship Id="rId64" Type="http://schemas.openxmlformats.org/officeDocument/2006/relationships/hyperlink" Target="https://drive.google.com/file/d/1urBFg5QSiZNH_xxtiNvzvgi_nlR1Fw29/view?usp=drivesdk" TargetMode="External"/><Relationship Id="rId1314" Type="http://schemas.openxmlformats.org/officeDocument/2006/relationships/hyperlink" Target="https://drive.google.com/file/d/13IdVrs_fFWj8hYxe5OVSE67tGuCcKPct/view?usp=drivesdk" TargetMode="External"/><Relationship Id="rId63" Type="http://schemas.openxmlformats.org/officeDocument/2006/relationships/hyperlink" Target="https://drive.google.com/file/d/1Izigs9eTp-It0b_EXppmcwByOjpaCAHX/view?usp=drivesdk" TargetMode="External"/><Relationship Id="rId1315" Type="http://schemas.openxmlformats.org/officeDocument/2006/relationships/hyperlink" Target="https://drive.google.com/file/d/1y_lQGjVlo6Fl18TxXjJCuEtRwnUYubwf/view?usp=drivesdk" TargetMode="External"/><Relationship Id="rId66" Type="http://schemas.openxmlformats.org/officeDocument/2006/relationships/hyperlink" Target="https://drive.google.com/file/d/1qyWk94p5kvk6ipMv3ggRvCu0WIGqrVcB/view?usp=drivesdk" TargetMode="External"/><Relationship Id="rId1316" Type="http://schemas.openxmlformats.org/officeDocument/2006/relationships/hyperlink" Target="https://drive.google.com/file/d/1ulcmn23SslnIFjXNPMwqbzhRfT5lhEO8/view?usp=drivesdk" TargetMode="External"/><Relationship Id="rId65" Type="http://schemas.openxmlformats.org/officeDocument/2006/relationships/hyperlink" Target="https://drive.google.com/file/d/1DV0ExUa1GWwSvnPH_2dsITBde4wJ5TzH/view?usp=drivesdk" TargetMode="External"/><Relationship Id="rId1317" Type="http://schemas.openxmlformats.org/officeDocument/2006/relationships/hyperlink" Target="https://drive.google.com/file/d/1QgM5ih3blPKfggX8boZpRVE5q-Rpsxzc/view?usp=drivesdk" TargetMode="External"/><Relationship Id="rId68" Type="http://schemas.openxmlformats.org/officeDocument/2006/relationships/hyperlink" Target="https://drive.google.com/file/d/1FpY_zkEeY70DFGZ6gvzclFtdyYZdTNqm/view?usp=drivesdk" TargetMode="External"/><Relationship Id="rId1318" Type="http://schemas.openxmlformats.org/officeDocument/2006/relationships/hyperlink" Target="https://drive.google.com/file/d/1CSEUe6gYLUw8yuCZAwajh6IlhECLeioY/view?usp=drivesdk" TargetMode="External"/><Relationship Id="rId67" Type="http://schemas.openxmlformats.org/officeDocument/2006/relationships/hyperlink" Target="https://drive.google.com/file/d/16X4-MpEdpgJoIThaDqEh7piY761SFlEh/view?usp=drivesdk" TargetMode="External"/><Relationship Id="rId1319" Type="http://schemas.openxmlformats.org/officeDocument/2006/relationships/hyperlink" Target="https://drive.google.com/file/d/1pdhS0-ZGyjQIREpiT3_N1ld6izfKXSFK/view?usp=drivesdk" TargetMode="External"/><Relationship Id="rId729" Type="http://schemas.openxmlformats.org/officeDocument/2006/relationships/hyperlink" Target="https://drive.google.com/file/d/1peHj2qn55XShERDto7FmUKmKRW04vw25/view?usp=drivesdk" TargetMode="External"/><Relationship Id="rId728" Type="http://schemas.openxmlformats.org/officeDocument/2006/relationships/hyperlink" Target="https://drive.google.com/file/d/1F1gmEthZ6jBt549BBg-rdg_5OVDXWokk/view?usp=drivesdk" TargetMode="External"/><Relationship Id="rId60" Type="http://schemas.openxmlformats.org/officeDocument/2006/relationships/hyperlink" Target="https://drive.google.com/file/d/1YrBv468_VhWbgyfniJQXLhxQR5XPZdgI/view?usp=drivesdk" TargetMode="External"/><Relationship Id="rId723" Type="http://schemas.openxmlformats.org/officeDocument/2006/relationships/hyperlink" Target="https://drive.google.com/file/d/1cbRs7pAG_HHsYWLTtiX-MwQvS4vQmSB6/view?usp=drivesdk" TargetMode="External"/><Relationship Id="rId722" Type="http://schemas.openxmlformats.org/officeDocument/2006/relationships/hyperlink" Target="https://drive.google.com/file/d/18lSrzJb6hlq2LTXVDLpK1cxy7NDtFwlx/view?usp=drivesdk" TargetMode="External"/><Relationship Id="rId721" Type="http://schemas.openxmlformats.org/officeDocument/2006/relationships/hyperlink" Target="https://drive.google.com/file/d/1iHwvqbzkE5E6QaDEkGEEiffgzbsf9lQG/view?usp=drivesdk" TargetMode="External"/><Relationship Id="rId720" Type="http://schemas.openxmlformats.org/officeDocument/2006/relationships/hyperlink" Target="https://drive.google.com/file/d/1siDzTCg5TAqWvx1F7jfvqWF5y01jo9l6/view?usp=drivesdk" TargetMode="External"/><Relationship Id="rId727" Type="http://schemas.openxmlformats.org/officeDocument/2006/relationships/hyperlink" Target="https://drive.google.com/file/d/1JjrD9NOW8xliYqnpBZzkTwq4qgfO4wNJ/view?usp=drivesdk" TargetMode="External"/><Relationship Id="rId726" Type="http://schemas.openxmlformats.org/officeDocument/2006/relationships/hyperlink" Target="https://drive.google.com/file/d/1tNde2WsKCKtTxCH7EfB-a1TjXERl50pJ/view?usp=drivesdk" TargetMode="External"/><Relationship Id="rId725" Type="http://schemas.openxmlformats.org/officeDocument/2006/relationships/hyperlink" Target="https://drive.google.com/file/d/1vevfUy0iTc6NQfF1T-jwqjcTM_yHdsf0/view?usp=drivesdk" TargetMode="External"/><Relationship Id="rId724" Type="http://schemas.openxmlformats.org/officeDocument/2006/relationships/hyperlink" Target="https://drive.google.com/file/d/1kDsi06We11UwXurjeSQ26k_Oq21xYFhx/view?usp=drivesdk" TargetMode="External"/><Relationship Id="rId69" Type="http://schemas.openxmlformats.org/officeDocument/2006/relationships/hyperlink" Target="https://drive.google.com/file/d/1qzkuSWY-iq2aM_Tk5-ZhM7F-0jDmJrfs/view?usp=drivesdk" TargetMode="External"/><Relationship Id="rId1310" Type="http://schemas.openxmlformats.org/officeDocument/2006/relationships/hyperlink" Target="https://drive.google.com/file/d/1G4iua1K6eT5Xv5xxUKULlTZ0My66xR2X/view?usp=drivesdk" TargetMode="External"/><Relationship Id="rId1311" Type="http://schemas.openxmlformats.org/officeDocument/2006/relationships/hyperlink" Target="https://drive.google.com/file/d/1qBoMlGJSxfD9Le6GQLq29-E2xuX5NtUI/view?usp=drivesdk" TargetMode="External"/><Relationship Id="rId51" Type="http://schemas.openxmlformats.org/officeDocument/2006/relationships/hyperlink" Target="https://drive.google.com/file/d/16XGsRRaOY6a1Mk3y6g9J6FzJY2pGnhBs/view?usp=drivesdk" TargetMode="External"/><Relationship Id="rId1301" Type="http://schemas.openxmlformats.org/officeDocument/2006/relationships/hyperlink" Target="https://drive.google.com/file/d/1J_0Y3dKunmzcdm9LjbKZTpby7Qd4ipkA/view?usp=drivesdk" TargetMode="External"/><Relationship Id="rId50" Type="http://schemas.openxmlformats.org/officeDocument/2006/relationships/hyperlink" Target="https://drive.google.com/file/d/1eL46ZgTlbkM-V6C5GLb6fSBGmd5mFG-O/view?usp=drivesdk" TargetMode="External"/><Relationship Id="rId1302" Type="http://schemas.openxmlformats.org/officeDocument/2006/relationships/hyperlink" Target="https://drive.google.com/file/d/1DqSsvMQMMGnVP3lP6Am1mBq90t1XZMxt/view?usp=drivesdk" TargetMode="External"/><Relationship Id="rId53" Type="http://schemas.openxmlformats.org/officeDocument/2006/relationships/hyperlink" Target="https://drive.google.com/file/d/1nIC6Z_3z3x4YS6vI01Z64i76WUI6VCPu/view?usp=drivesdk" TargetMode="External"/><Relationship Id="rId1303" Type="http://schemas.openxmlformats.org/officeDocument/2006/relationships/hyperlink" Target="https://drive.google.com/file/d/14ZQ9EzNr9F8ACt32VRfITF656jMezTnV/view?usp=drivesdk" TargetMode="External"/><Relationship Id="rId52" Type="http://schemas.openxmlformats.org/officeDocument/2006/relationships/hyperlink" Target="https://drive.google.com/file/d/1xDwq6e1W40cryvVksnOj9YOdtDiYfNUl/view?usp=drivesdk" TargetMode="External"/><Relationship Id="rId1304" Type="http://schemas.openxmlformats.org/officeDocument/2006/relationships/hyperlink" Target="https://drive.google.com/file/d/1CZ8RmInPe2eqHwf-p8tl0IQxpn8_H_C5/view?usp=drivesdk" TargetMode="External"/><Relationship Id="rId55" Type="http://schemas.openxmlformats.org/officeDocument/2006/relationships/hyperlink" Target="https://drive.google.com/file/d/1l3u37j1hQl3zZ6JXRcm733rn2k3J2Olq/view?usp=drivesdk" TargetMode="External"/><Relationship Id="rId1305" Type="http://schemas.openxmlformats.org/officeDocument/2006/relationships/hyperlink" Target="https://drive.google.com/file/d/1Ls7enSwQEn27qHRCH_5Coj2XrGQZjobj/view?usp=drivesdk" TargetMode="External"/><Relationship Id="rId54" Type="http://schemas.openxmlformats.org/officeDocument/2006/relationships/hyperlink" Target="https://drive.google.com/file/d/19uM8KLUHuN3ImTzkMD9s5mEkWQAAr8Qo/view?usp=drivesdk" TargetMode="External"/><Relationship Id="rId1306" Type="http://schemas.openxmlformats.org/officeDocument/2006/relationships/hyperlink" Target="https://drive.google.com/file/d/1M2npXIoOra27xHNDnCsNwFJwuHLFn-QY/view?usp=drivesdk" TargetMode="External"/><Relationship Id="rId57" Type="http://schemas.openxmlformats.org/officeDocument/2006/relationships/hyperlink" Target="https://drive.google.com/file/d/1MbebBCnt66GSnxcnYXI8_aT9v4VscltA/view?usp=drivesdk" TargetMode="External"/><Relationship Id="rId1307" Type="http://schemas.openxmlformats.org/officeDocument/2006/relationships/hyperlink" Target="https://drive.google.com/file/d/17frihgo9iXD4WAxNIp0IHozpEUt6sj7r/view?usp=drivesdk" TargetMode="External"/><Relationship Id="rId56" Type="http://schemas.openxmlformats.org/officeDocument/2006/relationships/hyperlink" Target="https://drive.google.com/file/d/1uo0zBVDSXeBCSp_RypwEPAySzhuWt5D8/view?usp=drivesdk" TargetMode="External"/><Relationship Id="rId1308" Type="http://schemas.openxmlformats.org/officeDocument/2006/relationships/hyperlink" Target="https://drive.google.com/file/d/1acuUVGe9a1FY0NzYPbpq8pAnbZKrjA2v/view?usp=drivesdk" TargetMode="External"/><Relationship Id="rId1309" Type="http://schemas.openxmlformats.org/officeDocument/2006/relationships/hyperlink" Target="https://drive.google.com/file/d/1eGcl00TFvqtXToShjh3zwuqo-qNHAocO/view?usp=drivesdk" TargetMode="External"/><Relationship Id="rId719" Type="http://schemas.openxmlformats.org/officeDocument/2006/relationships/hyperlink" Target="https://drive.google.com/file/d/1exWLXuK48MQ2ATmSKbzKWBwM5DY_aMcK/view?usp=drivesdk" TargetMode="External"/><Relationship Id="rId718" Type="http://schemas.openxmlformats.org/officeDocument/2006/relationships/hyperlink" Target="https://drive.google.com/file/d/1eSIhQoNaIQOjrthga8k1fEWUQ1wNc0I3/view?usp=drivesdk" TargetMode="External"/><Relationship Id="rId717" Type="http://schemas.openxmlformats.org/officeDocument/2006/relationships/hyperlink" Target="https://drive.google.com/file/d/1BZtRJ02shFZjYSEcLvnyj0pKcfmvcWZd/view?usp=drivesdk" TargetMode="External"/><Relationship Id="rId712" Type="http://schemas.openxmlformats.org/officeDocument/2006/relationships/hyperlink" Target="https://drive.google.com/file/d/1W95pBxdYQtvPqjqDP0LAubJz1aG6pbkC/view?usp=drivesdk" TargetMode="External"/><Relationship Id="rId711" Type="http://schemas.openxmlformats.org/officeDocument/2006/relationships/hyperlink" Target="https://drive.google.com/file/d/1EK9QiU9xsqLxXgH_myrXEDvCAwAm--TL/view?usp=drivesdk" TargetMode="External"/><Relationship Id="rId710" Type="http://schemas.openxmlformats.org/officeDocument/2006/relationships/hyperlink" Target="https://drive.google.com/file/d/1p-5Yi30wwPB5qbrkCQnV04nlGIUAqW1j/view?usp=drivesdk" TargetMode="External"/><Relationship Id="rId716" Type="http://schemas.openxmlformats.org/officeDocument/2006/relationships/hyperlink" Target="https://drive.google.com/file/d/1w2KBBoT3U7JrwQsTrJduC-AS9fihTDq0/view?usp=drivesdk" TargetMode="External"/><Relationship Id="rId715" Type="http://schemas.openxmlformats.org/officeDocument/2006/relationships/hyperlink" Target="https://drive.google.com/file/d/1OWk3W7aLK7NhvpfeOXWbAeYjSBS6on3O/view?usp=drivesdk" TargetMode="External"/><Relationship Id="rId714" Type="http://schemas.openxmlformats.org/officeDocument/2006/relationships/hyperlink" Target="https://drive.google.com/file/d/1JcrIIJziv9H4c66sUbolfvMwbkPdlR44/view?usp=drivesdk" TargetMode="External"/><Relationship Id="rId713" Type="http://schemas.openxmlformats.org/officeDocument/2006/relationships/hyperlink" Target="https://drive.google.com/file/d/10YsdVEp76YRuLQNPspg-TkAG5mYL74RG/view?usp=drivesdk" TargetMode="External"/><Relationship Id="rId59" Type="http://schemas.openxmlformats.org/officeDocument/2006/relationships/hyperlink" Target="https://drive.google.com/file/d/1az1SIxKd6EbPuSgzjStXVmZywnrfnuZb/view?usp=drivesdk" TargetMode="External"/><Relationship Id="rId58" Type="http://schemas.openxmlformats.org/officeDocument/2006/relationships/hyperlink" Target="https://drive.google.com/file/d/1OnBHam5HlT_FnxkfI5nOiF6JDIO6aQXF/view?usp=drivesdk" TargetMode="External"/><Relationship Id="rId1300" Type="http://schemas.openxmlformats.org/officeDocument/2006/relationships/hyperlink" Target="https://drive.google.com/file/d/14KNxp9Akgen5F3LcGWOsHT4Qbqu4HTYy/view?usp=drivesdk" TargetMode="External"/><Relationship Id="rId349" Type="http://schemas.openxmlformats.org/officeDocument/2006/relationships/hyperlink" Target="https://drive.google.com/file/d/1_UEC3DvYLPby3ewaxAHguC5Mm0ainire/view?usp=drivesdk" TargetMode="External"/><Relationship Id="rId348" Type="http://schemas.openxmlformats.org/officeDocument/2006/relationships/hyperlink" Target="https://drive.google.com/file/d/1RLxYB-xp9gCuylzG8fMEpa5rGt6OdoMh/view?usp=drivesdk" TargetMode="External"/><Relationship Id="rId347" Type="http://schemas.openxmlformats.org/officeDocument/2006/relationships/hyperlink" Target="https://drive.google.com/file/d/1mWjj8mxrG8UD8YXr2nZ-cGzIZBtUwLal/view?usp=drivesdk" TargetMode="External"/><Relationship Id="rId346" Type="http://schemas.openxmlformats.org/officeDocument/2006/relationships/hyperlink" Target="https://drive.google.com/file/d/18nULESXZN8TdVjSkyh5ultgqH2EvBSm0/view?usp=drivesdk" TargetMode="External"/><Relationship Id="rId341" Type="http://schemas.openxmlformats.org/officeDocument/2006/relationships/hyperlink" Target="https://drive.google.com/file/d/1AFvmNMhSk-QV-2cVhQI1IIbAhqjPhXWN/view?usp=drivesdk" TargetMode="External"/><Relationship Id="rId340" Type="http://schemas.openxmlformats.org/officeDocument/2006/relationships/hyperlink" Target="https://drive.google.com/file/d/19BYjzsMkYCiipD-HEqq4sHumZDCTO5SQ/view?usp=drivesdk" TargetMode="External"/><Relationship Id="rId345" Type="http://schemas.openxmlformats.org/officeDocument/2006/relationships/hyperlink" Target="https://drive.google.com/file/d/117IKlIHBXRWO7KM1helymQPvsGoEIXdX/view?usp=drivesdk" TargetMode="External"/><Relationship Id="rId344" Type="http://schemas.openxmlformats.org/officeDocument/2006/relationships/hyperlink" Target="https://drive.google.com/file/d/1_3kOREsSMo-zmS04srVes69SaYsErPmR/view?usp=drivesdk" TargetMode="External"/><Relationship Id="rId343" Type="http://schemas.openxmlformats.org/officeDocument/2006/relationships/hyperlink" Target="https://drive.google.com/file/d/1v6kgKeSqXz-kIHf5HXexB2cCnGBup8pu/view?usp=drivesdk" TargetMode="External"/><Relationship Id="rId342" Type="http://schemas.openxmlformats.org/officeDocument/2006/relationships/hyperlink" Target="https://drive.google.com/file/d/1e5Wm6ChazDKUJftaKFfLoaBKNbaofYfP/view?usp=drivesdk" TargetMode="External"/><Relationship Id="rId338" Type="http://schemas.openxmlformats.org/officeDocument/2006/relationships/hyperlink" Target="https://drive.google.com/file/d/1vD03nf0a0BC3Ui7dZPBwsHBn8uBFVmTS/view?usp=drivesdk" TargetMode="External"/><Relationship Id="rId337" Type="http://schemas.openxmlformats.org/officeDocument/2006/relationships/hyperlink" Target="https://drive.google.com/file/d/1uSaalqURvSDrwFTwn8d56akyZ5pLqmJn/view?usp=drivesdk" TargetMode="External"/><Relationship Id="rId336" Type="http://schemas.openxmlformats.org/officeDocument/2006/relationships/hyperlink" Target="https://drive.google.com/file/d/1-ByeeNB55CftwPMrOwFmhKHJtA2Cargu/view?usp=drivesdk" TargetMode="External"/><Relationship Id="rId335" Type="http://schemas.openxmlformats.org/officeDocument/2006/relationships/hyperlink" Target="https://drive.google.com/file/d/10tpM-QAfI0H0NH6vAvH9VLJJki0FnCbu/view?usp=drivesdk" TargetMode="External"/><Relationship Id="rId339" Type="http://schemas.openxmlformats.org/officeDocument/2006/relationships/hyperlink" Target="https://drive.google.com/file/d/1s3htODPJ-fx2SsrGMPuuPnrS-QkOjVmW/view?usp=drivesdk" TargetMode="External"/><Relationship Id="rId330" Type="http://schemas.openxmlformats.org/officeDocument/2006/relationships/hyperlink" Target="https://drive.google.com/file/d/1SrRdwzLZMo2zK6deXcTRyDZ9oh1TesUR/view?usp=drivesdk" TargetMode="External"/><Relationship Id="rId334" Type="http://schemas.openxmlformats.org/officeDocument/2006/relationships/hyperlink" Target="https://drive.google.com/file/d/13eFbDRsrT4E_alMlB_gHi3f-ptev6t5p/view?usp=drivesdk" TargetMode="External"/><Relationship Id="rId333" Type="http://schemas.openxmlformats.org/officeDocument/2006/relationships/hyperlink" Target="https://drive.google.com/file/d/1S_1bC54b_CF_KpBDtwLxeDYcQEWMTRW_/view?usp=drivesdk" TargetMode="External"/><Relationship Id="rId332" Type="http://schemas.openxmlformats.org/officeDocument/2006/relationships/hyperlink" Target="https://drive.google.com/file/d/1cl2H57dfOOpFzEqSME3liLRb8RrZrEbY/view?usp=drivesdk" TargetMode="External"/><Relationship Id="rId331" Type="http://schemas.openxmlformats.org/officeDocument/2006/relationships/hyperlink" Target="https://drive.google.com/file/d/1_jNr1q-vJc4TjV8gK7ip_XHRAMrGaQqA/view?usp=drivesdk" TargetMode="External"/><Relationship Id="rId370" Type="http://schemas.openxmlformats.org/officeDocument/2006/relationships/hyperlink" Target="https://drive.google.com/file/d/1nawDDcezi9BHAhC1PTTKlP-I0li92yxh/view?usp=drivesdk" TargetMode="External"/><Relationship Id="rId369" Type="http://schemas.openxmlformats.org/officeDocument/2006/relationships/hyperlink" Target="https://drive.google.com/file/d/1vWGgcW4pZ3FoyQKsaRTBIF-qNoze2NOS/view?usp=drivesdk" TargetMode="External"/><Relationship Id="rId368" Type="http://schemas.openxmlformats.org/officeDocument/2006/relationships/hyperlink" Target="https://drive.google.com/file/d/1noF0-gFXnE925nL0unfvsQ-ANlXov76A/view?usp=drivesdk" TargetMode="External"/><Relationship Id="rId363" Type="http://schemas.openxmlformats.org/officeDocument/2006/relationships/hyperlink" Target="https://drive.google.com/file/d/1G_aU3PGCjrrMgJwOfzq2w1nbmT82GsuJ/view?usp=drivesdk" TargetMode="External"/><Relationship Id="rId362" Type="http://schemas.openxmlformats.org/officeDocument/2006/relationships/hyperlink" Target="https://drive.google.com/file/d/1nonM8jExC1mVvcGqlH7dSp0-DAzLBLtm/view?usp=drivesdk" TargetMode="External"/><Relationship Id="rId361" Type="http://schemas.openxmlformats.org/officeDocument/2006/relationships/hyperlink" Target="https://drive.google.com/file/d/1uk4nyW4cAjESveKk9dlxcAUonbl9IHNU/view?usp=drivesdk" TargetMode="External"/><Relationship Id="rId360" Type="http://schemas.openxmlformats.org/officeDocument/2006/relationships/hyperlink" Target="https://drive.google.com/file/d/1WGpgshHGpD4awyCYpmOwaF0Lo9g6Tii3/view?usp=drivesdk" TargetMode="External"/><Relationship Id="rId367" Type="http://schemas.openxmlformats.org/officeDocument/2006/relationships/hyperlink" Target="https://drive.google.com/file/d/1O7HDXxuStHcKBDqiToq3TS5-_eHNMncg/view?usp=drivesdk" TargetMode="External"/><Relationship Id="rId366" Type="http://schemas.openxmlformats.org/officeDocument/2006/relationships/hyperlink" Target="https://drive.google.com/file/d/1kVWNkPYWfpPoaNfzdmDoKO9zV0jbI67W/view?usp=drivesdk" TargetMode="External"/><Relationship Id="rId365" Type="http://schemas.openxmlformats.org/officeDocument/2006/relationships/hyperlink" Target="https://drive.google.com/file/d/1VgMcBc_Zck2mNomOuS1CZVLBzdiV_nWC/view?usp=drivesdk" TargetMode="External"/><Relationship Id="rId364" Type="http://schemas.openxmlformats.org/officeDocument/2006/relationships/hyperlink" Target="https://drive.google.com/file/d/1X_Hzp8yt2P-QO2WO8iH4EPgoVRh7R4xM/view?usp=drivesdk" TargetMode="External"/><Relationship Id="rId95" Type="http://schemas.openxmlformats.org/officeDocument/2006/relationships/hyperlink" Target="https://drive.google.com/file/d/1gvgQAw0L_boUFIZ7g1OyJ_YXdg0oIjT9/view?usp=drivesdk" TargetMode="External"/><Relationship Id="rId94" Type="http://schemas.openxmlformats.org/officeDocument/2006/relationships/hyperlink" Target="https://drive.google.com/file/d/11UhpC-nFM4e4lBiNdaX61xQ7VvtwiSSQ/view?usp=drivesdk" TargetMode="External"/><Relationship Id="rId97" Type="http://schemas.openxmlformats.org/officeDocument/2006/relationships/hyperlink" Target="https://drive.google.com/file/d/19AZSvRMmh1uo8b-VvXsL7fsoYgsniYAB/view?usp=drivesdk" TargetMode="External"/><Relationship Id="rId96" Type="http://schemas.openxmlformats.org/officeDocument/2006/relationships/hyperlink" Target="https://drive.google.com/file/d/1h5FjSevWZxXJxf5EXpQpJT7U-6TRQAHa/view?usp=drivesdk" TargetMode="External"/><Relationship Id="rId99" Type="http://schemas.openxmlformats.org/officeDocument/2006/relationships/hyperlink" Target="https://drive.google.com/file/d/1aljqzNt_a-5H2xNod0DXK2LsjIq9xXuj/view?usp=drivesdk" TargetMode="External"/><Relationship Id="rId98" Type="http://schemas.openxmlformats.org/officeDocument/2006/relationships/hyperlink" Target="https://drive.google.com/file/d/1-VGr_VxXpDFd--FWOEgFXc-w3gJU0M5p/view?usp=drivesdk" TargetMode="External"/><Relationship Id="rId91" Type="http://schemas.openxmlformats.org/officeDocument/2006/relationships/hyperlink" Target="https://drive.google.com/file/d/110SCbBI08nzymwEael0DhIoVulYZE2rG/view?usp=drivesdk" TargetMode="External"/><Relationship Id="rId90" Type="http://schemas.openxmlformats.org/officeDocument/2006/relationships/hyperlink" Target="https://drive.google.com/file/d/14LdltvCLjeiJ1loRuAN1I1tFJo0oA8zn/view?usp=drivesdk" TargetMode="External"/><Relationship Id="rId93" Type="http://schemas.openxmlformats.org/officeDocument/2006/relationships/hyperlink" Target="https://drive.google.com/file/d/1s3pLJ7I8k4bMPKKfE33wyCz0Q2r7Cum9/view?usp=drivesdk" TargetMode="External"/><Relationship Id="rId92" Type="http://schemas.openxmlformats.org/officeDocument/2006/relationships/hyperlink" Target="https://drive.google.com/file/d/1_0TBT6K4UcfvPRMN8STy1FYQ5o0TnVlq/view?usp=drivesdk" TargetMode="External"/><Relationship Id="rId359" Type="http://schemas.openxmlformats.org/officeDocument/2006/relationships/hyperlink" Target="https://drive.google.com/file/d/10y7q496AX6_0sM8VYpwXFE_CfW3qWVER/view?usp=drivesdk" TargetMode="External"/><Relationship Id="rId358" Type="http://schemas.openxmlformats.org/officeDocument/2006/relationships/hyperlink" Target="https://drive.google.com/file/d/1-nd1hGa7j_Vwr7C63vLyw8Doq1Jw9jdo/view?usp=drivesdk" TargetMode="External"/><Relationship Id="rId357" Type="http://schemas.openxmlformats.org/officeDocument/2006/relationships/hyperlink" Target="https://drive.google.com/file/d/1MkAewK7ChXvXFt_yHeQBeosTp7ozsocw/view?usp=drivesdk" TargetMode="External"/><Relationship Id="rId352" Type="http://schemas.openxmlformats.org/officeDocument/2006/relationships/hyperlink" Target="https://drive.google.com/file/d/1zdQKRoaKTgqYFpQsFj5QvQQ6FD0ed3fh/view?usp=drivesdk" TargetMode="External"/><Relationship Id="rId351" Type="http://schemas.openxmlformats.org/officeDocument/2006/relationships/hyperlink" Target="https://drive.google.com/file/d/1PBwDmwqcYcLTkNyF1ED4xCFTmb4mHrLr/view?usp=drivesdk" TargetMode="External"/><Relationship Id="rId350" Type="http://schemas.openxmlformats.org/officeDocument/2006/relationships/hyperlink" Target="https://drive.google.com/file/d/1OF9OzNZ0RezTr91hWpWHMHWrXH9SCFAS/view?usp=drivesdk" TargetMode="External"/><Relationship Id="rId356" Type="http://schemas.openxmlformats.org/officeDocument/2006/relationships/hyperlink" Target="https://drive.google.com/file/d/1HOPgbT8B7cSul5cTHeEI8GnCvj5F-kiw/view?usp=drivesdk" TargetMode="External"/><Relationship Id="rId355" Type="http://schemas.openxmlformats.org/officeDocument/2006/relationships/hyperlink" Target="https://drive.google.com/file/d/1VK50exEXQ_rClong6zFoFteT2CKKkjmO/view?usp=drivesdk" TargetMode="External"/><Relationship Id="rId354" Type="http://schemas.openxmlformats.org/officeDocument/2006/relationships/hyperlink" Target="https://drive.google.com/file/d/1CjT1O6wWYuXyGwX2IDXgjfNdv5kWTW3m/view?usp=drivesdk" TargetMode="External"/><Relationship Id="rId353" Type="http://schemas.openxmlformats.org/officeDocument/2006/relationships/hyperlink" Target="https://drive.google.com/file/d/1Y64s8GHxNrRvDcvruC4sJnxL8xzdZcO-/view?usp=drivesdk" TargetMode="External"/><Relationship Id="rId1378" Type="http://schemas.openxmlformats.org/officeDocument/2006/relationships/hyperlink" Target="https://drive.google.com/file/d/1ZIjUGgM0ZNJMwX1YUqhWIb-i5jgS1Cmy/view?usp=drivesdk" TargetMode="External"/><Relationship Id="rId1379" Type="http://schemas.openxmlformats.org/officeDocument/2006/relationships/hyperlink" Target="https://drive.google.com/file/d/1CX-X4yZPIliMfb05V-exrVifx5i5gyZu/view?usp=drivesdk" TargetMode="External"/><Relationship Id="rId305" Type="http://schemas.openxmlformats.org/officeDocument/2006/relationships/hyperlink" Target="https://drive.google.com/file/d/15obABizUe2mVP6tTA7xfzSOU9zsFeGRP/view?usp=drivesdk" TargetMode="External"/><Relationship Id="rId789" Type="http://schemas.openxmlformats.org/officeDocument/2006/relationships/hyperlink" Target="https://drive.google.com/file/d/1bCQvFNYbFfqWVOhzqt4obegEPIxfYXMT/view?usp=drivesdk" TargetMode="External"/><Relationship Id="rId304" Type="http://schemas.openxmlformats.org/officeDocument/2006/relationships/hyperlink" Target="https://drive.google.com/file/d/1NxbR_bwAiYFpZjIg55CMPxWtvCoOVIAQ/view?usp=drivesdk" TargetMode="External"/><Relationship Id="rId788" Type="http://schemas.openxmlformats.org/officeDocument/2006/relationships/hyperlink" Target="https://drive.google.com/file/d/1ArbZggjGoMVmiSY_xH3hTtR4y6VtR9YL/view?usp=drivesdk" TargetMode="External"/><Relationship Id="rId303" Type="http://schemas.openxmlformats.org/officeDocument/2006/relationships/hyperlink" Target="https://drive.google.com/file/d/1CufoZHl_KItNfmOr5x_-4R-WsAKrS65V/view?usp=drivesdk" TargetMode="External"/><Relationship Id="rId787" Type="http://schemas.openxmlformats.org/officeDocument/2006/relationships/hyperlink" Target="https://drive.google.com/file/d/1rPq3gMHnm7Y6lLJHL8-tANQFNLPqfbYm/view?usp=drivesdk" TargetMode="External"/><Relationship Id="rId302" Type="http://schemas.openxmlformats.org/officeDocument/2006/relationships/hyperlink" Target="https://drive.google.com/file/d/1_GSFYpdpPE9KlDDSJISHSbkxPaGiv90y/view?usp=drivesdk" TargetMode="External"/><Relationship Id="rId786" Type="http://schemas.openxmlformats.org/officeDocument/2006/relationships/hyperlink" Target="https://drive.google.com/file/d/1q3zDBCAa9Iik9Z4vigCtXmanj8_d5bWb/view?usp=drivesdk" TargetMode="External"/><Relationship Id="rId309" Type="http://schemas.openxmlformats.org/officeDocument/2006/relationships/hyperlink" Target="https://drive.google.com/file/d/1KeSwecAaGUPly_0Khma5VYzCJyRIWBpt/view?usp=drivesdk" TargetMode="External"/><Relationship Id="rId308" Type="http://schemas.openxmlformats.org/officeDocument/2006/relationships/hyperlink" Target="https://drive.google.com/file/d/1w5TanXJyS5YVblHirQgJO5zKr4e7CFnK/view?usp=drivesdk" TargetMode="External"/><Relationship Id="rId307" Type="http://schemas.openxmlformats.org/officeDocument/2006/relationships/hyperlink" Target="https://drive.google.com/file/d/1nZRWE8YtR8lD6JVTIYbN9Kn9F6IO3Tol/view?usp=drivesdk" TargetMode="External"/><Relationship Id="rId306" Type="http://schemas.openxmlformats.org/officeDocument/2006/relationships/hyperlink" Target="https://drive.google.com/file/d/1vGGh8iNvz5riiPFFfaYWDPoBsN1DieSC/view?usp=drivesdk" TargetMode="External"/><Relationship Id="rId781" Type="http://schemas.openxmlformats.org/officeDocument/2006/relationships/hyperlink" Target="https://drive.google.com/file/d/1o2k7vj4lCbLr-sUckUJPC5evZ3l6CFw_/view?usp=drivesdk" TargetMode="External"/><Relationship Id="rId1370" Type="http://schemas.openxmlformats.org/officeDocument/2006/relationships/hyperlink" Target="https://drive.google.com/file/d/1wNYmBBQACZKlJDlgIxup_p9zVgPtzSpC/view?usp=drivesdk" TargetMode="External"/><Relationship Id="rId780" Type="http://schemas.openxmlformats.org/officeDocument/2006/relationships/hyperlink" Target="https://drive.google.com/file/d/1Ss_WUKD-G7G3jlVK_OnYeM1slXhgl9ui/view?usp=drivesdk" TargetMode="External"/><Relationship Id="rId1371" Type="http://schemas.openxmlformats.org/officeDocument/2006/relationships/hyperlink" Target="https://drive.google.com/file/d/1KmyHkB13ZFEziyeMZJmfqm6YYEH53iJL/view?usp=drivesdk" TargetMode="External"/><Relationship Id="rId1372" Type="http://schemas.openxmlformats.org/officeDocument/2006/relationships/hyperlink" Target="https://drive.google.com/file/d/1j0mn959ZZSMHPHeyS9bW6vv9NzM9UaK_/view?usp=drivesdk" TargetMode="External"/><Relationship Id="rId1373" Type="http://schemas.openxmlformats.org/officeDocument/2006/relationships/hyperlink" Target="https://drive.google.com/file/d/10tQQDvi74p0uwz_rfj_t6rPzAp-QJohQ/view?usp=drivesdk" TargetMode="External"/><Relationship Id="rId301" Type="http://schemas.openxmlformats.org/officeDocument/2006/relationships/hyperlink" Target="https://drive.google.com/file/d/1wDNXb0olz39__EV_LKeVH7NGHiDMCeB6/view?usp=drivesdk" TargetMode="External"/><Relationship Id="rId785" Type="http://schemas.openxmlformats.org/officeDocument/2006/relationships/hyperlink" Target="https://drive.google.com/file/d/12AI5DRJwy5EUDc4Bff1lMMigRu387odK/view?usp=drivesdk" TargetMode="External"/><Relationship Id="rId1374" Type="http://schemas.openxmlformats.org/officeDocument/2006/relationships/hyperlink" Target="https://drive.google.com/file/d/1stw59aWDD5tZ8snsZY-9UQqeP9WMpzts/view?usp=drivesdk" TargetMode="External"/><Relationship Id="rId300" Type="http://schemas.openxmlformats.org/officeDocument/2006/relationships/hyperlink" Target="https://drive.google.com/file/d/1DOLllL6R7032IvCSzFDDyxUuY_nU2qkX/view?usp=drivesdk" TargetMode="External"/><Relationship Id="rId784" Type="http://schemas.openxmlformats.org/officeDocument/2006/relationships/hyperlink" Target="https://drive.google.com/file/d/111nuS5F8JlaSOcxh61VDyUCY_DCdOKGM/view?usp=drivesdk" TargetMode="External"/><Relationship Id="rId1375" Type="http://schemas.openxmlformats.org/officeDocument/2006/relationships/hyperlink" Target="https://drive.google.com/file/d/1YO1uT-ewP-5qv0jr683Nj5KCqmIRFxTa/view?usp=drivesdk" TargetMode="External"/><Relationship Id="rId783" Type="http://schemas.openxmlformats.org/officeDocument/2006/relationships/hyperlink" Target="https://drive.google.com/file/d/1r2agxTQW4eF6F77aYqt_qAMgbq4h6vhA/view?usp=drivesdk" TargetMode="External"/><Relationship Id="rId1376" Type="http://schemas.openxmlformats.org/officeDocument/2006/relationships/hyperlink" Target="https://drive.google.com/file/d/1pnD_JivZ_nDbGc8tbAkf6ZYd42gKIm_w/view?usp=drivesdk" TargetMode="External"/><Relationship Id="rId782" Type="http://schemas.openxmlformats.org/officeDocument/2006/relationships/hyperlink" Target="https://drive.google.com/file/d/1xWtzIalTyDfQmth-6vNfg7v6DUlLfVxw/view?usp=drivesdk" TargetMode="External"/><Relationship Id="rId1377" Type="http://schemas.openxmlformats.org/officeDocument/2006/relationships/hyperlink" Target="https://drive.google.com/file/d/13uCKRkvqvsNdCzb2_BuUibZNm7bSygxU/view?usp=drivesdk" TargetMode="External"/><Relationship Id="rId1367" Type="http://schemas.openxmlformats.org/officeDocument/2006/relationships/hyperlink" Target="https://drive.google.com/file/d/1Wq0sSamnAgMWLJLZEAdHMNTgHVF3F_wg/view?usp=drivesdk" TargetMode="External"/><Relationship Id="rId1368" Type="http://schemas.openxmlformats.org/officeDocument/2006/relationships/hyperlink" Target="https://drive.google.com/file/d/1dD_RkFuxQxk3hkxXbqultnhFhN1opB9Y/view?usp=drivesdk" TargetMode="External"/><Relationship Id="rId1369" Type="http://schemas.openxmlformats.org/officeDocument/2006/relationships/hyperlink" Target="https://drive.google.com/file/d/1V03D6SadgRB81BNo3fV5NxWC_bZKMZSm/view?usp=drivesdk" TargetMode="External"/><Relationship Id="rId778" Type="http://schemas.openxmlformats.org/officeDocument/2006/relationships/hyperlink" Target="https://drive.google.com/file/d/1Qtwddk-XDlbwPPGy3W-QXhpffZJZhBKc/view?usp=drivesdk" TargetMode="External"/><Relationship Id="rId777" Type="http://schemas.openxmlformats.org/officeDocument/2006/relationships/hyperlink" Target="https://drive.google.com/file/d/1PHdeD8DCOHYtYlSowdL4RnjXdXP9WvnF/view?usp=drivesdk" TargetMode="External"/><Relationship Id="rId776" Type="http://schemas.openxmlformats.org/officeDocument/2006/relationships/hyperlink" Target="https://drive.google.com/file/d/1jd9ycYWZkLbbUrtvuNJeNEiLp_k9LMoe/view?usp=drivesdk" TargetMode="External"/><Relationship Id="rId775" Type="http://schemas.openxmlformats.org/officeDocument/2006/relationships/hyperlink" Target="https://drive.google.com/file/d/17rssfXeSwSyxfwOWnaBs0wPihBQAhZp-/view?usp=drivesdk" TargetMode="External"/><Relationship Id="rId779" Type="http://schemas.openxmlformats.org/officeDocument/2006/relationships/hyperlink" Target="https://drive.google.com/file/d/1mL9Ab5TM5BMWagobH7NKQFy8VurCd2et/view?usp=drivesdk" TargetMode="External"/><Relationship Id="rId770" Type="http://schemas.openxmlformats.org/officeDocument/2006/relationships/hyperlink" Target="https://drive.google.com/file/d/1qE6c5eqWeEKM9st3yOraYsnw5N9yJH7l/view?usp=drivesdk" TargetMode="External"/><Relationship Id="rId1360" Type="http://schemas.openxmlformats.org/officeDocument/2006/relationships/hyperlink" Target="https://drive.google.com/file/d/1-hACoGBMYzWfW-abiG6hh6iaoZvehEax/view?usp=drivesdk" TargetMode="External"/><Relationship Id="rId1361" Type="http://schemas.openxmlformats.org/officeDocument/2006/relationships/hyperlink" Target="https://drive.google.com/file/d/11lIs3bWSV7G1bde5YZqgb9uJGpymjf2k/view?usp=drivesdk" TargetMode="External"/><Relationship Id="rId1362" Type="http://schemas.openxmlformats.org/officeDocument/2006/relationships/hyperlink" Target="https://drive.google.com/file/d/1ydN4sTIr0QTGdMhZmDJ_GxX6RiO5cK_p/view?usp=drivesdk" TargetMode="External"/><Relationship Id="rId774" Type="http://schemas.openxmlformats.org/officeDocument/2006/relationships/hyperlink" Target="https://drive.google.com/file/d/13scdctuunPsPA7VN0U_MwGGRn8XVKTbE/view?usp=drivesdk" TargetMode="External"/><Relationship Id="rId1363" Type="http://schemas.openxmlformats.org/officeDocument/2006/relationships/hyperlink" Target="https://drive.google.com/file/d/1GTQ8DttYpXbULplpRAwajCjBQJZrFpwH/view?usp=drivesdk" TargetMode="External"/><Relationship Id="rId773" Type="http://schemas.openxmlformats.org/officeDocument/2006/relationships/hyperlink" Target="https://drive.google.com/file/d/1612cVHt8YAoCVAa9x6CR0LsF-S_e-dzF/view?usp=drivesdk" TargetMode="External"/><Relationship Id="rId1364" Type="http://schemas.openxmlformats.org/officeDocument/2006/relationships/hyperlink" Target="https://drive.google.com/file/d/18wDNGwEtS0NcrA2dAvx1zgK-ByZks7mw/view?usp=drivesdk" TargetMode="External"/><Relationship Id="rId772" Type="http://schemas.openxmlformats.org/officeDocument/2006/relationships/hyperlink" Target="https://drive.google.com/file/d/1QGwFQzaQRDG3tlEKooHy4FGNPwX6h1w1/view?usp=drivesdk" TargetMode="External"/><Relationship Id="rId1365" Type="http://schemas.openxmlformats.org/officeDocument/2006/relationships/hyperlink" Target="https://drive.google.com/file/d/1ctmfPUj9wwC3h5aO2V0hXfG37U2nCE3e/view?usp=drivesdk" TargetMode="External"/><Relationship Id="rId771" Type="http://schemas.openxmlformats.org/officeDocument/2006/relationships/hyperlink" Target="https://drive.google.com/file/d/1yicevDL8q3uBlrq8FME7wO35hhINlm9i/view?usp=drivesdk" TargetMode="External"/><Relationship Id="rId1366" Type="http://schemas.openxmlformats.org/officeDocument/2006/relationships/hyperlink" Target="https://drive.google.com/file/d/1BNCsWCKj_ArnGXZwaeQIcZ03z9s391QO/view?usp=drivesdk" TargetMode="External"/><Relationship Id="rId327" Type="http://schemas.openxmlformats.org/officeDocument/2006/relationships/hyperlink" Target="https://drive.google.com/file/d/1PBsIeDN2jr1Pq3CNrSLb1Xsyr21P2pXL/view?usp=drivesdk" TargetMode="External"/><Relationship Id="rId326" Type="http://schemas.openxmlformats.org/officeDocument/2006/relationships/hyperlink" Target="https://drive.google.com/file/d/1pWRSPkrpkB4P8JrAypP4cdltGfovv0wT/view?usp=drivesdk" TargetMode="External"/><Relationship Id="rId325" Type="http://schemas.openxmlformats.org/officeDocument/2006/relationships/hyperlink" Target="https://drive.google.com/file/d/1Wo_ZWAFaujgNZeZ0tdEdLIIUT-PUrDAy/view?usp=drivesdk" TargetMode="External"/><Relationship Id="rId324" Type="http://schemas.openxmlformats.org/officeDocument/2006/relationships/hyperlink" Target="https://drive.google.com/file/d/1IK98kxqzXUKr6oiSy5Yh1iZIS2v8ZtnC/view?usp=drivesdk" TargetMode="External"/><Relationship Id="rId329" Type="http://schemas.openxmlformats.org/officeDocument/2006/relationships/hyperlink" Target="https://drive.google.com/file/d/1dqZfs8CV4bFuIXsJrOSHM-_BKTXKhfGR/view?usp=drivesdk" TargetMode="External"/><Relationship Id="rId1390" Type="http://schemas.openxmlformats.org/officeDocument/2006/relationships/drawing" Target="../drawings/drawing3.xml"/><Relationship Id="rId328" Type="http://schemas.openxmlformats.org/officeDocument/2006/relationships/hyperlink" Target="https://drive.google.com/file/d/1tRDHk6OnUXVNfn6Ll53VYpaT5vuJ4llq/view?usp=drivesdk" TargetMode="External"/><Relationship Id="rId323" Type="http://schemas.openxmlformats.org/officeDocument/2006/relationships/hyperlink" Target="https://drive.google.com/file/d/1bbOr5sJJaSFgt-aKadq5yMvKA8ywD97U/view?usp=drivesdk" TargetMode="External"/><Relationship Id="rId322" Type="http://schemas.openxmlformats.org/officeDocument/2006/relationships/hyperlink" Target="https://drive.google.com/file/d/1liYat5J_yw4yTHidCRQkdAQyTzcftC6D/view?usp=drivesdk" TargetMode="External"/><Relationship Id="rId321" Type="http://schemas.openxmlformats.org/officeDocument/2006/relationships/hyperlink" Target="https://drive.google.com/file/d/1GTnjtSM79S6hEZLXrpWxGtZd34NCBmBN/view?usp=drivesdk" TargetMode="External"/><Relationship Id="rId320" Type="http://schemas.openxmlformats.org/officeDocument/2006/relationships/hyperlink" Target="https://drive.google.com/file/d/1tMrBtPVk07Vt3IgjI_4ese_KDvqQCuKK/view?usp=drivesdk" TargetMode="External"/><Relationship Id="rId1389" Type="http://schemas.openxmlformats.org/officeDocument/2006/relationships/hyperlink" Target="https://drive.google.com/file/d/1vTYDdyFZxBfZ2xccMFQlAXInz9JM0Wim/view?usp=drivesdk" TargetMode="External"/><Relationship Id="rId316" Type="http://schemas.openxmlformats.org/officeDocument/2006/relationships/hyperlink" Target="https://drive.google.com/file/d/10gwwst21XMDLdZDUQ3-UJKa2tLRTlO7K/view?usp=drivesdk" TargetMode="External"/><Relationship Id="rId315" Type="http://schemas.openxmlformats.org/officeDocument/2006/relationships/hyperlink" Target="https://drive.google.com/file/d/1OhQWWe3jm8WtNRylZvAGE-c4xHX8dswr/view?usp=drivesdk" TargetMode="External"/><Relationship Id="rId799" Type="http://schemas.openxmlformats.org/officeDocument/2006/relationships/hyperlink" Target="https://drive.google.com/file/d/1mgtXjUjGQ4kYpZsW972EgP1jUJi2bdlT/view?usp=drivesdk" TargetMode="External"/><Relationship Id="rId314" Type="http://schemas.openxmlformats.org/officeDocument/2006/relationships/hyperlink" Target="https://drive.google.com/file/d/1Z0u77Ei4pPZsjR5reXLadM9xd0tgKrac/view?usp=drivesdk" TargetMode="External"/><Relationship Id="rId798" Type="http://schemas.openxmlformats.org/officeDocument/2006/relationships/hyperlink" Target="https://drive.google.com/file/d/1KPX3cJhfnpW31dGY6ra4LvHIpzivafj3/view?usp=drivesdk" TargetMode="External"/><Relationship Id="rId313" Type="http://schemas.openxmlformats.org/officeDocument/2006/relationships/hyperlink" Target="https://drive.google.com/file/d/1fqDwT6f6uPiUgL_jMbCxBCBzksaDNMma/view?usp=drivesdk" TargetMode="External"/><Relationship Id="rId797" Type="http://schemas.openxmlformats.org/officeDocument/2006/relationships/hyperlink" Target="https://drive.google.com/file/d/1JV5E_tSPkgvvTRPEu2rgklQPb_8Yb_7M/view?usp=drivesdk" TargetMode="External"/><Relationship Id="rId319" Type="http://schemas.openxmlformats.org/officeDocument/2006/relationships/hyperlink" Target="https://drive.google.com/file/d/1tNWBEIyqVAkKjP7KUoSu2t3rEj4DPo_A/view?usp=drivesdk" TargetMode="External"/><Relationship Id="rId318" Type="http://schemas.openxmlformats.org/officeDocument/2006/relationships/hyperlink" Target="https://drive.google.com/file/d/17KV68RT0MMeGKz0n7gj1Dsmt7YXSfvOC/view?usp=drivesdk" TargetMode="External"/><Relationship Id="rId317" Type="http://schemas.openxmlformats.org/officeDocument/2006/relationships/hyperlink" Target="https://drive.google.com/file/d/18gORVnI1F3fjlDcwB6OsrshMJDerCS2r/view?usp=drivesdk" TargetMode="External"/><Relationship Id="rId1380" Type="http://schemas.openxmlformats.org/officeDocument/2006/relationships/hyperlink" Target="https://drive.google.com/file/d/19HR11okzts2iI1bdWqGn2PnsBGvEbSxC/view?usp=drivesdk" TargetMode="External"/><Relationship Id="rId792" Type="http://schemas.openxmlformats.org/officeDocument/2006/relationships/hyperlink" Target="https://drive.google.com/file/d/1PTnkzr8QEo22di-UQWPHzD8_NqzRwLZZ/view?usp=drivesdk" TargetMode="External"/><Relationship Id="rId1381" Type="http://schemas.openxmlformats.org/officeDocument/2006/relationships/hyperlink" Target="https://drive.google.com/file/d/1GlWBowF1UBaZOdmpxK6j_6xz1lhczVu3/view?usp=drivesdk" TargetMode="External"/><Relationship Id="rId791" Type="http://schemas.openxmlformats.org/officeDocument/2006/relationships/hyperlink" Target="https://drive.google.com/file/d/1m5ZlxWxxW6mIJMc4yPo8-xk7pqhPlOsf/view?usp=drivesdk" TargetMode="External"/><Relationship Id="rId1382" Type="http://schemas.openxmlformats.org/officeDocument/2006/relationships/hyperlink" Target="https://drive.google.com/file/d/18O3cqWIfono-CDPIVLFNJVkA-2VNOHsv/view?usp=drivesdk" TargetMode="External"/><Relationship Id="rId790" Type="http://schemas.openxmlformats.org/officeDocument/2006/relationships/hyperlink" Target="https://drive.google.com/file/d/1-Jvwx8R_dcvBtVji-UAeDOhCZFiAAn9H/view?usp=drivesdk" TargetMode="External"/><Relationship Id="rId1383" Type="http://schemas.openxmlformats.org/officeDocument/2006/relationships/hyperlink" Target="https://drive.google.com/file/d/1KTndRLnspP4bSM08LU5xlAb5egjHN1hx/view?usp=drivesdk" TargetMode="External"/><Relationship Id="rId1384" Type="http://schemas.openxmlformats.org/officeDocument/2006/relationships/hyperlink" Target="https://drive.google.com/file/d/1qQJNn7ZvoufwBSS_pp5Ek1nTMCXq-Gfn/view?usp=drivesdk" TargetMode="External"/><Relationship Id="rId312" Type="http://schemas.openxmlformats.org/officeDocument/2006/relationships/hyperlink" Target="https://drive.google.com/file/d/1ETLxNzxxAx38Kbjl_2clUvwzL5DDrTd8/view?usp=drivesdk" TargetMode="External"/><Relationship Id="rId796" Type="http://schemas.openxmlformats.org/officeDocument/2006/relationships/hyperlink" Target="https://drive.google.com/file/d/137jHE2eBwiXadYLyoWCwy8P9cobbLSgR/view?usp=drivesdk" TargetMode="External"/><Relationship Id="rId1385" Type="http://schemas.openxmlformats.org/officeDocument/2006/relationships/hyperlink" Target="https://drive.google.com/file/d/1kbXA2yjqn9_HAA7piV4GBkF0Jd0kjvnI/view?usp=drivesdk" TargetMode="External"/><Relationship Id="rId311" Type="http://schemas.openxmlformats.org/officeDocument/2006/relationships/hyperlink" Target="https://drive.google.com/file/d/1E9n7K_S1QjugzYn-rTEbb--ETbvudVse/view?usp=drivesdk" TargetMode="External"/><Relationship Id="rId795" Type="http://schemas.openxmlformats.org/officeDocument/2006/relationships/hyperlink" Target="https://drive.google.com/file/d/1Mg33u9waVV2mObboAz-o1lX_7OGD4KRf/view?usp=drivesdk" TargetMode="External"/><Relationship Id="rId1386" Type="http://schemas.openxmlformats.org/officeDocument/2006/relationships/hyperlink" Target="https://drive.google.com/file/d/1RNny0IG7SjWvCfMF8M1draCA9I3tK7lj/view?usp=drivesdk" TargetMode="External"/><Relationship Id="rId310" Type="http://schemas.openxmlformats.org/officeDocument/2006/relationships/hyperlink" Target="https://drive.google.com/file/d/1zCYZDaOwE-K33Jkam-tMneBjxjoNVHza/view?usp=drivesdk" TargetMode="External"/><Relationship Id="rId794" Type="http://schemas.openxmlformats.org/officeDocument/2006/relationships/hyperlink" Target="https://drive.google.com/file/d/1nVUA1RBik6M2hcwtK79Vsh6Pw_dxLn8h/view?usp=drivesdk" TargetMode="External"/><Relationship Id="rId1387" Type="http://schemas.openxmlformats.org/officeDocument/2006/relationships/hyperlink" Target="https://drive.google.com/file/d/17EeLBgk-VXx8QhSm2-TUhXwWwk17IVL_/view?usp=drivesdk" TargetMode="External"/><Relationship Id="rId793" Type="http://schemas.openxmlformats.org/officeDocument/2006/relationships/hyperlink" Target="https://drive.google.com/file/d/1a_TAmQXjhkfvt4i4JzzGhoFGBmtYk_1Z/view?usp=drivesdk" TargetMode="External"/><Relationship Id="rId1388" Type="http://schemas.openxmlformats.org/officeDocument/2006/relationships/hyperlink" Target="https://drive.google.com/file/d/1ZdWoUy_MV_YcU7BTnK25M2XBBF0k5ovP/view?usp=drivesdk" TargetMode="External"/><Relationship Id="rId297" Type="http://schemas.openxmlformats.org/officeDocument/2006/relationships/hyperlink" Target="https://drive.google.com/file/d/1hWfokltwBkoqHFEcC6Y6_dIRzbc3xn2Q/view?usp=drivesdk" TargetMode="External"/><Relationship Id="rId296" Type="http://schemas.openxmlformats.org/officeDocument/2006/relationships/hyperlink" Target="https://drive.google.com/file/d/1T3Rn1Ki7p7o8u_ViHHHYvafHFmjnylcx/view?usp=drivesdk" TargetMode="External"/><Relationship Id="rId295" Type="http://schemas.openxmlformats.org/officeDocument/2006/relationships/hyperlink" Target="https://drive.google.com/file/d/1gPKErZn0U75GIXRc3TyDKhjO1YYEA8-a/view?usp=drivesdk" TargetMode="External"/><Relationship Id="rId294" Type="http://schemas.openxmlformats.org/officeDocument/2006/relationships/hyperlink" Target="https://drive.google.com/file/d/1AnxK02a5BeBo9dA5i4f_u2An2ZuJqRrr/view?usp=drivesdk" TargetMode="External"/><Relationship Id="rId299" Type="http://schemas.openxmlformats.org/officeDocument/2006/relationships/hyperlink" Target="https://drive.google.com/file/d/1aDSm4Lq4K8IFN4JH8XXWURoEKbUjjmL3/view?usp=drivesdk" TargetMode="External"/><Relationship Id="rId298" Type="http://schemas.openxmlformats.org/officeDocument/2006/relationships/hyperlink" Target="https://drive.google.com/file/d/11sSauXb0HoVRgYDG9CnOlMBheFEjk0NQ/view?usp=drivesdk" TargetMode="External"/><Relationship Id="rId271" Type="http://schemas.openxmlformats.org/officeDocument/2006/relationships/hyperlink" Target="https://drive.google.com/file/d/1wOKjiL59sTbYJAZUPb-UPMjoPu-4HWDV/view?usp=drivesdk" TargetMode="External"/><Relationship Id="rId270" Type="http://schemas.openxmlformats.org/officeDocument/2006/relationships/hyperlink" Target="https://drive.google.com/file/d/1OmM2z06gBM63n800JtLoY_5328h0Kj-q/view?usp=drivesdk" TargetMode="External"/><Relationship Id="rId269" Type="http://schemas.openxmlformats.org/officeDocument/2006/relationships/hyperlink" Target="https://drive.google.com/file/d/1c91FKEwUnH0eT_Uzixr-mWli2LJ6mmul/view?usp=drivesdk" TargetMode="External"/><Relationship Id="rId264" Type="http://schemas.openxmlformats.org/officeDocument/2006/relationships/hyperlink" Target="https://drive.google.com/file/d/1r8gz_OQgXRQyPABeOEgFy2rbZa10e60I/view?usp=drivesdk" TargetMode="External"/><Relationship Id="rId263" Type="http://schemas.openxmlformats.org/officeDocument/2006/relationships/hyperlink" Target="https://drive.google.com/file/d/1VVLl-AvJbxAOqcDsjssAt5hEyFgPdx8z/view?usp=drivesdk" TargetMode="External"/><Relationship Id="rId262" Type="http://schemas.openxmlformats.org/officeDocument/2006/relationships/hyperlink" Target="https://drive.google.com/file/d/1VVNd9Scvve3V-VZXAhoIMrIQk51djdwQ/view?usp=drivesdk" TargetMode="External"/><Relationship Id="rId261" Type="http://schemas.openxmlformats.org/officeDocument/2006/relationships/hyperlink" Target="https://drive.google.com/file/d/1gzyiuMNHruki0iqw9ZPuG1ROg8sPoSnR/view?usp=drivesdk" TargetMode="External"/><Relationship Id="rId268" Type="http://schemas.openxmlformats.org/officeDocument/2006/relationships/hyperlink" Target="https://drive.google.com/file/d/1n0koQ1yLwfPYdmBREVehxKIdhjOoUZSg/view?usp=drivesdk" TargetMode="External"/><Relationship Id="rId267" Type="http://schemas.openxmlformats.org/officeDocument/2006/relationships/hyperlink" Target="https://drive.google.com/file/d/1X_8gLoQL8UM8XESII7U1_3XXVMeR9N2z/view?usp=drivesdk" TargetMode="External"/><Relationship Id="rId266" Type="http://schemas.openxmlformats.org/officeDocument/2006/relationships/hyperlink" Target="https://drive.google.com/file/d/1VFtyqV5el7EJVeHaibxWMy34k9LMhbzJ/view?usp=drivesdk" TargetMode="External"/><Relationship Id="rId265" Type="http://schemas.openxmlformats.org/officeDocument/2006/relationships/hyperlink" Target="https://drive.google.com/file/d/1Z4TItg9VScF62xlkgC_PoPtT-7Vv0iWy/view?usp=drivesdk" TargetMode="External"/><Relationship Id="rId260" Type="http://schemas.openxmlformats.org/officeDocument/2006/relationships/hyperlink" Target="https://drive.google.com/file/d/1F6e63Lvx_picFSFjsYovkHAFanA2uAHa/view?usp=drivesdk" TargetMode="External"/><Relationship Id="rId259" Type="http://schemas.openxmlformats.org/officeDocument/2006/relationships/hyperlink" Target="https://drive.google.com/file/d/156tAE8v5cFhpA2JE6GA1a7Ktomq0eLYG/view?usp=drivesdk" TargetMode="External"/><Relationship Id="rId258" Type="http://schemas.openxmlformats.org/officeDocument/2006/relationships/hyperlink" Target="https://drive.google.com/file/d/1vaJaM70la8WjjudMF5sP3NGFuj_0wy9h/view?usp=drivesdk" TargetMode="External"/><Relationship Id="rId253" Type="http://schemas.openxmlformats.org/officeDocument/2006/relationships/hyperlink" Target="https://drive.google.com/file/d/1GaGHXmjuMiaNOB0JUnyXvqe5lRWj5tg1/view?usp=drivesdk" TargetMode="External"/><Relationship Id="rId252" Type="http://schemas.openxmlformats.org/officeDocument/2006/relationships/hyperlink" Target="https://drive.google.com/file/d/1LRXuztEEXdMxXVtMCq3mJl48JAq-UR0n/view?usp=drivesdk" TargetMode="External"/><Relationship Id="rId251" Type="http://schemas.openxmlformats.org/officeDocument/2006/relationships/hyperlink" Target="https://drive.google.com/file/d/1H17uMt3lEFj60TgPCBKsbQYCGkxU4ctv/view?usp=drivesdk" TargetMode="External"/><Relationship Id="rId250" Type="http://schemas.openxmlformats.org/officeDocument/2006/relationships/hyperlink" Target="https://drive.google.com/file/d/1pNYePg3eNKxHVFnrHDZ4sLAX_CCQrhwE/view?usp=drivesdk" TargetMode="External"/><Relationship Id="rId257" Type="http://schemas.openxmlformats.org/officeDocument/2006/relationships/hyperlink" Target="https://drive.google.com/file/d/11jqeGWUpUh79pKFzwZ3T_bBagRuPGFCi/view?usp=drivesdk" TargetMode="External"/><Relationship Id="rId256" Type="http://schemas.openxmlformats.org/officeDocument/2006/relationships/hyperlink" Target="https://drive.google.com/file/d/13_FjItFP6GHekMwAss_IcUYD2Z-Q2DAK/view?usp=drivesdk" TargetMode="External"/><Relationship Id="rId255" Type="http://schemas.openxmlformats.org/officeDocument/2006/relationships/hyperlink" Target="https://drive.google.com/file/d/15bGGIIEKFkDlvesZF2WINiYBiRVVRi7R/view?usp=drivesdk" TargetMode="External"/><Relationship Id="rId254" Type="http://schemas.openxmlformats.org/officeDocument/2006/relationships/hyperlink" Target="https://drive.google.com/file/d/1D9dO_DC6ePh-Csant4DlT-9TnvAmfuAB/view?usp=drivesdk" TargetMode="External"/><Relationship Id="rId293" Type="http://schemas.openxmlformats.org/officeDocument/2006/relationships/hyperlink" Target="https://drive.google.com/file/d/17yYMWhyDAG179mIfO09X_DXEZMxaYLjP/view?usp=drivesdk" TargetMode="External"/><Relationship Id="rId292" Type="http://schemas.openxmlformats.org/officeDocument/2006/relationships/hyperlink" Target="https://drive.google.com/file/d/1b2FC_ZxV315l7N6zoTHVU2AgAr7SbyXB/view?usp=drivesdk" TargetMode="External"/><Relationship Id="rId291" Type="http://schemas.openxmlformats.org/officeDocument/2006/relationships/hyperlink" Target="https://drive.google.com/file/d/1BktRBxUCABNKOmBS08ZeWLX5NwbuQmVb/view?usp=drivesdk" TargetMode="External"/><Relationship Id="rId290" Type="http://schemas.openxmlformats.org/officeDocument/2006/relationships/hyperlink" Target="https://drive.google.com/file/d/1AEIAMNY49STOE6ElNt-b8Hq1Zx5-39DC/view?usp=drivesdk" TargetMode="External"/><Relationship Id="rId286" Type="http://schemas.openxmlformats.org/officeDocument/2006/relationships/hyperlink" Target="https://drive.google.com/file/d/1egXsfHxw3enkl4JvCEY0lfs0BTX1O2u3/view?usp=drivesdk" TargetMode="External"/><Relationship Id="rId285" Type="http://schemas.openxmlformats.org/officeDocument/2006/relationships/hyperlink" Target="https://drive.google.com/file/d/1n2AFbrWCoSyUJoEu2sdAqSUYEEqLi3-i/view?usp=drivesdk" TargetMode="External"/><Relationship Id="rId284" Type="http://schemas.openxmlformats.org/officeDocument/2006/relationships/hyperlink" Target="https://drive.google.com/file/d/1j22rPSmrajVUMaZJ7ZQ_3oBwSfmIAktN/view?usp=drivesdk" TargetMode="External"/><Relationship Id="rId283" Type="http://schemas.openxmlformats.org/officeDocument/2006/relationships/hyperlink" Target="https://drive.google.com/file/d/1KgVy8pDNXw_rUPEflxR0eTSRI8bSGPLS/view?usp=drivesdk" TargetMode="External"/><Relationship Id="rId289" Type="http://schemas.openxmlformats.org/officeDocument/2006/relationships/hyperlink" Target="https://drive.google.com/file/d/105cRk7vC72JK1EA9WyGiYPQkLW7C53Ad/view?usp=drivesdk" TargetMode="External"/><Relationship Id="rId288" Type="http://schemas.openxmlformats.org/officeDocument/2006/relationships/hyperlink" Target="https://drive.google.com/file/d/1GUMHnYj_hycM2gMFNTbvEGwdonZHVaEU/view?usp=drivesdk" TargetMode="External"/><Relationship Id="rId287" Type="http://schemas.openxmlformats.org/officeDocument/2006/relationships/hyperlink" Target="https://drive.google.com/file/d/1p1O3cA89Rortn-b4c3if2MEMXd31m4nv/view?usp=drivesdk" TargetMode="External"/><Relationship Id="rId282" Type="http://schemas.openxmlformats.org/officeDocument/2006/relationships/hyperlink" Target="https://drive.google.com/file/d/1VjQnWh7tIM7zl21GEg_LipSiXaJr91Ht/view?usp=drivesdk" TargetMode="External"/><Relationship Id="rId281" Type="http://schemas.openxmlformats.org/officeDocument/2006/relationships/hyperlink" Target="https://drive.google.com/file/d/17CimGUvhLJDkg1bbuFUCRcNLQJR1151z/view?usp=drivesdk" TargetMode="External"/><Relationship Id="rId280" Type="http://schemas.openxmlformats.org/officeDocument/2006/relationships/hyperlink" Target="https://drive.google.com/file/d/1DQ-5qEEOtHAV_EO0dtcKuZKTfy6PHQQl/view?usp=drivesdk" TargetMode="External"/><Relationship Id="rId275" Type="http://schemas.openxmlformats.org/officeDocument/2006/relationships/hyperlink" Target="https://drive.google.com/file/d/1sCCY3KYGCCE3zAn1qtYymO7af6DAj-0M/view?usp=drivesdk" TargetMode="External"/><Relationship Id="rId274" Type="http://schemas.openxmlformats.org/officeDocument/2006/relationships/hyperlink" Target="https://drive.google.com/file/d/1eLY3wQhNqme2S7a_tXRX4gHwGifvXW1x/view?usp=drivesdk" TargetMode="External"/><Relationship Id="rId273" Type="http://schemas.openxmlformats.org/officeDocument/2006/relationships/hyperlink" Target="https://drive.google.com/file/d/1n72rgjSW6FtAclFquHlO8O2BBvlTnJas/view?usp=drivesdk" TargetMode="External"/><Relationship Id="rId272" Type="http://schemas.openxmlformats.org/officeDocument/2006/relationships/hyperlink" Target="https://drive.google.com/file/d/1AHAkX3IHAtNC1ywt3EKJgEjl7TvUilkM/view?usp=drivesdk" TargetMode="External"/><Relationship Id="rId279" Type="http://schemas.openxmlformats.org/officeDocument/2006/relationships/hyperlink" Target="https://drive.google.com/file/d/1BbeoZ9CdBUXQMwPbOQkLBdsayafNFSX2/view?usp=drivesdk" TargetMode="External"/><Relationship Id="rId278" Type="http://schemas.openxmlformats.org/officeDocument/2006/relationships/hyperlink" Target="https://drive.google.com/file/d/1yHD_X4W7fLNjPrkn11Gu0-mHGcNqrpws/view?usp=drivesdk" TargetMode="External"/><Relationship Id="rId277" Type="http://schemas.openxmlformats.org/officeDocument/2006/relationships/hyperlink" Target="https://drive.google.com/file/d/1xfxst9Oa-ge7wewPL4HMH7DqgvOPP20b/view?usp=drivesdk" TargetMode="External"/><Relationship Id="rId276" Type="http://schemas.openxmlformats.org/officeDocument/2006/relationships/hyperlink" Target="https://drive.google.com/file/d/1E11EGVsEk8jXG4anLcX1DKLgm7aqhOmU/view?usp=drivesdk" TargetMode="External"/><Relationship Id="rId629" Type="http://schemas.openxmlformats.org/officeDocument/2006/relationships/hyperlink" Target="https://drive.google.com/file/d/1L6uVunRTkHlU_O--S4vWF9IFtI4y-nt9/view?usp=drivesdk" TargetMode="External"/><Relationship Id="rId624" Type="http://schemas.openxmlformats.org/officeDocument/2006/relationships/hyperlink" Target="https://drive.google.com/file/d/12pcrWT7rv8KHcTckp1mVzESreAZAMuLd/view?usp=drivesdk" TargetMode="External"/><Relationship Id="rId623" Type="http://schemas.openxmlformats.org/officeDocument/2006/relationships/hyperlink" Target="https://drive.google.com/file/d/1ANlIZ7j6kBtYmK7zjvKHJDP4NHDfNeu0/view?usp=drivesdk" TargetMode="External"/><Relationship Id="rId622" Type="http://schemas.openxmlformats.org/officeDocument/2006/relationships/hyperlink" Target="https://drive.google.com/file/d/1WbrVaSPfdqLt24QFCNSjDPwq7kVE4TDC/view?usp=drivesdk" TargetMode="External"/><Relationship Id="rId621" Type="http://schemas.openxmlformats.org/officeDocument/2006/relationships/hyperlink" Target="https://drive.google.com/file/d/1oiaWpVjzIMfjLRO9E_LEl1ivIhgYJxRz/view?usp=drivesdk" TargetMode="External"/><Relationship Id="rId628" Type="http://schemas.openxmlformats.org/officeDocument/2006/relationships/hyperlink" Target="https://drive.google.com/file/d/1KL5SoJAHWjHA_I9YQBeFRVy3NF-MVymD/view?usp=drivesdk" TargetMode="External"/><Relationship Id="rId627" Type="http://schemas.openxmlformats.org/officeDocument/2006/relationships/hyperlink" Target="https://drive.google.com/file/d/1givOcPpd1ntLsGdIXQxqAtb-vKGTpGuD/view?usp=drivesdk" TargetMode="External"/><Relationship Id="rId626" Type="http://schemas.openxmlformats.org/officeDocument/2006/relationships/hyperlink" Target="https://drive.google.com/file/d/1pomwSjb3JhWNAcPkuV9rFVeM8shH8WIX/view?usp=drivesdk" TargetMode="External"/><Relationship Id="rId625" Type="http://schemas.openxmlformats.org/officeDocument/2006/relationships/hyperlink" Target="https://drive.google.com/file/d/1cnM2XgZQxYQfpwgE4BmFxY_VVTpXHKKM/view?usp=drivesdk" TargetMode="External"/><Relationship Id="rId620" Type="http://schemas.openxmlformats.org/officeDocument/2006/relationships/hyperlink" Target="https://drive.google.com/file/d/1k_T4Rme4laOqj4FFVCtLFL6sVGJsx86a/view?usp=drivesdk" TargetMode="External"/><Relationship Id="rId619" Type="http://schemas.openxmlformats.org/officeDocument/2006/relationships/hyperlink" Target="https://drive.google.com/file/d/1cJsRXmvKPQ7GPC_cm_Airo5Y-ih6oB2j/view?usp=drivesdk" TargetMode="External"/><Relationship Id="rId618" Type="http://schemas.openxmlformats.org/officeDocument/2006/relationships/hyperlink" Target="https://drive.google.com/file/d/1ks4sYhMyRxNwDVYxivPVczl4gI-dQ94P/view?usp=drivesdk" TargetMode="External"/><Relationship Id="rId613" Type="http://schemas.openxmlformats.org/officeDocument/2006/relationships/hyperlink" Target="https://drive.google.com/file/d/181zSSJL0lk7t_7R7qFXHj6EpNju7NEyy/view?usp=drivesdk" TargetMode="External"/><Relationship Id="rId612" Type="http://schemas.openxmlformats.org/officeDocument/2006/relationships/hyperlink" Target="https://drive.google.com/file/d/1GpQZNwn0thDz2IQRffeGzv6KDWQiKn_I/view?usp=drivesdk" TargetMode="External"/><Relationship Id="rId611" Type="http://schemas.openxmlformats.org/officeDocument/2006/relationships/hyperlink" Target="https://drive.google.com/file/d/1S6Y_7EBTIU64tChcmNNePtGMO2jWzVGk/view?usp=drivesdk" TargetMode="External"/><Relationship Id="rId610" Type="http://schemas.openxmlformats.org/officeDocument/2006/relationships/hyperlink" Target="https://drive.google.com/file/d/1XtfL3wumyr6mb9iCgCxuHmUHHvQhg4yN/view?usp=drivesdk" TargetMode="External"/><Relationship Id="rId617" Type="http://schemas.openxmlformats.org/officeDocument/2006/relationships/hyperlink" Target="https://drive.google.com/file/d/1NP74FAQ4UheeZ68AMDXl3P1f72HLwpaT/view?usp=drivesdk" TargetMode="External"/><Relationship Id="rId616" Type="http://schemas.openxmlformats.org/officeDocument/2006/relationships/hyperlink" Target="https://drive.google.com/file/d/1V8lTfv6HJ8IMLiB5gYCuvj2XX1Nry6fh/view?usp=drivesdk" TargetMode="External"/><Relationship Id="rId615" Type="http://schemas.openxmlformats.org/officeDocument/2006/relationships/hyperlink" Target="https://drive.google.com/file/d/19H8UbfRLvZEql0tCt59611gSkSLUCmKs/view?usp=drivesdk" TargetMode="External"/><Relationship Id="rId614" Type="http://schemas.openxmlformats.org/officeDocument/2006/relationships/hyperlink" Target="https://drive.google.com/file/d/1PYhLwP6tdLfH-XKRuD0puhoFxy-sMmFS/view?usp=drivesdk" TargetMode="External"/><Relationship Id="rId646" Type="http://schemas.openxmlformats.org/officeDocument/2006/relationships/hyperlink" Target="https://drive.google.com/file/d/1RFajdOS3PTs3gG6PijaWUMfbdlg9wH4x/view?usp=drivesdk" TargetMode="External"/><Relationship Id="rId645" Type="http://schemas.openxmlformats.org/officeDocument/2006/relationships/hyperlink" Target="https://drive.google.com/file/d/1ZcPXNfUiEbN_HwtCd891QdMzTZSYx1fw/view?usp=drivesdk" TargetMode="External"/><Relationship Id="rId644" Type="http://schemas.openxmlformats.org/officeDocument/2006/relationships/hyperlink" Target="https://drive.google.com/file/d/1zYfPpTsPbmgnUB83pI_Pq1lJ7bNE547G/view?usp=drivesdk" TargetMode="External"/><Relationship Id="rId643" Type="http://schemas.openxmlformats.org/officeDocument/2006/relationships/hyperlink" Target="https://drive.google.com/file/d/1XBkGEx2U8_zKL8MPXGgQNr9pKxuQ1VoK/view?usp=drivesdk" TargetMode="External"/><Relationship Id="rId649" Type="http://schemas.openxmlformats.org/officeDocument/2006/relationships/hyperlink" Target="https://drive.google.com/file/d/1CgFDbt9DLjtIE39QSYTceBsTH8HynkV2/view?usp=drivesdk" TargetMode="External"/><Relationship Id="rId648" Type="http://schemas.openxmlformats.org/officeDocument/2006/relationships/hyperlink" Target="https://drive.google.com/file/d/1wc8zyG6iIdoZ-JSrDJQh1zhZ8rbFVywC/view?usp=drivesdk" TargetMode="External"/><Relationship Id="rId647" Type="http://schemas.openxmlformats.org/officeDocument/2006/relationships/hyperlink" Target="https://drive.google.com/file/d/1JS_DWZKuNPHbZwKfirj8h4113PQ9podm/view?usp=drivesdk" TargetMode="External"/><Relationship Id="rId642" Type="http://schemas.openxmlformats.org/officeDocument/2006/relationships/hyperlink" Target="https://drive.google.com/file/d/1TgiLVlc8ULkeaLD2kyjupb27kaiuM0VA/view?usp=drivesdk" TargetMode="External"/><Relationship Id="rId641" Type="http://schemas.openxmlformats.org/officeDocument/2006/relationships/hyperlink" Target="https://drive.google.com/file/d/1EjCNuZSYsmVVK-bREacL8yoeRui-q6Cq/view?usp=drivesdk" TargetMode="External"/><Relationship Id="rId640" Type="http://schemas.openxmlformats.org/officeDocument/2006/relationships/hyperlink" Target="https://drive.google.com/file/d/1ZE866GzkUK_NuRwPIYtPoDAMsRZYzg8o/view?usp=drivesdk" TargetMode="External"/><Relationship Id="rId635" Type="http://schemas.openxmlformats.org/officeDocument/2006/relationships/hyperlink" Target="https://drive.google.com/file/d/1PWOOc6h89xT_u8Q2-oYAuMVRWZGeQNop/view?usp=drivesdk" TargetMode="External"/><Relationship Id="rId634" Type="http://schemas.openxmlformats.org/officeDocument/2006/relationships/hyperlink" Target="https://drive.google.com/file/d/1fC_xdHYtuVSGdyipCTYwInpTLU1nLVOT/view?usp=drivesdk" TargetMode="External"/><Relationship Id="rId633" Type="http://schemas.openxmlformats.org/officeDocument/2006/relationships/hyperlink" Target="https://drive.google.com/file/d/175dambBNVF0dqo5ScTkVgg0LGuj940kT/view?usp=drivesdk" TargetMode="External"/><Relationship Id="rId632" Type="http://schemas.openxmlformats.org/officeDocument/2006/relationships/hyperlink" Target="https://drive.google.com/file/d/1Xegg6zoy4h7DJi5a9pRBsglATfS55faB/view?usp=drivesdk" TargetMode="External"/><Relationship Id="rId639" Type="http://schemas.openxmlformats.org/officeDocument/2006/relationships/hyperlink" Target="https://drive.google.com/file/d/1yxqqtaJ_tKrHMAyqOaSeXTtf-KefDu_f/view?usp=drivesdk" TargetMode="External"/><Relationship Id="rId638" Type="http://schemas.openxmlformats.org/officeDocument/2006/relationships/hyperlink" Target="https://drive.google.com/file/d/16tv4QbR_xvFXB4FBrbVNqZqo-wgW9woH/view?usp=drivesdk" TargetMode="External"/><Relationship Id="rId637" Type="http://schemas.openxmlformats.org/officeDocument/2006/relationships/hyperlink" Target="https://drive.google.com/file/d/17mS9A7BjFB1lWFAmvcSxyq7-jK-oNL_B/view?usp=drivesdk" TargetMode="External"/><Relationship Id="rId636" Type="http://schemas.openxmlformats.org/officeDocument/2006/relationships/hyperlink" Target="https://drive.google.com/file/d/1fcLB4lAMMhIYG5_xSfIxQZGpuZJ18Sdr/view?usp=drivesdk" TargetMode="External"/><Relationship Id="rId631" Type="http://schemas.openxmlformats.org/officeDocument/2006/relationships/hyperlink" Target="https://drive.google.com/file/d/1fyRt26qYLHlfICkWkeRvjDxkKPAGMOGH/view?usp=drivesdk" TargetMode="External"/><Relationship Id="rId630" Type="http://schemas.openxmlformats.org/officeDocument/2006/relationships/hyperlink" Target="https://drive.google.com/file/d/1eABS-vu3YGOP5Z8U-mNYSNElEVFsaeTY/view?usp=drivesdk" TargetMode="External"/><Relationship Id="rId609" Type="http://schemas.openxmlformats.org/officeDocument/2006/relationships/hyperlink" Target="https://drive.google.com/file/d/1bOamtHkDDCeR5rldqOBSgCXc_AFZb3yD/view?usp=drivesdk" TargetMode="External"/><Relationship Id="rId608" Type="http://schemas.openxmlformats.org/officeDocument/2006/relationships/hyperlink" Target="https://drive.google.com/file/d/1JnjkuBqFgDqAEzZj1VnXDDzpULzqwUY4/view?usp=drivesdk" TargetMode="External"/><Relationship Id="rId607" Type="http://schemas.openxmlformats.org/officeDocument/2006/relationships/hyperlink" Target="https://drive.google.com/file/d/145Pa13zh5Prx2VW-au4YJBMHc37TXuej/view?usp=drivesdk" TargetMode="External"/><Relationship Id="rId602" Type="http://schemas.openxmlformats.org/officeDocument/2006/relationships/hyperlink" Target="https://drive.google.com/file/d/1NxD4srcP8NGAkHA1AWvYHXJLyf_l73EF/view?usp=drivesdk" TargetMode="External"/><Relationship Id="rId601" Type="http://schemas.openxmlformats.org/officeDocument/2006/relationships/hyperlink" Target="https://drive.google.com/file/d/1lp6r_eHvrdDz_Jcksbt_MrMZQFC3hwy0/view?usp=drivesdk" TargetMode="External"/><Relationship Id="rId600" Type="http://schemas.openxmlformats.org/officeDocument/2006/relationships/hyperlink" Target="https://drive.google.com/file/d/1c_xOizbgC83hFcsc5jmN-idvU1vfACNB/view?usp=drivesdk" TargetMode="External"/><Relationship Id="rId606" Type="http://schemas.openxmlformats.org/officeDocument/2006/relationships/hyperlink" Target="https://drive.google.com/file/d/1Om0VtTokwrnUfKI5dbrEDRogkdHBeMRA/view?usp=drivesdk" TargetMode="External"/><Relationship Id="rId605" Type="http://schemas.openxmlformats.org/officeDocument/2006/relationships/hyperlink" Target="https://drive.google.com/file/d/1A3A0XWewbvFp536VbiCjIAYxdIJwVP-9/view?usp=drivesdk" TargetMode="External"/><Relationship Id="rId604" Type="http://schemas.openxmlformats.org/officeDocument/2006/relationships/hyperlink" Target="https://drive.google.com/file/d/150VkxMJ6Qzq8PM52a6Vi7Y9e4ojtHPne/view?usp=drivesdk" TargetMode="External"/><Relationship Id="rId603" Type="http://schemas.openxmlformats.org/officeDocument/2006/relationships/hyperlink" Target="https://drive.google.com/file/d/1dE7-AS0QPxKoPMyquy5WhD3ojjC80SWY/view?usp=drivesdk" TargetMode="External"/><Relationship Id="rId1059" Type="http://schemas.openxmlformats.org/officeDocument/2006/relationships/hyperlink" Target="https://drive.google.com/file/d/1Pb_juPmIU_Q7VY9NrSeQKbDclKBuO2i4/view?usp=drivesdk" TargetMode="External"/><Relationship Id="rId228" Type="http://schemas.openxmlformats.org/officeDocument/2006/relationships/hyperlink" Target="https://drive.google.com/file/d/1d_BnfBpp2VSsPvBJAIR3GZDS5fF9o5w9/view?usp=drivesdk" TargetMode="External"/><Relationship Id="rId227" Type="http://schemas.openxmlformats.org/officeDocument/2006/relationships/hyperlink" Target="https://drive.google.com/file/d/1nSvfohPIJk9khnM75MLzzGbK-7utfVvb/view?usp=drivesdk" TargetMode="External"/><Relationship Id="rId226" Type="http://schemas.openxmlformats.org/officeDocument/2006/relationships/hyperlink" Target="https://drive.google.com/file/d/1_hV0LxKWPhSNb8BX52EFM1hcOzItqUhi/view?usp=drivesdk" TargetMode="External"/><Relationship Id="rId225" Type="http://schemas.openxmlformats.org/officeDocument/2006/relationships/hyperlink" Target="https://drive.google.com/file/d/1z2ENYgIkcshVHZYpVX_jkl4FG23ycA6Z/view?usp=drivesdk" TargetMode="External"/><Relationship Id="rId229" Type="http://schemas.openxmlformats.org/officeDocument/2006/relationships/hyperlink" Target="https://drive.google.com/file/d/1A7IQYIfVS1sTYZUl5_NoD4Q6b1T3hSOE/view?usp=drivesdk" TargetMode="External"/><Relationship Id="rId1050" Type="http://schemas.openxmlformats.org/officeDocument/2006/relationships/hyperlink" Target="https://drive.google.com/file/d/1sjdW_JBf7Xvavc-j0ZYGAQkqF_EQI8iP/view?usp=drivesdk" TargetMode="External"/><Relationship Id="rId220" Type="http://schemas.openxmlformats.org/officeDocument/2006/relationships/hyperlink" Target="https://drive.google.com/file/d/1nEvKlRA8uAXj2efuq1DkKpPMx5D0e87_/view?usp=drivesdk" TargetMode="External"/><Relationship Id="rId1051" Type="http://schemas.openxmlformats.org/officeDocument/2006/relationships/hyperlink" Target="https://drive.google.com/file/d/1DouZu51tYUlHCJt3ED5926-nk58IBtuY/view?usp=drivesdk" TargetMode="External"/><Relationship Id="rId1052" Type="http://schemas.openxmlformats.org/officeDocument/2006/relationships/hyperlink" Target="https://drive.google.com/file/d/1OxFDVNyZI1frRjeq-YzZQaUFqgYur5QQ/view?usp=drivesdk" TargetMode="External"/><Relationship Id="rId1053" Type="http://schemas.openxmlformats.org/officeDocument/2006/relationships/hyperlink" Target="https://drive.google.com/file/d/1xUlRe3MC-gZV8Zhd6NQNLSAYxUKd-bXT/view?usp=drivesdk" TargetMode="External"/><Relationship Id="rId1054" Type="http://schemas.openxmlformats.org/officeDocument/2006/relationships/hyperlink" Target="https://drive.google.com/file/d/1sQ8SgRlBMbqW6PR-9YQps9sVh-rL9tXw/view?usp=drivesdk" TargetMode="External"/><Relationship Id="rId224" Type="http://schemas.openxmlformats.org/officeDocument/2006/relationships/hyperlink" Target="https://drive.google.com/file/d/1Yf0-4mxcVfhdYlLjMdsf8en6RDWsDJbw/view?usp=drivesdk" TargetMode="External"/><Relationship Id="rId1055" Type="http://schemas.openxmlformats.org/officeDocument/2006/relationships/hyperlink" Target="https://drive.google.com/file/d/1vagLpfu0yJBLs-8Gatz7OEVqAcsptNyV/view?usp=drivesdk" TargetMode="External"/><Relationship Id="rId223" Type="http://schemas.openxmlformats.org/officeDocument/2006/relationships/hyperlink" Target="https://drive.google.com/file/d/1Lj-NalOkiEcybZZT_dNLosMFyuAbdUs8/view?usp=drivesdk" TargetMode="External"/><Relationship Id="rId1056" Type="http://schemas.openxmlformats.org/officeDocument/2006/relationships/hyperlink" Target="https://drive.google.com/file/d/1oAjR8vSHaozIl7e-9ozgY9hFTpEChKb7/view?usp=drivesdk" TargetMode="External"/><Relationship Id="rId222" Type="http://schemas.openxmlformats.org/officeDocument/2006/relationships/hyperlink" Target="https://drive.google.com/file/d/17WfzyrTctbh-ycFCu5dg5IR87_upn8zm/view?usp=drivesdk" TargetMode="External"/><Relationship Id="rId1057" Type="http://schemas.openxmlformats.org/officeDocument/2006/relationships/hyperlink" Target="https://drive.google.com/file/d/1xWbz_w1r9P1BGfJ_vctcFlsqK4cuVLq_/view?usp=drivesdk" TargetMode="External"/><Relationship Id="rId221" Type="http://schemas.openxmlformats.org/officeDocument/2006/relationships/hyperlink" Target="https://drive.google.com/file/d/1yr8whNCRN-BXlZgIIxkjY0g8z8-0guwq/view?usp=drivesdk" TargetMode="External"/><Relationship Id="rId1058" Type="http://schemas.openxmlformats.org/officeDocument/2006/relationships/hyperlink" Target="https://drive.google.com/file/d/1Np9c8r6_VQUD2BcEZk8o5Cy0BoXVy2Li/view?usp=drivesdk" TargetMode="External"/><Relationship Id="rId1048" Type="http://schemas.openxmlformats.org/officeDocument/2006/relationships/hyperlink" Target="https://drive.google.com/file/d/1u2KiampcOcT7G124TEOiIzae-KDknBmd/view?usp=drivesdk" TargetMode="External"/><Relationship Id="rId1049" Type="http://schemas.openxmlformats.org/officeDocument/2006/relationships/hyperlink" Target="https://drive.google.com/file/d/1XZ_zxm3xyVj2TD9ZkpEejEYcPp9nIzht/view?usp=drivesdk" TargetMode="External"/><Relationship Id="rId217" Type="http://schemas.openxmlformats.org/officeDocument/2006/relationships/hyperlink" Target="https://drive.google.com/file/d/1hN0G4Myov8ckz4pAMJyK0-chR-uaImCE/view?usp=drivesdk" TargetMode="External"/><Relationship Id="rId216" Type="http://schemas.openxmlformats.org/officeDocument/2006/relationships/hyperlink" Target="https://drive.google.com/file/d/1jQ2ZVxsJgOGK369mgFlFLMIcvvyGyvkY/view?usp=drivesdk" TargetMode="External"/><Relationship Id="rId215" Type="http://schemas.openxmlformats.org/officeDocument/2006/relationships/hyperlink" Target="https://drive.google.com/file/d/1ntHR-2TST8Pa9kLmC5CL_wNP2lafijMc/view?usp=drivesdk" TargetMode="External"/><Relationship Id="rId699" Type="http://schemas.openxmlformats.org/officeDocument/2006/relationships/hyperlink" Target="https://drive.google.com/file/d/1Vg-OUhY15FAok2mtyokmeZIHZaqgAHg5/view?usp=drivesdk" TargetMode="External"/><Relationship Id="rId214" Type="http://schemas.openxmlformats.org/officeDocument/2006/relationships/hyperlink" Target="https://drive.google.com/file/d/1tJfvC20ctLZQdLkZolhGX4DXfr-JFdEB/view?usp=drivesdk" TargetMode="External"/><Relationship Id="rId698" Type="http://schemas.openxmlformats.org/officeDocument/2006/relationships/hyperlink" Target="https://drive.google.com/file/d/1SP5jHd3WRyyvYJcl4eFapcMBBizKeGUl/view?usp=drivesdk" TargetMode="External"/><Relationship Id="rId219" Type="http://schemas.openxmlformats.org/officeDocument/2006/relationships/hyperlink" Target="https://drive.google.com/file/d/1GCYFeLrlGpCBF1GyjSAAd1YFst71bifH/view?usp=drivesdk" TargetMode="External"/><Relationship Id="rId218" Type="http://schemas.openxmlformats.org/officeDocument/2006/relationships/hyperlink" Target="https://drive.google.com/file/d/1OByNKNsjZqSFHFFyt-o1mPqDkVmgruBu/view?usp=drivesdk" TargetMode="External"/><Relationship Id="rId693" Type="http://schemas.openxmlformats.org/officeDocument/2006/relationships/hyperlink" Target="https://drive.google.com/file/d/1r4PVlL83grqiq4UZ0to7L57VLrbdB9hi/view?usp=drivesdk" TargetMode="External"/><Relationship Id="rId1040" Type="http://schemas.openxmlformats.org/officeDocument/2006/relationships/hyperlink" Target="https://drive.google.com/file/d/1M2bQUYW3MLXQBgi-vbBlJhTa0bUosI7r/view?usp=drivesdk" TargetMode="External"/><Relationship Id="rId692" Type="http://schemas.openxmlformats.org/officeDocument/2006/relationships/hyperlink" Target="https://drive.google.com/file/d/164yvRbDzBp4QTOt60ne0zLFnKfzz6qWW/view?usp=drivesdk" TargetMode="External"/><Relationship Id="rId1041" Type="http://schemas.openxmlformats.org/officeDocument/2006/relationships/hyperlink" Target="https://drive.google.com/file/d/1Q4Hoav-REKO6sqw8lr1uJnRm7Q_FXUIN/view?usp=drivesdk" TargetMode="External"/><Relationship Id="rId691" Type="http://schemas.openxmlformats.org/officeDocument/2006/relationships/hyperlink" Target="https://drive.google.com/file/d/1u3UeZsgg-pu1ZHEEX1uaXHGyGnnbQIHr/view?usp=drivesdk" TargetMode="External"/><Relationship Id="rId1042" Type="http://schemas.openxmlformats.org/officeDocument/2006/relationships/hyperlink" Target="https://drive.google.com/file/d/10j2TatiM7HXzQ8gGJAAToPEOpY8k8IgA/view?usp=drivesdk" TargetMode="External"/><Relationship Id="rId690" Type="http://schemas.openxmlformats.org/officeDocument/2006/relationships/hyperlink" Target="https://drive.google.com/file/d/1LtoTK2zHVIYGFfb_cXHLXLWkOHpGikA0/view?usp=drivesdk" TargetMode="External"/><Relationship Id="rId1043" Type="http://schemas.openxmlformats.org/officeDocument/2006/relationships/hyperlink" Target="https://drive.google.com/file/d/114EidPR7T0rdM2v9diqArcO-SjszUvCV/view?usp=drivesdk" TargetMode="External"/><Relationship Id="rId213" Type="http://schemas.openxmlformats.org/officeDocument/2006/relationships/hyperlink" Target="https://drive.google.com/file/d/1DeRESzfXOza_ac4bortetS44iBQlEB1l/view?usp=drivesdk" TargetMode="External"/><Relationship Id="rId697" Type="http://schemas.openxmlformats.org/officeDocument/2006/relationships/hyperlink" Target="https://drive.google.com/file/d/1iB1iRJQEIss4hSoqw92nY3NXxa2obChZ/view?usp=drivesdk" TargetMode="External"/><Relationship Id="rId1044" Type="http://schemas.openxmlformats.org/officeDocument/2006/relationships/hyperlink" Target="https://drive.google.com/file/d/1QvCfNwfC2L6h4poQe8Nd8CTgttfsWFTm/view?usp=drivesdk" TargetMode="External"/><Relationship Id="rId212" Type="http://schemas.openxmlformats.org/officeDocument/2006/relationships/hyperlink" Target="https://drive.google.com/file/d/1JkE16HX10SxkzianGctH-9nm-XFaoMsF/view?usp=drivesdk" TargetMode="External"/><Relationship Id="rId696" Type="http://schemas.openxmlformats.org/officeDocument/2006/relationships/hyperlink" Target="https://drive.google.com/file/d/1wNBIYZ5dm9n9bSFCAgoMnPNgBJBMSCyH/view?usp=drivesdk" TargetMode="External"/><Relationship Id="rId1045" Type="http://schemas.openxmlformats.org/officeDocument/2006/relationships/hyperlink" Target="https://drive.google.com/file/d/1qeprGIAy7AN_pByPqzOUMvJ-k5SpkEYf/view?usp=drivesdk" TargetMode="External"/><Relationship Id="rId211" Type="http://schemas.openxmlformats.org/officeDocument/2006/relationships/hyperlink" Target="https://drive.google.com/file/d/1v5DJu4qjqzVUJEfoj2GHrhMbmyHZ-m6z/view?usp=drivesdk" TargetMode="External"/><Relationship Id="rId695" Type="http://schemas.openxmlformats.org/officeDocument/2006/relationships/hyperlink" Target="https://drive.google.com/file/d/19EgT43RHjwkUo0_VH9RxY_gZl2qByBLZ/view?usp=drivesdk" TargetMode="External"/><Relationship Id="rId1046" Type="http://schemas.openxmlformats.org/officeDocument/2006/relationships/hyperlink" Target="https://drive.google.com/file/d/1EwNygj4VffnCLPK-P7EFlmo0-tV2NKRN/view?usp=drivesdk" TargetMode="External"/><Relationship Id="rId210" Type="http://schemas.openxmlformats.org/officeDocument/2006/relationships/hyperlink" Target="https://drive.google.com/file/d/1LJ0WrqBtVRCt68G-AduIa1fUKucFOQw4/view?usp=drivesdk" TargetMode="External"/><Relationship Id="rId694" Type="http://schemas.openxmlformats.org/officeDocument/2006/relationships/hyperlink" Target="https://drive.google.com/file/d/18geCDJ5bRB3bpM43MHvE6GJwLIjojiV3/view?usp=drivesdk" TargetMode="External"/><Relationship Id="rId1047" Type="http://schemas.openxmlformats.org/officeDocument/2006/relationships/hyperlink" Target="https://drive.google.com/file/d/1fTRsNjUSigNQXhqc1pXcjQ_2Nx-X6BFV/view?usp=drivesdk" TargetMode="External"/><Relationship Id="rId249" Type="http://schemas.openxmlformats.org/officeDocument/2006/relationships/hyperlink" Target="https://drive.google.com/file/d/1APCg4OnSFJ_UXQ0QzbeWPcRZtJsXvuz1/view?usp=drivesdk" TargetMode="External"/><Relationship Id="rId248" Type="http://schemas.openxmlformats.org/officeDocument/2006/relationships/hyperlink" Target="https://drive.google.com/file/d/1pONPJh9x5VCZuuA8xFZJ8EwpUqV7ZKOz/view?usp=drivesdk" TargetMode="External"/><Relationship Id="rId247" Type="http://schemas.openxmlformats.org/officeDocument/2006/relationships/hyperlink" Target="https://drive.google.com/file/d/12mfKmwr4qxdkiF-WSAj7I2jNt6iWVgg3/view?usp=drivesdk" TargetMode="External"/><Relationship Id="rId1070" Type="http://schemas.openxmlformats.org/officeDocument/2006/relationships/hyperlink" Target="https://drive.google.com/file/d/1KC4plXYkIWysGPnao4Tklulvzel2Da4l/view?usp=drivesdk" TargetMode="External"/><Relationship Id="rId1071" Type="http://schemas.openxmlformats.org/officeDocument/2006/relationships/hyperlink" Target="https://drive.google.com/file/d/18x2vGr9C5TmbBPxVJPLb9glWPl6R3fRW/view?usp=drivesdk" TargetMode="External"/><Relationship Id="rId1072" Type="http://schemas.openxmlformats.org/officeDocument/2006/relationships/hyperlink" Target="https://drive.google.com/file/d/1zG4Fc_IEv6joOTyPj0JeBdLMNt-6vqsC/view?usp=drivesdk" TargetMode="External"/><Relationship Id="rId242" Type="http://schemas.openxmlformats.org/officeDocument/2006/relationships/hyperlink" Target="https://drive.google.com/file/d/1OQXfdOsmBPcEjb_PF9uWD_g_s1g9BKLK/view?usp=drivesdk" TargetMode="External"/><Relationship Id="rId1073" Type="http://schemas.openxmlformats.org/officeDocument/2006/relationships/hyperlink" Target="https://drive.google.com/file/d/1V4dif0GlZHpTSBPr0wrGGqKPzj36JjUm/view?usp=drivesdk" TargetMode="External"/><Relationship Id="rId241" Type="http://schemas.openxmlformats.org/officeDocument/2006/relationships/hyperlink" Target="https://drive.google.com/file/d/1VTr0wR67oXPqTspZFD2WLtwQCj0zXKrh/view?usp=drivesdk" TargetMode="External"/><Relationship Id="rId1074" Type="http://schemas.openxmlformats.org/officeDocument/2006/relationships/hyperlink" Target="https://drive.google.com/file/d/1FBVDq-txued5VjX89SxjAxiqVp_WzRYr/view?usp=drivesdk" TargetMode="External"/><Relationship Id="rId240" Type="http://schemas.openxmlformats.org/officeDocument/2006/relationships/hyperlink" Target="https://drive.google.com/file/d/1-on_azF3SOQnkcXmO04jj2zt4-H3FlcG/view?usp=drivesdk" TargetMode="External"/><Relationship Id="rId1075" Type="http://schemas.openxmlformats.org/officeDocument/2006/relationships/hyperlink" Target="https://drive.google.com/file/d/1G4gv0ySakjef__T9l4MU6vM4mSqIKpQf/view?usp=drivesdk" TargetMode="External"/><Relationship Id="rId1076" Type="http://schemas.openxmlformats.org/officeDocument/2006/relationships/hyperlink" Target="https://drive.google.com/file/d/1Dc0I6mdR5VNlZdfy9Q6SxLCujdERpq1s/view?usp=drivesdk" TargetMode="External"/><Relationship Id="rId246" Type="http://schemas.openxmlformats.org/officeDocument/2006/relationships/hyperlink" Target="https://drive.google.com/file/d/1yjVvr6RWduwEsSlj1T5hWk4kZsgSpX7e/view?usp=drivesdk" TargetMode="External"/><Relationship Id="rId1077" Type="http://schemas.openxmlformats.org/officeDocument/2006/relationships/hyperlink" Target="https://drive.google.com/file/d/1yWq9VA17bviusA1-gmEWYWL7w6FHKyMI/view?usp=drivesdk" TargetMode="External"/><Relationship Id="rId245" Type="http://schemas.openxmlformats.org/officeDocument/2006/relationships/hyperlink" Target="https://drive.google.com/file/d/18vVvJw5Qn9GaYfqwRHjMPOAAO8-20yq0/view?usp=drivesdk" TargetMode="External"/><Relationship Id="rId1078" Type="http://schemas.openxmlformats.org/officeDocument/2006/relationships/hyperlink" Target="https://drive.google.com/file/d/1kCe7dne_GNfNSHLYlAzOzBcQn9yFuOr2/view?usp=drivesdk" TargetMode="External"/><Relationship Id="rId244" Type="http://schemas.openxmlformats.org/officeDocument/2006/relationships/hyperlink" Target="https://drive.google.com/file/d/1LZncKWBlcPAXx3IU4UaMX86KjCorRHG5/view?usp=drivesdk" TargetMode="External"/><Relationship Id="rId1079" Type="http://schemas.openxmlformats.org/officeDocument/2006/relationships/hyperlink" Target="https://drive.google.com/file/d/1wEFZG_VXnD2cJrOMtVKNCAqucbV5WQV9/view?usp=drivesdk" TargetMode="External"/><Relationship Id="rId243" Type="http://schemas.openxmlformats.org/officeDocument/2006/relationships/hyperlink" Target="https://drive.google.com/file/d/1Jok6c7VCZtMN99P6fMSmmpu_xIq7tlFM/view?usp=drivesdk" TargetMode="External"/><Relationship Id="rId239" Type="http://schemas.openxmlformats.org/officeDocument/2006/relationships/hyperlink" Target="https://drive.google.com/file/d/1Ub9aMSbMLpr7_xY9a6tFgBHIjkS6cEEc/view?usp=drivesdk" TargetMode="External"/><Relationship Id="rId238" Type="http://schemas.openxmlformats.org/officeDocument/2006/relationships/hyperlink" Target="https://drive.google.com/file/d/1MznUx20djDv833Gh3uafwFKxnaaVrj43/view?usp=drivesdk" TargetMode="External"/><Relationship Id="rId237" Type="http://schemas.openxmlformats.org/officeDocument/2006/relationships/hyperlink" Target="https://drive.google.com/file/d/1IPzqwdPEx_NXOVDavQ9NYYflBq4WLkLt/view?usp=drivesdk" TargetMode="External"/><Relationship Id="rId236" Type="http://schemas.openxmlformats.org/officeDocument/2006/relationships/hyperlink" Target="https://drive.google.com/file/d/1OpqaLRgNI4syrTw7eBdR8v4hNLVg06U9/view?usp=drivesdk" TargetMode="External"/><Relationship Id="rId1060" Type="http://schemas.openxmlformats.org/officeDocument/2006/relationships/hyperlink" Target="https://drive.google.com/file/d/1QqlfpnVgorDgEGsd9xjg9VdSz9ecCVY2/view?usp=drivesdk" TargetMode="External"/><Relationship Id="rId1061" Type="http://schemas.openxmlformats.org/officeDocument/2006/relationships/hyperlink" Target="https://drive.google.com/file/d/10yaA-7vTch8W8oJSHYpgVkbEg8z8BPSk/view?usp=drivesdk" TargetMode="External"/><Relationship Id="rId231" Type="http://schemas.openxmlformats.org/officeDocument/2006/relationships/hyperlink" Target="https://drive.google.com/file/d/1AFhk7r5ezmKOOZ_K8ckMu-sHI3HVYvci/view?usp=drivesdk" TargetMode="External"/><Relationship Id="rId1062" Type="http://schemas.openxmlformats.org/officeDocument/2006/relationships/hyperlink" Target="https://drive.google.com/file/d/1fMzA4P_bUgXzmkzRN_fCqo-PtYtnqv2j/view?usp=drivesdk" TargetMode="External"/><Relationship Id="rId230" Type="http://schemas.openxmlformats.org/officeDocument/2006/relationships/hyperlink" Target="https://drive.google.com/file/d/1KYY0LWmtoBuOHihcQ-uor2XUsRtL-7UW/view?usp=drivesdk" TargetMode="External"/><Relationship Id="rId1063" Type="http://schemas.openxmlformats.org/officeDocument/2006/relationships/hyperlink" Target="https://drive.google.com/file/d/1quS4MAYvEPtehwNPw-pIZVscM1NFoUOj/view?usp=drivesdk" TargetMode="External"/><Relationship Id="rId1064" Type="http://schemas.openxmlformats.org/officeDocument/2006/relationships/hyperlink" Target="https://drive.google.com/file/d/1-2z3-hJuh_EWL-Ayget2LVe3OiM0cWJb/view?usp=drivesdk" TargetMode="External"/><Relationship Id="rId1065" Type="http://schemas.openxmlformats.org/officeDocument/2006/relationships/hyperlink" Target="https://drive.google.com/file/d/1OhDDQNwvw1HPW_6EQklkNmTPpV2B15Ud/view?usp=drivesdk" TargetMode="External"/><Relationship Id="rId235" Type="http://schemas.openxmlformats.org/officeDocument/2006/relationships/hyperlink" Target="https://drive.google.com/file/d/1Agrc5GFq5Frv7sOGcovaD1BKY9sfO17p/view?usp=drivesdk" TargetMode="External"/><Relationship Id="rId1066" Type="http://schemas.openxmlformats.org/officeDocument/2006/relationships/hyperlink" Target="https://drive.google.com/file/d/1WyB_fPDsqRLw_BnSdCM6uoyFG1SH2iMA/view?usp=drivesdk" TargetMode="External"/><Relationship Id="rId234" Type="http://schemas.openxmlformats.org/officeDocument/2006/relationships/hyperlink" Target="https://drive.google.com/file/d/1Xy_OOVFiRB0BOhg1wsYFC7rkj3Kf1u1I/view?usp=drivesdk" TargetMode="External"/><Relationship Id="rId1067" Type="http://schemas.openxmlformats.org/officeDocument/2006/relationships/hyperlink" Target="https://drive.google.com/file/d/1Y8W4Pu0XmqnQ5lA-X7ANKZNlSBzl4UGP/view?usp=drivesdk" TargetMode="External"/><Relationship Id="rId233" Type="http://schemas.openxmlformats.org/officeDocument/2006/relationships/hyperlink" Target="https://drive.google.com/file/d/1RG0izqQ_rBjPSpVhcEmKfUfrbnfpE1M0/view?usp=drivesdk" TargetMode="External"/><Relationship Id="rId1068" Type="http://schemas.openxmlformats.org/officeDocument/2006/relationships/hyperlink" Target="https://drive.google.com/file/d/1fLF2Mzhldev10C0y_NhzgQRy11WYOzxV/view?usp=drivesdk" TargetMode="External"/><Relationship Id="rId232" Type="http://schemas.openxmlformats.org/officeDocument/2006/relationships/hyperlink" Target="https://drive.google.com/file/d/1J2_ZhxXyuShXk0HW6vzzg72qC_6CkPl-/view?usp=drivesdk" TargetMode="External"/><Relationship Id="rId1069" Type="http://schemas.openxmlformats.org/officeDocument/2006/relationships/hyperlink" Target="https://drive.google.com/file/d/16TMWmx3oUBzr8RckTX2nq_oNoNlOcVY5/view?usp=drivesdk" TargetMode="External"/><Relationship Id="rId1015" Type="http://schemas.openxmlformats.org/officeDocument/2006/relationships/hyperlink" Target="https://drive.google.com/file/d/1J0gXacFjwTY8lqoRS7-Ly_0MayhAFMtY/view?usp=drivesdk" TargetMode="External"/><Relationship Id="rId1016" Type="http://schemas.openxmlformats.org/officeDocument/2006/relationships/hyperlink" Target="https://drive.google.com/file/d/1hgaLy7Pk7l8_uT0qzsdgGRA4OH5u_0hL/view?usp=drivesdk" TargetMode="External"/><Relationship Id="rId1017" Type="http://schemas.openxmlformats.org/officeDocument/2006/relationships/hyperlink" Target="https://drive.google.com/file/d/1VCKoEhCkZgWeNPsAklTrHzvyEtDe0UpM/view?usp=drivesdk" TargetMode="External"/><Relationship Id="rId1018" Type="http://schemas.openxmlformats.org/officeDocument/2006/relationships/hyperlink" Target="https://drive.google.com/file/d/1epyBwvNQIzhoIzncHzNCghI35bEcM7FS/view?usp=drivesdk" TargetMode="External"/><Relationship Id="rId1019" Type="http://schemas.openxmlformats.org/officeDocument/2006/relationships/hyperlink" Target="https://drive.google.com/file/d/1P9xYCgkA2aZzeFeWwFu2vsHTC7Pzw-Oa/view?usp=drivesdk" TargetMode="External"/><Relationship Id="rId668" Type="http://schemas.openxmlformats.org/officeDocument/2006/relationships/hyperlink" Target="https://drive.google.com/file/d/1TVEae0arGcjXygxgVD8laFAM0LcnW7EM/view?usp=drivesdk" TargetMode="External"/><Relationship Id="rId667" Type="http://schemas.openxmlformats.org/officeDocument/2006/relationships/hyperlink" Target="https://drive.google.com/file/d/1Z9cXGn_9cINuuX5drvoG0YLH4tFIjcZ7/view?usp=drivesdk" TargetMode="External"/><Relationship Id="rId666" Type="http://schemas.openxmlformats.org/officeDocument/2006/relationships/hyperlink" Target="https://drive.google.com/file/d/1mJVZEGRuGEHvjJLpaIkoRcJuDNXnANgI/view?usp=drivesdk" TargetMode="External"/><Relationship Id="rId665" Type="http://schemas.openxmlformats.org/officeDocument/2006/relationships/hyperlink" Target="https://drive.google.com/file/d/14jCdpBA20GeEpZdlt1OEEDrVjc2kp6h7/view?usp=drivesdk" TargetMode="External"/><Relationship Id="rId669" Type="http://schemas.openxmlformats.org/officeDocument/2006/relationships/hyperlink" Target="https://drive.google.com/file/d/1VcKqsyqYAl_exqLf4Zk_sKFNXaU3WlBH/view?usp=drivesdk" TargetMode="External"/><Relationship Id="rId660" Type="http://schemas.openxmlformats.org/officeDocument/2006/relationships/hyperlink" Target="https://drive.google.com/file/d/1UEfsbEURhIs10uMTifQAssGeEJtFUKKx/view?usp=drivesdk" TargetMode="External"/><Relationship Id="rId1010" Type="http://schemas.openxmlformats.org/officeDocument/2006/relationships/hyperlink" Target="https://drive.google.com/file/d/1JoVItYnEA8vA70xzVLnQEC3dgxMW-0on/view?usp=drivesdk" TargetMode="External"/><Relationship Id="rId664" Type="http://schemas.openxmlformats.org/officeDocument/2006/relationships/hyperlink" Target="https://drive.google.com/file/d/1rGqHLpg3OEGQnWLvlAEJr7JSMWJ2p-Ar/view?usp=drivesdk" TargetMode="External"/><Relationship Id="rId1011" Type="http://schemas.openxmlformats.org/officeDocument/2006/relationships/hyperlink" Target="https://drive.google.com/file/d/15btD8-1-iJ6kKY4YOnmEB99Ty5jn30uV/view?usp=drivesdk" TargetMode="External"/><Relationship Id="rId663" Type="http://schemas.openxmlformats.org/officeDocument/2006/relationships/hyperlink" Target="https://drive.google.com/file/d/1oIyrc3DheYw0taiflzQv_d41jqNrRjmb/view?usp=drivesdk" TargetMode="External"/><Relationship Id="rId1012" Type="http://schemas.openxmlformats.org/officeDocument/2006/relationships/hyperlink" Target="https://drive.google.com/file/d/1nhF9YyHcpfCFAHZNSHYOdrHjNY6W4OdA/view?usp=drivesdk" TargetMode="External"/><Relationship Id="rId662" Type="http://schemas.openxmlformats.org/officeDocument/2006/relationships/hyperlink" Target="https://drive.google.com/file/d/1jpKVfN7bQV2qYmB0hMMFd61i7NfLKBWv/view?usp=drivesdk" TargetMode="External"/><Relationship Id="rId1013" Type="http://schemas.openxmlformats.org/officeDocument/2006/relationships/hyperlink" Target="https://drive.google.com/file/d/1ATJxg7zUvA3Wg_XCJFG6phaq9LgMmPHW/view?usp=drivesdk" TargetMode="External"/><Relationship Id="rId661" Type="http://schemas.openxmlformats.org/officeDocument/2006/relationships/hyperlink" Target="https://drive.google.com/file/d/1St2O5UfYoWXX1n7crfXuAdRXy1k6nYoo/view?usp=drivesdk" TargetMode="External"/><Relationship Id="rId1014" Type="http://schemas.openxmlformats.org/officeDocument/2006/relationships/hyperlink" Target="https://drive.google.com/file/d/1CNUuCil5aZVO_tdA1GgelrRiq8I7q6J4/view?usp=drivesdk" TargetMode="External"/><Relationship Id="rId1004" Type="http://schemas.openxmlformats.org/officeDocument/2006/relationships/hyperlink" Target="https://drive.google.com/file/d/1X5Fe2As7h--ByO5qoa79Jna-iqMIag53/view?usp=drivesdk" TargetMode="External"/><Relationship Id="rId1005" Type="http://schemas.openxmlformats.org/officeDocument/2006/relationships/hyperlink" Target="https://drive.google.com/file/d/1d70WNl03Y6R-FQ2zFUG_7JzLtb7KIhMn/view?usp=drivesdk" TargetMode="External"/><Relationship Id="rId1006" Type="http://schemas.openxmlformats.org/officeDocument/2006/relationships/hyperlink" Target="https://drive.google.com/file/d/1ZJao6drmlp_5iFzVLwLBVxZ7mZzQpGwX/view?usp=drivesdk" TargetMode="External"/><Relationship Id="rId1007" Type="http://schemas.openxmlformats.org/officeDocument/2006/relationships/hyperlink" Target="https://drive.google.com/file/d/1pCInedMgb6ub4Ncim1wJ4bHJ2ouwc85m/view?usp=drivesdk" TargetMode="External"/><Relationship Id="rId1008" Type="http://schemas.openxmlformats.org/officeDocument/2006/relationships/hyperlink" Target="https://drive.google.com/file/d/1tE6_KVQyfFVpIfIuz7dnWR1i8_me3TIT/view?usp=drivesdk" TargetMode="External"/><Relationship Id="rId1009" Type="http://schemas.openxmlformats.org/officeDocument/2006/relationships/hyperlink" Target="https://drive.google.com/file/d/1hlj_PiSmruASavYOS4OPpCrR4tKfol15/view?usp=drivesdk" TargetMode="External"/><Relationship Id="rId657" Type="http://schemas.openxmlformats.org/officeDocument/2006/relationships/hyperlink" Target="https://drive.google.com/file/d/1xrut3UwaTqtTgH6ZPERdwikqTF1K9Y3S/view?usp=drivesdk" TargetMode="External"/><Relationship Id="rId656" Type="http://schemas.openxmlformats.org/officeDocument/2006/relationships/hyperlink" Target="https://drive.google.com/file/d/1a1lUlk42gIQYcLhUt5t0G_RLi9u-460d/view?usp=drivesdk" TargetMode="External"/><Relationship Id="rId655" Type="http://schemas.openxmlformats.org/officeDocument/2006/relationships/hyperlink" Target="https://drive.google.com/file/d/1zxOGnn13MnFttT3gypM4oZgoIrIXa8ts/view?usp=drivesdk" TargetMode="External"/><Relationship Id="rId654" Type="http://schemas.openxmlformats.org/officeDocument/2006/relationships/hyperlink" Target="https://drive.google.com/file/d/1VKbr5pxUdj683_XHIlCKoFwz-29rSMXQ/view?usp=drivesdk" TargetMode="External"/><Relationship Id="rId659" Type="http://schemas.openxmlformats.org/officeDocument/2006/relationships/hyperlink" Target="https://drive.google.com/file/d/1cflioA5Qw5Sj6UkXFjuzZ2STJ0e1v6Gz/view?usp=drivesdk" TargetMode="External"/><Relationship Id="rId658" Type="http://schemas.openxmlformats.org/officeDocument/2006/relationships/hyperlink" Target="https://drive.google.com/file/d/1CSCUNAQZCt3s32RgzUwXe6pe5scvK0yY/view?usp=drivesdk" TargetMode="External"/><Relationship Id="rId653" Type="http://schemas.openxmlformats.org/officeDocument/2006/relationships/hyperlink" Target="https://drive.google.com/file/d/1lGZVI4TT62Hxc9KRIEpXgT3z3fk0_z2T/view?usp=drivesdk" TargetMode="External"/><Relationship Id="rId1000" Type="http://schemas.openxmlformats.org/officeDocument/2006/relationships/hyperlink" Target="https://drive.google.com/file/d/1lHQosDuo6gaE1kApTnMYX-PdVa7g5c2f/view?usp=drivesdk" TargetMode="External"/><Relationship Id="rId652" Type="http://schemas.openxmlformats.org/officeDocument/2006/relationships/hyperlink" Target="https://drive.google.com/file/d/1tdE0c4oVWthHVrM1fRU9Hx8d8vQz1-mn/view?usp=drivesdk" TargetMode="External"/><Relationship Id="rId1001" Type="http://schemas.openxmlformats.org/officeDocument/2006/relationships/hyperlink" Target="https://drive.google.com/file/d/149vWpYz3xUBwjR-0Vi63Qa-y5jEghDmg/view?usp=drivesdk" TargetMode="External"/><Relationship Id="rId651" Type="http://schemas.openxmlformats.org/officeDocument/2006/relationships/hyperlink" Target="https://drive.google.com/file/d/1JLBmwX7nNKGn-P26gO4q3MKf3Xxhf5mp/view?usp=drivesdk" TargetMode="External"/><Relationship Id="rId1002" Type="http://schemas.openxmlformats.org/officeDocument/2006/relationships/hyperlink" Target="https://drive.google.com/file/d/1ufFlEetCWZtYqMqTTptc07s2XdkD4E4c/view?usp=drivesdk" TargetMode="External"/><Relationship Id="rId650" Type="http://schemas.openxmlformats.org/officeDocument/2006/relationships/hyperlink" Target="https://drive.google.com/file/d/18ZfYG32M-GTcG_ryoJ1HvEC9C-_ti4fk/view?usp=drivesdk" TargetMode="External"/><Relationship Id="rId1003" Type="http://schemas.openxmlformats.org/officeDocument/2006/relationships/hyperlink" Target="https://drive.google.com/file/d/1MpP2-43GqkWDRpuwJ-apCbzIk2GwSMn_/view?usp=drivesdk" TargetMode="External"/><Relationship Id="rId1037" Type="http://schemas.openxmlformats.org/officeDocument/2006/relationships/hyperlink" Target="https://drive.google.com/file/d/18dLuHsJaHfEuFpmJ9coLBrlcbxYHVgpG/view?usp=drivesdk" TargetMode="External"/><Relationship Id="rId1038" Type="http://schemas.openxmlformats.org/officeDocument/2006/relationships/hyperlink" Target="https://drive.google.com/file/d/1nanNymgjGLBTTIftwQHD0CPkPgFLXjko/view?usp=drivesdk" TargetMode="External"/><Relationship Id="rId1039" Type="http://schemas.openxmlformats.org/officeDocument/2006/relationships/hyperlink" Target="https://drive.google.com/file/d/1b6PUvKuNu674etG4K94ZBLDQXEuYuOgp/view?usp=drivesdk" TargetMode="External"/><Relationship Id="rId206" Type="http://schemas.openxmlformats.org/officeDocument/2006/relationships/hyperlink" Target="https://drive.google.com/file/d/1YQ1rwTK8fHHydlCOqvw62rr4BQnhJ7v4/view?usp=drivesdk" TargetMode="External"/><Relationship Id="rId205" Type="http://schemas.openxmlformats.org/officeDocument/2006/relationships/hyperlink" Target="https://drive.google.com/file/d/1E1qWlBKhonhY_3BaxJAyBmY0k-t23HiD/view?usp=drivesdk" TargetMode="External"/><Relationship Id="rId689" Type="http://schemas.openxmlformats.org/officeDocument/2006/relationships/hyperlink" Target="https://drive.google.com/file/d/1kwCznuTuMe4F8uergcBMCOeb45jEuXTr/view?usp=drivesdk" TargetMode="External"/><Relationship Id="rId204" Type="http://schemas.openxmlformats.org/officeDocument/2006/relationships/hyperlink" Target="https://drive.google.com/file/d/1D4Mi_2OBXIENWNgS-WkOzAsIz9d6XBcv/view?usp=drivesdk" TargetMode="External"/><Relationship Id="rId688" Type="http://schemas.openxmlformats.org/officeDocument/2006/relationships/hyperlink" Target="https://drive.google.com/file/d/1aw1deRdv2_brwSW2ZZ7DG8T0vbU0PYNX/view?usp=drivesdk" TargetMode="External"/><Relationship Id="rId203" Type="http://schemas.openxmlformats.org/officeDocument/2006/relationships/hyperlink" Target="https://drive.google.com/file/d/1UjbeLcg8Ef9iNN6OCfcfSjsOW-S8xlbA/view?usp=drivesdk" TargetMode="External"/><Relationship Id="rId687" Type="http://schemas.openxmlformats.org/officeDocument/2006/relationships/hyperlink" Target="https://drive.google.com/file/d/1gQEP5IJLffmqgeBD8cJqZD1njhiICXaO/view?usp=drivesdk" TargetMode="External"/><Relationship Id="rId209" Type="http://schemas.openxmlformats.org/officeDocument/2006/relationships/hyperlink" Target="https://drive.google.com/file/d/1U7jcEsjlgt0luv4Qd8Q7JmbBb7qRDTdD/view?usp=drivesdk" TargetMode="External"/><Relationship Id="rId208" Type="http://schemas.openxmlformats.org/officeDocument/2006/relationships/hyperlink" Target="https://drive.google.com/file/d/1pRBsytrBmWb0piV5bun6Rad2j51JyzSC/view?usp=drivesdk" TargetMode="External"/><Relationship Id="rId207" Type="http://schemas.openxmlformats.org/officeDocument/2006/relationships/hyperlink" Target="https://drive.google.com/file/d/16pg9MWE7EmtXDgvjDW9mExWkGIxt2MYX/view?usp=drivesdk" TargetMode="External"/><Relationship Id="rId682" Type="http://schemas.openxmlformats.org/officeDocument/2006/relationships/hyperlink" Target="https://drive.google.com/file/d/1twhY2w0ctG7Af9H6UOJm8wdSXyXO8TAo/view?usp=drivesdk" TargetMode="External"/><Relationship Id="rId681" Type="http://schemas.openxmlformats.org/officeDocument/2006/relationships/hyperlink" Target="https://drive.google.com/file/d/1QlUnrKvG2byRPDlFFsCbdysV_7ZkCkzf/view?usp=drivesdk" TargetMode="External"/><Relationship Id="rId1030" Type="http://schemas.openxmlformats.org/officeDocument/2006/relationships/hyperlink" Target="https://drive.google.com/file/d/1v5J8Cnv26X6sTt4VLBH9e2mvCWSnQGm4/view?usp=drivesdk" TargetMode="External"/><Relationship Id="rId680" Type="http://schemas.openxmlformats.org/officeDocument/2006/relationships/hyperlink" Target="https://drive.google.com/file/d/1_KweoGhNrt_00Umu1vsjHfibTm4z9cNE/view?usp=drivesdk" TargetMode="External"/><Relationship Id="rId1031" Type="http://schemas.openxmlformats.org/officeDocument/2006/relationships/hyperlink" Target="https://drive.google.com/file/d/1a3fJ6JRdrPHSo50DdCUrYLisEZcHfG31/view?usp=drivesdk" TargetMode="External"/><Relationship Id="rId1032" Type="http://schemas.openxmlformats.org/officeDocument/2006/relationships/hyperlink" Target="https://drive.google.com/file/d/1YxSLKvJhCAZvjLwh2Dxi3CO9YKNSkWkP/view?usp=drivesdk" TargetMode="External"/><Relationship Id="rId202" Type="http://schemas.openxmlformats.org/officeDocument/2006/relationships/hyperlink" Target="https://drive.google.com/file/d/1EOobtRYPjKeO9_gYW4bu-_TIpK_PjuLA/view?usp=drivesdk" TargetMode="External"/><Relationship Id="rId686" Type="http://schemas.openxmlformats.org/officeDocument/2006/relationships/hyperlink" Target="https://drive.google.com/file/d/12yIYc8a3z4MzJ_-PiAeu39d1ppwYynMI/view?usp=drivesdk" TargetMode="External"/><Relationship Id="rId1033" Type="http://schemas.openxmlformats.org/officeDocument/2006/relationships/hyperlink" Target="https://drive.google.com/file/d/13GWPRI4Xmytw-ass-yZ5q0c9b-PXmtD4/view?usp=drivesdk" TargetMode="External"/><Relationship Id="rId201" Type="http://schemas.openxmlformats.org/officeDocument/2006/relationships/hyperlink" Target="https://drive.google.com/file/d/1d65j0saCEIanzMI-38I3fhweWKRYSiw2/view?usp=drivesdk" TargetMode="External"/><Relationship Id="rId685" Type="http://schemas.openxmlformats.org/officeDocument/2006/relationships/hyperlink" Target="https://drive.google.com/file/d/1lOqUFhZvkowPd-Ne3aczCZ30vQ08jqm-/view?usp=drivesdk" TargetMode="External"/><Relationship Id="rId1034" Type="http://schemas.openxmlformats.org/officeDocument/2006/relationships/hyperlink" Target="https://drive.google.com/file/d/1e8g4jGrxeuAKV2niPFAdDVB88LKnVgdm/view?usp=drivesdk" TargetMode="External"/><Relationship Id="rId200" Type="http://schemas.openxmlformats.org/officeDocument/2006/relationships/hyperlink" Target="https://drive.google.com/file/d/1_aQd2fiFR2BFUHay2TJmZ6uXOfDFwlyI/view?usp=drivesdk" TargetMode="External"/><Relationship Id="rId684" Type="http://schemas.openxmlformats.org/officeDocument/2006/relationships/hyperlink" Target="https://drive.google.com/file/d/1jS6-wcsNs2BINT3z4pARWRtZLYGXCQno/view?usp=drivesdk" TargetMode="External"/><Relationship Id="rId1035" Type="http://schemas.openxmlformats.org/officeDocument/2006/relationships/hyperlink" Target="https://drive.google.com/file/d/15LBKsey4dgrPQTiibNv2Qi9TOTbc3lk1/view?usp=drivesdk" TargetMode="External"/><Relationship Id="rId683" Type="http://schemas.openxmlformats.org/officeDocument/2006/relationships/hyperlink" Target="https://drive.google.com/file/d/1ExZ7juOSUgumoSt5vCuDEvgISB_mT9vX/view?usp=drivesdk" TargetMode="External"/><Relationship Id="rId1036" Type="http://schemas.openxmlformats.org/officeDocument/2006/relationships/hyperlink" Target="https://drive.google.com/file/d/1qh6jn8CXzXmvxEifk6kq4pZRCYHNO1mu/view?usp=drivesdk" TargetMode="External"/><Relationship Id="rId1026" Type="http://schemas.openxmlformats.org/officeDocument/2006/relationships/hyperlink" Target="https://drive.google.com/file/d/1VYqvNkQuJmP378cGj71lJ4JV-clMH0Yv/view?usp=drivesdk" TargetMode="External"/><Relationship Id="rId1027" Type="http://schemas.openxmlformats.org/officeDocument/2006/relationships/hyperlink" Target="https://drive.google.com/file/d/1oYbk_RfphQEQTiM6p882mmwIrb7aGJDY/view?usp=drivesdk" TargetMode="External"/><Relationship Id="rId1028" Type="http://schemas.openxmlformats.org/officeDocument/2006/relationships/hyperlink" Target="https://drive.google.com/file/d/1GB5oPjHVuDXBTZ2__Had-zRIf9ZK4G7S/view?usp=drivesdk" TargetMode="External"/><Relationship Id="rId1029" Type="http://schemas.openxmlformats.org/officeDocument/2006/relationships/hyperlink" Target="https://drive.google.com/file/d/1W2aCwE3Z8jN-Xdqb3awaTWO-3SquFMRh/view?usp=drivesdk" TargetMode="External"/><Relationship Id="rId679" Type="http://schemas.openxmlformats.org/officeDocument/2006/relationships/hyperlink" Target="https://drive.google.com/file/d/1XAdHa8ntbQreOrtrubV-Qgfz8m_7szBt/view?usp=drivesdk" TargetMode="External"/><Relationship Id="rId678" Type="http://schemas.openxmlformats.org/officeDocument/2006/relationships/hyperlink" Target="https://drive.google.com/file/d/1gbKPV2rhuEZ5YY7sLWcOmdMsnKF1lOwO/view?usp=drivesdk" TargetMode="External"/><Relationship Id="rId677" Type="http://schemas.openxmlformats.org/officeDocument/2006/relationships/hyperlink" Target="https://drive.google.com/file/d/1AJ_9VVIBkWOhrIbyTF4e9U5GJriLhVYy/view?usp=drivesdk" TargetMode="External"/><Relationship Id="rId676" Type="http://schemas.openxmlformats.org/officeDocument/2006/relationships/hyperlink" Target="https://drive.google.com/file/d/1MlLDH_QC-oyJlNsYjSNEwCrfC2Y9mK6Y/view?usp=drivesdk" TargetMode="External"/><Relationship Id="rId671" Type="http://schemas.openxmlformats.org/officeDocument/2006/relationships/hyperlink" Target="https://drive.google.com/file/d/1Z8QqX6BeYJ31sKxIZKBNg1LwDY6t3snO/view?usp=drivesdk" TargetMode="External"/><Relationship Id="rId670" Type="http://schemas.openxmlformats.org/officeDocument/2006/relationships/hyperlink" Target="https://drive.google.com/file/d/1_Q49N573VFAV_0WagG-Wq7CeefQWtosH/view?usp=drivesdk" TargetMode="External"/><Relationship Id="rId1020" Type="http://schemas.openxmlformats.org/officeDocument/2006/relationships/hyperlink" Target="https://drive.google.com/file/d/1ZRJcq-rd4pEQb0DmJ1HQenA2-OH5dbEb/view?usp=drivesdk" TargetMode="External"/><Relationship Id="rId1021" Type="http://schemas.openxmlformats.org/officeDocument/2006/relationships/hyperlink" Target="https://drive.google.com/file/d/1c-T-gBsf13rctIADi3rUqpv_LDEac7l1/view?usp=drivesdk" TargetMode="External"/><Relationship Id="rId675" Type="http://schemas.openxmlformats.org/officeDocument/2006/relationships/hyperlink" Target="https://drive.google.com/file/d/13a9vBHGI6SG76QMpDyvnIcBH20qNsto2/view?usp=drivesdk" TargetMode="External"/><Relationship Id="rId1022" Type="http://schemas.openxmlformats.org/officeDocument/2006/relationships/hyperlink" Target="https://drive.google.com/file/d/1hMU234raFGJtbZQ16uhu9mUFuosskYBK/view?usp=drivesdk" TargetMode="External"/><Relationship Id="rId674" Type="http://schemas.openxmlformats.org/officeDocument/2006/relationships/hyperlink" Target="https://drive.google.com/file/d/1dAqnDNRhaQ6sjRhO40O2fp3yaLbqJIli/view?usp=drivesdk" TargetMode="External"/><Relationship Id="rId1023" Type="http://schemas.openxmlformats.org/officeDocument/2006/relationships/hyperlink" Target="https://drive.google.com/file/d/1dcM9NQdz9QH53PQ7hkiNVOhT5nBAY9Vn/view?usp=drivesdk" TargetMode="External"/><Relationship Id="rId673" Type="http://schemas.openxmlformats.org/officeDocument/2006/relationships/hyperlink" Target="https://drive.google.com/file/d/1MOD_LiszrqtrS8ADK6fAq6j9ju8s4Owd/view?usp=drivesdk" TargetMode="External"/><Relationship Id="rId1024" Type="http://schemas.openxmlformats.org/officeDocument/2006/relationships/hyperlink" Target="https://drive.google.com/file/d/1eY8ustezkGTBEFCvn47T4iFMNEc9SoCR/view?usp=drivesdk" TargetMode="External"/><Relationship Id="rId672" Type="http://schemas.openxmlformats.org/officeDocument/2006/relationships/hyperlink" Target="https://drive.google.com/file/d/1XTFfWFGSOorXaSHUTepn_NywZP0WRrna/view?usp=drivesdk" TargetMode="External"/><Relationship Id="rId1025" Type="http://schemas.openxmlformats.org/officeDocument/2006/relationships/hyperlink" Target="https://drive.google.com/file/d/16mzj15ffaodG7p7OkXeRFIl06zUe0OUG/view?usp=drivesdk" TargetMode="External"/><Relationship Id="rId190" Type="http://schemas.openxmlformats.org/officeDocument/2006/relationships/hyperlink" Target="https://drive.google.com/file/d/1YtaLiYfK1m9H_UEhXEMBosj1mg_EXC73/view?usp=drivesdk" TargetMode="External"/><Relationship Id="rId194" Type="http://schemas.openxmlformats.org/officeDocument/2006/relationships/hyperlink" Target="https://drive.google.com/file/d/1MhWCR6IKjGFJF9T8GMSxBcbSJPBNMYrA/view?usp=drivesdk" TargetMode="External"/><Relationship Id="rId193" Type="http://schemas.openxmlformats.org/officeDocument/2006/relationships/hyperlink" Target="https://drive.google.com/file/d/17z_2upjofelI2OBtJbJp1UqmJ0j-f13C/view?usp=drivesdk" TargetMode="External"/><Relationship Id="rId192" Type="http://schemas.openxmlformats.org/officeDocument/2006/relationships/hyperlink" Target="https://drive.google.com/file/d/18oqZDGEq6caeP-NGNtFHInOSTwPiA0Ie/view?usp=drivesdk" TargetMode="External"/><Relationship Id="rId191" Type="http://schemas.openxmlformats.org/officeDocument/2006/relationships/hyperlink" Target="https://drive.google.com/file/d/10wZFu_n_OFKyepb7qeNIdy0suTAbVMCP/view?usp=drivesdk" TargetMode="External"/><Relationship Id="rId187" Type="http://schemas.openxmlformats.org/officeDocument/2006/relationships/hyperlink" Target="https://drive.google.com/file/d/16d2ldquzreLFuakSzFz58RVXbtteI_5K/view?usp=drivesdk" TargetMode="External"/><Relationship Id="rId186" Type="http://schemas.openxmlformats.org/officeDocument/2006/relationships/hyperlink" Target="https://drive.google.com/file/d/10CsTyC4ydL8U4rO51qz2YrX7o2g2Kqnr/view?usp=drivesdk" TargetMode="External"/><Relationship Id="rId185" Type="http://schemas.openxmlformats.org/officeDocument/2006/relationships/hyperlink" Target="https://drive.google.com/file/d/1CScbuvTVZqO_yy9IG-SnLk08RYpIGsAI/view?usp=drivesdk" TargetMode="External"/><Relationship Id="rId184" Type="http://schemas.openxmlformats.org/officeDocument/2006/relationships/hyperlink" Target="https://drive.google.com/file/d/1mE8qdVgu7-5CuiGl4hkR4oOcSO_6ViAH/view?usp=drivesdk" TargetMode="External"/><Relationship Id="rId189" Type="http://schemas.openxmlformats.org/officeDocument/2006/relationships/hyperlink" Target="https://drive.google.com/file/d/1P7wlov__UmjWQsVtemyTGgOjNFpWrGLT/view?usp=drivesdk" TargetMode="External"/><Relationship Id="rId188" Type="http://schemas.openxmlformats.org/officeDocument/2006/relationships/hyperlink" Target="https://drive.google.com/file/d/1ro_fyV-wZWsB4ZKhbZrotX3oDn-r2-xT/view?usp=drivesdk" TargetMode="External"/><Relationship Id="rId183" Type="http://schemas.openxmlformats.org/officeDocument/2006/relationships/hyperlink" Target="https://drive.google.com/file/d/1K0udcraFcCX8OApcH6A6jlQOyYBta1Y0/view?usp=drivesdk" TargetMode="External"/><Relationship Id="rId182" Type="http://schemas.openxmlformats.org/officeDocument/2006/relationships/hyperlink" Target="https://drive.google.com/file/d/1OYdLeDrhGvfEQhgtmuKBjOHZCr1fXMHM/view?usp=drivesdk" TargetMode="External"/><Relationship Id="rId181" Type="http://schemas.openxmlformats.org/officeDocument/2006/relationships/hyperlink" Target="https://drive.google.com/file/d/1SJEY-x4wa_wDRqvN70ZyfGEV1oV8EsNy/view?usp=drivesdk" TargetMode="External"/><Relationship Id="rId180" Type="http://schemas.openxmlformats.org/officeDocument/2006/relationships/hyperlink" Target="https://drive.google.com/file/d/1QKNLq74KH1Q68hjyhxCeyjSmCHkUJXwb/view?usp=drivesdk" TargetMode="External"/><Relationship Id="rId176" Type="http://schemas.openxmlformats.org/officeDocument/2006/relationships/hyperlink" Target="https://drive.google.com/file/d/1-k-r-v5_nRx62ESkr8l1LXmJ__KwJw-E/view?usp=drivesdk" TargetMode="External"/><Relationship Id="rId175" Type="http://schemas.openxmlformats.org/officeDocument/2006/relationships/hyperlink" Target="https://drive.google.com/file/d/1wHAtjOgCu-cvH6R6z6Dncg0MyDPv9DBr/view?usp=drivesdk" TargetMode="External"/><Relationship Id="rId174" Type="http://schemas.openxmlformats.org/officeDocument/2006/relationships/hyperlink" Target="https://drive.google.com/file/d/1LfQ73kQWPV7KpOSIJxFvAF1LaP-iQAW_/view?usp=drivesdk" TargetMode="External"/><Relationship Id="rId173" Type="http://schemas.openxmlformats.org/officeDocument/2006/relationships/hyperlink" Target="https://drive.google.com/file/d/1p0fL8mIok72waO4C-1fbLD8yHvBp2mr3/view?usp=drivesdk" TargetMode="External"/><Relationship Id="rId179" Type="http://schemas.openxmlformats.org/officeDocument/2006/relationships/hyperlink" Target="https://drive.google.com/file/d/1Hbaj4soNoRer2LexyrCcG27zgcEO-WRP/view?usp=drivesdk" TargetMode="External"/><Relationship Id="rId178" Type="http://schemas.openxmlformats.org/officeDocument/2006/relationships/hyperlink" Target="https://drive.google.com/file/d/1e7uwhmg4WfBHboBpLfEjOvwaRDuWE6yP/view?usp=drivesdk" TargetMode="External"/><Relationship Id="rId177" Type="http://schemas.openxmlformats.org/officeDocument/2006/relationships/hyperlink" Target="https://drive.google.com/file/d/18lTtr2PaagFl9Dx2Fj1CQX4Y5tFnS3-G/view?usp=drivesdk" TargetMode="External"/><Relationship Id="rId198" Type="http://schemas.openxmlformats.org/officeDocument/2006/relationships/hyperlink" Target="https://drive.google.com/file/d/1K2zHMlHPam78S5DkPpEMV2Ne6_sMuV0c/view?usp=drivesdk" TargetMode="External"/><Relationship Id="rId197" Type="http://schemas.openxmlformats.org/officeDocument/2006/relationships/hyperlink" Target="https://drive.google.com/file/d/1Wz8QT5hG7UNmKNIGagdQfvGJIGaLqvL7/view?usp=drivesdk" TargetMode="External"/><Relationship Id="rId196" Type="http://schemas.openxmlformats.org/officeDocument/2006/relationships/hyperlink" Target="https://drive.google.com/file/d/1BqL8Nw6PSYuS16ysmE6vXi0eI09OG5ne/view?usp=drivesdk" TargetMode="External"/><Relationship Id="rId195" Type="http://schemas.openxmlformats.org/officeDocument/2006/relationships/hyperlink" Target="https://drive.google.com/file/d/1xUH4wxkipPc8Kas_WlJgtBKgVF5A6I4J/view?usp=drivesdk" TargetMode="External"/><Relationship Id="rId199" Type="http://schemas.openxmlformats.org/officeDocument/2006/relationships/hyperlink" Target="https://drive.google.com/file/d/1YuPgvt-CwvvxVNuYav3yg8PfIXNdgR1B/view?usp=drivesdk" TargetMode="External"/><Relationship Id="rId150" Type="http://schemas.openxmlformats.org/officeDocument/2006/relationships/hyperlink" Target="https://drive.google.com/file/d/1APlORHjSwb-bhoXwhpdGctd6Hy0cBtQl/view?usp=drivesdk" TargetMode="External"/><Relationship Id="rId149" Type="http://schemas.openxmlformats.org/officeDocument/2006/relationships/hyperlink" Target="https://drive.google.com/file/d/1nnmgia3uJKc7mfbdkQNU6C-nw2g3lEAL/view?usp=drivesdk" TargetMode="External"/><Relationship Id="rId148" Type="http://schemas.openxmlformats.org/officeDocument/2006/relationships/hyperlink" Target="https://drive.google.com/file/d/1bZo9sK3oQZIn6_x7FGe4vmyadV7Ugf53/view?usp=drivesdk" TargetMode="External"/><Relationship Id="rId1090" Type="http://schemas.openxmlformats.org/officeDocument/2006/relationships/hyperlink" Target="https://drive.google.com/file/d/1IgwbpOWDDLlv9t0P-r2yZY_l_ViqGTuz/view?usp=drivesdk" TargetMode="External"/><Relationship Id="rId1091" Type="http://schemas.openxmlformats.org/officeDocument/2006/relationships/hyperlink" Target="https://drive.google.com/file/d/1zRO2wTJdLmK-BV5hxThrZO8prUdJXbH2/view?usp=drivesdk" TargetMode="External"/><Relationship Id="rId1092" Type="http://schemas.openxmlformats.org/officeDocument/2006/relationships/hyperlink" Target="https://drive.google.com/file/d/10OETr0_zUz7Gqw39YL9lnq--3C3qavy8/view?usp=drivesdk" TargetMode="External"/><Relationship Id="rId1093" Type="http://schemas.openxmlformats.org/officeDocument/2006/relationships/hyperlink" Target="https://drive.google.com/file/d/1UjvynnYEPZHicucFMnLs5zd6tciLP1ET/view?usp=drivesdk" TargetMode="External"/><Relationship Id="rId1094" Type="http://schemas.openxmlformats.org/officeDocument/2006/relationships/hyperlink" Target="https://drive.google.com/file/d/11Av49SlCGKMhtLvS_jk4226riFKcyhNh/view?usp=drivesdk" TargetMode="External"/><Relationship Id="rId143" Type="http://schemas.openxmlformats.org/officeDocument/2006/relationships/hyperlink" Target="https://drive.google.com/file/d/1XpoHLIFPByKVACocvJ5YoFhf9uIA2q64/view?usp=drivesdk" TargetMode="External"/><Relationship Id="rId1095" Type="http://schemas.openxmlformats.org/officeDocument/2006/relationships/hyperlink" Target="https://drive.google.com/file/d/1ME3HHgt9JawJ4TVDM4mgrdiRZZn5ZkQD/view?usp=drivesdk" TargetMode="External"/><Relationship Id="rId142" Type="http://schemas.openxmlformats.org/officeDocument/2006/relationships/hyperlink" Target="https://drive.google.com/file/d/1Tbc-6U14FAowy_tbbn23yQYCuYKOnK__/view?usp=drivesdk" TargetMode="External"/><Relationship Id="rId1096" Type="http://schemas.openxmlformats.org/officeDocument/2006/relationships/hyperlink" Target="https://drive.google.com/file/d/1Q984rmQXqbwrrnMY-wB5jcpYKEpb-2Qg/view?usp=drivesdk" TargetMode="External"/><Relationship Id="rId141" Type="http://schemas.openxmlformats.org/officeDocument/2006/relationships/hyperlink" Target="https://drive.google.com/file/d/1iYrVTffpOwEYVdc_R8x7R48IOknFPGII/view?usp=drivesdk" TargetMode="External"/><Relationship Id="rId1097" Type="http://schemas.openxmlformats.org/officeDocument/2006/relationships/hyperlink" Target="https://drive.google.com/file/d/1J8w4F7K8nMU3UgmMPI03K3U93q1EwCEJ/view?usp=drivesdk" TargetMode="External"/><Relationship Id="rId140" Type="http://schemas.openxmlformats.org/officeDocument/2006/relationships/hyperlink" Target="https://drive.google.com/file/d/1qGLg9x70NBJmtWHEo9VL0BQ3bhmLEW4u/view?usp=drivesdk" TargetMode="External"/><Relationship Id="rId1098" Type="http://schemas.openxmlformats.org/officeDocument/2006/relationships/hyperlink" Target="https://drive.google.com/file/d/1rj178it8sQtHMyNzyb90GXfEk1Hk5YnN/view?usp=drivesdk" TargetMode="External"/><Relationship Id="rId147" Type="http://schemas.openxmlformats.org/officeDocument/2006/relationships/hyperlink" Target="https://drive.google.com/file/d/1a2ZFACxecXhPcNg3kD_X6MTEHKfKYaHV/view?usp=drivesdk" TargetMode="External"/><Relationship Id="rId1099" Type="http://schemas.openxmlformats.org/officeDocument/2006/relationships/hyperlink" Target="https://drive.google.com/file/d/1m8vBfiQkH8P0FaPXXK5PHkJH8yYhq1Sh/view?usp=drivesdk" TargetMode="External"/><Relationship Id="rId146" Type="http://schemas.openxmlformats.org/officeDocument/2006/relationships/hyperlink" Target="https://drive.google.com/file/d/1MmRpDEBSX5A_XtK98PGGG25Fj8W30RM_/view?usp=drivesdk" TargetMode="External"/><Relationship Id="rId145" Type="http://schemas.openxmlformats.org/officeDocument/2006/relationships/hyperlink" Target="https://drive.google.com/file/d/10W0tSH0HQQFcBMuEUN5agngIbIIbyHX9/view?usp=drivesdk" TargetMode="External"/><Relationship Id="rId144" Type="http://schemas.openxmlformats.org/officeDocument/2006/relationships/hyperlink" Target="https://drive.google.com/file/d/1Aey1pYLXIu5MxmVVkhJFKWZH205p2S8r/view?usp=drivesdk" TargetMode="External"/><Relationship Id="rId139" Type="http://schemas.openxmlformats.org/officeDocument/2006/relationships/hyperlink" Target="https://drive.google.com/file/d/1ib5kLo84evfYuXer8uGAcr-d89wsQzfg/view?usp=drivesdk" TargetMode="External"/><Relationship Id="rId138" Type="http://schemas.openxmlformats.org/officeDocument/2006/relationships/hyperlink" Target="https://drive.google.com/file/d/1FYnAE6ZVSAXu-_Vp5HcUF0KcHJCVyVxV/view?usp=drivesdk" TargetMode="External"/><Relationship Id="rId137" Type="http://schemas.openxmlformats.org/officeDocument/2006/relationships/hyperlink" Target="https://drive.google.com/file/d/1Nk5bFJSo0Kpn1lRyfOXRyXUcB5o-fwog/view?usp=drivesdk" TargetMode="External"/><Relationship Id="rId1080" Type="http://schemas.openxmlformats.org/officeDocument/2006/relationships/hyperlink" Target="https://drive.google.com/file/d/1NZ8v6491Ny_LbUh8osKtj88hF7RAiobW/view?usp=drivesdk" TargetMode="External"/><Relationship Id="rId1081" Type="http://schemas.openxmlformats.org/officeDocument/2006/relationships/hyperlink" Target="https://drive.google.com/file/d/1bo9aASmCjIsAeU5__CNxEyKU60JbH_Oz/view?usp=drivesdk" TargetMode="External"/><Relationship Id="rId1082" Type="http://schemas.openxmlformats.org/officeDocument/2006/relationships/hyperlink" Target="https://drive.google.com/file/d/1l_wx_FSiuvPt3DtbfXQuVLlkNpKxxEUQ/view?usp=drivesdk" TargetMode="External"/><Relationship Id="rId1083" Type="http://schemas.openxmlformats.org/officeDocument/2006/relationships/hyperlink" Target="https://drive.google.com/file/d/1UZf-WWxr567_733TRlppgx3RgvA55ffu/view?usp=drivesdk" TargetMode="External"/><Relationship Id="rId132" Type="http://schemas.openxmlformats.org/officeDocument/2006/relationships/hyperlink" Target="https://drive.google.com/file/d/1-KoA4w0UmKX-zBQBzGFrHdbnVeCwLedE/view?usp=drivesdk" TargetMode="External"/><Relationship Id="rId1084" Type="http://schemas.openxmlformats.org/officeDocument/2006/relationships/hyperlink" Target="https://drive.google.com/file/d/1kSBFgzp6OROkewjCtlxP2vg6PFLhL9xO/view?usp=drivesdk" TargetMode="External"/><Relationship Id="rId131" Type="http://schemas.openxmlformats.org/officeDocument/2006/relationships/hyperlink" Target="https://drive.google.com/file/d/1jGrR9pobMos836wHFPkA3w5cxog8Wlf8/view?usp=drivesdk" TargetMode="External"/><Relationship Id="rId1085" Type="http://schemas.openxmlformats.org/officeDocument/2006/relationships/hyperlink" Target="https://drive.google.com/file/d/1fUG2ettSKcRAWZvEYcWP5AQXnj7UBOUs/view?usp=drivesdk" TargetMode="External"/><Relationship Id="rId130" Type="http://schemas.openxmlformats.org/officeDocument/2006/relationships/hyperlink" Target="https://drive.google.com/file/d/1YRmjZgTo_v1L76nWsNrw9opAPNpUFd1K/view?usp=drivesdk" TargetMode="External"/><Relationship Id="rId1086" Type="http://schemas.openxmlformats.org/officeDocument/2006/relationships/hyperlink" Target="https://drive.google.com/file/d/14_zGf2VGJvPhKygjEvbM1ARE5XCCkEub/view?usp=drivesdk" TargetMode="External"/><Relationship Id="rId1087" Type="http://schemas.openxmlformats.org/officeDocument/2006/relationships/hyperlink" Target="https://drive.google.com/file/d/1OSEYoq50TRvyqkjozHLp1CtvXHG-6rLL/view?usp=drivesdk" TargetMode="External"/><Relationship Id="rId136" Type="http://schemas.openxmlformats.org/officeDocument/2006/relationships/hyperlink" Target="https://drive.google.com/file/d/1aXjsynaYAzsiAP_XnLW15jUFOcnTDxW2/view?usp=drivesdk" TargetMode="External"/><Relationship Id="rId1088" Type="http://schemas.openxmlformats.org/officeDocument/2006/relationships/hyperlink" Target="https://drive.google.com/file/d/133wAd9ADUXthw033LGhcEhvxSj0cXryx/view?usp=drivesdk" TargetMode="External"/><Relationship Id="rId135" Type="http://schemas.openxmlformats.org/officeDocument/2006/relationships/hyperlink" Target="https://drive.google.com/file/d/1hJA8QyeDp4Vm559mbO8DCZflU8Edzdja/view?usp=drivesdk" TargetMode="External"/><Relationship Id="rId1089" Type="http://schemas.openxmlformats.org/officeDocument/2006/relationships/hyperlink" Target="https://drive.google.com/file/d/1wMURwXZnZSgj-yjJ9sraJzrfcHDhvQ8j/view?usp=drivesdk" TargetMode="External"/><Relationship Id="rId134" Type="http://schemas.openxmlformats.org/officeDocument/2006/relationships/hyperlink" Target="https://drive.google.com/file/d/12THeIMZ2Ep8Asu-0MmFgX3d6VIB7qcC2/view?usp=drivesdk" TargetMode="External"/><Relationship Id="rId133" Type="http://schemas.openxmlformats.org/officeDocument/2006/relationships/hyperlink" Target="https://drive.google.com/file/d/1aPthYdh8kaoZELmxgMpN1wR6XnqiBcz-/view?usp=drivesdk" TargetMode="External"/><Relationship Id="rId172" Type="http://schemas.openxmlformats.org/officeDocument/2006/relationships/hyperlink" Target="https://drive.google.com/file/d/1X2kQvhIhMfV3I9kfQvqMKBJg7CY7B8IR/view?usp=drivesdk" TargetMode="External"/><Relationship Id="rId171" Type="http://schemas.openxmlformats.org/officeDocument/2006/relationships/hyperlink" Target="https://drive.google.com/file/d/1uBYDPVKKupHGmpRbPGmpO5zE11kyQ26l/view?usp=drivesdk" TargetMode="External"/><Relationship Id="rId170" Type="http://schemas.openxmlformats.org/officeDocument/2006/relationships/hyperlink" Target="https://drive.google.com/file/d/11Hg2Sukzbg5o6HDk3g_yQxPDnJtw-nua/view?usp=drivesdk" TargetMode="External"/><Relationship Id="rId165" Type="http://schemas.openxmlformats.org/officeDocument/2006/relationships/hyperlink" Target="https://drive.google.com/file/d/1mXZlzeA7ImaWHW-1-dp8XLcO6q1dPoDC/view?usp=drivesdk" TargetMode="External"/><Relationship Id="rId164" Type="http://schemas.openxmlformats.org/officeDocument/2006/relationships/hyperlink" Target="https://drive.google.com/file/d/1qjBC8rrE7PwCov9BjhlcqTser32l4tZA/view?usp=drivesdk" TargetMode="External"/><Relationship Id="rId163" Type="http://schemas.openxmlformats.org/officeDocument/2006/relationships/hyperlink" Target="https://drive.google.com/file/d/1sBNrDZpWPCVxuOMHZk6G4ve2uMzdW0GR/view?usp=drivesdk" TargetMode="External"/><Relationship Id="rId162" Type="http://schemas.openxmlformats.org/officeDocument/2006/relationships/hyperlink" Target="https://drive.google.com/file/d/1SH8bEWkApCXuWDb-OQ37ytGhPIgVUVKv/view?usp=drivesdk" TargetMode="External"/><Relationship Id="rId169" Type="http://schemas.openxmlformats.org/officeDocument/2006/relationships/hyperlink" Target="https://drive.google.com/file/d/1jA-l6wf88uMNXff3Yy2B20CKvW2xN9el/view?usp=drivesdk" TargetMode="External"/><Relationship Id="rId168" Type="http://schemas.openxmlformats.org/officeDocument/2006/relationships/hyperlink" Target="https://drive.google.com/file/d/17h6af7wzwkF4QRsTz2RzBpcXSmTayY4g/view?usp=drivesdk" TargetMode="External"/><Relationship Id="rId167" Type="http://schemas.openxmlformats.org/officeDocument/2006/relationships/hyperlink" Target="https://drive.google.com/file/d/1Drm8TiIplc2xWctkqkp7RXI61YfnBmqO/view?usp=drivesdk" TargetMode="External"/><Relationship Id="rId166" Type="http://schemas.openxmlformats.org/officeDocument/2006/relationships/hyperlink" Target="https://drive.google.com/file/d/1ZaI86uPaa7baLDKCDC8aFHiq1TG_6U8e/view?usp=drivesdk" TargetMode="External"/><Relationship Id="rId161" Type="http://schemas.openxmlformats.org/officeDocument/2006/relationships/hyperlink" Target="https://drive.google.com/file/d/14nYmC7FjK_8nc1vRJW0Zz61S13ZtNZZD/view?usp=drivesdk" TargetMode="External"/><Relationship Id="rId160" Type="http://schemas.openxmlformats.org/officeDocument/2006/relationships/hyperlink" Target="https://drive.google.com/file/d/173fkDD-W6UdkuvhpeNByBmtxeTw4Z_wK/view?usp=drivesdk" TargetMode="External"/><Relationship Id="rId159" Type="http://schemas.openxmlformats.org/officeDocument/2006/relationships/hyperlink" Target="https://drive.google.com/file/d/1p1B1qdpg970VZ83ou2sGpvyTI03ZIhi9/view?usp=drivesdk" TargetMode="External"/><Relationship Id="rId154" Type="http://schemas.openxmlformats.org/officeDocument/2006/relationships/hyperlink" Target="https://drive.google.com/file/d/12_ssoTgKCRSwPp56VgQV0Eu0DD6umUVP/view?usp=drivesdk" TargetMode="External"/><Relationship Id="rId153" Type="http://schemas.openxmlformats.org/officeDocument/2006/relationships/hyperlink" Target="https://drive.google.com/file/d/1GTSpxZmUQNl7xFyuBJKYxy6EvUX5oiQN/view?usp=drivesdk" TargetMode="External"/><Relationship Id="rId152" Type="http://schemas.openxmlformats.org/officeDocument/2006/relationships/hyperlink" Target="https://drive.google.com/file/d/1POfGb-02lpla3OAzJNCAQBlCPox099RI/view?usp=drivesdk" TargetMode="External"/><Relationship Id="rId151" Type="http://schemas.openxmlformats.org/officeDocument/2006/relationships/hyperlink" Target="https://drive.google.com/file/d/11QvRQEvz5Ns1Xj1UCdimwt1e6wyII5cd/view?usp=drivesdk" TargetMode="External"/><Relationship Id="rId158" Type="http://schemas.openxmlformats.org/officeDocument/2006/relationships/hyperlink" Target="https://drive.google.com/file/d/1H7zPg14rvgbrna3ifhQj_TWemnCGPZly/view?usp=drivesdk" TargetMode="External"/><Relationship Id="rId157" Type="http://schemas.openxmlformats.org/officeDocument/2006/relationships/hyperlink" Target="https://drive.google.com/file/d/1nHZZUyQQ7oIiU3i-UXsaWE_r0fYrfiS3/view?usp=drivesdk" TargetMode="External"/><Relationship Id="rId156" Type="http://schemas.openxmlformats.org/officeDocument/2006/relationships/hyperlink" Target="https://drive.google.com/file/d/1jHFMH7kFGC0px3IpBnI1CrqPkVp9LVmb/view?usp=drivesdk" TargetMode="External"/><Relationship Id="rId155" Type="http://schemas.openxmlformats.org/officeDocument/2006/relationships/hyperlink" Target="https://drive.google.com/file/d/1eEVHF0MbgmfXxnHFsigWacLc9zXFPqD-/view?usp=drivesdk" TargetMode="External"/><Relationship Id="rId509" Type="http://schemas.openxmlformats.org/officeDocument/2006/relationships/hyperlink" Target="https://drive.google.com/file/d/1ANwIdy7vvKbUuPS6VZrKvVbqw28M1etr/view?usp=drivesdk" TargetMode="External"/><Relationship Id="rId508" Type="http://schemas.openxmlformats.org/officeDocument/2006/relationships/hyperlink" Target="https://drive.google.com/file/d/1VVeqTkEjSzuu9KSkYUb2Q1_BeFG8ZFes/view?usp=drivesdk" TargetMode="External"/><Relationship Id="rId503" Type="http://schemas.openxmlformats.org/officeDocument/2006/relationships/hyperlink" Target="https://drive.google.com/file/d/1AkVoo6DTN5LfJVPCR5Qb6og7b_WTwQNJ/view?usp=drivesdk" TargetMode="External"/><Relationship Id="rId987" Type="http://schemas.openxmlformats.org/officeDocument/2006/relationships/hyperlink" Target="https://drive.google.com/file/d/17x3I7jUwdIldQm5GP-fj0zgsKCgIUoRP/view?usp=drivesdk" TargetMode="External"/><Relationship Id="rId502" Type="http://schemas.openxmlformats.org/officeDocument/2006/relationships/hyperlink" Target="https://drive.google.com/file/d/1hacB1-iy_tRTIgneV_Ee01qxYKx_hi62/view?usp=drivesdk" TargetMode="External"/><Relationship Id="rId986" Type="http://schemas.openxmlformats.org/officeDocument/2006/relationships/hyperlink" Target="https://drive.google.com/file/d/13EC3dwbwBg7gIijxdeeANvWmpAfQ8_ke/view?usp=drivesdk" TargetMode="External"/><Relationship Id="rId501" Type="http://schemas.openxmlformats.org/officeDocument/2006/relationships/hyperlink" Target="https://drive.google.com/file/d/1UoK9lGyVfG2aSVu9UX62d1KXmmkZeMsj/view?usp=drivesdk" TargetMode="External"/><Relationship Id="rId985" Type="http://schemas.openxmlformats.org/officeDocument/2006/relationships/hyperlink" Target="https://drive.google.com/file/d/18ZlWgEtYOKx4ampRaantI27kYPgBvB4J/view?usp=drivesdk" TargetMode="External"/><Relationship Id="rId500" Type="http://schemas.openxmlformats.org/officeDocument/2006/relationships/hyperlink" Target="https://drive.google.com/file/d/1VIxHSn4IKzp_dw4xNX6RMxFlMFrB02Na/view?usp=drivesdk" TargetMode="External"/><Relationship Id="rId984" Type="http://schemas.openxmlformats.org/officeDocument/2006/relationships/hyperlink" Target="https://drive.google.com/file/d/1KanaZYJkrnwi0ABQ2gUtWRMUjQnhMt0r/view?usp=drivesdk" TargetMode="External"/><Relationship Id="rId507" Type="http://schemas.openxmlformats.org/officeDocument/2006/relationships/hyperlink" Target="https://drive.google.com/file/d/1Dle9tBaQJnicGTbi-WNIWZLHBhpRMBFu/view?usp=drivesdk" TargetMode="External"/><Relationship Id="rId506" Type="http://schemas.openxmlformats.org/officeDocument/2006/relationships/hyperlink" Target="https://drive.google.com/file/d/1DMMXxQwzUbOxshIWiT8AwdGZ588_WZ8b/view?usp=drivesdk" TargetMode="External"/><Relationship Id="rId505" Type="http://schemas.openxmlformats.org/officeDocument/2006/relationships/hyperlink" Target="https://drive.google.com/file/d/1_lgC5OmIfmdyPUatcoMBb50JoLNHFpBH/view?usp=drivesdk" TargetMode="External"/><Relationship Id="rId989" Type="http://schemas.openxmlformats.org/officeDocument/2006/relationships/hyperlink" Target="https://drive.google.com/file/d/1Utyoxyv9ECefgrAbgSyFcs6rDsU9y5Il/view?usp=drivesdk" TargetMode="External"/><Relationship Id="rId504" Type="http://schemas.openxmlformats.org/officeDocument/2006/relationships/hyperlink" Target="https://drive.google.com/file/d/14qlQgDUVz3KRZQVXwZQMkCR0K1msJHmK/view?usp=drivesdk" TargetMode="External"/><Relationship Id="rId988" Type="http://schemas.openxmlformats.org/officeDocument/2006/relationships/hyperlink" Target="https://drive.google.com/file/d/1Oz7Zj6fZnvvCizj-IHEQF-K0o27fi6QN/view?usp=drivesdk" TargetMode="External"/><Relationship Id="rId983" Type="http://schemas.openxmlformats.org/officeDocument/2006/relationships/hyperlink" Target="https://drive.google.com/file/d/1Ql7nMbQXZeIyS5tduYv7gRTiVRXJB9Dk/view?usp=drivesdk" TargetMode="External"/><Relationship Id="rId982" Type="http://schemas.openxmlformats.org/officeDocument/2006/relationships/hyperlink" Target="https://drive.google.com/file/d/1-BRDJtnfY2i7YBG-IeupwHTxHic0hQnP/view?usp=drivesdk" TargetMode="External"/><Relationship Id="rId981" Type="http://schemas.openxmlformats.org/officeDocument/2006/relationships/hyperlink" Target="https://drive.google.com/file/d/1a_-X1vjB6N4-IwfcVsM4fHxFavXCK8pH/view?usp=drivesdk" TargetMode="External"/><Relationship Id="rId980" Type="http://schemas.openxmlformats.org/officeDocument/2006/relationships/hyperlink" Target="https://drive.google.com/file/d/1QWFGg5y_FwCsYU4iJVkw7s0HZoH7av3y/view?usp=drivesdk" TargetMode="External"/><Relationship Id="rId976" Type="http://schemas.openxmlformats.org/officeDocument/2006/relationships/hyperlink" Target="https://drive.google.com/file/d/1XS5wfGWzlv2PPriV2BVgHK4SFmjGbX42/view?usp=drivesdk" TargetMode="External"/><Relationship Id="rId975" Type="http://schemas.openxmlformats.org/officeDocument/2006/relationships/hyperlink" Target="https://drive.google.com/file/d/1P2ZRc1H4au4w3w2QAJxu34pqjtWGLDpL/view?usp=drivesdk" TargetMode="External"/><Relationship Id="rId974" Type="http://schemas.openxmlformats.org/officeDocument/2006/relationships/hyperlink" Target="https://drive.google.com/file/d/1JsZgwHseixf6_MIunQS7nOHW4DEUBedH/view?usp=drivesdk" TargetMode="External"/><Relationship Id="rId973" Type="http://schemas.openxmlformats.org/officeDocument/2006/relationships/hyperlink" Target="https://drive.google.com/file/d/1VohCyZYrYeQ8wnGKTyDD2fOk8y16yZw3/view?usp=drivesdk" TargetMode="External"/><Relationship Id="rId979" Type="http://schemas.openxmlformats.org/officeDocument/2006/relationships/hyperlink" Target="https://drive.google.com/file/d/1ITD043otUXSzSXwJBI77ZEGc7YfO0lXl/view?usp=drivesdk" TargetMode="External"/><Relationship Id="rId978" Type="http://schemas.openxmlformats.org/officeDocument/2006/relationships/hyperlink" Target="https://drive.google.com/file/d/1dyQ7iPpa5tauqQ87v1ICVpmTb96xwrHK/view?usp=drivesdk" TargetMode="External"/><Relationship Id="rId977" Type="http://schemas.openxmlformats.org/officeDocument/2006/relationships/hyperlink" Target="https://drive.google.com/file/d/1dU1UjhKXuYwEUy9G1SAQvFWoiujBUM-l/view?usp=drivesdk" TargetMode="External"/><Relationship Id="rId972" Type="http://schemas.openxmlformats.org/officeDocument/2006/relationships/hyperlink" Target="https://drive.google.com/file/d/1PSXxW5sDbq6DJDPgRuB0cHCWPVCyAVyA/view?usp=drivesdk" TargetMode="External"/><Relationship Id="rId971" Type="http://schemas.openxmlformats.org/officeDocument/2006/relationships/hyperlink" Target="https://drive.google.com/file/d/1r7kvTijUR6GbKZNulHgJsuNUmZB01Vqr/view?usp=drivesdk" TargetMode="External"/><Relationship Id="rId970" Type="http://schemas.openxmlformats.org/officeDocument/2006/relationships/hyperlink" Target="https://drive.google.com/file/d/12tiBV9g0PDIUv5jLNU3H9ESLvqe3_su6/view?usp=drivesdk" TargetMode="External"/><Relationship Id="rId1114" Type="http://schemas.openxmlformats.org/officeDocument/2006/relationships/hyperlink" Target="https://drive.google.com/file/d/1GD-j6BWPkB_b2ijNsy35CR0wHNMjHGjd/view?usp=drivesdk" TargetMode="External"/><Relationship Id="rId1115" Type="http://schemas.openxmlformats.org/officeDocument/2006/relationships/hyperlink" Target="https://drive.google.com/file/d/16SOoUfTCSMe7mtchsl8axpkAxtRIR28i/view?usp=drivesdk" TargetMode="External"/><Relationship Id="rId1116" Type="http://schemas.openxmlformats.org/officeDocument/2006/relationships/hyperlink" Target="https://drive.google.com/file/d/1RL5VVGCl7-geMqjebtJXb9Jl5WDZ_RPf/view?usp=drivesdk" TargetMode="External"/><Relationship Id="rId1117" Type="http://schemas.openxmlformats.org/officeDocument/2006/relationships/hyperlink" Target="https://drive.google.com/file/d/1uYsHOUBngS-ZXgqB8qnnVPTbdmiJOAye/view?usp=drivesdk" TargetMode="External"/><Relationship Id="rId1118" Type="http://schemas.openxmlformats.org/officeDocument/2006/relationships/hyperlink" Target="https://drive.google.com/file/d/1wDSdOj_hBlu6qxccU3OnehZB5-gYnYts/view?usp=drivesdk" TargetMode="External"/><Relationship Id="rId1119" Type="http://schemas.openxmlformats.org/officeDocument/2006/relationships/hyperlink" Target="https://drive.google.com/file/d/1PPc0RGpI6FyC2CFU35uCyQf2KFIp33Mf/view?usp=drivesdk" TargetMode="External"/><Relationship Id="rId525" Type="http://schemas.openxmlformats.org/officeDocument/2006/relationships/hyperlink" Target="https://drive.google.com/file/d/1s7Xp1h565EAKnPa_0Zp3RnS0qmb4t53a/view?usp=drivesdk" TargetMode="External"/><Relationship Id="rId524" Type="http://schemas.openxmlformats.org/officeDocument/2006/relationships/hyperlink" Target="https://drive.google.com/file/d/1lyco4NN8QUadLrLaxT4tk2Kth7hjO4p_/view?usp=drivesdk" TargetMode="External"/><Relationship Id="rId523" Type="http://schemas.openxmlformats.org/officeDocument/2006/relationships/hyperlink" Target="https://drive.google.com/file/d/1jZb-p-3Rc26saHcNX9fyKAs8ayXvLp_G/view?usp=drivesdk" TargetMode="External"/><Relationship Id="rId522" Type="http://schemas.openxmlformats.org/officeDocument/2006/relationships/hyperlink" Target="https://drive.google.com/file/d/1hiobo976wpKGT4ybTmzucLhLBTnypf_I/view?usp=drivesdk" TargetMode="External"/><Relationship Id="rId529" Type="http://schemas.openxmlformats.org/officeDocument/2006/relationships/hyperlink" Target="https://drive.google.com/file/d/1Fg206MUtjoN9d31kEAQ7bIDHvbUqwyGY/view?usp=drivesdk" TargetMode="External"/><Relationship Id="rId528" Type="http://schemas.openxmlformats.org/officeDocument/2006/relationships/hyperlink" Target="http://thekeep.eiu.edu/theses/5025" TargetMode="External"/><Relationship Id="rId527" Type="http://schemas.openxmlformats.org/officeDocument/2006/relationships/hyperlink" Target="https://drive.google.com/file/d/13W9ZIRuUntMYZ1V5eqz7utx5OSyGY3y3/view?usp=drivesdk" TargetMode="External"/><Relationship Id="rId526" Type="http://schemas.openxmlformats.org/officeDocument/2006/relationships/hyperlink" Target="http://thekeep.eiu.edu/theses/4783" TargetMode="External"/><Relationship Id="rId521" Type="http://schemas.openxmlformats.org/officeDocument/2006/relationships/hyperlink" Target="https://drive.google.com/file/d/1ricWbnnQ27T1O2HoAIXHZb1YA8sK8_s2/view?usp=drivesdk" TargetMode="External"/><Relationship Id="rId1110" Type="http://schemas.openxmlformats.org/officeDocument/2006/relationships/hyperlink" Target="https://drive.google.com/file/d/1URDsP-yMIFXhkBo8wS57RwLmccsk4Lvy/view?usp=drivesdk" TargetMode="External"/><Relationship Id="rId520" Type="http://schemas.openxmlformats.org/officeDocument/2006/relationships/hyperlink" Target="https://drive.google.com/file/d/1Kwdqeb9S0RNT_hHV1vR81MPGAjymnUQq/view?usp=drivesdk" TargetMode="External"/><Relationship Id="rId1111" Type="http://schemas.openxmlformats.org/officeDocument/2006/relationships/hyperlink" Target="https://drive.google.com/file/d/1awPCjIHvs8ahIhOincmP_HaNxC6Wg3ei/view?usp=drivesdk" TargetMode="External"/><Relationship Id="rId1112" Type="http://schemas.openxmlformats.org/officeDocument/2006/relationships/hyperlink" Target="https://drive.google.com/file/d/198F72VlE367b6ZajKTHUUDOA3GEGqCqo/view?usp=drivesdk" TargetMode="External"/><Relationship Id="rId1113" Type="http://schemas.openxmlformats.org/officeDocument/2006/relationships/hyperlink" Target="https://drive.google.com/file/d/1em7ODa60WMQRn6m4evBrT4Y8ooQ_qlB3/view?usp=drivesdk" TargetMode="External"/><Relationship Id="rId1103" Type="http://schemas.openxmlformats.org/officeDocument/2006/relationships/hyperlink" Target="https://drive.google.com/file/d/1aYbxZ4QpjA2HcnqHYKr1JxrRo6gAK21q/view?usp=drivesdk" TargetMode="External"/><Relationship Id="rId1104" Type="http://schemas.openxmlformats.org/officeDocument/2006/relationships/hyperlink" Target="https://drive.google.com/file/d/17HYZXEqbs5qMTOba8cEHhBhSIrnkFKeu/view?usp=drivesdk" TargetMode="External"/><Relationship Id="rId1105" Type="http://schemas.openxmlformats.org/officeDocument/2006/relationships/hyperlink" Target="https://drive.google.com/file/d/1yPKBulDUT2sA_EL4XHrVvgND1nEVQNHI/view?usp=drivesdk" TargetMode="External"/><Relationship Id="rId1106" Type="http://schemas.openxmlformats.org/officeDocument/2006/relationships/hyperlink" Target="https://drive.google.com/file/d/1-E1dAlVOdBXhL1-Ucgrt44k9SzyhPTJ-/view?usp=drivesdk" TargetMode="External"/><Relationship Id="rId1107" Type="http://schemas.openxmlformats.org/officeDocument/2006/relationships/hyperlink" Target="https://drive.google.com/file/d/1FElRRlWoVi2usxTFNme1Bwz9RgmJPLKp/view?usp=drivesdk" TargetMode="External"/><Relationship Id="rId1108" Type="http://schemas.openxmlformats.org/officeDocument/2006/relationships/hyperlink" Target="https://drive.google.com/file/d/1J8NYov-XHHaVlQCOR0yx9UGTvAN_EjiG/view?usp=drivesdk" TargetMode="External"/><Relationship Id="rId1109" Type="http://schemas.openxmlformats.org/officeDocument/2006/relationships/hyperlink" Target="https://drive.google.com/file/d/1nYYa0gLLgCvS_g2hsEjrlxwNp7S-dCCR/view?usp=drivesdk" TargetMode="External"/><Relationship Id="rId519" Type="http://schemas.openxmlformats.org/officeDocument/2006/relationships/hyperlink" Target="https://drive.google.com/file/d/1UFSIBKXNmPXd3__1cxrsTy9PbNax45wB/view?usp=drivesdk" TargetMode="External"/><Relationship Id="rId514" Type="http://schemas.openxmlformats.org/officeDocument/2006/relationships/hyperlink" Target="https://drive.google.com/file/d/1Mxrn43qE4Nlk4SUVbyTVjT4uEEPF5pZu/view?usp=drivesdk" TargetMode="External"/><Relationship Id="rId998" Type="http://schemas.openxmlformats.org/officeDocument/2006/relationships/hyperlink" Target="https://drive.google.com/file/d/1OIEvCCJvM-_IxEbcHAL2vNkKmVoEHa3G/view?usp=drivesdk" TargetMode="External"/><Relationship Id="rId513" Type="http://schemas.openxmlformats.org/officeDocument/2006/relationships/hyperlink" Target="https://drive.google.com/file/d/1y96i0hMyOppZ0ZOc68SfdS2QELKNre-8/view?usp=drivesdk" TargetMode="External"/><Relationship Id="rId997" Type="http://schemas.openxmlformats.org/officeDocument/2006/relationships/hyperlink" Target="https://drive.google.com/file/d/1jx9eMAYbx0cHukSi87PadaXFTzz1n_mq/view?usp=drivesdk" TargetMode="External"/><Relationship Id="rId512" Type="http://schemas.openxmlformats.org/officeDocument/2006/relationships/hyperlink" Target="https://drive.google.com/file/d/1IfVJze_D0VNVGP0qGB9jOH8T88AinA4X/view?usp=drivesdk" TargetMode="External"/><Relationship Id="rId996" Type="http://schemas.openxmlformats.org/officeDocument/2006/relationships/hyperlink" Target="https://drive.google.com/file/d/144ul3eCkiKHuL75LCKm6YabVN-pgBX8u/view?usp=drivesdk" TargetMode="External"/><Relationship Id="rId511" Type="http://schemas.openxmlformats.org/officeDocument/2006/relationships/hyperlink" Target="https://drive.google.com/file/d/1bQdPG6N4D0o1pKlwFaURIS3ouXnJPLk2/view?usp=drivesdk" TargetMode="External"/><Relationship Id="rId995" Type="http://schemas.openxmlformats.org/officeDocument/2006/relationships/hyperlink" Target="https://drive.google.com/file/d/1xo-D0d5xWZy_-HQc9CNuFVE8l1hYTkzr/view?usp=drivesdk" TargetMode="External"/><Relationship Id="rId518" Type="http://schemas.openxmlformats.org/officeDocument/2006/relationships/hyperlink" Target="https://drive.google.com/file/d/1-8o-L3-LBDg-R5swBEF53YfzOD1dWuZJ/view?usp=drivesdk" TargetMode="External"/><Relationship Id="rId517" Type="http://schemas.openxmlformats.org/officeDocument/2006/relationships/hyperlink" Target="https://drive.google.com/file/d/1iWxdhqxc4T6twXLJR2WbGMzAHqB2cMPh/view?usp=drivesdk" TargetMode="External"/><Relationship Id="rId516" Type="http://schemas.openxmlformats.org/officeDocument/2006/relationships/hyperlink" Target="https://drive.google.com/file/d/12TiI13PmR3BQm4y9CSAIab7_hjQIonUH/view?usp=drivesdk" TargetMode="External"/><Relationship Id="rId515" Type="http://schemas.openxmlformats.org/officeDocument/2006/relationships/hyperlink" Target="https://drive.google.com/file/d/1FFPuywkjnJ2hCvl_bCDbo0AuVlwdfYGa/view?usp=drivesdk" TargetMode="External"/><Relationship Id="rId999" Type="http://schemas.openxmlformats.org/officeDocument/2006/relationships/hyperlink" Target="https://drive.google.com/file/d/16TKGD5uIhjmxtnz9GYQUl5frMKkhZ7vE/view?usp=drivesdk" TargetMode="External"/><Relationship Id="rId990" Type="http://schemas.openxmlformats.org/officeDocument/2006/relationships/hyperlink" Target="https://drive.google.com/file/d/104J0KhnQN8hx7uBldyQ1evQEW8N7petE/view?usp=drivesdk" TargetMode="External"/><Relationship Id="rId510" Type="http://schemas.openxmlformats.org/officeDocument/2006/relationships/hyperlink" Target="https://drive.google.com/file/d/1mAgtvtRNwI_LQ2ccnmAWuBfkaX8itu_d/view?usp=drivesdk" TargetMode="External"/><Relationship Id="rId994" Type="http://schemas.openxmlformats.org/officeDocument/2006/relationships/hyperlink" Target="https://drive.google.com/file/d/12p5OEsz_Kqdr2WrmlHbpY-_JFlSEkooC/view?usp=drivesdk" TargetMode="External"/><Relationship Id="rId993" Type="http://schemas.openxmlformats.org/officeDocument/2006/relationships/hyperlink" Target="https://drive.google.com/file/d/1wVhOcOsRL9M-ypPdSaPRTLv-PLlAWOf1/view?usp=drivesdk" TargetMode="External"/><Relationship Id="rId1100" Type="http://schemas.openxmlformats.org/officeDocument/2006/relationships/hyperlink" Target="https://drive.google.com/file/d/1EZllPY8-yvLte77cCpv9UnSzrQEaA1l4/view?usp=drivesdk" TargetMode="External"/><Relationship Id="rId992" Type="http://schemas.openxmlformats.org/officeDocument/2006/relationships/hyperlink" Target="https://drive.google.com/file/d/14l2Iyllp2BRKK4GUgjOnaxtE-5V5_oxZ/view?usp=drivesdk" TargetMode="External"/><Relationship Id="rId1101" Type="http://schemas.openxmlformats.org/officeDocument/2006/relationships/hyperlink" Target="https://drive.google.com/file/d/1alE-Lyhg2bHvUxXiUtoX7uwWzuZe9O2i/view?usp=drivesdk" TargetMode="External"/><Relationship Id="rId991" Type="http://schemas.openxmlformats.org/officeDocument/2006/relationships/hyperlink" Target="https://drive.google.com/file/d/1yCifhK2ZQwpUZAjclr5TAmGCQqTbBrUa/view?usp=drivesdk" TargetMode="External"/><Relationship Id="rId1102" Type="http://schemas.openxmlformats.org/officeDocument/2006/relationships/hyperlink" Target="https://drive.google.com/file/d/127v43WE4PklOsQFV7vglYwM9pxelKmVE/view?usp=drivesdk" TargetMode="External"/><Relationship Id="rId949" Type="http://schemas.openxmlformats.org/officeDocument/2006/relationships/hyperlink" Target="https://drive.google.com/file/d/1RGF4nHfyd4Xw2vvzyfXfINcrZH6ZBDNt/view?usp=drivesdk" TargetMode="External"/><Relationship Id="rId948" Type="http://schemas.openxmlformats.org/officeDocument/2006/relationships/hyperlink" Target="https://drive.google.com/file/d/16IM1TCo-RpeTMo2h0xGj8HEklUBvQyVO/view?usp=drivesdk" TargetMode="External"/><Relationship Id="rId943" Type="http://schemas.openxmlformats.org/officeDocument/2006/relationships/hyperlink" Target="https://drive.google.com/file/d/1XWxdKOQYQMtFuvL7EsEQn7RuH4ypMVP0/view?usp=drivesdk" TargetMode="External"/><Relationship Id="rId942" Type="http://schemas.openxmlformats.org/officeDocument/2006/relationships/hyperlink" Target="https://drive.google.com/file/d/1ClvVjze3jeh0pirugXpxbUyLaBbpCVR3/view?usp=drivesdk" TargetMode="External"/><Relationship Id="rId941" Type="http://schemas.openxmlformats.org/officeDocument/2006/relationships/hyperlink" Target="https://drive.google.com/file/d/1oOmUlehVvRaM19jZUP5-KPUM6GoqwMcj/view?usp=drivesdk" TargetMode="External"/><Relationship Id="rId940" Type="http://schemas.openxmlformats.org/officeDocument/2006/relationships/hyperlink" Target="https://drive.google.com/file/d/1SW8YbHdY9LZLPUYEaeltGXqctWN3G72a/view?usp=drivesdk" TargetMode="External"/><Relationship Id="rId947" Type="http://schemas.openxmlformats.org/officeDocument/2006/relationships/hyperlink" Target="https://drive.google.com/file/d/10cUPWzTrCYTVc1-DC9yUAuuAoC88IrXM/view?usp=drivesdk" TargetMode="External"/><Relationship Id="rId946" Type="http://schemas.openxmlformats.org/officeDocument/2006/relationships/hyperlink" Target="https://drive.google.com/file/d/1FSya0JU7NICgjPEONeTDvBXhzmz9u2rJ/view?usp=drivesdk" TargetMode="External"/><Relationship Id="rId945" Type="http://schemas.openxmlformats.org/officeDocument/2006/relationships/hyperlink" Target="https://drive.google.com/file/d/1UJeeNtcoE5K0xHfMfq_HMptmh6jzKexE/view?usp=drivesdk" TargetMode="External"/><Relationship Id="rId944" Type="http://schemas.openxmlformats.org/officeDocument/2006/relationships/hyperlink" Target="https://drive.google.com/file/d/1hjI3aqifdfXjWhQAlvKCKKtvjuncAn5M/view?usp=drivesdk" TargetMode="External"/><Relationship Id="rId939" Type="http://schemas.openxmlformats.org/officeDocument/2006/relationships/hyperlink" Target="https://drive.google.com/file/d/1xuc-fvipcLZQMaybgsFtBL29-3ClXZFF/view?usp=drivesdk" TargetMode="External"/><Relationship Id="rId938" Type="http://schemas.openxmlformats.org/officeDocument/2006/relationships/hyperlink" Target="https://drive.google.com/file/d/1bUdOeN6otviUN-kBvT0eGX5V_WZjjau0/view?usp=drivesdk" TargetMode="External"/><Relationship Id="rId937" Type="http://schemas.openxmlformats.org/officeDocument/2006/relationships/hyperlink" Target="https://drive.google.com/file/d/17mZvRs3ue7pXwqu8bmIDvgNdc95PGEcV/view?usp=drivesdk" TargetMode="External"/><Relationship Id="rId932" Type="http://schemas.openxmlformats.org/officeDocument/2006/relationships/hyperlink" Target="https://drive.google.com/file/d/14XksUpjrQJUMaz7MdAdSkyoKt9b8ulAg/view?usp=drivesdk" TargetMode="External"/><Relationship Id="rId931" Type="http://schemas.openxmlformats.org/officeDocument/2006/relationships/hyperlink" Target="https://drive.google.com/file/d/1gsOTvu8o9_agf4ZMRaXeuVc3OE2nLzap/view?usp=drivesdk" TargetMode="External"/><Relationship Id="rId930" Type="http://schemas.openxmlformats.org/officeDocument/2006/relationships/hyperlink" Target="https://drive.google.com/file/d/1gdDOOMTIigM-6Ed3enxRZxDW_ycizIYq/view?usp=drivesdk" TargetMode="External"/><Relationship Id="rId936" Type="http://schemas.openxmlformats.org/officeDocument/2006/relationships/hyperlink" Target="https://drive.google.com/file/d/1nyuFXPtZ3yl4xeiu7MA9Tx40lpG1Oe7D/view?usp=drivesdk" TargetMode="External"/><Relationship Id="rId935" Type="http://schemas.openxmlformats.org/officeDocument/2006/relationships/hyperlink" Target="https://drive.google.com/file/d/1fI9AvKCFXUbNqvCnE7F2C_aze9MnObud/view?usp=drivesdk" TargetMode="External"/><Relationship Id="rId934" Type="http://schemas.openxmlformats.org/officeDocument/2006/relationships/hyperlink" Target="https://drive.google.com/file/d/1GlDT0ELzxcEvkjSSuOTPVqUBCygnsWCw/view?usp=drivesdk" TargetMode="External"/><Relationship Id="rId933" Type="http://schemas.openxmlformats.org/officeDocument/2006/relationships/hyperlink" Target="https://drive.google.com/file/d/1IW0qjwuuON-KUlB9j-eiO4xg57xZsaBi/view?usp=drivesdk" TargetMode="External"/><Relationship Id="rId965" Type="http://schemas.openxmlformats.org/officeDocument/2006/relationships/hyperlink" Target="https://drive.google.com/file/d/1V139ov37mLWb-5UKv49efitjO3JB718i/view?usp=drivesdk" TargetMode="External"/><Relationship Id="rId964" Type="http://schemas.openxmlformats.org/officeDocument/2006/relationships/hyperlink" Target="https://drive.google.com/file/d/1th0_H913x7dEbLmmzeTjrSGGbUC8A42e/view?usp=drivesdk" TargetMode="External"/><Relationship Id="rId963" Type="http://schemas.openxmlformats.org/officeDocument/2006/relationships/hyperlink" Target="https://drive.google.com/file/d/19J7SxgV3TKuAhMt2JaFPTLscquaGkcBh/view?usp=drivesdk" TargetMode="External"/><Relationship Id="rId962" Type="http://schemas.openxmlformats.org/officeDocument/2006/relationships/hyperlink" Target="https://drive.google.com/file/d/1CGw2aFqdeWSzTPWBi4Jhk_HVOrooYuQO/view?usp=drivesdk" TargetMode="External"/><Relationship Id="rId969" Type="http://schemas.openxmlformats.org/officeDocument/2006/relationships/hyperlink" Target="https://drive.google.com/file/d/1Mvv6lSbYDT3w1CNkuj_yKZJZyGVo8_wu/view?usp=drivesdk" TargetMode="External"/><Relationship Id="rId968" Type="http://schemas.openxmlformats.org/officeDocument/2006/relationships/hyperlink" Target="https://drive.google.com/file/d/1W1dK0xmhy-qDUDWQ2DKJ9Gvb-j4yqqlf/view?usp=drivesdk" TargetMode="External"/><Relationship Id="rId967" Type="http://schemas.openxmlformats.org/officeDocument/2006/relationships/hyperlink" Target="https://drive.google.com/file/d/1a7fL1ZC2nNN1XTUlfjR6WqqGjTag798y/view?usp=drivesdk" TargetMode="External"/><Relationship Id="rId966" Type="http://schemas.openxmlformats.org/officeDocument/2006/relationships/hyperlink" Target="https://drive.google.com/file/d/1FheroBSk3eQOvE0506M6iwY63EZBRzLS/view?usp=drivesdk" TargetMode="External"/><Relationship Id="rId961" Type="http://schemas.openxmlformats.org/officeDocument/2006/relationships/hyperlink" Target="https://drive.google.com/file/d/1UuuzoS4yQn13IfYEyBMumYOQfdcrosni/view?usp=drivesdk" TargetMode="External"/><Relationship Id="rId960" Type="http://schemas.openxmlformats.org/officeDocument/2006/relationships/hyperlink" Target="https://drive.google.com/file/d/18u8UZGmq2oMFWhXRxe2eL3wAp7RT1WdE/view?usp=drivesdk" TargetMode="External"/><Relationship Id="rId959" Type="http://schemas.openxmlformats.org/officeDocument/2006/relationships/hyperlink" Target="https://drive.google.com/file/d/1DsscXTH-yRBwPVKxy3s7M6YtXCPoBPFC/view?usp=drivesdk" TargetMode="External"/><Relationship Id="rId954" Type="http://schemas.openxmlformats.org/officeDocument/2006/relationships/hyperlink" Target="https://drive.google.com/file/d/151uG_JsRHEeT8ijTsmwLHuA1kOWhIBXJ/view?usp=drivesdk" TargetMode="External"/><Relationship Id="rId953" Type="http://schemas.openxmlformats.org/officeDocument/2006/relationships/hyperlink" Target="https://drive.google.com/file/d/1Je8H1JlAsEozkTzxRNGwP-qfN9yYkb-V/view?usp=drivesdk" TargetMode="External"/><Relationship Id="rId952" Type="http://schemas.openxmlformats.org/officeDocument/2006/relationships/hyperlink" Target="https://drive.google.com/file/d/1kVMhKSS5Wgzpq87XRYWG7AQGAB8MDFtr/view?usp=drivesdk" TargetMode="External"/><Relationship Id="rId951" Type="http://schemas.openxmlformats.org/officeDocument/2006/relationships/hyperlink" Target="https://drive.google.com/file/d/136J03Q_tpmziraTV-EDTDJeDVz5VTXQO/view?usp=drivesdk" TargetMode="External"/><Relationship Id="rId958" Type="http://schemas.openxmlformats.org/officeDocument/2006/relationships/hyperlink" Target="https://drive.google.com/file/d/1ex2b0drlj-55MtfmUfDq7yBbLLjSesxF/view?usp=drivesdk" TargetMode="External"/><Relationship Id="rId957" Type="http://schemas.openxmlformats.org/officeDocument/2006/relationships/hyperlink" Target="https://drive.google.com/file/d/1Q0Sk01j5joMct9DIvSVMZHeqrGAM99wa/view?usp=drivesdk" TargetMode="External"/><Relationship Id="rId956" Type="http://schemas.openxmlformats.org/officeDocument/2006/relationships/hyperlink" Target="https://drive.google.com/file/d/1NEDv5DiVuDvFdSlKyMM6fNkxcdxMbR8R/view?usp=drivesdk" TargetMode="External"/><Relationship Id="rId955" Type="http://schemas.openxmlformats.org/officeDocument/2006/relationships/hyperlink" Target="https://drive.google.com/file/d/1T0finp-fLieAKLfLKKpQcVjKvVkUOmid/view?usp=drivesdk" TargetMode="External"/><Relationship Id="rId950" Type="http://schemas.openxmlformats.org/officeDocument/2006/relationships/hyperlink" Target="https://drive.google.com/file/d/13sVesCYGhtMJC02MFdowUs5znyM1Rpjm/view?usp=drivesdk" TargetMode="External"/><Relationship Id="rId590" Type="http://schemas.openxmlformats.org/officeDocument/2006/relationships/hyperlink" Target="https://drive.google.com/file/d/1o9LFgnQOxOWMbLhy5xq59Vl4kwI6felM/view?usp=drivesdk" TargetMode="External"/><Relationship Id="rId107" Type="http://schemas.openxmlformats.org/officeDocument/2006/relationships/hyperlink" Target="https://drive.google.com/file/d/1D2Zu4EZb1gNCoeCtBx-Kc5-d8n_tlf2s/view?usp=drivesdk" TargetMode="External"/><Relationship Id="rId106" Type="http://schemas.openxmlformats.org/officeDocument/2006/relationships/hyperlink" Target="https://drive.google.com/file/d/1AXlt7RiMQzSBR2Y8NqyVSEMYzhAeNHOQ/view?usp=drivesdk" TargetMode="External"/><Relationship Id="rId105" Type="http://schemas.openxmlformats.org/officeDocument/2006/relationships/hyperlink" Target="https://drive.google.com/file/d/1-zDlqGJHLgnf0EEC6-j_EElNHHgqV-X-/view?usp=drivesdk" TargetMode="External"/><Relationship Id="rId589" Type="http://schemas.openxmlformats.org/officeDocument/2006/relationships/hyperlink" Target="https://drive.google.com/file/d/1HPzVmIEplGhQvmWHdVz2IsB9vdc6FFNn/view?usp=drivesdk" TargetMode="External"/><Relationship Id="rId104" Type="http://schemas.openxmlformats.org/officeDocument/2006/relationships/hyperlink" Target="https://drive.google.com/file/d/1i6qGgi00RMPjfjymzXA5zrhw99E1HI_E/view?usp=drivesdk" TargetMode="External"/><Relationship Id="rId588" Type="http://schemas.openxmlformats.org/officeDocument/2006/relationships/hyperlink" Target="https://drive.google.com/file/d/14GutnAtB1f13xcVqwnhfc_-RMT6AP_5B/view?usp=drivesdk" TargetMode="External"/><Relationship Id="rId109" Type="http://schemas.openxmlformats.org/officeDocument/2006/relationships/hyperlink" Target="https://drive.google.com/file/d/1JkPrBBF4Aq2YUf-0H80A4LRFwpsSLSt5/view?usp=drivesdk" TargetMode="External"/><Relationship Id="rId1170" Type="http://schemas.openxmlformats.org/officeDocument/2006/relationships/hyperlink" Target="https://drive.google.com/file/d/1YjgU1oCfPf7_yAtASpZhwJS4TVj_g8CU/view?usp=drivesdk" TargetMode="External"/><Relationship Id="rId108" Type="http://schemas.openxmlformats.org/officeDocument/2006/relationships/hyperlink" Target="https://drive.google.com/file/d/18_vbF9xsKb2IuV-06Pdvovh4AYJfJmdk/view?usp=drivesdk" TargetMode="External"/><Relationship Id="rId1171" Type="http://schemas.openxmlformats.org/officeDocument/2006/relationships/hyperlink" Target="https://drive.google.com/file/d/1iTGkXjtQ0EE8-v45xZZ-Yv9zhQVAt2Pn/view?usp=drivesdk" TargetMode="External"/><Relationship Id="rId583" Type="http://schemas.openxmlformats.org/officeDocument/2006/relationships/hyperlink" Target="https://drive.google.com/file/d/1Ce-dl4nRjbQONXIAPX6wZN3ilxDwxEty/view?usp=drivesdk" TargetMode="External"/><Relationship Id="rId1172" Type="http://schemas.openxmlformats.org/officeDocument/2006/relationships/hyperlink" Target="https://drive.google.com/file/d/11evBHOPkYEq9tia_AUJzn9cHtIQOUcWa/view?usp=drivesdk" TargetMode="External"/><Relationship Id="rId582" Type="http://schemas.openxmlformats.org/officeDocument/2006/relationships/hyperlink" Target="https://drive.google.com/file/d/1wq7-2vqDvzteuPzlUspBQRdnaX3rmhA1/view?usp=drivesdk" TargetMode="External"/><Relationship Id="rId1173" Type="http://schemas.openxmlformats.org/officeDocument/2006/relationships/hyperlink" Target="https://drive.google.com/file/d/1VkkAzt4eeAeZtV2ewwPlwMagejOBaOcs/view?usp=drivesdk" TargetMode="External"/><Relationship Id="rId581" Type="http://schemas.openxmlformats.org/officeDocument/2006/relationships/hyperlink" Target="https://drive.google.com/file/d/1IpGgGfnAQY5wd1rLKDy5RnBFHMi3I5x4/view?usp=drivesdk" TargetMode="External"/><Relationship Id="rId1174" Type="http://schemas.openxmlformats.org/officeDocument/2006/relationships/hyperlink" Target="https://drive.google.com/file/d/1cOFI1sWmcyfR3tFVOvV90FUY4g-TwC4Z/view?usp=drivesdk" TargetMode="External"/><Relationship Id="rId580" Type="http://schemas.openxmlformats.org/officeDocument/2006/relationships/hyperlink" Target="https://drive.google.com/file/d/1ChpFRMejJzL2Sh9so-302icQ-YIJSCTh/view?usp=drivesdk" TargetMode="External"/><Relationship Id="rId1175" Type="http://schemas.openxmlformats.org/officeDocument/2006/relationships/hyperlink" Target="https://drive.google.com/file/d/1fP-Dr1DLCnPl-2Ya6EGtFK2aCF6SWr93/view?usp=drivesdk" TargetMode="External"/><Relationship Id="rId103" Type="http://schemas.openxmlformats.org/officeDocument/2006/relationships/hyperlink" Target="https://drive.google.com/file/d/1OgSTpGHW34UAkF4DDcl5ghcaAHtU7oMz/view?usp=drivesdk" TargetMode="External"/><Relationship Id="rId587" Type="http://schemas.openxmlformats.org/officeDocument/2006/relationships/hyperlink" Target="https://drive.google.com/file/d/1Baedt_RF56dAcd90mHgk4WyAWq0rNUNl/view?usp=drivesdk" TargetMode="External"/><Relationship Id="rId1176" Type="http://schemas.openxmlformats.org/officeDocument/2006/relationships/hyperlink" Target="https://drive.google.com/file/d/1Lf2mJhcl4k2IlhscpNWAcWIYn_DN1RLo/view?usp=drivesdk" TargetMode="External"/><Relationship Id="rId102" Type="http://schemas.openxmlformats.org/officeDocument/2006/relationships/hyperlink" Target="https://drive.google.com/file/d/1Rq8taADseprDE7oOK03RUVDBbNKz4-pg/view?usp=drivesdk" TargetMode="External"/><Relationship Id="rId586" Type="http://schemas.openxmlformats.org/officeDocument/2006/relationships/hyperlink" Target="https://drive.google.com/file/d/1EqvEPwgwndawziGmIPqgl3yNKOI51OAS/view?usp=drivesdk" TargetMode="External"/><Relationship Id="rId1177" Type="http://schemas.openxmlformats.org/officeDocument/2006/relationships/hyperlink" Target="https://drive.google.com/file/d/1qNTfBnw7SpCi3blakzyKQFcGYOfOx3la/view?usp=drivesdk" TargetMode="External"/><Relationship Id="rId101" Type="http://schemas.openxmlformats.org/officeDocument/2006/relationships/hyperlink" Target="https://drive.google.com/file/d/1MZZLO_m55KdbCtMX7Abk1knww_Eu3Byx/view?usp=drivesdk" TargetMode="External"/><Relationship Id="rId585" Type="http://schemas.openxmlformats.org/officeDocument/2006/relationships/hyperlink" Target="https://drive.google.com/file/d/1mMbXlq0wHwW3u94B3l_0KZ3_2GsCObmh/view?usp=drivesdk" TargetMode="External"/><Relationship Id="rId1178" Type="http://schemas.openxmlformats.org/officeDocument/2006/relationships/hyperlink" Target="https://drive.google.com/file/d/17v8g1wcUyLHNKL7MUfmkzczqLvXbAEct/view?usp=drivesdk" TargetMode="External"/><Relationship Id="rId100" Type="http://schemas.openxmlformats.org/officeDocument/2006/relationships/hyperlink" Target="https://drive.google.com/file/d/1cNdWPR0lbNPUCDeI0DicvFV8ZWXKF8P4/view?usp=drivesdk" TargetMode="External"/><Relationship Id="rId584" Type="http://schemas.openxmlformats.org/officeDocument/2006/relationships/hyperlink" Target="https://drive.google.com/file/d/1oqwZUfEfzfjGZaYk1A2E8B-PU-AQ6SKz/view?usp=drivesdk" TargetMode="External"/><Relationship Id="rId1179" Type="http://schemas.openxmlformats.org/officeDocument/2006/relationships/hyperlink" Target="https://drive.google.com/file/d/1GA6K1X3KAFArsjYWATJH54boYgR6VA-P/view?usp=drivesdk" TargetMode="External"/><Relationship Id="rId1169" Type="http://schemas.openxmlformats.org/officeDocument/2006/relationships/hyperlink" Target="https://drive.google.com/file/d/12tOopuzKbG82LEOynQuHYZ8im59EjTth/view?usp=drivesdk" TargetMode="External"/><Relationship Id="rId579" Type="http://schemas.openxmlformats.org/officeDocument/2006/relationships/hyperlink" Target="https://drive.google.com/file/d/1F5qGa541IZsvA8V-NJg1vkR_g716Ph_8/view?usp=drivesdk" TargetMode="External"/><Relationship Id="rId578" Type="http://schemas.openxmlformats.org/officeDocument/2006/relationships/hyperlink" Target="https://drive.google.com/file/d/1c0WTQTFC6wVjO3perznTR_rfzhpTPGnJ/view?usp=drivesdk" TargetMode="External"/><Relationship Id="rId577" Type="http://schemas.openxmlformats.org/officeDocument/2006/relationships/hyperlink" Target="https://drive.google.com/file/d/1Bqp5tbqcsNPKH_QuWEI9mWZ1-DAWptGv/view?usp=drivesdk" TargetMode="External"/><Relationship Id="rId1160" Type="http://schemas.openxmlformats.org/officeDocument/2006/relationships/hyperlink" Target="https://drive.google.com/file/d/13XRIYgF2yNC1qLHSQBITGa6oU0w9njVk/view?usp=drivesdk" TargetMode="External"/><Relationship Id="rId572" Type="http://schemas.openxmlformats.org/officeDocument/2006/relationships/hyperlink" Target="https://drive.google.com/file/d/1rAL0rmM0jbf9S7uX5DiL77r3bNeTGrOY/view?usp=drivesdk" TargetMode="External"/><Relationship Id="rId1161" Type="http://schemas.openxmlformats.org/officeDocument/2006/relationships/hyperlink" Target="https://drive.google.com/file/d/1ILNp7MaC4OusbPANu-7wOS3KK98RWdcz/view?usp=drivesdk" TargetMode="External"/><Relationship Id="rId571" Type="http://schemas.openxmlformats.org/officeDocument/2006/relationships/hyperlink" Target="https://drive.google.com/file/d/1gOWd02cezb5MHlIvhprXv-TgaFt5Ij8f/view?usp=drivesdk" TargetMode="External"/><Relationship Id="rId1162" Type="http://schemas.openxmlformats.org/officeDocument/2006/relationships/hyperlink" Target="https://drive.google.com/file/d/1gGhVdcAfMLypZb8lB75H44xX4er1HFm3/view?usp=drivesdk" TargetMode="External"/><Relationship Id="rId570" Type="http://schemas.openxmlformats.org/officeDocument/2006/relationships/hyperlink" Target="https://drive.google.com/file/d/1EKnIsw-dolmmk1-6Kle0hKb5-wtcqfmw/view?usp=drivesdk" TargetMode="External"/><Relationship Id="rId1163" Type="http://schemas.openxmlformats.org/officeDocument/2006/relationships/hyperlink" Target="https://drive.google.com/file/d/16CJXCd6Rzqik5rD_iyUPgxYh8MalzPm4/view?usp=drivesdk" TargetMode="External"/><Relationship Id="rId1164" Type="http://schemas.openxmlformats.org/officeDocument/2006/relationships/hyperlink" Target="https://drive.google.com/file/d/16eIzUB6LjNl3GMULG3vB5p7EO1iC0SJ3/view?usp=drivesdk" TargetMode="External"/><Relationship Id="rId576" Type="http://schemas.openxmlformats.org/officeDocument/2006/relationships/hyperlink" Target="https://drive.google.com/file/d/1UOcUsx-QUxFrulQIBnkUuR_13YgQP2Vd/view?usp=drivesdk" TargetMode="External"/><Relationship Id="rId1165" Type="http://schemas.openxmlformats.org/officeDocument/2006/relationships/hyperlink" Target="https://drive.google.com/file/d/15z0y7asIfplDps5d3R71GhEJxQWqBU9w/view?usp=drivesdk" TargetMode="External"/><Relationship Id="rId575" Type="http://schemas.openxmlformats.org/officeDocument/2006/relationships/hyperlink" Target="https://drive.google.com/file/d/1jEnrVGc2PxWYnqqR5b5QggE9HgY-tjOC/view?usp=drivesdk" TargetMode="External"/><Relationship Id="rId1166" Type="http://schemas.openxmlformats.org/officeDocument/2006/relationships/hyperlink" Target="https://drive.google.com/file/d/12OzFlZKms2M0ZvYy4yTBRvGof4FqM1Ud/view?usp=drivesdk" TargetMode="External"/><Relationship Id="rId574" Type="http://schemas.openxmlformats.org/officeDocument/2006/relationships/hyperlink" Target="https://drive.google.com/file/d/1Oai9bOqOxT4qWyEsbh965271cRgAplwZ/view?usp=drivesdk" TargetMode="External"/><Relationship Id="rId1167" Type="http://schemas.openxmlformats.org/officeDocument/2006/relationships/hyperlink" Target="https://drive.google.com/file/d/1NhDFPwAmpyjx9HSRtLTUixh6ZZLCECKn/view?usp=drivesdk" TargetMode="External"/><Relationship Id="rId573" Type="http://schemas.openxmlformats.org/officeDocument/2006/relationships/hyperlink" Target="https://drive.google.com/file/d/1NV42SOubbZFwoBVl2IhhGw3jTa6CF1Ns/view?usp=drivesdk" TargetMode="External"/><Relationship Id="rId1168" Type="http://schemas.openxmlformats.org/officeDocument/2006/relationships/hyperlink" Target="https://drive.google.com/file/d/1G9_olsUh3tpfcqhh1KX72VpE0keeAnj7/view?usp=drivesdk" TargetMode="External"/><Relationship Id="rId129" Type="http://schemas.openxmlformats.org/officeDocument/2006/relationships/hyperlink" Target="https://drive.google.com/file/d/1x0hiMkAMMAu7RifdS0rxlSq4TXBkiNRA/view?usp=drivesdk" TargetMode="External"/><Relationship Id="rId128" Type="http://schemas.openxmlformats.org/officeDocument/2006/relationships/hyperlink" Target="https://drive.google.com/file/d/1JYfQJMF32-bnzLtcqzalxSEnyc75jLy1/view?usp=drivesdk" TargetMode="External"/><Relationship Id="rId127" Type="http://schemas.openxmlformats.org/officeDocument/2006/relationships/hyperlink" Target="https://drive.google.com/file/d/1hSDof4lTHAM0fMfsscfY0mGvViCdavwX/view?usp=drivesdk" TargetMode="External"/><Relationship Id="rId126" Type="http://schemas.openxmlformats.org/officeDocument/2006/relationships/hyperlink" Target="https://drive.google.com/file/d/1C1_WdM4KBfxxYh8OlSnsd2WhUKw-IYkW/view?usp=drivesdk" TargetMode="External"/><Relationship Id="rId1190" Type="http://schemas.openxmlformats.org/officeDocument/2006/relationships/hyperlink" Target="https://drive.google.com/file/d/1Wzsg5t70C5nm9ICa1m7pvYuf0xZ022FB/view?usp=drivesdk" TargetMode="External"/><Relationship Id="rId1191" Type="http://schemas.openxmlformats.org/officeDocument/2006/relationships/hyperlink" Target="https://drive.google.com/file/d/1MRe3AF5QHB9EAYy2OvHfuDzmNbF-vcva/view?usp=drivesdk" TargetMode="External"/><Relationship Id="rId1192" Type="http://schemas.openxmlformats.org/officeDocument/2006/relationships/hyperlink" Target="https://drive.google.com/file/d/1L_UrUn7iF547GceUM9sV402LJMhvz5p-/view?usp=drivesdk" TargetMode="External"/><Relationship Id="rId1193" Type="http://schemas.openxmlformats.org/officeDocument/2006/relationships/hyperlink" Target="https://drive.google.com/file/d/1ndD8z0H-I5x-TfBCqMqu0rgkodHkfNEf/view?usp=drivesdk" TargetMode="External"/><Relationship Id="rId121" Type="http://schemas.openxmlformats.org/officeDocument/2006/relationships/hyperlink" Target="https://drive.google.com/file/d/1PWDkOGXs97kFv6WHFZUdhjP_VsHDNaMe/view?usp=drivesdk" TargetMode="External"/><Relationship Id="rId1194" Type="http://schemas.openxmlformats.org/officeDocument/2006/relationships/hyperlink" Target="https://drive.google.com/file/d/1EGlmFl81-d1oxiKpGgGytIRbyZhEQLuV/view?usp=drivesdk" TargetMode="External"/><Relationship Id="rId120" Type="http://schemas.openxmlformats.org/officeDocument/2006/relationships/hyperlink" Target="https://drive.google.com/file/d/1APtHsdPZdNiDfNyY-PyeC3zINU-OvBJP/view?usp=drivesdk" TargetMode="External"/><Relationship Id="rId1195" Type="http://schemas.openxmlformats.org/officeDocument/2006/relationships/hyperlink" Target="https://drive.google.com/file/d/1azpl3Wmo9R6ywyk7lG4WR5Xnl3l99eut/view?usp=drivesdk" TargetMode="External"/><Relationship Id="rId1196" Type="http://schemas.openxmlformats.org/officeDocument/2006/relationships/hyperlink" Target="https://drive.google.com/file/d/1Gkz07e_5xnoHy7zdKAHfWY6layqbA2lX/view?usp=drivesdk" TargetMode="External"/><Relationship Id="rId1197" Type="http://schemas.openxmlformats.org/officeDocument/2006/relationships/hyperlink" Target="https://drive.google.com/file/d/1a05JoYmLdyaqZqx1lMlnobPSBoVtshdG/view?usp=drivesdk" TargetMode="External"/><Relationship Id="rId125" Type="http://schemas.openxmlformats.org/officeDocument/2006/relationships/hyperlink" Target="https://drive.google.com/file/d/1zXW2G0B46fBJ7RbZBr7zK2RRM3wBpWBc/view?usp=drivesdk" TargetMode="External"/><Relationship Id="rId1198" Type="http://schemas.openxmlformats.org/officeDocument/2006/relationships/hyperlink" Target="https://drive.google.com/file/d/14KU35or-OxTWODmUyKwRoB3qwuTQZobO/view?usp=drivesdk" TargetMode="External"/><Relationship Id="rId124" Type="http://schemas.openxmlformats.org/officeDocument/2006/relationships/hyperlink" Target="https://drive.google.com/file/d/1OrJJtuTywsaJhsnTKJn5W5V9ZGnr8tWA/view?usp=drivesdk" TargetMode="External"/><Relationship Id="rId1199" Type="http://schemas.openxmlformats.org/officeDocument/2006/relationships/hyperlink" Target="https://drive.google.com/file/d/17_Ll2w4V8oHKFKapa6lsAJcfuwPXIghG/view?usp=drivesdk" TargetMode="External"/><Relationship Id="rId123" Type="http://schemas.openxmlformats.org/officeDocument/2006/relationships/hyperlink" Target="https://drive.google.com/file/d/1bEbFN6Any8y8ceRfD397YRjMmRoEv-T6/view?usp=drivesdk" TargetMode="External"/><Relationship Id="rId122" Type="http://schemas.openxmlformats.org/officeDocument/2006/relationships/hyperlink" Target="https://drive.google.com/file/d/1c3ckeqDBFYPileJxyZAUCNV7gyxN2mcw/view?usp=drivesdk" TargetMode="External"/><Relationship Id="rId118" Type="http://schemas.openxmlformats.org/officeDocument/2006/relationships/hyperlink" Target="https://drive.google.com/file/d/1L1JXb9Oey_9pMplHv8uIW4_RkxCF0Y2i/view?usp=drivesdk" TargetMode="External"/><Relationship Id="rId117" Type="http://schemas.openxmlformats.org/officeDocument/2006/relationships/hyperlink" Target="https://drive.google.com/file/d/1tYYVnCHsGShtN-tSDmS_qLMmhT1RawfF/view?usp=drivesdk" TargetMode="External"/><Relationship Id="rId116" Type="http://schemas.openxmlformats.org/officeDocument/2006/relationships/hyperlink" Target="https://drive.google.com/file/d/1ybAI4YzebcDR7N7P3YuEn7EPZ-qd3U5d/view?usp=drivesdk" TargetMode="External"/><Relationship Id="rId115" Type="http://schemas.openxmlformats.org/officeDocument/2006/relationships/hyperlink" Target="https://drive.google.com/file/d/1KE2_KbSJJfv-f7spdLCghooBjy4qsIJa/view?usp=drivesdk" TargetMode="External"/><Relationship Id="rId599" Type="http://schemas.openxmlformats.org/officeDocument/2006/relationships/hyperlink" Target="https://drive.google.com/file/d/1qjg3dUl7eHUol7x5vvlFumz5qKGMMo-n/view?usp=drivesdk" TargetMode="External"/><Relationship Id="rId1180" Type="http://schemas.openxmlformats.org/officeDocument/2006/relationships/hyperlink" Target="https://drive.google.com/file/d/1lYrGMauz-wnZsd5nVrZcVjopHb7ZXL_b/view?usp=drivesdk" TargetMode="External"/><Relationship Id="rId1181" Type="http://schemas.openxmlformats.org/officeDocument/2006/relationships/hyperlink" Target="https://drive.google.com/file/d/1amMXrWCKMyX4hTevBnA1bXdVDqOZKFxe/view?usp=drivesdk" TargetMode="External"/><Relationship Id="rId119" Type="http://schemas.openxmlformats.org/officeDocument/2006/relationships/hyperlink" Target="https://drive.google.com/file/d/1LWKAeEW0fgjygV6WCnKyQeX8316YUgWo/view?usp=drivesdk" TargetMode="External"/><Relationship Id="rId1182" Type="http://schemas.openxmlformats.org/officeDocument/2006/relationships/hyperlink" Target="https://drive.google.com/file/d/1D8E42YuXrxlGwF61UWB4V8lYywAWr8dY/view?usp=drivesdk" TargetMode="External"/><Relationship Id="rId110" Type="http://schemas.openxmlformats.org/officeDocument/2006/relationships/hyperlink" Target="https://drive.google.com/file/d/1eE0OchiMhyZQIQ1poZQWj2bOeC8mnJ63/view?usp=drivesdk" TargetMode="External"/><Relationship Id="rId594" Type="http://schemas.openxmlformats.org/officeDocument/2006/relationships/hyperlink" Target="https://drive.google.com/file/d/1bB5zAUL5oQPM2ClvdBCDeAd5AlkWVp4P/view?usp=drivesdk" TargetMode="External"/><Relationship Id="rId1183" Type="http://schemas.openxmlformats.org/officeDocument/2006/relationships/hyperlink" Target="https://drive.google.com/file/d/1d5i_2GjvV2L2wbB2j58EhA4WqJKFf7M5/view?usp=drivesdk" TargetMode="External"/><Relationship Id="rId593" Type="http://schemas.openxmlformats.org/officeDocument/2006/relationships/hyperlink" Target="https://drive.google.com/file/d/1qAWfV1gULW7jC5kaiPJ66v9N_6ujk9G3/view?usp=drivesdk" TargetMode="External"/><Relationship Id="rId1184" Type="http://schemas.openxmlformats.org/officeDocument/2006/relationships/hyperlink" Target="https://drive.google.com/file/d/1WsTuZGTgbwDDjKv_3fgqvOMon49y_wo7/view?usp=drivesdk" TargetMode="External"/><Relationship Id="rId592" Type="http://schemas.openxmlformats.org/officeDocument/2006/relationships/hyperlink" Target="https://drive.google.com/file/d/1jZTNlQnL0TIaQEtiJ7d2O9yOJIbibVXq/view?usp=drivesdk" TargetMode="External"/><Relationship Id="rId1185" Type="http://schemas.openxmlformats.org/officeDocument/2006/relationships/hyperlink" Target="https://drive.google.com/file/d/1mEkTi7StSY-Stsrgu0o_Zv7DZUHAFPDt/view?usp=drivesdk" TargetMode="External"/><Relationship Id="rId591" Type="http://schemas.openxmlformats.org/officeDocument/2006/relationships/hyperlink" Target="https://drive.google.com/file/d/148Py_oykj0pRS0KX5Nz43ePS1GIo-Y5B/view?usp=drivesdk" TargetMode="External"/><Relationship Id="rId1186" Type="http://schemas.openxmlformats.org/officeDocument/2006/relationships/hyperlink" Target="https://drive.google.com/file/d/1lNurRPy7VDlN9Sa8Dza_04lJKflObxsi/view?usp=drivesdk" TargetMode="External"/><Relationship Id="rId114" Type="http://schemas.openxmlformats.org/officeDocument/2006/relationships/hyperlink" Target="https://drive.google.com/file/d/1t9qJ81WHWp5VhrEXSET_reGhe9475Bh9/view?usp=drivesdk" TargetMode="External"/><Relationship Id="rId598" Type="http://schemas.openxmlformats.org/officeDocument/2006/relationships/hyperlink" Target="https://drive.google.com/file/d/1W_KvsfbanYWBQG9nzoDuqDlzFW_jUYH2/view?usp=drivesdk" TargetMode="External"/><Relationship Id="rId1187" Type="http://schemas.openxmlformats.org/officeDocument/2006/relationships/hyperlink" Target="https://drive.google.com/file/d/1m_v1JAQWlkuqNotYqQVJ-P2XePYibDPD/view?usp=drivesdk" TargetMode="External"/><Relationship Id="rId113" Type="http://schemas.openxmlformats.org/officeDocument/2006/relationships/hyperlink" Target="https://drive.google.com/file/d/16gyxPUUHdCNaQJ0J7lxySjT9ggprIeYM/view?usp=drivesdk" TargetMode="External"/><Relationship Id="rId597" Type="http://schemas.openxmlformats.org/officeDocument/2006/relationships/hyperlink" Target="https://drive.google.com/file/d/1YGUF0pymdL9VWFyddXUkyUtTNzhUn4kL/view?usp=drivesdk" TargetMode="External"/><Relationship Id="rId1188" Type="http://schemas.openxmlformats.org/officeDocument/2006/relationships/hyperlink" Target="https://drive.google.com/file/d/1NpcEXBblmTwzkVAKGsTiPalZEKryDjOF/view?usp=drivesdk" TargetMode="External"/><Relationship Id="rId112" Type="http://schemas.openxmlformats.org/officeDocument/2006/relationships/hyperlink" Target="https://drive.google.com/file/d/1mbPAy1TbNwV2XOfDjz6F7ail2VgA51o4/view?usp=drivesdk" TargetMode="External"/><Relationship Id="rId596" Type="http://schemas.openxmlformats.org/officeDocument/2006/relationships/hyperlink" Target="https://drive.google.com/file/d/1-cST4Xer2glOXMG5eTrJVkRfofzfqFTW/view?usp=drivesdk" TargetMode="External"/><Relationship Id="rId1189" Type="http://schemas.openxmlformats.org/officeDocument/2006/relationships/hyperlink" Target="https://drive.google.com/file/d/1Ey8YE267IkJvJPhLMe73j6CWvGwENA3f/view?usp=drivesdk" TargetMode="External"/><Relationship Id="rId111" Type="http://schemas.openxmlformats.org/officeDocument/2006/relationships/hyperlink" Target="https://drive.google.com/file/d/1rA-SYIYa40jtaCXuwEf-xjfS-ihJSDa5/view?usp=drivesdk" TargetMode="External"/><Relationship Id="rId595" Type="http://schemas.openxmlformats.org/officeDocument/2006/relationships/hyperlink" Target="https://drive.google.com/file/d/1YAtWuID9zn-v4RS7EAtlJ13NrBFRKnTI/view?usp=drivesdk" TargetMode="External"/><Relationship Id="rId1136" Type="http://schemas.openxmlformats.org/officeDocument/2006/relationships/hyperlink" Target="https://drive.google.com/file/d/13LERMC05_TVKu6xv7g91wRtXxu0ET1Tj/view?usp=drivesdk" TargetMode="External"/><Relationship Id="rId1137" Type="http://schemas.openxmlformats.org/officeDocument/2006/relationships/hyperlink" Target="https://drive.google.com/file/d/1HpcHlK2DyzZieaRbX6Fr0ov7Mf_R671v/view?usp=drivesdk" TargetMode="External"/><Relationship Id="rId1138" Type="http://schemas.openxmlformats.org/officeDocument/2006/relationships/hyperlink" Target="https://drive.google.com/file/d/1EyYPChGeuUzTKHlHU2xIK7B3AxTGwtfO/view?usp=drivesdk" TargetMode="External"/><Relationship Id="rId1139" Type="http://schemas.openxmlformats.org/officeDocument/2006/relationships/hyperlink" Target="https://drive.google.com/file/d/120bw0itAYyHMiW9T7e3mTuddlQMPW3x8/view?usp=drivesdk" TargetMode="External"/><Relationship Id="rId547" Type="http://schemas.openxmlformats.org/officeDocument/2006/relationships/hyperlink" Target="https://drive.google.com/file/d/1H6X8VsyVixAViuUZ-S2dfj2OJm-VwYrl/view?usp=drivesdk" TargetMode="External"/><Relationship Id="rId546" Type="http://schemas.openxmlformats.org/officeDocument/2006/relationships/hyperlink" Target="https://drive.google.com/file/d/10IpKBTm-TxBYPtbdDzTDyVDz6z5jT5CF/view?usp=drivesdk" TargetMode="External"/><Relationship Id="rId545" Type="http://schemas.openxmlformats.org/officeDocument/2006/relationships/hyperlink" Target="https://drive.google.com/file/d/1Eufb0NfIAz03c6rDvfbVDbjGjjReVYgi/view?usp=drivesdk" TargetMode="External"/><Relationship Id="rId544" Type="http://schemas.openxmlformats.org/officeDocument/2006/relationships/hyperlink" Target="https://drive.google.com/file/d/1TtkPI6YvV3JyoWKI8Z0FTVrehrNka7__/view?usp=drivesdk" TargetMode="External"/><Relationship Id="rId549" Type="http://schemas.openxmlformats.org/officeDocument/2006/relationships/hyperlink" Target="https://drive.google.com/file/d/1woJDHccS6Df_7DkKmeLElCzqxpjoRtns/view?usp=drivesdk" TargetMode="External"/><Relationship Id="rId548" Type="http://schemas.openxmlformats.org/officeDocument/2006/relationships/hyperlink" Target="https://drive.google.com/file/d/1-zejzHs_827BE5ay0BYTDFjpuHdy5VLk/view?usp=drivesdk" TargetMode="External"/><Relationship Id="rId1130" Type="http://schemas.openxmlformats.org/officeDocument/2006/relationships/hyperlink" Target="https://drive.google.com/file/d/1QDNRrzD1VCOwR4bsx3QJgYLm2e6VV-no/view?usp=drivesdk" TargetMode="External"/><Relationship Id="rId1131" Type="http://schemas.openxmlformats.org/officeDocument/2006/relationships/hyperlink" Target="https://drive.google.com/file/d/1Sg7pV5-MRMEfG7acPaIDjV0AQ3yqElU4/view?usp=drivesdk" TargetMode="External"/><Relationship Id="rId543" Type="http://schemas.openxmlformats.org/officeDocument/2006/relationships/hyperlink" Target="https://drive.google.com/file/d/1xNa3snr_hhHjS7pnwFaA2tVxjB_0VvqW/view?usp=drivesdk" TargetMode="External"/><Relationship Id="rId1132" Type="http://schemas.openxmlformats.org/officeDocument/2006/relationships/hyperlink" Target="https://drive.google.com/file/d/1bVACFlgExLyf1CCoBeLzElMk1QbAZYSW/view?usp=drivesdk" TargetMode="External"/><Relationship Id="rId542" Type="http://schemas.openxmlformats.org/officeDocument/2006/relationships/hyperlink" Target="https://drive.google.com/file/d/1vzu_sqHQexZD23Pac-duPSmK-pGIptlf/view?usp=drivesdk" TargetMode="External"/><Relationship Id="rId1133" Type="http://schemas.openxmlformats.org/officeDocument/2006/relationships/hyperlink" Target="https://drive.google.com/file/d/1_IO4PdoMe7l8Q03W9hLBkKiHGidC5w-t/view?usp=drivesdk" TargetMode="External"/><Relationship Id="rId541" Type="http://schemas.openxmlformats.org/officeDocument/2006/relationships/hyperlink" Target="http://escholarship.org/uc/item/0qf9t9pc" TargetMode="External"/><Relationship Id="rId1134" Type="http://schemas.openxmlformats.org/officeDocument/2006/relationships/hyperlink" Target="https://drive.google.com/file/d/1hVohJjrePDnbP3YuG-OoIFpV1SI20xvZ/view?usp=drivesdk" TargetMode="External"/><Relationship Id="rId540" Type="http://schemas.openxmlformats.org/officeDocument/2006/relationships/hyperlink" Target="https://drive.google.com/file/d/1lAHnrSuQxWM2CdT06_FM1GDBh9d6nNTe/view?usp=drivesdk" TargetMode="External"/><Relationship Id="rId1135" Type="http://schemas.openxmlformats.org/officeDocument/2006/relationships/hyperlink" Target="https://drive.google.com/file/d/1hz1780nNZDOTtNpiczqkkXabV668BcRE/view?usp=drivesdk" TargetMode="External"/><Relationship Id="rId1125" Type="http://schemas.openxmlformats.org/officeDocument/2006/relationships/hyperlink" Target="https://drive.google.com/file/d/1HOf675tEXfG2bMnJOIiHzWGLlDbzEY3d/view?usp=drivesdk" TargetMode="External"/><Relationship Id="rId1126" Type="http://schemas.openxmlformats.org/officeDocument/2006/relationships/hyperlink" Target="https://drive.google.com/file/d/1vcCVkrjNwZHH8glmh9tGMygAb5DPf3dE/view?usp=drivesdk" TargetMode="External"/><Relationship Id="rId1127" Type="http://schemas.openxmlformats.org/officeDocument/2006/relationships/hyperlink" Target="https://drive.google.com/file/d/1-8hoTcDzN7GjN92fqlhu7SLhxRSQTUrd/view?usp=drivesdk" TargetMode="External"/><Relationship Id="rId1128" Type="http://schemas.openxmlformats.org/officeDocument/2006/relationships/hyperlink" Target="https://drive.google.com/file/d/1DS4JtkHMjs9zr71-ezWtK-niMJQwvASc/view?usp=drivesdk" TargetMode="External"/><Relationship Id="rId1129" Type="http://schemas.openxmlformats.org/officeDocument/2006/relationships/hyperlink" Target="https://drive.google.com/file/d/1bRLs3S0AT2q1kxpgqs8O2vQssNN1LQOi/view?usp=drivesdk" TargetMode="External"/><Relationship Id="rId536" Type="http://schemas.openxmlformats.org/officeDocument/2006/relationships/hyperlink" Target="https://drive.google.com/file/d/1hH6qE7kthoMhFZY570jnJq1nWfRd0uo-/view?usp=drivesdk" TargetMode="External"/><Relationship Id="rId535" Type="http://schemas.openxmlformats.org/officeDocument/2006/relationships/hyperlink" Target="https://drive.google.com/file/d/1mh0lOHypF2E9Nk9sQ57YmqKyEOyrqka8/view?usp=drivesdk" TargetMode="External"/><Relationship Id="rId534" Type="http://schemas.openxmlformats.org/officeDocument/2006/relationships/hyperlink" Target="http://digitalcommons.memphis.edu/etd/3538" TargetMode="External"/><Relationship Id="rId533" Type="http://schemas.openxmlformats.org/officeDocument/2006/relationships/hyperlink" Target="https://drive.google.com/file/d/1L3C99-yf2u_ns_5h3EBhsSGtflOl3HOc/view?usp=drivesdk" TargetMode="External"/><Relationship Id="rId539" Type="http://schemas.openxmlformats.org/officeDocument/2006/relationships/hyperlink" Target="http://escholarship.org/uc/item/8p5673qn" TargetMode="External"/><Relationship Id="rId538" Type="http://schemas.openxmlformats.org/officeDocument/2006/relationships/hyperlink" Target="https://drive.google.com/file/d/1BfaybP8V5w-BiT0TlcUAV03BKBkfzWla/view?usp=drivesdk" TargetMode="External"/><Relationship Id="rId537" Type="http://schemas.openxmlformats.org/officeDocument/2006/relationships/hyperlink" Target="https://drive.google.com/file/d/1h26KXyOgQpabChNDwArC5YlDBW4_cfve/view?usp=drivesdk" TargetMode="External"/><Relationship Id="rId1120" Type="http://schemas.openxmlformats.org/officeDocument/2006/relationships/hyperlink" Target="https://drive.google.com/file/d/1d3YiqgyBpR1vBwJxhNgYZttfp2h97WzB/view?usp=drivesdk" TargetMode="External"/><Relationship Id="rId532" Type="http://schemas.openxmlformats.org/officeDocument/2006/relationships/hyperlink" Target="https://drive.google.com/file/d/14Tmk9XIOQYVh24x1jFR4QedpIbTx_n_e/view?usp=drivesdk" TargetMode="External"/><Relationship Id="rId1121" Type="http://schemas.openxmlformats.org/officeDocument/2006/relationships/hyperlink" Target="https://drive.google.com/file/d/1BkIrUKawTYC3ZJd8Gdg3L-qgFqtjoWcy/view?usp=drivesdk" TargetMode="External"/><Relationship Id="rId531" Type="http://schemas.openxmlformats.org/officeDocument/2006/relationships/hyperlink" Target="https://drive.google.com/file/d/1tRSJ7nCc-S4z9k7Go2ucp_tmetdfTvik/view?usp=drivesdk" TargetMode="External"/><Relationship Id="rId1122" Type="http://schemas.openxmlformats.org/officeDocument/2006/relationships/hyperlink" Target="https://drive.google.com/file/d/1KepKPpAIiCTU53-R7iv3bibeeDT2e4uc/view?usp=drivesdk" TargetMode="External"/><Relationship Id="rId530" Type="http://schemas.openxmlformats.org/officeDocument/2006/relationships/hyperlink" Target="http://aclanthology.org/2024.lrec-main.91" TargetMode="External"/><Relationship Id="rId1123" Type="http://schemas.openxmlformats.org/officeDocument/2006/relationships/hyperlink" Target="https://drive.google.com/file/d/1V3ckTOj3ZkkNHIEaAqeL1uAXi4vMNsml/view?usp=drivesdk" TargetMode="External"/><Relationship Id="rId1124" Type="http://schemas.openxmlformats.org/officeDocument/2006/relationships/hyperlink" Target="https://drive.google.com/file/d/1VIF6kuqnOCJkukqkxuMzonIlfG0vD2p3/view?usp=drivesdk" TargetMode="External"/><Relationship Id="rId1158" Type="http://schemas.openxmlformats.org/officeDocument/2006/relationships/hyperlink" Target="https://drive.google.com/file/d/1xWBya8BVfE1sTB6yhxybNTqOYxEnPWZU/view?usp=drivesdk" TargetMode="External"/><Relationship Id="rId1159" Type="http://schemas.openxmlformats.org/officeDocument/2006/relationships/hyperlink" Target="https://drive.google.com/file/d/14Sp-rGYXqQVyuRmTeLQtmwZJYE3030vb/view?usp=drivesdk" TargetMode="External"/><Relationship Id="rId569" Type="http://schemas.openxmlformats.org/officeDocument/2006/relationships/hyperlink" Target="https://drive.google.com/file/d/1H6qRZ24gIkLnBRWVbjI2jgKRf4KnrPQh/view?usp=drivesdk" TargetMode="External"/><Relationship Id="rId568" Type="http://schemas.openxmlformats.org/officeDocument/2006/relationships/hyperlink" Target="https://drive.google.com/file/d/1QkWM8jiVqpN5vc_zuD8HexJx-ED2mGF0/view?usp=drivesdk" TargetMode="External"/><Relationship Id="rId567" Type="http://schemas.openxmlformats.org/officeDocument/2006/relationships/hyperlink" Target="https://drive.google.com/file/d/1s-fD3MM9Vafr2eJtS0aNAfCBK-RY3Yo-/view?usp=drivesdk" TargetMode="External"/><Relationship Id="rId566" Type="http://schemas.openxmlformats.org/officeDocument/2006/relationships/hyperlink" Target="https://drive.google.com/file/d/1nf6pGq8hq9bbyslYCmBnDq_ApL1IsSNI/view?usp=drivesdk" TargetMode="External"/><Relationship Id="rId561" Type="http://schemas.openxmlformats.org/officeDocument/2006/relationships/hyperlink" Target="https://drive.google.com/file/d/1L-LARd7ZRX1JGh3UR9K0BHsrkgo2wADv/view?usp=drivesdk" TargetMode="External"/><Relationship Id="rId1150" Type="http://schemas.openxmlformats.org/officeDocument/2006/relationships/hyperlink" Target="https://drive.google.com/file/d/1dnoOFsITQ-OlW3SSnEP3gasruwHVCneM/view?usp=drivesdk" TargetMode="External"/><Relationship Id="rId560" Type="http://schemas.openxmlformats.org/officeDocument/2006/relationships/hyperlink" Target="https://drive.google.com/file/d/1NhDoKUWqFTe51Dk7ZjfZTxJFNUFzigwr/view?usp=drivesdk" TargetMode="External"/><Relationship Id="rId1151" Type="http://schemas.openxmlformats.org/officeDocument/2006/relationships/hyperlink" Target="https://drive.google.com/file/d/1jZMmibrF0qP1C-7eRJEcXJL4O_ztSG2B/view?usp=drivesdk" TargetMode="External"/><Relationship Id="rId1152" Type="http://schemas.openxmlformats.org/officeDocument/2006/relationships/hyperlink" Target="https://drive.google.com/file/d/1jBszlwOALWIwLYvif4D3xVGXucPXKUwU/view?usp=drivesdk" TargetMode="External"/><Relationship Id="rId1153" Type="http://schemas.openxmlformats.org/officeDocument/2006/relationships/hyperlink" Target="https://drive.google.com/file/d/1lWEjtXsosG3uPn1h67AzaUXydMvmlJWW/view?usp=drivesdk" TargetMode="External"/><Relationship Id="rId565" Type="http://schemas.openxmlformats.org/officeDocument/2006/relationships/hyperlink" Target="https://drive.google.com/file/d/11AH2LlIZsd9ZFfFjWFxFf5MBHzmbtt8i/view?usp=drivesdk" TargetMode="External"/><Relationship Id="rId1154" Type="http://schemas.openxmlformats.org/officeDocument/2006/relationships/hyperlink" Target="https://drive.google.com/file/d/1y0oKhgHFMs_nXH4ufYi5ZaxDoesUnD71/view?usp=drivesdk" TargetMode="External"/><Relationship Id="rId564" Type="http://schemas.openxmlformats.org/officeDocument/2006/relationships/hyperlink" Target="https://drive.google.com/file/d/1MSm1yoidPn8M-5atsMIFyyg354c4jcsA/view?usp=drivesdk" TargetMode="External"/><Relationship Id="rId1155" Type="http://schemas.openxmlformats.org/officeDocument/2006/relationships/hyperlink" Target="https://drive.google.com/file/d/15LyeMLPtv2yK2REXBqDLC63QQhUXXDVm/view?usp=drivesdk" TargetMode="External"/><Relationship Id="rId563" Type="http://schemas.openxmlformats.org/officeDocument/2006/relationships/hyperlink" Target="https://drive.google.com/file/d/1bkTnTMpWLlh3SgTVNkQvjTSRhQmvFwtP/view?usp=drivesdk" TargetMode="External"/><Relationship Id="rId1156" Type="http://schemas.openxmlformats.org/officeDocument/2006/relationships/hyperlink" Target="https://drive.google.com/file/d/10N0LzNT1GTgGgvA6UUZUXzIdwFBBm26w/view?usp=drivesdk" TargetMode="External"/><Relationship Id="rId562" Type="http://schemas.openxmlformats.org/officeDocument/2006/relationships/hyperlink" Target="https://drive.google.com/file/d/19ZhWLN_zymp-mzX14YC7jEv-MHZn0Qb4/view?usp=drivesdk" TargetMode="External"/><Relationship Id="rId1157" Type="http://schemas.openxmlformats.org/officeDocument/2006/relationships/hyperlink" Target="https://drive.google.com/file/d/1btjIxPMyuU5I6jNMm9c2DuyFxN8Pze7t/view?usp=drivesdk" TargetMode="External"/><Relationship Id="rId1147" Type="http://schemas.openxmlformats.org/officeDocument/2006/relationships/hyperlink" Target="https://drive.google.com/file/d/128D_xuWagaOC3zKfGWUi8CFf7zReyViC/view?usp=drivesdk" TargetMode="External"/><Relationship Id="rId1148" Type="http://schemas.openxmlformats.org/officeDocument/2006/relationships/hyperlink" Target="https://drive.google.com/file/d/12RwvQLmV6wPAqPP_X6JgA8Qo27g_8SJK/view?usp=drivesdk" TargetMode="External"/><Relationship Id="rId1149" Type="http://schemas.openxmlformats.org/officeDocument/2006/relationships/hyperlink" Target="https://drive.google.com/file/d/1P8Hm5KaZpuFw07NdNh7BSk7XVf85qUvU/view?usp=drivesdk" TargetMode="External"/><Relationship Id="rId558" Type="http://schemas.openxmlformats.org/officeDocument/2006/relationships/hyperlink" Target="https://drive.google.com/file/d/14JiPB9PULLRpSMDZtQ3_0LhPcWDH6OCz/view?usp=drivesdk" TargetMode="External"/><Relationship Id="rId557" Type="http://schemas.openxmlformats.org/officeDocument/2006/relationships/hyperlink" Target="https://drive.google.com/file/d/1XHPKfkBsPhF-1p8BH_npxrU-1vPB8MEe/view?usp=drivesdk" TargetMode="External"/><Relationship Id="rId556" Type="http://schemas.openxmlformats.org/officeDocument/2006/relationships/hyperlink" Target="https://drive.google.com/file/d/1hFEIf9480JaK6TvFzb55CWH_AxeInkTB/view?usp=drivesdk" TargetMode="External"/><Relationship Id="rId555" Type="http://schemas.openxmlformats.org/officeDocument/2006/relationships/hyperlink" Target="https://drive.google.com/file/d/1R2VrRXYyejGfSg11kpe_vHbQr5DvYbiJ/view?usp=drivesdk" TargetMode="External"/><Relationship Id="rId559" Type="http://schemas.openxmlformats.org/officeDocument/2006/relationships/hyperlink" Target="https://drive.google.com/file/d/10fOdFQUiEeA-wgKC0-KooJXci0dSR4z2/view?usp=drivesdk" TargetMode="External"/><Relationship Id="rId550" Type="http://schemas.openxmlformats.org/officeDocument/2006/relationships/hyperlink" Target="https://drive.google.com/file/d/13vglHZTPgv6z9W5xPGWG5OyE_h91M3UK/view?usp=drivesdk" TargetMode="External"/><Relationship Id="rId1140" Type="http://schemas.openxmlformats.org/officeDocument/2006/relationships/hyperlink" Target="https://drive.google.com/file/d/15-xZoziBIfRM1RNSkhWBwkJIkhndLjdq/view?usp=drivesdk" TargetMode="External"/><Relationship Id="rId1141" Type="http://schemas.openxmlformats.org/officeDocument/2006/relationships/hyperlink" Target="https://drive.google.com/file/d/1DqdONyqsLP1eg0rgW71wKdPbcflRStOn/view?usp=drivesdk" TargetMode="External"/><Relationship Id="rId1142" Type="http://schemas.openxmlformats.org/officeDocument/2006/relationships/hyperlink" Target="https://drive.google.com/file/d/1xLqo3pcQbvof4dFTirs6WvJ7tevRvXKz/view?usp=drivesdk" TargetMode="External"/><Relationship Id="rId554" Type="http://schemas.openxmlformats.org/officeDocument/2006/relationships/hyperlink" Target="https://drive.google.com/file/d/1Dm7RxWVN3iiT5GipgY8Gq3dl65EkIYDu/view?usp=drivesdk" TargetMode="External"/><Relationship Id="rId1143" Type="http://schemas.openxmlformats.org/officeDocument/2006/relationships/hyperlink" Target="https://drive.google.com/file/d/19iYi-koeR6fi39K_iI9D0SdOP6whI2f7/view?usp=drivesdk" TargetMode="External"/><Relationship Id="rId553" Type="http://schemas.openxmlformats.org/officeDocument/2006/relationships/hyperlink" Target="https://drive.google.com/file/d/1KdKryH9Qx-Olx2xYcWf9zZPlU9JsWLmq/view?usp=drivesdk" TargetMode="External"/><Relationship Id="rId1144" Type="http://schemas.openxmlformats.org/officeDocument/2006/relationships/hyperlink" Target="https://drive.google.com/file/d/1EbrmM7VFUrWNPY8NxA_ziNU_qOGIUYVa/view?usp=drivesdk" TargetMode="External"/><Relationship Id="rId552" Type="http://schemas.openxmlformats.org/officeDocument/2006/relationships/hyperlink" Target="https://drive.google.com/file/d/1BtYypYyY-PzT4y8FLAgHXAyFQwMz4y2O/view?usp=drivesdk" TargetMode="External"/><Relationship Id="rId1145" Type="http://schemas.openxmlformats.org/officeDocument/2006/relationships/hyperlink" Target="https://drive.google.com/file/d/1ycY8rorKC9FDqVeTFdgVQQrTEuktcPox/view?usp=drivesdk" TargetMode="External"/><Relationship Id="rId551" Type="http://schemas.openxmlformats.org/officeDocument/2006/relationships/hyperlink" Target="https://drive.google.com/file/d/1tExO9xgJVhPwCnVdP8xlqn7faKujVADN/view?usp=drivesdk" TargetMode="External"/><Relationship Id="rId1146" Type="http://schemas.openxmlformats.org/officeDocument/2006/relationships/hyperlink" Target="https://drive.google.com/file/d/1NiPCpcI4sxnM3OTJQdqenG265Dkr8hRb/view?usp=drivesdk" TargetMode="External"/><Relationship Id="rId495" Type="http://schemas.openxmlformats.org/officeDocument/2006/relationships/hyperlink" Target="https://drive.google.com/file/d/1MFrh4TN71i6T_XH6VvEuarZ-bkTQmkjp/view?usp=drivesdk" TargetMode="External"/><Relationship Id="rId494" Type="http://schemas.openxmlformats.org/officeDocument/2006/relationships/hyperlink" Target="https://drive.google.com/file/d/1LvmKgU-0Swex9jXhSh89rVHkVzeNMucB/view?usp=drivesdk" TargetMode="External"/><Relationship Id="rId493" Type="http://schemas.openxmlformats.org/officeDocument/2006/relationships/hyperlink" Target="https://drive.google.com/file/d/1O4mjB0-ZSujMTJYtaAoIsXTPuhxgEF-0/view?usp=drivesdk" TargetMode="External"/><Relationship Id="rId492" Type="http://schemas.openxmlformats.org/officeDocument/2006/relationships/hyperlink" Target="https://drive.google.com/file/d/1y9Sta1A62b6o1louE7uCjU6m-n4q0e5j/view?usp=drivesdk" TargetMode="External"/><Relationship Id="rId499" Type="http://schemas.openxmlformats.org/officeDocument/2006/relationships/hyperlink" Target="https://drive.google.com/file/d/19vVZNnZqbHViA7ik9IZlctpt3T8O8e-i/view?usp=drivesdk" TargetMode="External"/><Relationship Id="rId498" Type="http://schemas.openxmlformats.org/officeDocument/2006/relationships/hyperlink" Target="https://drive.google.com/file/d/1lBAeCGIckBPanOLBGZwhA7XjuahS_0Dx/view?usp=drivesdk" TargetMode="External"/><Relationship Id="rId497" Type="http://schemas.openxmlformats.org/officeDocument/2006/relationships/hyperlink" Target="https://drive.google.com/file/d/11B6RDsDdpDnOGVv1Bafc4t3LGTugpLfW/view?usp=drivesdk" TargetMode="External"/><Relationship Id="rId496" Type="http://schemas.openxmlformats.org/officeDocument/2006/relationships/hyperlink" Target="https://drive.google.com/file/d/1hPhF8KaBqw1LsUQzpj31fTYVbHPo1XfL/view?usp=drivesdk" TargetMode="External"/><Relationship Id="rId907" Type="http://schemas.openxmlformats.org/officeDocument/2006/relationships/hyperlink" Target="https://drive.google.com/file/d/1OuxVCUkVnVBw7IH1mtlkV9HYUNX7kOe5/view?usp=drivesdk" TargetMode="External"/><Relationship Id="rId906" Type="http://schemas.openxmlformats.org/officeDocument/2006/relationships/hyperlink" Target="https://drive.google.com/file/d/13yA5wer3pEP6DzO7ZMN-jDmSL2aYTKUo/view?usp=drivesdk" TargetMode="External"/><Relationship Id="rId905" Type="http://schemas.openxmlformats.org/officeDocument/2006/relationships/hyperlink" Target="https://drive.google.com/file/d/1C2Jup6rdXsZPGLRA0Q5G0yMD3cEEnxWq/view?usp=drivesdk" TargetMode="External"/><Relationship Id="rId904" Type="http://schemas.openxmlformats.org/officeDocument/2006/relationships/hyperlink" Target="https://drive.google.com/file/d/1NxE1Ga7BUZXY3Xjkehb6oetRcD7yCVFb/view?usp=drivesdk" TargetMode="External"/><Relationship Id="rId909" Type="http://schemas.openxmlformats.org/officeDocument/2006/relationships/hyperlink" Target="https://drive.google.com/file/d/1-Y0tXk4wvWq7Lp_s5SZ5Mf957-oNEeur/view?usp=drivesdk" TargetMode="External"/><Relationship Id="rId908" Type="http://schemas.openxmlformats.org/officeDocument/2006/relationships/hyperlink" Target="https://drive.google.com/file/d/14-ZL5A4czmJoVm6VnVZoXDjPvxpu_fIM/view?usp=drivesdk" TargetMode="External"/><Relationship Id="rId903" Type="http://schemas.openxmlformats.org/officeDocument/2006/relationships/hyperlink" Target="https://drive.google.com/file/d/1sdcg8NT60W6Q1CUK8HlHIK6x_dR0WhCC/view?usp=drivesdk" TargetMode="External"/><Relationship Id="rId902" Type="http://schemas.openxmlformats.org/officeDocument/2006/relationships/hyperlink" Target="https://drive.google.com/file/d/1x5dReumzPkBHOlVCvRV6PIR2YzCKFDLg/view?usp=drivesdk" TargetMode="External"/><Relationship Id="rId901" Type="http://schemas.openxmlformats.org/officeDocument/2006/relationships/hyperlink" Target="https://drive.google.com/file/d/1W8pBtYP2f9U_-uIX5gCuIjH_0yXV7kTV/view?usp=drivesdk" TargetMode="External"/><Relationship Id="rId900" Type="http://schemas.openxmlformats.org/officeDocument/2006/relationships/hyperlink" Target="https://drive.google.com/file/d/1_rFVHDaWBDKF-ni6stLki1Wt7mspwAb2/view?usp=drivesdk" TargetMode="External"/><Relationship Id="rId929" Type="http://schemas.openxmlformats.org/officeDocument/2006/relationships/hyperlink" Target="https://drive.google.com/file/d/1aj8B0Xo2PNkknIhUbiwxlXmmWvp7ECaH/view?usp=drivesdk" TargetMode="External"/><Relationship Id="rId928" Type="http://schemas.openxmlformats.org/officeDocument/2006/relationships/hyperlink" Target="https://drive.google.com/file/d/1JdFF8pu65hv5yMW8kuJKZT-omhqW3568/view?usp=drivesdk" TargetMode="External"/><Relationship Id="rId927" Type="http://schemas.openxmlformats.org/officeDocument/2006/relationships/hyperlink" Target="https://drive.google.com/file/d/1Q7xa-u3DEssueb6fBYD39BjDPub6xcHR/view?usp=drivesdk" TargetMode="External"/><Relationship Id="rId926" Type="http://schemas.openxmlformats.org/officeDocument/2006/relationships/hyperlink" Target="https://drive.google.com/file/d/1AXc9ELjFb-hXVUWMzlJZYPXvvlEhIDm6/view?usp=drivesdk" TargetMode="External"/><Relationship Id="rId921" Type="http://schemas.openxmlformats.org/officeDocument/2006/relationships/hyperlink" Target="https://drive.google.com/file/d/1O-k-Z5CgdBCl2iip47xIs6T7RVcmAbcf/view?usp=drivesdk" TargetMode="External"/><Relationship Id="rId920" Type="http://schemas.openxmlformats.org/officeDocument/2006/relationships/hyperlink" Target="https://drive.google.com/file/d/1Y9TjJAW8ZKfogaBp1kGoi63qt-8wZ3_p/view?usp=drivesdk" TargetMode="External"/><Relationship Id="rId925" Type="http://schemas.openxmlformats.org/officeDocument/2006/relationships/hyperlink" Target="https://drive.google.com/file/d/1-xurSGJuM3s6RBApJqwPJeMlgGlC3K_D/view?usp=drivesdk" TargetMode="External"/><Relationship Id="rId924" Type="http://schemas.openxmlformats.org/officeDocument/2006/relationships/hyperlink" Target="https://drive.google.com/file/d/1gyeq5B_qi3Jnlf4Z_IsX5vLD1Nya92z0/view?usp=drivesdk" TargetMode="External"/><Relationship Id="rId923" Type="http://schemas.openxmlformats.org/officeDocument/2006/relationships/hyperlink" Target="https://drive.google.com/file/d/1XcuAMCb4SJKIgmPLDvhXazapejs_aDdJ/view?usp=drivesdk" TargetMode="External"/><Relationship Id="rId922" Type="http://schemas.openxmlformats.org/officeDocument/2006/relationships/hyperlink" Target="https://drive.google.com/file/d/1_a617egHPNmdr95a_vU1ME_nNXbxT2YN/view?usp=drivesdk" TargetMode="External"/><Relationship Id="rId918" Type="http://schemas.openxmlformats.org/officeDocument/2006/relationships/hyperlink" Target="https://drive.google.com/file/d/1tYqyeoNprzV_qtrZGEB-4reEpABdkPw3/view?usp=drivesdk" TargetMode="External"/><Relationship Id="rId917" Type="http://schemas.openxmlformats.org/officeDocument/2006/relationships/hyperlink" Target="https://drive.google.com/file/d/1_mASUuJkGSmG2GgCCSiVIjrljmT37fKD/view?usp=drivesdk" TargetMode="External"/><Relationship Id="rId916" Type="http://schemas.openxmlformats.org/officeDocument/2006/relationships/hyperlink" Target="https://drive.google.com/file/d/1NKb0rKO1p03jltWPge7_eMofoR99zCY4/view?usp=drivesdk" TargetMode="External"/><Relationship Id="rId915" Type="http://schemas.openxmlformats.org/officeDocument/2006/relationships/hyperlink" Target="https://drive.google.com/file/d/1eZUHCweVxeMdVb4zYCf9_w4tvePwSTns/view?usp=drivesdk" TargetMode="External"/><Relationship Id="rId919" Type="http://schemas.openxmlformats.org/officeDocument/2006/relationships/hyperlink" Target="https://drive.google.com/file/d/1N3Kdpl81yca1EtoDyekVJjSEXoEPFlfj/view?usp=drivesdk" TargetMode="External"/><Relationship Id="rId910" Type="http://schemas.openxmlformats.org/officeDocument/2006/relationships/hyperlink" Target="https://drive.google.com/file/d/13Nio-8dO7qZ49R3mjE9DmfkECTBbx1fU/view?usp=drivesdk" TargetMode="External"/><Relationship Id="rId914" Type="http://schemas.openxmlformats.org/officeDocument/2006/relationships/hyperlink" Target="https://drive.google.com/file/d/1sJy0VbAO2JUZeEyRrrbhw8VkO2cWWHfk/view?usp=drivesdk" TargetMode="External"/><Relationship Id="rId913" Type="http://schemas.openxmlformats.org/officeDocument/2006/relationships/hyperlink" Target="https://drive.google.com/file/d/1pEYSpiW7cwndWEcUtM2w1XP85JNmvB9Y/view?usp=drivesdk" TargetMode="External"/><Relationship Id="rId912" Type="http://schemas.openxmlformats.org/officeDocument/2006/relationships/hyperlink" Target="https://drive.google.com/file/d/1hlAefOA0L_mUhbFAEpVR-i1xbXqI-EKV/view?usp=drivesdk" TargetMode="External"/><Relationship Id="rId911" Type="http://schemas.openxmlformats.org/officeDocument/2006/relationships/hyperlink" Target="https://drive.google.com/file/d/1RIdyQYV9nsqx6EZiSwAZ6zO42GlvWP1u/view?usp=drivesdk" TargetMode="External"/><Relationship Id="rId1213" Type="http://schemas.openxmlformats.org/officeDocument/2006/relationships/hyperlink" Target="https://drive.google.com/file/d/1sVDcE0S8Au1V2yPyjhNJC-dbCas3mbhd/view?usp=drivesdk" TargetMode="External"/><Relationship Id="rId1214" Type="http://schemas.openxmlformats.org/officeDocument/2006/relationships/hyperlink" Target="https://drive.google.com/file/d/1miw0gE80AMT9hLj9igjJSpALmK9RwWFq/view?usp=drivesdk" TargetMode="External"/><Relationship Id="rId1215" Type="http://schemas.openxmlformats.org/officeDocument/2006/relationships/hyperlink" Target="https://drive.google.com/file/d/1C7ZFix0i5PE-sELkqelxpzSVqoZT0uXD/view?usp=drivesdk" TargetMode="External"/><Relationship Id="rId1216" Type="http://schemas.openxmlformats.org/officeDocument/2006/relationships/hyperlink" Target="https://drive.google.com/file/d/1pIRTLjdO33Sfa_G2JWHQXUfeh-daVV5W/view?usp=drivesdk" TargetMode="External"/><Relationship Id="rId1217" Type="http://schemas.openxmlformats.org/officeDocument/2006/relationships/hyperlink" Target="https://drive.google.com/file/d/1GqlmaUqsUO52N0r1Ib1RrmaOS2VDOtqx/view?usp=drivesdk" TargetMode="External"/><Relationship Id="rId1218" Type="http://schemas.openxmlformats.org/officeDocument/2006/relationships/hyperlink" Target="https://drive.google.com/file/d/11YlCMyN4uuL8Bm15aAIWE8inJeqhHaiW/view?usp=drivesdk" TargetMode="External"/><Relationship Id="rId1219" Type="http://schemas.openxmlformats.org/officeDocument/2006/relationships/hyperlink" Target="https://drive.google.com/file/d/1HdBN17kLB5Dti11EcyS-dTKrGQBVVhsc/view?usp=drivesdk" TargetMode="External"/><Relationship Id="rId866" Type="http://schemas.openxmlformats.org/officeDocument/2006/relationships/hyperlink" Target="https://drive.google.com/file/d/1FFUJeJxHvYXNMK7wqAJYiQFmmbe1ofI3/view?usp=drivesdk" TargetMode="External"/><Relationship Id="rId865" Type="http://schemas.openxmlformats.org/officeDocument/2006/relationships/hyperlink" Target="https://drive.google.com/file/d/1IrVsmf4IOT-xeJS2Ek22hrWc6J-o834t/view?usp=drivesdk" TargetMode="External"/><Relationship Id="rId864" Type="http://schemas.openxmlformats.org/officeDocument/2006/relationships/hyperlink" Target="https://drive.google.com/file/d/1qJE0K3gDNeo5WCbf6KkP1a0pxT3faRns/view?usp=drivesdk" TargetMode="External"/><Relationship Id="rId863" Type="http://schemas.openxmlformats.org/officeDocument/2006/relationships/hyperlink" Target="https://drive.google.com/file/d/19dKp0Bt_y9wu5nwD0ND7qjkbddLPOjCy/view?usp=drivesdk" TargetMode="External"/><Relationship Id="rId869" Type="http://schemas.openxmlformats.org/officeDocument/2006/relationships/hyperlink" Target="https://drive.google.com/file/d/1wtALe5oh1RdoY1mXdjr4WvMritJP2N4w/view?usp=drivesdk" TargetMode="External"/><Relationship Id="rId868" Type="http://schemas.openxmlformats.org/officeDocument/2006/relationships/hyperlink" Target="https://drive.google.com/file/d/1d6qI-QqNlpjQgx9Vwa0NjPkDpYx45iMg/view?usp=drivesdk" TargetMode="External"/><Relationship Id="rId867" Type="http://schemas.openxmlformats.org/officeDocument/2006/relationships/hyperlink" Target="https://drive.google.com/file/d/1JX_-a4N28fXIO7zfjPklo9WsE9pe3QjW/view?usp=drivesdk" TargetMode="External"/><Relationship Id="rId862" Type="http://schemas.openxmlformats.org/officeDocument/2006/relationships/hyperlink" Target="https://drive.google.com/file/d/1jWFV5HeX7zEMIqNr5jd2-PLoveTyWBCo/view?usp=drivesdk" TargetMode="External"/><Relationship Id="rId861" Type="http://schemas.openxmlformats.org/officeDocument/2006/relationships/hyperlink" Target="https://drive.google.com/file/d/12NOTFTy9kTGJZ9GCQplncqds0pQoFd46/view?usp=drivesdk" TargetMode="External"/><Relationship Id="rId1210" Type="http://schemas.openxmlformats.org/officeDocument/2006/relationships/hyperlink" Target="https://drive.google.com/file/d/16Fdz5Q4hZTnIAAvzSPJ1UmDOOND5AaDe/view?usp=drivesdk" TargetMode="External"/><Relationship Id="rId860" Type="http://schemas.openxmlformats.org/officeDocument/2006/relationships/hyperlink" Target="https://drive.google.com/file/d/13ErdM89UVNJLjA0F4YjMOg_9Z3MZKgKQ/view?usp=drivesdk" TargetMode="External"/><Relationship Id="rId1211" Type="http://schemas.openxmlformats.org/officeDocument/2006/relationships/hyperlink" Target="https://drive.google.com/file/d/14LrYEERHFe3i5aIlqqcm_uO0CiKkW1y2/view?usp=drivesdk" TargetMode="External"/><Relationship Id="rId1212" Type="http://schemas.openxmlformats.org/officeDocument/2006/relationships/hyperlink" Target="https://drive.google.com/file/d/1IyaF2VJcgVfWLGGRX0Pw4RnInw7LvfCb/view?usp=drivesdk" TargetMode="External"/><Relationship Id="rId1202" Type="http://schemas.openxmlformats.org/officeDocument/2006/relationships/hyperlink" Target="https://drive.google.com/file/d/1_PDJ9HJdyc65HgAxy4hirK9FdTGjmJt6/view?usp=drivesdk" TargetMode="External"/><Relationship Id="rId1203" Type="http://schemas.openxmlformats.org/officeDocument/2006/relationships/hyperlink" Target="https://drive.google.com/file/d/1uUa0wmROI0qE2xnTwxRVDmnwcW2lORPw/view?usp=drivesdk" TargetMode="External"/><Relationship Id="rId1204" Type="http://schemas.openxmlformats.org/officeDocument/2006/relationships/hyperlink" Target="https://drive.google.com/file/d/1mE5XaAsbpzpaVByGMY_Y-yHafY0h2G_x/view?usp=drivesdk" TargetMode="External"/><Relationship Id="rId1205" Type="http://schemas.openxmlformats.org/officeDocument/2006/relationships/hyperlink" Target="https://drive.google.com/file/d/1y8mrTT7_nUvHiOOj_Est9-y7QPFPn7bM/view?usp=drivesdk" TargetMode="External"/><Relationship Id="rId1206" Type="http://schemas.openxmlformats.org/officeDocument/2006/relationships/hyperlink" Target="https://drive.google.com/file/d/1m4aJwxOLHaW6W9BHJ4qrcFGnuaciz1IC/view?usp=drivesdk" TargetMode="External"/><Relationship Id="rId1207" Type="http://schemas.openxmlformats.org/officeDocument/2006/relationships/hyperlink" Target="https://drive.google.com/file/d/1VyZodnC88TkBiX9hwQqLISstx0--OlF9/view?usp=drivesdk" TargetMode="External"/><Relationship Id="rId1208" Type="http://schemas.openxmlformats.org/officeDocument/2006/relationships/hyperlink" Target="https://drive.google.com/file/d/1TnJyaUoRrpzVV53y8GXds5wdlyuM-9mX/view?usp=drivesdk" TargetMode="External"/><Relationship Id="rId1209" Type="http://schemas.openxmlformats.org/officeDocument/2006/relationships/hyperlink" Target="https://drive.google.com/file/d/1UTh20eT7TkvvPfQekHv-og8JNZ7R1WP8/view?usp=drivesdk" TargetMode="External"/><Relationship Id="rId855" Type="http://schemas.openxmlformats.org/officeDocument/2006/relationships/hyperlink" Target="https://drive.google.com/file/d/1Ls_1G30LlE9ynAfY1xfCDSGYTI9JG2pC/view?usp=drivesdk" TargetMode="External"/><Relationship Id="rId854" Type="http://schemas.openxmlformats.org/officeDocument/2006/relationships/hyperlink" Target="https://drive.google.com/file/d/1as3AUf7PRMswz__MVvHdjHvWtN6M-Jme/view?usp=drivesdk" TargetMode="External"/><Relationship Id="rId853" Type="http://schemas.openxmlformats.org/officeDocument/2006/relationships/hyperlink" Target="https://drive.google.com/file/d/1tOYv5tephBInK45nXBgMdZTCvXDOaxS-/view?usp=drivesdk" TargetMode="External"/><Relationship Id="rId852" Type="http://schemas.openxmlformats.org/officeDocument/2006/relationships/hyperlink" Target="https://drive.google.com/file/d/18NQOUQh8MW-PbnLNWU49bwK7tgWLtRuO/view?usp=drivesdk" TargetMode="External"/><Relationship Id="rId859" Type="http://schemas.openxmlformats.org/officeDocument/2006/relationships/hyperlink" Target="https://drive.google.com/file/d/1wdYvk7Rmo2EyJOhM_u_52bnzKuwozJai/view?usp=drivesdk" TargetMode="External"/><Relationship Id="rId858" Type="http://schemas.openxmlformats.org/officeDocument/2006/relationships/hyperlink" Target="https://drive.google.com/file/d/1Cv2pkcb9Dgfe7JtHwek1MCnDz3x3Kw7w/view?usp=drivesdk" TargetMode="External"/><Relationship Id="rId857" Type="http://schemas.openxmlformats.org/officeDocument/2006/relationships/hyperlink" Target="https://drive.google.com/file/d/1pWzqx5i9lfrh-IwhoBg1HHZbNkomyc43/view?usp=drivesdk" TargetMode="External"/><Relationship Id="rId856" Type="http://schemas.openxmlformats.org/officeDocument/2006/relationships/hyperlink" Target="https://drive.google.com/file/d/1qIFGf5ktWSXh7rQfL1KhTAj0tN-Q92hY/view?usp=drivesdk" TargetMode="External"/><Relationship Id="rId851" Type="http://schemas.openxmlformats.org/officeDocument/2006/relationships/hyperlink" Target="https://drive.google.com/file/d/1JkzKHLpwRKawpwzVmuWAxuS42YRz05mT/view?usp=drivesdk" TargetMode="External"/><Relationship Id="rId850" Type="http://schemas.openxmlformats.org/officeDocument/2006/relationships/hyperlink" Target="https://drive.google.com/file/d/182GXuG3qegDOfzlWQwH4rNCoeEmBWZVE/view?usp=drivesdk" TargetMode="External"/><Relationship Id="rId1200" Type="http://schemas.openxmlformats.org/officeDocument/2006/relationships/hyperlink" Target="https://drive.google.com/file/d/1n-xkjkrGpKzc0Ew4FDfG-BXhbw4Koezu/view?usp=drivesdk" TargetMode="External"/><Relationship Id="rId1201" Type="http://schemas.openxmlformats.org/officeDocument/2006/relationships/hyperlink" Target="https://drive.google.com/file/d/1-F7GLgEY4EHaws_BqDjoz-2HKv4q25Jx/view?usp=drivesdk" TargetMode="External"/><Relationship Id="rId1235" Type="http://schemas.openxmlformats.org/officeDocument/2006/relationships/hyperlink" Target="https://drive.google.com/file/d/1FHV-u9hbFTbf5tQRw4AZBWXvlnvbsJuW/view?usp=drivesdk" TargetMode="External"/><Relationship Id="rId1236" Type="http://schemas.openxmlformats.org/officeDocument/2006/relationships/hyperlink" Target="https://drive.google.com/file/d/1nm54o08eR4eFyMACR3wylzblVad7ZF5C/view?usp=drivesdk" TargetMode="External"/><Relationship Id="rId1237" Type="http://schemas.openxmlformats.org/officeDocument/2006/relationships/hyperlink" Target="https://drive.google.com/file/d/1yQorPB990ECp--s5Y810aRf0XfraQ5Wv/view?usp=drivesdk" TargetMode="External"/><Relationship Id="rId1238" Type="http://schemas.openxmlformats.org/officeDocument/2006/relationships/hyperlink" Target="https://drive.google.com/file/d/1PVqGipSN12augdNc_SE5KUYf7kJ8pMxh/view?usp=drivesdk" TargetMode="External"/><Relationship Id="rId1239" Type="http://schemas.openxmlformats.org/officeDocument/2006/relationships/hyperlink" Target="https://drive.google.com/file/d/16pozz0lmJju_YmH6O5UipsG8QfWJ1JK7/view?usp=drivesdk" TargetMode="External"/><Relationship Id="rId409" Type="http://schemas.openxmlformats.org/officeDocument/2006/relationships/hyperlink" Target="https://drive.google.com/file/d/116ux1lFNh85JTfA7rlcWpbV1sgxGhwMh/view?usp=drivesdk" TargetMode="External"/><Relationship Id="rId404" Type="http://schemas.openxmlformats.org/officeDocument/2006/relationships/hyperlink" Target="https://drive.google.com/file/d/1kdZLBkUApDss7ySLJK034jl3rTKemhnJ/view?usp=drivesdk" TargetMode="External"/><Relationship Id="rId888" Type="http://schemas.openxmlformats.org/officeDocument/2006/relationships/hyperlink" Target="https://drive.google.com/file/d/1LPPcCkJMWMgAog-5XWwMTP5x4S9LFsG4/view?usp=drivesdk" TargetMode="External"/><Relationship Id="rId403" Type="http://schemas.openxmlformats.org/officeDocument/2006/relationships/hyperlink" Target="https://drive.google.com/file/d/1uCFFMA_-qokNXypcjNJCz-kIkPjXgKuT/view?usp=drivesdk" TargetMode="External"/><Relationship Id="rId887" Type="http://schemas.openxmlformats.org/officeDocument/2006/relationships/hyperlink" Target="https://drive.google.com/file/d/1x9sfN1Qyptlpks3NPyyD6PckLhoE6G6J/view?usp=drivesdk" TargetMode="External"/><Relationship Id="rId402" Type="http://schemas.openxmlformats.org/officeDocument/2006/relationships/hyperlink" Target="https://drive.google.com/file/d/1-AugkAi762Vn2PNN5xd7FoQQ9st-F4p9/view?usp=drivesdk" TargetMode="External"/><Relationship Id="rId886" Type="http://schemas.openxmlformats.org/officeDocument/2006/relationships/hyperlink" Target="https://drive.google.com/file/d/1TOxKvkgLgldkEiOl4Cnst0AYk7w8IBCh/view?usp=drivesdk" TargetMode="External"/><Relationship Id="rId401" Type="http://schemas.openxmlformats.org/officeDocument/2006/relationships/hyperlink" Target="https://drive.google.com/file/d/1lRP53zTo3VPT-PsO3ntfyg-tGbdQtIIK/view?usp=drivesdk" TargetMode="External"/><Relationship Id="rId885" Type="http://schemas.openxmlformats.org/officeDocument/2006/relationships/hyperlink" Target="https://drive.google.com/file/d/1gjwCxHVp1efxTgO9FpYCyl7tkrrSp2_Q/view?usp=drivesdk" TargetMode="External"/><Relationship Id="rId408" Type="http://schemas.openxmlformats.org/officeDocument/2006/relationships/hyperlink" Target="https://drive.google.com/file/d/1HvJhg-z__ZC4L2MVWwWJgR-8s9h67R34/view?usp=drivesdk" TargetMode="External"/><Relationship Id="rId407" Type="http://schemas.openxmlformats.org/officeDocument/2006/relationships/hyperlink" Target="https://drive.google.com/file/d/1pEsi_zCge4Xxz2XomVjcrFondU662vvE/view?usp=drivesdk" TargetMode="External"/><Relationship Id="rId406" Type="http://schemas.openxmlformats.org/officeDocument/2006/relationships/hyperlink" Target="https://drive.google.com/file/d/1gRhKC7-YLt04IbuMzSP47N5GlLulLnyP/view?usp=drivesdk" TargetMode="External"/><Relationship Id="rId405" Type="http://schemas.openxmlformats.org/officeDocument/2006/relationships/hyperlink" Target="https://drive.google.com/file/d/1WfPribPjrUnNwdjyMLceAC2yV6uOwcIj/view?usp=drivesdk" TargetMode="External"/><Relationship Id="rId889" Type="http://schemas.openxmlformats.org/officeDocument/2006/relationships/hyperlink" Target="https://drive.google.com/file/d/1hmrY9lsX4LBR0hPx0EBCXocgeL7ArKp6/view?usp=drivesdk" TargetMode="External"/><Relationship Id="rId880" Type="http://schemas.openxmlformats.org/officeDocument/2006/relationships/hyperlink" Target="https://drive.google.com/file/d/1F_JGx_lWmWBMWGZrthYhmK7TvjE2Cywn/view?usp=drivesdk" TargetMode="External"/><Relationship Id="rId1230" Type="http://schemas.openxmlformats.org/officeDocument/2006/relationships/hyperlink" Target="https://drive.google.com/file/d/19DaZ3U3kDTGt8DNgyBPYTrh0pbrw_vwe/view?usp=drivesdk" TargetMode="External"/><Relationship Id="rId400" Type="http://schemas.openxmlformats.org/officeDocument/2006/relationships/hyperlink" Target="https://drive.google.com/file/d/1OXOz_E9VpKDoMyophO2ymVaA6QjHkMCY/view?usp=drivesdk" TargetMode="External"/><Relationship Id="rId884" Type="http://schemas.openxmlformats.org/officeDocument/2006/relationships/hyperlink" Target="https://drive.google.com/file/d/1r4ZL_EEBhFH6RF5JDxP8TDFqXke3Dqcf/view?usp=drivesdk" TargetMode="External"/><Relationship Id="rId1231" Type="http://schemas.openxmlformats.org/officeDocument/2006/relationships/hyperlink" Target="https://drive.google.com/file/d/1Ic6aADz9FFftbyqRAxUFmh-o53coOang/view?usp=drivesdk" TargetMode="External"/><Relationship Id="rId883" Type="http://schemas.openxmlformats.org/officeDocument/2006/relationships/hyperlink" Target="https://drive.google.com/file/d/1_DJ98pFWCppO7kDmfNAIB717B-QdRU2a/view?usp=drivesdk" TargetMode="External"/><Relationship Id="rId1232" Type="http://schemas.openxmlformats.org/officeDocument/2006/relationships/hyperlink" Target="https://drive.google.com/file/d/1xLFc8vMa_e-vbBQWCNykjr3P59Pc0jMD/view?usp=drivesdk" TargetMode="External"/><Relationship Id="rId882" Type="http://schemas.openxmlformats.org/officeDocument/2006/relationships/hyperlink" Target="https://drive.google.com/file/d/1yg-L6F0I6F1fgxX2H53kNgHST9iZhuFT/view?usp=drivesdk" TargetMode="External"/><Relationship Id="rId1233" Type="http://schemas.openxmlformats.org/officeDocument/2006/relationships/hyperlink" Target="https://drive.google.com/file/d/12hPE3_ROkrr-EwAg8DQR8e8OYrtwuoYT/view?usp=drivesdk" TargetMode="External"/><Relationship Id="rId881" Type="http://schemas.openxmlformats.org/officeDocument/2006/relationships/hyperlink" Target="https://drive.google.com/file/d/1Jq5At328FQy3ULsz05SxK1SrS_XRIVBv/view?usp=drivesdk" TargetMode="External"/><Relationship Id="rId1234" Type="http://schemas.openxmlformats.org/officeDocument/2006/relationships/hyperlink" Target="https://drive.google.com/file/d/1ncVTI_fg7cD5uuZLiCCdO3WT5ewLkA-V/view?usp=drivesdk" TargetMode="External"/><Relationship Id="rId1224" Type="http://schemas.openxmlformats.org/officeDocument/2006/relationships/hyperlink" Target="https://drive.google.com/file/d/1vurpc_i_PD2QcCV7pFaYNDEu3OYapdxB/view?usp=drivesdk" TargetMode="External"/><Relationship Id="rId1225" Type="http://schemas.openxmlformats.org/officeDocument/2006/relationships/hyperlink" Target="https://drive.google.com/file/d/1zAeAQJ4eRCYPaLwYl_cQdaBV-sgsCH1E/view?usp=drivesdk" TargetMode="External"/><Relationship Id="rId1226" Type="http://schemas.openxmlformats.org/officeDocument/2006/relationships/hyperlink" Target="https://drive.google.com/file/d/1AyZRwIvNXJpAjxVsANAKksDd3obuF0oL/view?usp=drivesdk" TargetMode="External"/><Relationship Id="rId1227" Type="http://schemas.openxmlformats.org/officeDocument/2006/relationships/hyperlink" Target="https://drive.google.com/file/d/1DNgz6zvVyJc9CChGs4IXCI5an4Rzk7nB/view?usp=drivesdk" TargetMode="External"/><Relationship Id="rId1228" Type="http://schemas.openxmlformats.org/officeDocument/2006/relationships/hyperlink" Target="https://drive.google.com/file/d/1BsnS4DPT2KmhjBeBNNcE4-t0vz9t8bBu/view?usp=drivesdk" TargetMode="External"/><Relationship Id="rId1229" Type="http://schemas.openxmlformats.org/officeDocument/2006/relationships/hyperlink" Target="https://drive.google.com/file/d/1eQcmhUZAM11qxH-mwM6jAouV_rCECXvM/view?usp=drivesdk" TargetMode="External"/><Relationship Id="rId877" Type="http://schemas.openxmlformats.org/officeDocument/2006/relationships/hyperlink" Target="https://drive.google.com/file/d/1jFrC1A_yeQPtrQ7firqJ7njA_VTcGSS6/view?usp=drivesdk" TargetMode="External"/><Relationship Id="rId876" Type="http://schemas.openxmlformats.org/officeDocument/2006/relationships/hyperlink" Target="https://drive.google.com/file/d/1bHBfOwE2j2qM6DS2iVTktr5tscbohYq8/view?usp=drivesdk" TargetMode="External"/><Relationship Id="rId875" Type="http://schemas.openxmlformats.org/officeDocument/2006/relationships/hyperlink" Target="https://drive.google.com/file/d/1aCpN9FQY-edL0KHCQ_dOeoW0p5GyALqJ/view?usp=drivesdk" TargetMode="External"/><Relationship Id="rId874" Type="http://schemas.openxmlformats.org/officeDocument/2006/relationships/hyperlink" Target="https://drive.google.com/file/d/13zl87LaDmgA5FAdpU1dA3yzTbFcw_L54/view?usp=drivesdk" TargetMode="External"/><Relationship Id="rId879" Type="http://schemas.openxmlformats.org/officeDocument/2006/relationships/hyperlink" Target="https://drive.google.com/file/d/1Ki3S9vl6CBRB-iEHfPJFbBeBXS5c4yze/view?usp=drivesdk" TargetMode="External"/><Relationship Id="rId878" Type="http://schemas.openxmlformats.org/officeDocument/2006/relationships/hyperlink" Target="https://drive.google.com/file/d/1pUn5JuuBayLiPcfWrAzZVia5_iDKgrFE/view?usp=drivesdk" TargetMode="External"/><Relationship Id="rId873" Type="http://schemas.openxmlformats.org/officeDocument/2006/relationships/hyperlink" Target="https://drive.google.com/file/d/1wCmr4BBIDn9AuSRCj2rGSlI0GuQ47RVa/view?usp=drivesdk" TargetMode="External"/><Relationship Id="rId1220" Type="http://schemas.openxmlformats.org/officeDocument/2006/relationships/hyperlink" Target="https://drive.google.com/file/d/1IvXyE1rwA3XbGaIs71lV94KBAOASxOSW/view?usp=drivesdk" TargetMode="External"/><Relationship Id="rId872" Type="http://schemas.openxmlformats.org/officeDocument/2006/relationships/hyperlink" Target="https://drive.google.com/file/d/1kS1z1V6AFLbZ9rpo8sFM3d0djf13VYDI/view?usp=drivesdk" TargetMode="External"/><Relationship Id="rId1221" Type="http://schemas.openxmlformats.org/officeDocument/2006/relationships/hyperlink" Target="https://drive.google.com/file/d/1bYGZGwWWVS-Gyd9EvxGZHfGkrlvQ7SVP/view?usp=drivesdk" TargetMode="External"/><Relationship Id="rId871" Type="http://schemas.openxmlformats.org/officeDocument/2006/relationships/hyperlink" Target="https://drive.google.com/file/d/1angB6Ei-2ZlIhgs0AbXlGha3kvj3fUY0/view?usp=drivesdk" TargetMode="External"/><Relationship Id="rId1222" Type="http://schemas.openxmlformats.org/officeDocument/2006/relationships/hyperlink" Target="https://drive.google.com/file/d/19vdYAZkCypP9hiOcyAcKHxjhTelRkEZ4/view?usp=drivesdk" TargetMode="External"/><Relationship Id="rId870" Type="http://schemas.openxmlformats.org/officeDocument/2006/relationships/hyperlink" Target="https://drive.google.com/file/d/1DGULVXUsTEU_9EPzOnZqFH3SYWy7WfkA/view?usp=drivesdk" TargetMode="External"/><Relationship Id="rId1223" Type="http://schemas.openxmlformats.org/officeDocument/2006/relationships/hyperlink" Target="https://drive.google.com/file/d/1UKyZSyadeWWKlD03-UFjhlFvSy-jY0H-/view?usp=drivesdk" TargetMode="External"/><Relationship Id="rId829" Type="http://schemas.openxmlformats.org/officeDocument/2006/relationships/hyperlink" Target="https://drive.google.com/file/d/1BV6WsC6qCPXZsjA8vsWO-pA40hx0KbaP/view?usp=drivesdk" TargetMode="External"/><Relationship Id="rId828" Type="http://schemas.openxmlformats.org/officeDocument/2006/relationships/hyperlink" Target="https://drive.google.com/file/d/1vSUoURXNkSjOH5b-EJ3fbPhxlP2R6Cmd/view?usp=drivesdk" TargetMode="External"/><Relationship Id="rId827" Type="http://schemas.openxmlformats.org/officeDocument/2006/relationships/hyperlink" Target="https://drive.google.com/file/d/13QpH12y8u_3LYQfpUlZPXruZ9ITxBj7L/view?usp=drivesdk" TargetMode="External"/><Relationship Id="rId822" Type="http://schemas.openxmlformats.org/officeDocument/2006/relationships/hyperlink" Target="https://drive.google.com/file/d/10IIx36WTqPVUiEaE8gV365XVujuS4Gfu/view?usp=drivesdk" TargetMode="External"/><Relationship Id="rId821" Type="http://schemas.openxmlformats.org/officeDocument/2006/relationships/hyperlink" Target="https://drive.google.com/file/d/1ZdStIAryiMG9Yjyb-epjFMXsQ4Y0oqnn/view?usp=drivesdk" TargetMode="External"/><Relationship Id="rId820" Type="http://schemas.openxmlformats.org/officeDocument/2006/relationships/hyperlink" Target="https://drive.google.com/file/d/1Igh1OYrpvOLJ8WDgqCuHskXzEU7ZoW_6/view?usp=drivesdk" TargetMode="External"/><Relationship Id="rId826" Type="http://schemas.openxmlformats.org/officeDocument/2006/relationships/hyperlink" Target="https://drive.google.com/file/d/1bqv0JC0jxBSnGUXudYVy287HrZYkg7f8/view?usp=drivesdk" TargetMode="External"/><Relationship Id="rId825" Type="http://schemas.openxmlformats.org/officeDocument/2006/relationships/hyperlink" Target="https://drive.google.com/file/d/1MPCWsbzcBe5ePjP0UljBAK8ZnOW2vQy1/view?usp=drivesdk" TargetMode="External"/><Relationship Id="rId824" Type="http://schemas.openxmlformats.org/officeDocument/2006/relationships/hyperlink" Target="https://drive.google.com/file/d/18k5lmuAt7G5fW0h7Ox4zm9sp87t0pl9o/view?usp=drivesdk" TargetMode="External"/><Relationship Id="rId823" Type="http://schemas.openxmlformats.org/officeDocument/2006/relationships/hyperlink" Target="https://drive.google.com/file/d/1wo2PsM8GTYQx74frM70uNiJKYAsBFUYB/view?usp=drivesdk" TargetMode="External"/><Relationship Id="rId819" Type="http://schemas.openxmlformats.org/officeDocument/2006/relationships/hyperlink" Target="https://drive.google.com/file/d/139fwfSuHaC3wTChDe3wxF-d919Mz_jKy/view?usp=drivesdk" TargetMode="External"/><Relationship Id="rId818" Type="http://schemas.openxmlformats.org/officeDocument/2006/relationships/hyperlink" Target="https://drive.google.com/file/d/1kEKQ8OZ8hWV7vjvUgePWcgbmTxOS3OkH/view?usp=drivesdk" TargetMode="External"/><Relationship Id="rId817" Type="http://schemas.openxmlformats.org/officeDocument/2006/relationships/hyperlink" Target="https://drive.google.com/file/d/1nPeNQuXq6UAyW8Ux_E5ua7um4qsFLJ_o/view?usp=drivesdk" TargetMode="External"/><Relationship Id="rId816" Type="http://schemas.openxmlformats.org/officeDocument/2006/relationships/hyperlink" Target="https://drive.google.com/file/d/14I4i-H3Y7sJWjSiL3kd591Tq0IYRx-nO/view?usp=drivesdk" TargetMode="External"/><Relationship Id="rId811" Type="http://schemas.openxmlformats.org/officeDocument/2006/relationships/hyperlink" Target="https://drive.google.com/file/d/1zi3DLqOGO7Btyv2lzS3_iuu2oIfHSvhn/view?usp=drivesdk" TargetMode="External"/><Relationship Id="rId810" Type="http://schemas.openxmlformats.org/officeDocument/2006/relationships/hyperlink" Target="https://drive.google.com/file/d/1ZkYyI9Xh0T6WySPVfqp6p62lMTtr4-4Z/view?usp=drivesdk" TargetMode="External"/><Relationship Id="rId815" Type="http://schemas.openxmlformats.org/officeDocument/2006/relationships/hyperlink" Target="https://drive.google.com/file/d/14DNZRM40L2rRaRLath5YsJWIG0aixqy-/view?usp=drivesdk" TargetMode="External"/><Relationship Id="rId814" Type="http://schemas.openxmlformats.org/officeDocument/2006/relationships/hyperlink" Target="https://drive.google.com/file/d/1-wsXELxSOwXrENqGKeAN6dmdsJy5xqtf/view?usp=drivesdk" TargetMode="External"/><Relationship Id="rId813" Type="http://schemas.openxmlformats.org/officeDocument/2006/relationships/hyperlink" Target="https://drive.google.com/file/d/1-FYT0QOVIGaA4PgfHyCIHis4MjqOeFiY/view?usp=drivesdk" TargetMode="External"/><Relationship Id="rId812" Type="http://schemas.openxmlformats.org/officeDocument/2006/relationships/hyperlink" Target="https://drive.google.com/file/d/1NKuXy2eEACsWL03AhiZ1c6s6CeqztW4P/view?usp=drivesdk" TargetMode="External"/><Relationship Id="rId849" Type="http://schemas.openxmlformats.org/officeDocument/2006/relationships/hyperlink" Target="https://drive.google.com/file/d/1Siah8cHN9e47_gL9zhIF1EGajvH1CyAB/view?usp=drivesdk" TargetMode="External"/><Relationship Id="rId844" Type="http://schemas.openxmlformats.org/officeDocument/2006/relationships/hyperlink" Target="https://drive.google.com/file/d/19FbyW9fNY6UwGhgLEzSQ05MwRyCTC3YQ/view?usp=drivesdk" TargetMode="External"/><Relationship Id="rId843" Type="http://schemas.openxmlformats.org/officeDocument/2006/relationships/hyperlink" Target="https://drive.google.com/file/d/1FHadUuNmTdW0LnkNTp5zQlyfn5GZ28bX/view?usp=drivesdk" TargetMode="External"/><Relationship Id="rId842" Type="http://schemas.openxmlformats.org/officeDocument/2006/relationships/hyperlink" Target="https://drive.google.com/file/d/1z3GCMlnj8CXi5EAWeC90iwE1ueOD17a1/view?usp=drivesdk" TargetMode="External"/><Relationship Id="rId841" Type="http://schemas.openxmlformats.org/officeDocument/2006/relationships/hyperlink" Target="https://drive.google.com/file/d/1bqNCgQVoUhLOppqc8fkMKPTkt16YU69C/view?usp=drivesdk" TargetMode="External"/><Relationship Id="rId848" Type="http://schemas.openxmlformats.org/officeDocument/2006/relationships/hyperlink" Target="https://drive.google.com/file/d/1F_nuyD_n047nlKR4UNCi4EOBqH27odbQ/view?usp=drivesdk" TargetMode="External"/><Relationship Id="rId847" Type="http://schemas.openxmlformats.org/officeDocument/2006/relationships/hyperlink" Target="https://drive.google.com/file/d/1WZ3vLKAiyXVJ8Y7P_HaRQAjUO19rFtGj/view?usp=drivesdk" TargetMode="External"/><Relationship Id="rId846" Type="http://schemas.openxmlformats.org/officeDocument/2006/relationships/hyperlink" Target="https://drive.google.com/file/d/1QoCLP7bUct1n8A_-MZCF8wm8Kz2BUX1d/view?usp=drivesdk" TargetMode="External"/><Relationship Id="rId845" Type="http://schemas.openxmlformats.org/officeDocument/2006/relationships/hyperlink" Target="https://drive.google.com/file/d/12jZzJF_5fcsQJhqPJb44akoOqNQsLihi/view?usp=drivesdk" TargetMode="External"/><Relationship Id="rId840" Type="http://schemas.openxmlformats.org/officeDocument/2006/relationships/hyperlink" Target="https://drive.google.com/file/d/1K3OKZrTIktD_b-8XBnmOYsspWQGFGk0Q/view?usp=drivesdk" TargetMode="External"/><Relationship Id="rId839" Type="http://schemas.openxmlformats.org/officeDocument/2006/relationships/hyperlink" Target="https://drive.google.com/file/d/15BF8OmP5jtaEWWYkqexESPGYmO6G2k5L/view?usp=drivesdk" TargetMode="External"/><Relationship Id="rId838" Type="http://schemas.openxmlformats.org/officeDocument/2006/relationships/hyperlink" Target="https://drive.google.com/file/d/1jOuc6HwGGOjFEh2R_gS67iWnf5Ql-TJX/view?usp=drivesdk" TargetMode="External"/><Relationship Id="rId833" Type="http://schemas.openxmlformats.org/officeDocument/2006/relationships/hyperlink" Target="https://drive.google.com/file/d/1ZJwJnhrQqNemZlVg810zY4UqBiSQXKPx/view?usp=drivesdk" TargetMode="External"/><Relationship Id="rId832" Type="http://schemas.openxmlformats.org/officeDocument/2006/relationships/hyperlink" Target="https://drive.google.com/file/d/10TU4DldvRAGQQB8ko09DTR5kZTiT8DWd/view?usp=drivesdk" TargetMode="External"/><Relationship Id="rId831" Type="http://schemas.openxmlformats.org/officeDocument/2006/relationships/hyperlink" Target="https://drive.google.com/file/d/1mFs9muymaEK-hSfyAYbiFpraUy2r_S5J/view?usp=drivesdk" TargetMode="External"/><Relationship Id="rId830" Type="http://schemas.openxmlformats.org/officeDocument/2006/relationships/hyperlink" Target="https://drive.google.com/file/d/1YKtEfMrOGZwhGnqG8EYyHuWgZ1XN5GQT/view?usp=drivesdk" TargetMode="External"/><Relationship Id="rId837" Type="http://schemas.openxmlformats.org/officeDocument/2006/relationships/hyperlink" Target="https://drive.google.com/file/d/1nh5VP9Rb5MKotf2eusMhTvkZWvd4bgdF/view?usp=drivesdk" TargetMode="External"/><Relationship Id="rId836" Type="http://schemas.openxmlformats.org/officeDocument/2006/relationships/hyperlink" Target="https://drive.google.com/file/d/1JFP7-KuZoBHwOtFwTX7dQBbZLZsnnzO1/view?usp=drivesdk" TargetMode="External"/><Relationship Id="rId835" Type="http://schemas.openxmlformats.org/officeDocument/2006/relationships/hyperlink" Target="https://drive.google.com/file/d/1FOQ7FQtPiTG4rTwMmNxW_mEod9sHnt_d/view?usp=drivesdk" TargetMode="External"/><Relationship Id="rId834" Type="http://schemas.openxmlformats.org/officeDocument/2006/relationships/hyperlink" Target="https://drive.google.com/file/d/14aPtuimCBHuACTR6Ysm7rhuUdNnhNt3M/view?usp=drivesdk" TargetMode="External"/><Relationship Id="rId469" Type="http://schemas.openxmlformats.org/officeDocument/2006/relationships/hyperlink" Target="https://drive.google.com/file/d/1TGN_TAtoJI3jhMQTEG2wnN59FCyiXC2_/view?usp=drivesdk" TargetMode="External"/><Relationship Id="rId468" Type="http://schemas.openxmlformats.org/officeDocument/2006/relationships/hyperlink" Target="https://drive.google.com/file/d/1unAIIiGopeKWxFHgWm5TahygDGPlH1Lj/view?usp=drivesdk" TargetMode="External"/><Relationship Id="rId467" Type="http://schemas.openxmlformats.org/officeDocument/2006/relationships/hyperlink" Target="https://drive.google.com/file/d/1IPv_LwpOrSwgWFLNt3ih6B9kYGRsDgyd/view?usp=drivesdk" TargetMode="External"/><Relationship Id="rId1290" Type="http://schemas.openxmlformats.org/officeDocument/2006/relationships/hyperlink" Target="https://drive.google.com/file/d/1Jd-vxSthONF63SEDbsY6lw8r6uODUAX8/view?usp=drivesdk" TargetMode="External"/><Relationship Id="rId1291" Type="http://schemas.openxmlformats.org/officeDocument/2006/relationships/hyperlink" Target="https://drive.google.com/file/d/1PY5jtq5K0dIYw5O_olHRDGUfn11WN3AQ/view?usp=drivesdk" TargetMode="External"/><Relationship Id="rId1292" Type="http://schemas.openxmlformats.org/officeDocument/2006/relationships/hyperlink" Target="https://drive.google.com/file/d/1xs7muWdyYdblxSMymp-O09c44czfutsh/view?usp=drivesdk" TargetMode="External"/><Relationship Id="rId462" Type="http://schemas.openxmlformats.org/officeDocument/2006/relationships/hyperlink" Target="https://drive.google.com/file/d/1LH5FS1-bb7IdYkCgO31BjONeTKWAtRQN/view?usp=drivesdk" TargetMode="External"/><Relationship Id="rId1293" Type="http://schemas.openxmlformats.org/officeDocument/2006/relationships/hyperlink" Target="https://drive.google.com/file/d/11cUsFlwo9goZsKmyqcZULLURsoogutHZ/view?usp=drivesdk" TargetMode="External"/><Relationship Id="rId461" Type="http://schemas.openxmlformats.org/officeDocument/2006/relationships/hyperlink" Target="https://drive.google.com/file/d/1NONRrVPLj3_SNxu7Ptx53k4VBPMr7tIo/view?usp=drivesdk" TargetMode="External"/><Relationship Id="rId1294" Type="http://schemas.openxmlformats.org/officeDocument/2006/relationships/hyperlink" Target="https://drive.google.com/file/d/1eCdADofR0Ulm7MkJ79uZdjuwR09NEDnI/view?usp=drivesdk" TargetMode="External"/><Relationship Id="rId460" Type="http://schemas.openxmlformats.org/officeDocument/2006/relationships/hyperlink" Target="https://drive.google.com/file/d/1VSCtSsv8HPQ12k-JKTjSEPJB-QhdOcwt/view?usp=drivesdk" TargetMode="External"/><Relationship Id="rId1295" Type="http://schemas.openxmlformats.org/officeDocument/2006/relationships/hyperlink" Target="https://drive.google.com/file/d/12w45h6wJ8IUMgRm5zyOxy7Tin7V_CCLy/view?usp=drivesdk" TargetMode="External"/><Relationship Id="rId1296" Type="http://schemas.openxmlformats.org/officeDocument/2006/relationships/hyperlink" Target="https://drive.google.com/file/d/1-SOOgACp6dnzzYdlh2PFI-ANnAwmf5c6/view?usp=drivesdk" TargetMode="External"/><Relationship Id="rId466" Type="http://schemas.openxmlformats.org/officeDocument/2006/relationships/hyperlink" Target="https://drive.google.com/file/d/12ZFslJnsSmpbIBYf9YKunwP3Ofv14HZ-/view?usp=drivesdk" TargetMode="External"/><Relationship Id="rId1297" Type="http://schemas.openxmlformats.org/officeDocument/2006/relationships/hyperlink" Target="https://drive.google.com/file/d/1eermV6x-0NkuxwsqnprduFouBUdTshGn/view?usp=drivesdk" TargetMode="External"/><Relationship Id="rId465" Type="http://schemas.openxmlformats.org/officeDocument/2006/relationships/hyperlink" Target="https://drive.google.com/file/d/15kKUsqyFArf82r6bAlXLuUVgHc1vD9sW/view?usp=drivesdk" TargetMode="External"/><Relationship Id="rId1298" Type="http://schemas.openxmlformats.org/officeDocument/2006/relationships/hyperlink" Target="https://drive.google.com/file/d/1zRyXsoSPgsnT73Tx99gTHCq3vOgCSARP/view?usp=drivesdk" TargetMode="External"/><Relationship Id="rId464" Type="http://schemas.openxmlformats.org/officeDocument/2006/relationships/hyperlink" Target="https://drive.google.com/file/d/1bHfJ-3gEyIURBJhF8bZZGAbZGtPK135A/view?usp=drivesdk" TargetMode="External"/><Relationship Id="rId1299" Type="http://schemas.openxmlformats.org/officeDocument/2006/relationships/hyperlink" Target="https://drive.google.com/file/d/1tL5SefgazspPrHDE7uspX1rbNInieF1Y/view?usp=drivesdk" TargetMode="External"/><Relationship Id="rId463" Type="http://schemas.openxmlformats.org/officeDocument/2006/relationships/hyperlink" Target="https://drive.google.com/file/d/1n-j6Aip_Ueqh39JoVXmnujoaVUR_DnRz/view?usp=drivesdk" TargetMode="External"/><Relationship Id="rId459" Type="http://schemas.openxmlformats.org/officeDocument/2006/relationships/hyperlink" Target="https://drive.google.com/file/d/1TJ6nnv7-YYGU9DUh1ApFGirYy6BbChHy/view?usp=drivesdk" TargetMode="External"/><Relationship Id="rId458" Type="http://schemas.openxmlformats.org/officeDocument/2006/relationships/hyperlink" Target="https://drive.google.com/file/d/1_YiZ9ym1etIoqiYTErFO56HCfNn-rWNe/view?usp=drivesdk" TargetMode="External"/><Relationship Id="rId457" Type="http://schemas.openxmlformats.org/officeDocument/2006/relationships/hyperlink" Target="https://drive.google.com/file/d/1vapTuoFWQvT1qaSJqcvZzdcKGuZPcOor/view?usp=drivesdk" TargetMode="External"/><Relationship Id="rId456" Type="http://schemas.openxmlformats.org/officeDocument/2006/relationships/hyperlink" Target="https://drive.google.com/file/d/1vDgLj9eoT-VnSILsFHRQ12VvtSFTsWUV/view?usp=drivesdk" TargetMode="External"/><Relationship Id="rId1280" Type="http://schemas.openxmlformats.org/officeDocument/2006/relationships/hyperlink" Target="https://drive.google.com/file/d/1aykdUrdNDQMd7IVvqNy3V_z8BwKq0YuV/view?usp=drivesdk" TargetMode="External"/><Relationship Id="rId1281" Type="http://schemas.openxmlformats.org/officeDocument/2006/relationships/hyperlink" Target="https://drive.google.com/file/d/1fmLie5fT08gQ-FPdfNY7VkK-cl_TbiCC/view?usp=drivesdk" TargetMode="External"/><Relationship Id="rId451" Type="http://schemas.openxmlformats.org/officeDocument/2006/relationships/hyperlink" Target="https://drive.google.com/file/d/1Zty8FHdgF4Nqed1S2bjomumBBiyC8Mfz/view?usp=drivesdk" TargetMode="External"/><Relationship Id="rId1282" Type="http://schemas.openxmlformats.org/officeDocument/2006/relationships/hyperlink" Target="https://drive.google.com/file/d/1pZrmtVQlW4Pm144U62OnQaKTslWUIqbt/view?usp=drivesdk" TargetMode="External"/><Relationship Id="rId450" Type="http://schemas.openxmlformats.org/officeDocument/2006/relationships/hyperlink" Target="https://drive.google.com/file/d/1W3AEU5DVdupmSq7M9uQdZobAM5ZqFYM0/view?usp=drivesdk" TargetMode="External"/><Relationship Id="rId1283" Type="http://schemas.openxmlformats.org/officeDocument/2006/relationships/hyperlink" Target="https://drive.google.com/file/d/1yjPQh3Y3JQTvZt9KASbvE7xGnpHw0Txm/view?usp=drivesdk" TargetMode="External"/><Relationship Id="rId1284" Type="http://schemas.openxmlformats.org/officeDocument/2006/relationships/hyperlink" Target="https://drive.google.com/file/d/12dihw_oF9yYrqSWQ8I8B4AJUed_ZzRRh/view?usp=drivesdk" TargetMode="External"/><Relationship Id="rId1285" Type="http://schemas.openxmlformats.org/officeDocument/2006/relationships/hyperlink" Target="https://drive.google.com/file/d/1cdxhLXtssEMbvuMMHfeGthoMD_6qK6dF/view?usp=drivesdk" TargetMode="External"/><Relationship Id="rId455" Type="http://schemas.openxmlformats.org/officeDocument/2006/relationships/hyperlink" Target="https://drive.google.com/file/d/1JQppLKOXxrmIyxFhDZtY85ZoIv_TVdh_/view?usp=drivesdk" TargetMode="External"/><Relationship Id="rId1286" Type="http://schemas.openxmlformats.org/officeDocument/2006/relationships/hyperlink" Target="https://drive.google.com/file/d/1n4Jo0WdyMm3V1SkI1hby710CoJe-zbeV/view?usp=drivesdk" TargetMode="External"/><Relationship Id="rId454" Type="http://schemas.openxmlformats.org/officeDocument/2006/relationships/hyperlink" Target="https://drive.google.com/file/d/17sgB6ScmXf8Wli1_dKWf0wpvxkNJRZtC/view?usp=drivesdk" TargetMode="External"/><Relationship Id="rId1287" Type="http://schemas.openxmlformats.org/officeDocument/2006/relationships/hyperlink" Target="https://drive.google.com/file/d/1OUD6knA8aPg9qTSfvRhBCXYuFwJTOzS8/view?usp=drivesdk" TargetMode="External"/><Relationship Id="rId453" Type="http://schemas.openxmlformats.org/officeDocument/2006/relationships/hyperlink" Target="https://drive.google.com/file/d/1pi6g99iJYyhyD_0jGvDca_hbleDdekCp/view?usp=drivesdk" TargetMode="External"/><Relationship Id="rId1288" Type="http://schemas.openxmlformats.org/officeDocument/2006/relationships/hyperlink" Target="https://drive.google.com/file/d/1LgctUTqq1qHQq3xvejQZ1bpldXd2lEXd/view?usp=drivesdk" TargetMode="External"/><Relationship Id="rId452" Type="http://schemas.openxmlformats.org/officeDocument/2006/relationships/hyperlink" Target="https://drive.google.com/file/d/1fNwzy4f6SEAeVccICF8BD0SDAIH7uPVr/view?usp=drivesdk" TargetMode="External"/><Relationship Id="rId1289" Type="http://schemas.openxmlformats.org/officeDocument/2006/relationships/hyperlink" Target="https://drive.google.com/file/d/1Okxe-KGvhvVzBCoNlkxv4sqCXcBKv2mg/view?usp=drivesdk" TargetMode="External"/><Relationship Id="rId491" Type="http://schemas.openxmlformats.org/officeDocument/2006/relationships/hyperlink" Target="https://drive.google.com/file/d/1joizDIhyA_6v5iIxaJb92CDtUAqisiiG/view?usp=drivesdk" TargetMode="External"/><Relationship Id="rId490" Type="http://schemas.openxmlformats.org/officeDocument/2006/relationships/hyperlink" Target="https://drive.google.com/file/d/1RTiaFppoyqVSbs6ENCjo8xyaIVfjFhVI/view?usp=drivesdk" TargetMode="External"/><Relationship Id="rId489" Type="http://schemas.openxmlformats.org/officeDocument/2006/relationships/hyperlink" Target="https://drive.google.com/file/d/1PO93PC_ps2XExqA6N_FX_WnXnQAPrB_Q/view?usp=drivesdk" TargetMode="External"/><Relationship Id="rId484" Type="http://schemas.openxmlformats.org/officeDocument/2006/relationships/hyperlink" Target="https://drive.google.com/file/d/1S1BDaMkHx3KW3osHCgZU9COckw9P0yzi/view?usp=drivesdk" TargetMode="External"/><Relationship Id="rId483" Type="http://schemas.openxmlformats.org/officeDocument/2006/relationships/hyperlink" Target="https://drive.google.com/file/d/1Aes0K1gD14f_6QAHkD9IPsvD4OgnIJ9K/view?usp=drivesdk" TargetMode="External"/><Relationship Id="rId482" Type="http://schemas.openxmlformats.org/officeDocument/2006/relationships/hyperlink" Target="https://drive.google.com/file/d/11NrpozUj6QEvSuPcqdy2reV2ZmG62r_Z/view?usp=drivesdk" TargetMode="External"/><Relationship Id="rId481" Type="http://schemas.openxmlformats.org/officeDocument/2006/relationships/hyperlink" Target="https://drive.google.com/file/d/1CxhrkeSaHBzp5T2m5mVKo0v0N9tNA96j/view?usp=drivesdk" TargetMode="External"/><Relationship Id="rId488" Type="http://schemas.openxmlformats.org/officeDocument/2006/relationships/hyperlink" Target="https://drive.google.com/file/d/1OeY-k8G9PoOVwBC3kScmLaiAEl_Sb-3y/view?usp=drivesdk" TargetMode="External"/><Relationship Id="rId487" Type="http://schemas.openxmlformats.org/officeDocument/2006/relationships/hyperlink" Target="https://drive.google.com/file/d/1GpMdw7ZFDWpDIdg1IjCcxRYXmuDta-6_/view?usp=drivesdk" TargetMode="External"/><Relationship Id="rId486" Type="http://schemas.openxmlformats.org/officeDocument/2006/relationships/hyperlink" Target="https://drive.google.com/file/d/1DO937F2xhbz54X6xu8qtsy63K6O9mEYa/view?usp=drivesdk" TargetMode="External"/><Relationship Id="rId485" Type="http://schemas.openxmlformats.org/officeDocument/2006/relationships/hyperlink" Target="https://drive.google.com/file/d/11FrEIq8nBGRjHM8n6665RHudNtasAq_q/view?usp=drivesdk" TargetMode="External"/><Relationship Id="rId480" Type="http://schemas.openxmlformats.org/officeDocument/2006/relationships/hyperlink" Target="https://drive.google.com/file/d/1gBBT6EBomzmICcRfzrG_6jxfvMnRuQIj/view?usp=drivesdk" TargetMode="External"/><Relationship Id="rId479" Type="http://schemas.openxmlformats.org/officeDocument/2006/relationships/hyperlink" Target="https://drive.google.com/file/d/140WKvPe6h8fNM79ffoPo5RX6uP0flGT4/view?usp=drivesdk" TargetMode="External"/><Relationship Id="rId478" Type="http://schemas.openxmlformats.org/officeDocument/2006/relationships/hyperlink" Target="https://drive.google.com/file/d/1H4h52o-2l4VeH6zifkEQWasrzj-Pi8k3/view?usp=drivesdk" TargetMode="External"/><Relationship Id="rId473" Type="http://schemas.openxmlformats.org/officeDocument/2006/relationships/hyperlink" Target="https://drive.google.com/file/d/1maMe58N1aLmqdBUtveOinCFDUWOh5rcE/view?usp=drivesdk" TargetMode="External"/><Relationship Id="rId472" Type="http://schemas.openxmlformats.org/officeDocument/2006/relationships/hyperlink" Target="https://drive.google.com/file/d/1RgKGmtfOeP7KPA-8BVD5JSSAaub2by_V/view?usp=drivesdk" TargetMode="External"/><Relationship Id="rId471" Type="http://schemas.openxmlformats.org/officeDocument/2006/relationships/hyperlink" Target="https://drive.google.com/file/d/1ULfnDtv84kgeFXRyMCCLbY1RRcrTQDB8/view?usp=drivesdk" TargetMode="External"/><Relationship Id="rId470" Type="http://schemas.openxmlformats.org/officeDocument/2006/relationships/hyperlink" Target="https://drive.google.com/file/d/1mgxHY5rSLZY_EieaSS4LRUonj0GvrfQE/view?usp=drivesdk" TargetMode="External"/><Relationship Id="rId477" Type="http://schemas.openxmlformats.org/officeDocument/2006/relationships/hyperlink" Target="https://drive.google.com/file/d/15Wsn7yRLOjnPIu3oOYbA1lhbZIRp1-8K/view?usp=drivesdk" TargetMode="External"/><Relationship Id="rId476" Type="http://schemas.openxmlformats.org/officeDocument/2006/relationships/hyperlink" Target="https://drive.google.com/file/d/1VipPphabn-Kfe9AzHC0j5FX1Fqp3bd0q/view?usp=drivesdk" TargetMode="External"/><Relationship Id="rId475" Type="http://schemas.openxmlformats.org/officeDocument/2006/relationships/hyperlink" Target="https://drive.google.com/file/d/15dLELTosbF1NWFYI0UOSPLIC70dnGG5S/view?usp=drivesdk" TargetMode="External"/><Relationship Id="rId474" Type="http://schemas.openxmlformats.org/officeDocument/2006/relationships/hyperlink" Target="https://drive.google.com/file/d/1VAdnhoiJmdHbv1LbvyIfcfg3rNALrpkj/view?usp=drivesdk" TargetMode="External"/><Relationship Id="rId1257" Type="http://schemas.openxmlformats.org/officeDocument/2006/relationships/hyperlink" Target="https://drive.google.com/file/d/1UCGp2b9xQT5HVAnF4dD7JeFMbGrhzpex/view?usp=drivesdk" TargetMode="External"/><Relationship Id="rId1258" Type="http://schemas.openxmlformats.org/officeDocument/2006/relationships/hyperlink" Target="https://drive.google.com/file/d/1_T47980LRcVvkPpcoUhfImG7kOlwUqEM/view?usp=drivesdk" TargetMode="External"/><Relationship Id="rId1259" Type="http://schemas.openxmlformats.org/officeDocument/2006/relationships/hyperlink" Target="https://drive.google.com/file/d/1-pDt7XIQ8gHle_zOW9q4-7M5_5yCo3db/view?usp=drivesdk" TargetMode="External"/><Relationship Id="rId426" Type="http://schemas.openxmlformats.org/officeDocument/2006/relationships/hyperlink" Target="https://drive.google.com/file/d/1VxdhYWAzQnqcs07E_QIp8DFonsZrBpYe/view?usp=drivesdk" TargetMode="External"/><Relationship Id="rId425" Type="http://schemas.openxmlformats.org/officeDocument/2006/relationships/hyperlink" Target="https://drive.google.com/file/d/1-STrPNxtwFZUvuNyyXDlz1bTmYscRd6t/view?usp=drivesdk" TargetMode="External"/><Relationship Id="rId424" Type="http://schemas.openxmlformats.org/officeDocument/2006/relationships/hyperlink" Target="https://drive.google.com/file/d/1WsASGCOfsob-mQCui8A8AumUCdwI1vZt/view?usp=drivesdk" TargetMode="External"/><Relationship Id="rId423" Type="http://schemas.openxmlformats.org/officeDocument/2006/relationships/hyperlink" Target="https://drive.google.com/file/d/1WwYYCOA_x1mX6TzeKfrhq1RdbnoCXoh0/view?usp=drivesdk" TargetMode="External"/><Relationship Id="rId429" Type="http://schemas.openxmlformats.org/officeDocument/2006/relationships/hyperlink" Target="https://drive.google.com/file/d/1-SaG8WiDfkM6zwdVOonoQg1W2TXK8F2W/view?usp=drivesdk" TargetMode="External"/><Relationship Id="rId428" Type="http://schemas.openxmlformats.org/officeDocument/2006/relationships/hyperlink" Target="https://drive.google.com/file/d/19KQFSemeD8gmmrYhmcTweZW1cifRjRsN/view?usp=drivesdk" TargetMode="External"/><Relationship Id="rId427" Type="http://schemas.openxmlformats.org/officeDocument/2006/relationships/hyperlink" Target="https://drive.google.com/file/d/1UOMf-snqsk6_xm9569d5Yr7tIrEVriap/view?usp=drivesdk" TargetMode="External"/><Relationship Id="rId1250" Type="http://schemas.openxmlformats.org/officeDocument/2006/relationships/hyperlink" Target="https://drive.google.com/file/d/1xuFoPe4NoIX58JM0wx-8_dEId51aZij5/view?usp=drivesdk" TargetMode="External"/><Relationship Id="rId1251" Type="http://schemas.openxmlformats.org/officeDocument/2006/relationships/hyperlink" Target="https://drive.google.com/file/d/1-T4sznIFSDMlo5E8C7pS0UQqY9mrcCsK/view?usp=drivesdk" TargetMode="External"/><Relationship Id="rId1252" Type="http://schemas.openxmlformats.org/officeDocument/2006/relationships/hyperlink" Target="https://drive.google.com/file/d/1bUFd8EhwJ36bo-2xBlOdIPnQvw_apZ06/view?usp=drivesdk" TargetMode="External"/><Relationship Id="rId422" Type="http://schemas.openxmlformats.org/officeDocument/2006/relationships/hyperlink" Target="https://drive.google.com/file/d/1hzFq7DQ4QBCZolqR2nSfUrSqTtmPYs3_/view?usp=drivesdk" TargetMode="External"/><Relationship Id="rId1253" Type="http://schemas.openxmlformats.org/officeDocument/2006/relationships/hyperlink" Target="https://drive.google.com/file/d/1fhnK_MpUTUYrtfdIB-pGhbkxyiXV1Wjs/view?usp=drivesdk" TargetMode="External"/><Relationship Id="rId421" Type="http://schemas.openxmlformats.org/officeDocument/2006/relationships/hyperlink" Target="https://drive.google.com/file/d/15X7saP8VbSJHXa2xOtcgFcOKjQJFaUYh/view?usp=drivesdk" TargetMode="External"/><Relationship Id="rId1254" Type="http://schemas.openxmlformats.org/officeDocument/2006/relationships/hyperlink" Target="https://drive.google.com/file/d/1lgP6sNtXAaekI_R1yb941Bj3yTw4imeR/view?usp=drivesdk" TargetMode="External"/><Relationship Id="rId420" Type="http://schemas.openxmlformats.org/officeDocument/2006/relationships/hyperlink" Target="https://drive.google.com/file/d/1XfDlpkvCBdw9lQuqmsbfM7aoNwvrAoip/view?usp=drivesdk" TargetMode="External"/><Relationship Id="rId1255" Type="http://schemas.openxmlformats.org/officeDocument/2006/relationships/hyperlink" Target="https://drive.google.com/file/d/1yhJ17uggr6j5uXr73Jms5KP35M6RDUxL/view?usp=drivesdk" TargetMode="External"/><Relationship Id="rId1256" Type="http://schemas.openxmlformats.org/officeDocument/2006/relationships/hyperlink" Target="https://drive.google.com/file/d/1KF3EmUMvFgpP_JffHNBHYjTtKalpvzRE/view?usp=drivesdk" TargetMode="External"/><Relationship Id="rId1246" Type="http://schemas.openxmlformats.org/officeDocument/2006/relationships/hyperlink" Target="https://drive.google.com/file/d/1D49d4qgdPtpEFR4u5CPHZteLh9QKmMcv/view?usp=drivesdk" TargetMode="External"/><Relationship Id="rId1247" Type="http://schemas.openxmlformats.org/officeDocument/2006/relationships/hyperlink" Target="https://drive.google.com/file/d/1Q7xyjTHCXVBDAcscenEerggpt0mO62P6/view?usp=drivesdk" TargetMode="External"/><Relationship Id="rId1248" Type="http://schemas.openxmlformats.org/officeDocument/2006/relationships/hyperlink" Target="https://drive.google.com/file/d/1bdWCubONzotNyzQtyNAEPIstDQkJSEwL/view?usp=drivesdk" TargetMode="External"/><Relationship Id="rId1249" Type="http://schemas.openxmlformats.org/officeDocument/2006/relationships/hyperlink" Target="https://drive.google.com/file/d/1NUoPD3eW0MR4HJ1BQoG7-ngWy5-ADbSy/view?usp=drivesdk" TargetMode="External"/><Relationship Id="rId415" Type="http://schemas.openxmlformats.org/officeDocument/2006/relationships/hyperlink" Target="https://drive.google.com/file/d/1UsMzRx5dAyBC19d7_59BtDW0beEzge2i/view?usp=drivesdk" TargetMode="External"/><Relationship Id="rId899" Type="http://schemas.openxmlformats.org/officeDocument/2006/relationships/hyperlink" Target="https://drive.google.com/file/d/12SWYH_3yaJdBAJKrKFzEeTvzXOf_RPCI/view?usp=drivesdk" TargetMode="External"/><Relationship Id="rId414" Type="http://schemas.openxmlformats.org/officeDocument/2006/relationships/hyperlink" Target="https://drive.google.com/file/d/1upE7yZOzvH5eWhjo60W2SL_Z4iTthBuJ/view?usp=drivesdk" TargetMode="External"/><Relationship Id="rId898" Type="http://schemas.openxmlformats.org/officeDocument/2006/relationships/hyperlink" Target="https://drive.google.com/file/d/1c8fXNnhmY13vK0FI3aMB_LAx3-JbSZd7/view?usp=drivesdk" TargetMode="External"/><Relationship Id="rId413" Type="http://schemas.openxmlformats.org/officeDocument/2006/relationships/hyperlink" Target="https://drive.google.com/file/d/1HyrNh-agatlqkBI_Y2cQxLTUdJmQoYlf/view?usp=drivesdk" TargetMode="External"/><Relationship Id="rId897" Type="http://schemas.openxmlformats.org/officeDocument/2006/relationships/hyperlink" Target="https://drive.google.com/file/d/1UMAh9VGta6ExS2-Lb6GkDF4fmnI2EMeM/view?usp=drivesdk" TargetMode="External"/><Relationship Id="rId412" Type="http://schemas.openxmlformats.org/officeDocument/2006/relationships/hyperlink" Target="https://drive.google.com/file/d/1ZvAbdxhSZjsiTtoGCcl4wKGSEHyET-ky/view?usp=drivesdk" TargetMode="External"/><Relationship Id="rId896" Type="http://schemas.openxmlformats.org/officeDocument/2006/relationships/hyperlink" Target="https://drive.google.com/file/d/1p5ydRsZ4brAO2FqzQtlUbRAhPkcmRVgm/view?usp=drivesdk" TargetMode="External"/><Relationship Id="rId419" Type="http://schemas.openxmlformats.org/officeDocument/2006/relationships/hyperlink" Target="https://drive.google.com/file/d/1qgt58xRKt3k8Eix4-bV5OBupJ4bQXEgg/view?usp=drivesdk" TargetMode="External"/><Relationship Id="rId418" Type="http://schemas.openxmlformats.org/officeDocument/2006/relationships/hyperlink" Target="https://drive.google.com/file/d/1cd2Q3usXoNSUYACYaL4eodYUxZsj-SOb/view?usp=drivesdk" TargetMode="External"/><Relationship Id="rId417" Type="http://schemas.openxmlformats.org/officeDocument/2006/relationships/hyperlink" Target="https://drive.google.com/file/d/1tLDYZKQb4z1ZUitzltLK7vgv1To8FFUF/view?usp=drivesdk" TargetMode="External"/><Relationship Id="rId416" Type="http://schemas.openxmlformats.org/officeDocument/2006/relationships/hyperlink" Target="https://drive.google.com/file/d/1vmwxHTrl9F3n9CjnCny5Gv7aZ_iSmn06/view?usp=drivesdk" TargetMode="External"/><Relationship Id="rId891" Type="http://schemas.openxmlformats.org/officeDocument/2006/relationships/hyperlink" Target="https://drive.google.com/file/d/1WeBvmsASCT0Q2UPyJgrKX-SIIa5DtOUQ/view?usp=drivesdk" TargetMode="External"/><Relationship Id="rId890" Type="http://schemas.openxmlformats.org/officeDocument/2006/relationships/hyperlink" Target="https://drive.google.com/file/d/1SA7ZP2ow52I8kFKx4p2nJ0nUspPn6as_/view?usp=drivesdk" TargetMode="External"/><Relationship Id="rId1240" Type="http://schemas.openxmlformats.org/officeDocument/2006/relationships/hyperlink" Target="https://drive.google.com/file/d/1GCFNtGI_d_CgIPtrM02hpi0r-UNQaVqq/view?usp=drivesdk" TargetMode="External"/><Relationship Id="rId1241" Type="http://schemas.openxmlformats.org/officeDocument/2006/relationships/hyperlink" Target="https://drive.google.com/file/d/1je9cw-vS4o0h7s6-W5SXMCb_uEat2QOt/view?usp=drivesdk" TargetMode="External"/><Relationship Id="rId411" Type="http://schemas.openxmlformats.org/officeDocument/2006/relationships/hyperlink" Target="https://drive.google.com/file/d/1SwGFI5Wz9iRzabOCXMcfTU90XgmL8lKJ/view?usp=drivesdk" TargetMode="External"/><Relationship Id="rId895" Type="http://schemas.openxmlformats.org/officeDocument/2006/relationships/hyperlink" Target="https://drive.google.com/file/d/1su7Vb49cFI1HG8-kYcPPfFRtLhMmz3nx/view?usp=drivesdk" TargetMode="External"/><Relationship Id="rId1242" Type="http://schemas.openxmlformats.org/officeDocument/2006/relationships/hyperlink" Target="https://drive.google.com/file/d/15sRpGf5hZHB_mBs0FOiW6Zm0N2TupmUX/view?usp=drivesdk" TargetMode="External"/><Relationship Id="rId410" Type="http://schemas.openxmlformats.org/officeDocument/2006/relationships/hyperlink" Target="https://drive.google.com/file/d/1sINTPt9kd7F5Vgc5qW1iK2Ge6313RMjs/view?usp=drivesdk" TargetMode="External"/><Relationship Id="rId894" Type="http://schemas.openxmlformats.org/officeDocument/2006/relationships/hyperlink" Target="https://drive.google.com/file/d/1GYDJkUHLj_0GiFfIztass97sMyACxxL_/view?usp=drivesdk" TargetMode="External"/><Relationship Id="rId1243" Type="http://schemas.openxmlformats.org/officeDocument/2006/relationships/hyperlink" Target="https://drive.google.com/file/d/1gBF1OSh84_PEaQuwMpzqMOVewrJw3LKJ/view?usp=drivesdk" TargetMode="External"/><Relationship Id="rId893" Type="http://schemas.openxmlformats.org/officeDocument/2006/relationships/hyperlink" Target="https://drive.google.com/file/d/177P2xO1D22ODvu0Zcz9Ls-wtsZM0ck_y/view?usp=drivesdk" TargetMode="External"/><Relationship Id="rId1244" Type="http://schemas.openxmlformats.org/officeDocument/2006/relationships/hyperlink" Target="https://drive.google.com/file/d/1phqaJhapFhd9zISsdxBpoS9hsiQRiWsp/view?usp=drivesdk" TargetMode="External"/><Relationship Id="rId892" Type="http://schemas.openxmlformats.org/officeDocument/2006/relationships/hyperlink" Target="https://drive.google.com/file/d/1UXS2QTqJQUfE_Pyj2Qy0nOdEsfBcSrJD/view?usp=drivesdk" TargetMode="External"/><Relationship Id="rId1245" Type="http://schemas.openxmlformats.org/officeDocument/2006/relationships/hyperlink" Target="https://drive.google.com/file/d/1U3iYKdJmayaWRmdIBpM8EqJ5dcQwXvZG/view?usp=drivesdk" TargetMode="External"/><Relationship Id="rId1279" Type="http://schemas.openxmlformats.org/officeDocument/2006/relationships/hyperlink" Target="https://drive.google.com/file/d/15zJCvari-TFQv9pzANnsu-4EYcYNYVrW/view?usp=drivesdk" TargetMode="External"/><Relationship Id="rId448" Type="http://schemas.openxmlformats.org/officeDocument/2006/relationships/hyperlink" Target="https://drive.google.com/file/d/1AeJCeDtR27X7LIlQj69LZhU8lw_irjTZ/view?usp=drivesdk" TargetMode="External"/><Relationship Id="rId447" Type="http://schemas.openxmlformats.org/officeDocument/2006/relationships/hyperlink" Target="https://drive.google.com/file/d/14Gn77igqT7z48cFv6fyuoc9vsjaDleJT/view?usp=drivesdk" TargetMode="External"/><Relationship Id="rId446" Type="http://schemas.openxmlformats.org/officeDocument/2006/relationships/hyperlink" Target="https://drive.google.com/file/d/1regWIorXDhOmWYb_teCbaUslSpKLmqk8/view?usp=drivesdk" TargetMode="External"/><Relationship Id="rId445" Type="http://schemas.openxmlformats.org/officeDocument/2006/relationships/hyperlink" Target="https://drive.google.com/file/d/1jEva3KZqbW-ONMklgs2Rg6dqi_PQzPiT/view?usp=drivesdk" TargetMode="External"/><Relationship Id="rId449" Type="http://schemas.openxmlformats.org/officeDocument/2006/relationships/hyperlink" Target="https://drive.google.com/file/d/1GrUOAhTHghIcwyEiFpklKuM_OleLXBcC/view?usp=drivesdk" TargetMode="External"/><Relationship Id="rId1270" Type="http://schemas.openxmlformats.org/officeDocument/2006/relationships/hyperlink" Target="https://drive.google.com/file/d/1OZLlA7rWPjzQ0aOsWuoK0fm_EoxUug0J/view?usp=drivesdk" TargetMode="External"/><Relationship Id="rId440" Type="http://schemas.openxmlformats.org/officeDocument/2006/relationships/hyperlink" Target="https://drive.google.com/file/d/1TOZ9euIliRhkN1zDzYb6v8ankkIXs-ya/view?usp=drivesdk" TargetMode="External"/><Relationship Id="rId1271" Type="http://schemas.openxmlformats.org/officeDocument/2006/relationships/hyperlink" Target="https://drive.google.com/file/d/1gqSNC7SSmFXr_f_6y6GPvT5XVE36ywaR/view?usp=drivesdk" TargetMode="External"/><Relationship Id="rId1272" Type="http://schemas.openxmlformats.org/officeDocument/2006/relationships/hyperlink" Target="https://drive.google.com/file/d/1Qb4Psh8SW__HsspPDPz8L_LN-PJY1dF6/view?usp=drivesdk" TargetMode="External"/><Relationship Id="rId1273" Type="http://schemas.openxmlformats.org/officeDocument/2006/relationships/hyperlink" Target="https://drive.google.com/file/d/1o7gUPIWlsZsKfDZUwMPrcvteUhl63aT7/view?usp=drivesdk" TargetMode="External"/><Relationship Id="rId1274" Type="http://schemas.openxmlformats.org/officeDocument/2006/relationships/hyperlink" Target="https://drive.google.com/file/d/10AhKxkQ_dxZHOYRrPgNEOVokMpRacTqj/view?usp=drivesdk" TargetMode="External"/><Relationship Id="rId444" Type="http://schemas.openxmlformats.org/officeDocument/2006/relationships/hyperlink" Target="https://drive.google.com/file/d/1O9o-IM6QAwdSD3z77TMTSt_bwseJOoxk/view?usp=drivesdk" TargetMode="External"/><Relationship Id="rId1275" Type="http://schemas.openxmlformats.org/officeDocument/2006/relationships/hyperlink" Target="https://drive.google.com/file/d/1tLBPGqjmg-IWU2ByA0kjcl4d_-dSFQRP/view?usp=drivesdk" TargetMode="External"/><Relationship Id="rId443" Type="http://schemas.openxmlformats.org/officeDocument/2006/relationships/hyperlink" Target="https://drive.google.com/file/d/1Jiqe2wOvjNTwwh15yI5l8MIejzUR62bQ/view?usp=drivesdk" TargetMode="External"/><Relationship Id="rId1276" Type="http://schemas.openxmlformats.org/officeDocument/2006/relationships/hyperlink" Target="https://drive.google.com/file/d/1ylm1-TrpeefNpirZWLXBaHDELNhcAqK1/view?usp=drivesdk" TargetMode="External"/><Relationship Id="rId442" Type="http://schemas.openxmlformats.org/officeDocument/2006/relationships/hyperlink" Target="https://drive.google.com/file/d/17-wgGNPZwtL6rEYJQatdPfEg3Zj4LlVp/view?usp=drivesdk" TargetMode="External"/><Relationship Id="rId1277" Type="http://schemas.openxmlformats.org/officeDocument/2006/relationships/hyperlink" Target="https://drive.google.com/file/d/1VbP_Ewf88OEuvCt9ZwvGSNNhhGDSj19O/view?usp=drivesdk" TargetMode="External"/><Relationship Id="rId441" Type="http://schemas.openxmlformats.org/officeDocument/2006/relationships/hyperlink" Target="https://drive.google.com/file/d/1vwoFAupWbe8Bgv7842QySg1LaEqoDDe_/view?usp=drivesdk" TargetMode="External"/><Relationship Id="rId1278" Type="http://schemas.openxmlformats.org/officeDocument/2006/relationships/hyperlink" Target="https://drive.google.com/file/d/1mjYJdtrFbuNUuiClqSMdmti90aj-6cbK/view?usp=drivesdk" TargetMode="External"/><Relationship Id="rId1268" Type="http://schemas.openxmlformats.org/officeDocument/2006/relationships/hyperlink" Target="https://drive.google.com/file/d/1D8BYqxNpLQsaWrEi9zrvQojkOgzP4Ps2/view?usp=drivesdk" TargetMode="External"/><Relationship Id="rId1269" Type="http://schemas.openxmlformats.org/officeDocument/2006/relationships/hyperlink" Target="https://drive.google.com/file/d/1Gz8Y3sXt39nYqKigFe7GDA_0vlPzT9eo/view?usp=drivesdk" TargetMode="External"/><Relationship Id="rId437" Type="http://schemas.openxmlformats.org/officeDocument/2006/relationships/hyperlink" Target="https://drive.google.com/file/d/1tPKLdTFqIGFW4cqhMZC7Yr25fvDeEOP4/view?usp=drivesdk" TargetMode="External"/><Relationship Id="rId436" Type="http://schemas.openxmlformats.org/officeDocument/2006/relationships/hyperlink" Target="https://drive.google.com/file/d/1mWHWKkVq6BilZwniJ1YPf3kKFnahjts7/view?usp=drivesdk" TargetMode="External"/><Relationship Id="rId435" Type="http://schemas.openxmlformats.org/officeDocument/2006/relationships/hyperlink" Target="https://drive.google.com/file/d/19LNgQY4aAE8NOtLkCHGRPgEmv-PwUDkf/view?usp=drivesdk" TargetMode="External"/><Relationship Id="rId434" Type="http://schemas.openxmlformats.org/officeDocument/2006/relationships/hyperlink" Target="https://drive.google.com/file/d/18ezWy7djA945zL8CbFQlhWO8EZS4wwS1/view?usp=drivesdk" TargetMode="External"/><Relationship Id="rId439" Type="http://schemas.openxmlformats.org/officeDocument/2006/relationships/hyperlink" Target="https://drive.google.com/file/d/1L7jIX4b7NUY2KcEEPpbjKM2uA4LiKxQQ/view?usp=drivesdk" TargetMode="External"/><Relationship Id="rId438" Type="http://schemas.openxmlformats.org/officeDocument/2006/relationships/hyperlink" Target="https://drive.google.com/file/d/1vyO_YNL5gLoz0OBEYZ9kLrmMmH2YlP79/view?usp=drivesdk" TargetMode="External"/><Relationship Id="rId1260" Type="http://schemas.openxmlformats.org/officeDocument/2006/relationships/hyperlink" Target="https://drive.google.com/file/d/14sXJIUd6d9cI9KiIQjSDYIstLw99rX6Z/view?usp=drivesdk" TargetMode="External"/><Relationship Id="rId1261" Type="http://schemas.openxmlformats.org/officeDocument/2006/relationships/hyperlink" Target="https://drive.google.com/file/d/12oauQ37y0mcMDFqJ7bqVhBYq58KEsGVx/view?usp=drivesdk" TargetMode="External"/><Relationship Id="rId1262" Type="http://schemas.openxmlformats.org/officeDocument/2006/relationships/hyperlink" Target="https://drive.google.com/file/d/1OyJsePQ8uL-fdEQollfx14Y7XOGBJ7YL/view?usp=drivesdk" TargetMode="External"/><Relationship Id="rId1263" Type="http://schemas.openxmlformats.org/officeDocument/2006/relationships/hyperlink" Target="https://drive.google.com/file/d/1MyvsQotXbWyaILWmhISzDQWsI0r_I8bs/view?usp=drivesdk" TargetMode="External"/><Relationship Id="rId433" Type="http://schemas.openxmlformats.org/officeDocument/2006/relationships/hyperlink" Target="https://drive.google.com/file/d/1ytNNieBfW6njVZa_pFpdio4LUZmKmvXl/view?usp=drivesdk" TargetMode="External"/><Relationship Id="rId1264" Type="http://schemas.openxmlformats.org/officeDocument/2006/relationships/hyperlink" Target="https://drive.google.com/file/d/13sjd1O1OzYrSOURmApaPxDr_dnNuQRdk/view?usp=drivesdk" TargetMode="External"/><Relationship Id="rId432" Type="http://schemas.openxmlformats.org/officeDocument/2006/relationships/hyperlink" Target="https://drive.google.com/file/d/101cmDqz2Qax5SOrZCpFnyKsko_tw1UW3/view?usp=drivesdk" TargetMode="External"/><Relationship Id="rId1265" Type="http://schemas.openxmlformats.org/officeDocument/2006/relationships/hyperlink" Target="https://drive.google.com/file/d/1jvY3Sgds8iuvtsLXHlpUqcaSBliH2tJV/view?usp=drivesdk" TargetMode="External"/><Relationship Id="rId431" Type="http://schemas.openxmlformats.org/officeDocument/2006/relationships/hyperlink" Target="https://drive.google.com/file/d/1GJ1TkFgZk1zziaW-LwEzlbPoGlAfjX81/view?usp=drivesdk" TargetMode="External"/><Relationship Id="rId1266" Type="http://schemas.openxmlformats.org/officeDocument/2006/relationships/hyperlink" Target="https://drive.google.com/file/d/1FklynAHzflh7rbxQIU4qTxOz3VBhye8B/view?usp=drivesdk" TargetMode="External"/><Relationship Id="rId430" Type="http://schemas.openxmlformats.org/officeDocument/2006/relationships/hyperlink" Target="https://drive.google.com/file/d/122eQrKxq-6WpHqYSHCbu_61qufpfQpP1/view?usp=drivesdk" TargetMode="External"/><Relationship Id="rId1267" Type="http://schemas.openxmlformats.org/officeDocument/2006/relationships/hyperlink" Target="https://drive.google.com/file/d/1k_ITkShMoY3bps8YyiRV8_CnbYN3486s/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5"/>
    <col customWidth="1" min="5" max="5" width="33.88"/>
    <col customWidth="1" min="6" max="6" width="25.88"/>
    <col customWidth="1" min="19" max="20" width="14.13"/>
    <col customWidth="1" min="21" max="21" width="27.75"/>
    <col customWidth="1" min="29" max="29" width="76.88"/>
    <col customWidth="1" min="30" max="30" width="10.13"/>
    <col customWidth="1" min="31" max="31" width="10.38"/>
    <col customWidth="1" min="32" max="32" width="25.13"/>
    <col customWidth="1" min="33" max="33" width="10.38"/>
    <col customWidth="1" min="34" max="34" width="10.88"/>
    <col customWidth="1" min="39" max="40" width="6.63"/>
    <col customWidth="1" min="41" max="41" width="19.25"/>
  </cols>
  <sheetData>
    <row r="1" ht="20.25" customHeight="1">
      <c r="A1" s="1"/>
      <c r="B1" s="1"/>
      <c r="C1" s="1"/>
      <c r="D1" s="1"/>
      <c r="E1" s="2"/>
      <c r="F1" s="3" t="s">
        <v>0</v>
      </c>
      <c r="G1" s="1" t="s">
        <v>1</v>
      </c>
      <c r="H1" s="2" t="s">
        <v>2</v>
      </c>
      <c r="I1" s="2" t="s">
        <v>3</v>
      </c>
      <c r="J1" s="3" t="s">
        <v>4</v>
      </c>
      <c r="K1" s="4" t="s">
        <v>5</v>
      </c>
      <c r="L1" s="5" t="s">
        <v>6</v>
      </c>
      <c r="M1" s="5" t="s">
        <v>7</v>
      </c>
      <c r="N1" s="5" t="s">
        <v>8</v>
      </c>
      <c r="O1" s="6"/>
      <c r="P1" s="6"/>
      <c r="Q1" s="7" t="s">
        <v>9</v>
      </c>
      <c r="R1" s="8" t="s">
        <v>10</v>
      </c>
      <c r="S1" s="5" t="s">
        <v>11</v>
      </c>
      <c r="T1" s="5" t="s">
        <v>12</v>
      </c>
      <c r="U1" s="2"/>
      <c r="V1" s="2"/>
      <c r="W1" s="2"/>
      <c r="X1" s="3" t="s">
        <v>13</v>
      </c>
      <c r="Y1" s="3" t="s">
        <v>14</v>
      </c>
      <c r="Z1" s="3" t="s">
        <v>15</v>
      </c>
      <c r="AA1" s="9" t="s">
        <v>16</v>
      </c>
      <c r="AB1" s="4" t="s">
        <v>17</v>
      </c>
      <c r="AC1" s="10" t="s">
        <v>18</v>
      </c>
      <c r="AD1" s="10" t="s">
        <v>19</v>
      </c>
      <c r="AE1" s="4" t="s">
        <v>20</v>
      </c>
      <c r="AF1" s="4" t="s">
        <v>21</v>
      </c>
      <c r="AG1" s="4" t="s">
        <v>22</v>
      </c>
      <c r="AH1" s="10"/>
      <c r="AI1" s="10" t="s">
        <v>23</v>
      </c>
      <c r="AJ1" s="10" t="s">
        <v>24</v>
      </c>
      <c r="AK1" s="10" t="s">
        <v>25</v>
      </c>
      <c r="AL1" s="10"/>
      <c r="AM1" s="10"/>
      <c r="AN1" s="4" t="s">
        <v>26</v>
      </c>
      <c r="AO1" s="4" t="s">
        <v>27</v>
      </c>
      <c r="AP1" s="4" t="s">
        <v>28</v>
      </c>
      <c r="AR1" s="10" t="s">
        <v>29</v>
      </c>
      <c r="AS1" s="10" t="s">
        <v>30</v>
      </c>
      <c r="AT1" s="10" t="s">
        <v>31</v>
      </c>
      <c r="AU1" s="10"/>
      <c r="AV1" s="1"/>
      <c r="AW1" s="1"/>
      <c r="AX1" s="1"/>
      <c r="AY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ht="20.25" customHeight="1">
      <c r="A2" s="11" t="s">
        <v>32</v>
      </c>
      <c r="B2" s="11" t="s">
        <v>33</v>
      </c>
      <c r="C2" s="12" t="s">
        <v>34</v>
      </c>
      <c r="D2" s="11" t="s">
        <v>35</v>
      </c>
      <c r="E2" s="13" t="s">
        <v>36</v>
      </c>
      <c r="F2" s="14" t="s">
        <v>0</v>
      </c>
      <c r="G2" s="15" t="s">
        <v>1</v>
      </c>
      <c r="H2" s="15" t="s">
        <v>2</v>
      </c>
      <c r="I2" s="15" t="s">
        <v>3</v>
      </c>
      <c r="J2" s="15" t="s">
        <v>4</v>
      </c>
      <c r="K2" s="16" t="s">
        <v>5</v>
      </c>
      <c r="L2" s="17" t="s">
        <v>37</v>
      </c>
      <c r="M2" s="17" t="s">
        <v>38</v>
      </c>
      <c r="N2" s="17" t="s">
        <v>39</v>
      </c>
      <c r="O2" s="17" t="s">
        <v>40</v>
      </c>
      <c r="P2" s="18" t="s">
        <v>41</v>
      </c>
      <c r="Q2" s="19" t="s">
        <v>42</v>
      </c>
      <c r="R2" s="19" t="s">
        <v>43</v>
      </c>
      <c r="S2" s="19" t="s">
        <v>44</v>
      </c>
      <c r="T2" s="19" t="s">
        <v>45</v>
      </c>
      <c r="U2" s="19" t="s">
        <v>46</v>
      </c>
      <c r="V2" s="19" t="s">
        <v>47</v>
      </c>
      <c r="W2" s="19" t="s">
        <v>48</v>
      </c>
      <c r="X2" s="15" t="s">
        <v>13</v>
      </c>
      <c r="Y2" s="20" t="s">
        <v>14</v>
      </c>
      <c r="Z2" s="20" t="s">
        <v>15</v>
      </c>
      <c r="AA2" s="21" t="s">
        <v>16</v>
      </c>
      <c r="AB2" s="21" t="s">
        <v>17</v>
      </c>
      <c r="AC2" s="17" t="s">
        <v>49</v>
      </c>
      <c r="AD2" s="17" t="s">
        <v>50</v>
      </c>
      <c r="AE2" s="17" t="s">
        <v>51</v>
      </c>
      <c r="AF2" s="17" t="s">
        <v>52</v>
      </c>
      <c r="AG2" s="22" t="s">
        <v>53</v>
      </c>
      <c r="AH2" s="22" t="s">
        <v>54</v>
      </c>
      <c r="AI2" s="22" t="s">
        <v>23</v>
      </c>
      <c r="AJ2" s="22" t="s">
        <v>24</v>
      </c>
      <c r="AK2" s="22" t="s">
        <v>25</v>
      </c>
      <c r="AL2" s="22" t="s">
        <v>55</v>
      </c>
      <c r="AM2" s="22" t="s">
        <v>56</v>
      </c>
      <c r="AN2" s="19" t="s">
        <v>57</v>
      </c>
      <c r="AO2" s="19" t="s">
        <v>58</v>
      </c>
      <c r="AP2" s="19" t="s">
        <v>59</v>
      </c>
      <c r="AQ2" s="19" t="s">
        <v>60</v>
      </c>
      <c r="AR2" s="19" t="s">
        <v>29</v>
      </c>
      <c r="AS2" s="19" t="s">
        <v>30</v>
      </c>
      <c r="AT2" s="23" t="s">
        <v>31</v>
      </c>
      <c r="AU2" s="23" t="s">
        <v>61</v>
      </c>
      <c r="AV2" s="23" t="s">
        <v>62</v>
      </c>
      <c r="AW2" s="24" t="s">
        <v>63</v>
      </c>
      <c r="AX2" s="5" t="s">
        <v>64</v>
      </c>
      <c r="AY2" s="2" t="s">
        <v>65</v>
      </c>
      <c r="AZ2" s="25" t="s">
        <v>66</v>
      </c>
      <c r="BA2" s="25" t="s">
        <v>66</v>
      </c>
      <c r="BB2" s="1" t="s">
        <v>66</v>
      </c>
      <c r="BC2" s="1" t="s">
        <v>66</v>
      </c>
      <c r="BD2" s="1" t="s">
        <v>66</v>
      </c>
      <c r="BE2" s="1" t="s">
        <v>66</v>
      </c>
      <c r="BF2" s="1" t="s">
        <v>66</v>
      </c>
      <c r="BG2" s="1" t="s">
        <v>66</v>
      </c>
      <c r="BH2" s="1" t="s">
        <v>66</v>
      </c>
      <c r="BI2" s="1" t="s">
        <v>66</v>
      </c>
      <c r="BJ2" s="1" t="s">
        <v>66</v>
      </c>
      <c r="BK2" s="1" t="s">
        <v>66</v>
      </c>
      <c r="BL2" s="1" t="s">
        <v>66</v>
      </c>
      <c r="BM2" s="1" t="s">
        <v>66</v>
      </c>
      <c r="BN2" s="1" t="s">
        <v>66</v>
      </c>
      <c r="BO2" s="1" t="s">
        <v>66</v>
      </c>
      <c r="BP2" s="1" t="s">
        <v>66</v>
      </c>
      <c r="BQ2" s="1" t="s">
        <v>66</v>
      </c>
      <c r="BR2" s="1" t="s">
        <v>66</v>
      </c>
      <c r="BS2" s="1" t="s">
        <v>66</v>
      </c>
      <c r="BT2" s="1" t="s">
        <v>66</v>
      </c>
      <c r="BU2" s="1" t="s">
        <v>66</v>
      </c>
      <c r="BV2" s="1" t="s">
        <v>66</v>
      </c>
      <c r="BW2" s="1" t="s">
        <v>66</v>
      </c>
      <c r="BX2" s="1" t="s">
        <v>66</v>
      </c>
      <c r="BY2" s="1" t="s">
        <v>66</v>
      </c>
      <c r="BZ2" s="1" t="s">
        <v>66</v>
      </c>
      <c r="CA2" s="1" t="s">
        <v>66</v>
      </c>
      <c r="CB2" s="1" t="s">
        <v>66</v>
      </c>
      <c r="CC2" s="1" t="s">
        <v>66</v>
      </c>
      <c r="CD2" s="1" t="s">
        <v>66</v>
      </c>
      <c r="CE2" s="1" t="s">
        <v>66</v>
      </c>
      <c r="CF2" s="1" t="s">
        <v>66</v>
      </c>
      <c r="CG2" s="1" t="s">
        <v>66</v>
      </c>
      <c r="CH2" s="1" t="s">
        <v>66</v>
      </c>
      <c r="CI2" s="1" t="s">
        <v>66</v>
      </c>
      <c r="CJ2" s="1" t="s">
        <v>66</v>
      </c>
      <c r="CK2" s="1" t="s">
        <v>66</v>
      </c>
      <c r="CL2" s="1" t="s">
        <v>66</v>
      </c>
      <c r="CM2" s="1" t="s">
        <v>66</v>
      </c>
      <c r="CN2" s="1" t="s">
        <v>66</v>
      </c>
      <c r="CO2" s="1" t="s">
        <v>66</v>
      </c>
      <c r="CP2" s="1" t="s">
        <v>66</v>
      </c>
      <c r="CQ2" s="1" t="s">
        <v>66</v>
      </c>
      <c r="CR2" s="1" t="s">
        <v>66</v>
      </c>
      <c r="CS2" s="1" t="s">
        <v>66</v>
      </c>
      <c r="CT2" s="1" t="s">
        <v>66</v>
      </c>
      <c r="CU2" s="1" t="s">
        <v>66</v>
      </c>
      <c r="CV2" s="1" t="s">
        <v>66</v>
      </c>
      <c r="CW2" s="1" t="s">
        <v>66</v>
      </c>
      <c r="CX2" s="1" t="s">
        <v>66</v>
      </c>
      <c r="CY2" s="1" t="s">
        <v>66</v>
      </c>
      <c r="CZ2" s="1" t="s">
        <v>66</v>
      </c>
      <c r="DA2" s="1" t="s">
        <v>66</v>
      </c>
      <c r="DB2" s="1" t="s">
        <v>66</v>
      </c>
      <c r="DC2" s="1" t="s">
        <v>66</v>
      </c>
      <c r="DD2" s="1" t="s">
        <v>66</v>
      </c>
      <c r="DE2" s="1" t="s">
        <v>66</v>
      </c>
      <c r="DF2" s="1" t="s">
        <v>66</v>
      </c>
      <c r="DG2" s="1" t="s">
        <v>66</v>
      </c>
    </row>
    <row r="3" ht="78.75" customHeight="1">
      <c r="A3" s="26" t="s">
        <v>67</v>
      </c>
      <c r="B3" s="27"/>
      <c r="C3" s="27"/>
      <c r="D3" s="27"/>
      <c r="E3" s="28" t="s">
        <v>68</v>
      </c>
      <c r="F3" s="29" t="s">
        <v>69</v>
      </c>
      <c r="G3" s="30" t="s">
        <v>70</v>
      </c>
      <c r="H3" s="30" t="s">
        <v>71</v>
      </c>
      <c r="I3" s="30" t="s">
        <v>71</v>
      </c>
      <c r="J3" s="30" t="s">
        <v>72</v>
      </c>
      <c r="K3" s="30" t="s">
        <v>73</v>
      </c>
      <c r="L3" s="31" t="s">
        <v>74</v>
      </c>
      <c r="M3" s="31" t="s">
        <v>75</v>
      </c>
      <c r="N3" s="31" t="s">
        <v>76</v>
      </c>
      <c r="O3" s="31" t="s">
        <v>77</v>
      </c>
      <c r="P3" s="31"/>
      <c r="Q3" s="32" t="s">
        <v>74</v>
      </c>
      <c r="R3" s="32" t="s">
        <v>75</v>
      </c>
      <c r="S3" s="32" t="s">
        <v>78</v>
      </c>
      <c r="T3" s="32" t="s">
        <v>76</v>
      </c>
      <c r="U3" s="32" t="s">
        <v>79</v>
      </c>
      <c r="V3" s="32" t="s">
        <v>80</v>
      </c>
      <c r="W3" s="32"/>
      <c r="X3" s="30" t="s">
        <v>81</v>
      </c>
      <c r="Y3" s="33" t="s">
        <v>82</v>
      </c>
      <c r="Z3" s="33" t="s">
        <v>83</v>
      </c>
      <c r="AA3" s="33" t="s">
        <v>84</v>
      </c>
      <c r="AB3" s="33" t="s">
        <v>85</v>
      </c>
      <c r="AC3" s="31" t="s">
        <v>86</v>
      </c>
      <c r="AD3" s="31" t="s">
        <v>87</v>
      </c>
      <c r="AE3" s="31" t="s">
        <v>88</v>
      </c>
      <c r="AF3" s="31" t="s">
        <v>89</v>
      </c>
      <c r="AG3" s="34" t="s">
        <v>90</v>
      </c>
      <c r="AH3" s="34" t="s">
        <v>91</v>
      </c>
      <c r="AI3" s="34" t="s">
        <v>92</v>
      </c>
      <c r="AJ3" s="34" t="s">
        <v>93</v>
      </c>
      <c r="AK3" s="34" t="s">
        <v>94</v>
      </c>
      <c r="AL3" s="34" t="s">
        <v>95</v>
      </c>
      <c r="AM3" s="34" t="s">
        <v>96</v>
      </c>
      <c r="AN3" s="32" t="s">
        <v>97</v>
      </c>
      <c r="AO3" s="32" t="s">
        <v>98</v>
      </c>
      <c r="AP3" s="32" t="s">
        <v>99</v>
      </c>
      <c r="AQ3" s="32" t="s">
        <v>100</v>
      </c>
      <c r="AR3" s="32" t="s">
        <v>101</v>
      </c>
      <c r="AS3" s="32" t="s">
        <v>93</v>
      </c>
      <c r="AT3" s="35" t="s">
        <v>102</v>
      </c>
      <c r="AU3" s="35" t="s">
        <v>95</v>
      </c>
      <c r="AV3" s="35" t="s">
        <v>103</v>
      </c>
      <c r="AW3" s="36" t="s">
        <v>104</v>
      </c>
      <c r="AX3" s="37"/>
      <c r="AY3" s="38" t="s">
        <v>105</v>
      </c>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row>
    <row r="4" ht="20.25" customHeight="1">
      <c r="A4" s="40" t="s">
        <v>106</v>
      </c>
      <c r="B4" s="40" t="s">
        <v>107</v>
      </c>
      <c r="C4" s="41" t="s">
        <v>108</v>
      </c>
      <c r="E4" s="42" t="s">
        <v>109</v>
      </c>
      <c r="F4" s="43" t="s">
        <v>110</v>
      </c>
      <c r="G4" s="43" t="s">
        <v>111</v>
      </c>
      <c r="H4" s="43" t="s">
        <v>112</v>
      </c>
      <c r="I4" s="44">
        <v>45641.0</v>
      </c>
      <c r="J4" s="45" t="s">
        <v>113</v>
      </c>
      <c r="K4" s="45"/>
      <c r="L4" s="43" t="s">
        <v>114</v>
      </c>
      <c r="M4" s="43" t="s">
        <v>115</v>
      </c>
      <c r="N4" s="46">
        <v>1.0</v>
      </c>
      <c r="O4" s="47" t="s">
        <v>116</v>
      </c>
      <c r="P4" s="48" t="str">
        <f t="array" ref="P4">HYPERLINK(INDEX('File Links'!B:B, MATCH(O4, 'File Links'!C:C, 0)))
</f>
        <v>https://drive.google.com/file/d/140WKvPe6h8fNM79ffoPo5RX6uP0flGT4/view?usp=drivesdk</v>
      </c>
      <c r="Q4" s="43" t="s">
        <v>117</v>
      </c>
      <c r="R4" s="43" t="s">
        <v>118</v>
      </c>
      <c r="S4" s="45"/>
      <c r="T4" s="49">
        <v>1.0</v>
      </c>
      <c r="U4" s="43" t="s">
        <v>119</v>
      </c>
      <c r="V4" s="45" t="s">
        <v>120</v>
      </c>
      <c r="W4" s="50" t="str">
        <f t="array" ref="W4">HYPERLINK(INDEX('File Links'!B:B, MATCH(U4, 'File Links'!C:C, 0)))
</f>
        <v>https://drive.google.com/file/d/15dLELTosbF1NWFYI0UOSPLIC70dnGG5S/view?usp=drivesdk</v>
      </c>
      <c r="X4" s="45"/>
      <c r="Y4" s="45" t="s">
        <v>121</v>
      </c>
      <c r="Z4" s="45"/>
      <c r="AA4" s="45" t="s">
        <v>122</v>
      </c>
      <c r="AB4" s="45" t="s">
        <v>123</v>
      </c>
      <c r="AC4" s="45" t="s">
        <v>124</v>
      </c>
      <c r="AD4" s="45" t="s">
        <v>125</v>
      </c>
      <c r="AE4" s="46">
        <v>12.0</v>
      </c>
      <c r="AF4" s="46">
        <v>9.67</v>
      </c>
      <c r="AG4" s="51" t="s">
        <v>126</v>
      </c>
      <c r="AH4" s="45" t="s">
        <v>125</v>
      </c>
      <c r="AI4" s="46">
        <v>0.01</v>
      </c>
      <c r="AJ4" s="52" t="s">
        <v>127</v>
      </c>
      <c r="AK4" s="45" t="s">
        <v>128</v>
      </c>
      <c r="AL4" s="45" t="s">
        <v>129</v>
      </c>
      <c r="AM4" s="45"/>
      <c r="AN4" s="46">
        <v>39.0</v>
      </c>
      <c r="AO4" s="46">
        <v>0.226</v>
      </c>
      <c r="AP4" s="45" t="s">
        <v>130</v>
      </c>
      <c r="AQ4" s="45" t="s">
        <v>131</v>
      </c>
      <c r="AR4" s="46">
        <v>0.02</v>
      </c>
      <c r="AS4" s="42" t="s">
        <v>127</v>
      </c>
      <c r="AT4" s="42" t="s">
        <v>128</v>
      </c>
      <c r="AU4" s="42" t="s">
        <v>132</v>
      </c>
      <c r="AV4" s="53" t="s">
        <v>133</v>
      </c>
      <c r="AW4" s="54" t="s">
        <v>134</v>
      </c>
      <c r="AX4" s="55"/>
      <c r="AY4" s="41" t="s">
        <v>135</v>
      </c>
    </row>
    <row r="5" ht="20.25" hidden="1" customHeight="1">
      <c r="A5" s="41" t="s">
        <v>106</v>
      </c>
      <c r="B5" s="41" t="s">
        <v>107</v>
      </c>
      <c r="C5" s="41" t="s">
        <v>136</v>
      </c>
      <c r="E5" s="41" t="s">
        <v>109</v>
      </c>
      <c r="F5" s="40" t="s">
        <v>110</v>
      </c>
      <c r="G5" s="40" t="s">
        <v>137</v>
      </c>
      <c r="H5" s="56">
        <v>45108.0</v>
      </c>
      <c r="I5" s="57">
        <v>45644.0</v>
      </c>
      <c r="J5" s="58"/>
      <c r="K5" s="58"/>
      <c r="L5" s="40" t="s">
        <v>114</v>
      </c>
      <c r="M5" s="40" t="s">
        <v>115</v>
      </c>
      <c r="N5" s="40">
        <v>1.0</v>
      </c>
      <c r="O5" s="59" t="s">
        <v>116</v>
      </c>
      <c r="P5" s="48" t="str">
        <f t="array" ref="P5">HYPERLINK(INDEX('File Links'!B:B, MATCH(O5, 'File Links'!C:C, 0)))
</f>
        <v>https://drive.google.com/file/d/140WKvPe6h8fNM79ffoPo5RX6uP0flGT4/view?usp=drivesdk</v>
      </c>
      <c r="Q5" s="40" t="s">
        <v>117</v>
      </c>
      <c r="R5" s="40" t="s">
        <v>118</v>
      </c>
      <c r="S5" s="58"/>
      <c r="T5" s="59"/>
      <c r="U5" s="40" t="s">
        <v>119</v>
      </c>
      <c r="V5" s="58"/>
      <c r="W5" s="50" t="str">
        <f t="array" ref="W5">HYPERLINK(INDEX('File Links'!B:B, MATCH(U5, 'File Links'!C:C, 0)))
</f>
        <v>https://drive.google.com/file/d/15dLELTosbF1NWFYI0UOSPLIC70dnGG5S/view?usp=drivesdk</v>
      </c>
      <c r="X5" s="40" t="s">
        <v>138</v>
      </c>
      <c r="Y5" s="40" t="s">
        <v>139</v>
      </c>
      <c r="Z5" s="58"/>
      <c r="AA5" s="40" t="s">
        <v>140</v>
      </c>
      <c r="AB5" s="58"/>
      <c r="AC5" s="58"/>
      <c r="AD5" s="58"/>
      <c r="AE5" s="40">
        <v>12.0</v>
      </c>
      <c r="AF5" s="58"/>
      <c r="AG5" s="40"/>
      <c r="AH5" s="58"/>
      <c r="AI5" s="58"/>
      <c r="AJ5" s="25"/>
      <c r="AK5" s="58"/>
      <c r="AL5" s="58"/>
      <c r="AM5" s="58"/>
      <c r="AN5" s="58"/>
      <c r="AO5" s="40">
        <v>0.313</v>
      </c>
      <c r="AP5" s="58"/>
      <c r="AQ5" s="58"/>
      <c r="AR5" s="40" t="s">
        <v>141</v>
      </c>
      <c r="AS5" s="25"/>
      <c r="AT5" s="25"/>
      <c r="AU5" s="60"/>
      <c r="AW5" s="41" t="s">
        <v>142</v>
      </c>
      <c r="AX5" s="58"/>
      <c r="AY5" s="61" t="s">
        <v>135</v>
      </c>
      <c r="AZ5" s="62"/>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4"/>
      <c r="CZ5" s="64"/>
      <c r="DA5" s="64"/>
      <c r="DB5" s="64"/>
      <c r="DC5" s="64"/>
      <c r="DD5" s="64"/>
      <c r="DE5" s="64"/>
      <c r="DF5" s="64"/>
      <c r="DG5" s="64"/>
    </row>
    <row r="6" ht="20.25" customHeight="1">
      <c r="A6" s="65" t="s">
        <v>143</v>
      </c>
      <c r="B6" s="65" t="s">
        <v>107</v>
      </c>
      <c r="C6" s="65" t="s">
        <v>144</v>
      </c>
      <c r="D6" s="66"/>
      <c r="E6" s="67" t="s">
        <v>145</v>
      </c>
      <c r="F6" s="68" t="s">
        <v>146</v>
      </c>
      <c r="G6" s="69" t="s">
        <v>144</v>
      </c>
      <c r="H6" s="70">
        <v>45638.0</v>
      </c>
      <c r="I6" s="71">
        <v>45680.0</v>
      </c>
      <c r="J6" s="68" t="s">
        <v>147</v>
      </c>
      <c r="K6" s="72" t="s">
        <v>148</v>
      </c>
      <c r="L6" s="68" t="s">
        <v>149</v>
      </c>
      <c r="M6" s="68" t="s">
        <v>150</v>
      </c>
      <c r="N6" s="73">
        <v>1.0</v>
      </c>
      <c r="O6" s="74" t="s">
        <v>151</v>
      </c>
      <c r="P6" s="48" t="str">
        <f t="array" ref="P6">HYPERLINK(INDEX('File Links'!B:B, MATCH(O6, 'File Links'!C:C, 0)))
</f>
        <v>https://drive.google.com/file/d/1O4mjB0-ZSujMTJYtaAoIsXTPuhxgEF-0/view?usp=drivesdk</v>
      </c>
      <c r="Q6" s="68" t="s">
        <v>152</v>
      </c>
      <c r="R6" s="68" t="s">
        <v>153</v>
      </c>
      <c r="S6" s="75"/>
      <c r="T6" s="76">
        <v>1.0</v>
      </c>
      <c r="U6" s="68" t="s">
        <v>154</v>
      </c>
      <c r="V6" s="68" t="s">
        <v>155</v>
      </c>
      <c r="W6" s="45" t="str">
        <f t="array" ref="W6">HYPERLINK(INDEX('File Links'!B:B, MATCH(U6, 'File Links'!C:C, 0)))
</f>
        <v>#N/A</v>
      </c>
      <c r="X6" s="75"/>
      <c r="Y6" s="68" t="s">
        <v>156</v>
      </c>
      <c r="Z6" s="68" t="s">
        <v>157</v>
      </c>
      <c r="AA6" s="68" t="s">
        <v>158</v>
      </c>
      <c r="AB6" s="68" t="s">
        <v>159</v>
      </c>
      <c r="AC6" s="68" t="s">
        <v>160</v>
      </c>
      <c r="AD6" s="77">
        <v>16.0</v>
      </c>
      <c r="AE6" s="77">
        <v>100.0</v>
      </c>
      <c r="AF6" s="68" t="s">
        <v>161</v>
      </c>
      <c r="AG6" s="74" t="s">
        <v>162</v>
      </c>
      <c r="AH6" s="68" t="s">
        <v>163</v>
      </c>
      <c r="AI6" s="77">
        <v>0.001</v>
      </c>
      <c r="AJ6" s="78" t="s">
        <v>164</v>
      </c>
      <c r="AK6" s="68" t="s">
        <v>128</v>
      </c>
      <c r="AL6" s="79" t="s">
        <v>129</v>
      </c>
      <c r="AM6" s="72" t="s">
        <v>165</v>
      </c>
      <c r="AN6" s="80">
        <v>137.0</v>
      </c>
      <c r="AO6" s="77">
        <v>0.584</v>
      </c>
      <c r="AP6" s="68" t="s">
        <v>166</v>
      </c>
      <c r="AQ6" s="81" t="s">
        <v>167</v>
      </c>
      <c r="AR6" s="77">
        <v>0.001</v>
      </c>
      <c r="AS6" s="78" t="s">
        <v>127</v>
      </c>
      <c r="AT6" s="78" t="s">
        <v>128</v>
      </c>
      <c r="AU6" s="67" t="s">
        <v>129</v>
      </c>
      <c r="AV6" s="82" t="s">
        <v>168</v>
      </c>
      <c r="AW6" s="83" t="s">
        <v>134</v>
      </c>
      <c r="AX6" s="75"/>
      <c r="AY6" s="61" t="s">
        <v>135</v>
      </c>
      <c r="AZ6" s="84"/>
      <c r="BA6" s="84"/>
      <c r="BB6" s="84"/>
      <c r="BC6" s="84"/>
      <c r="BD6" s="84"/>
      <c r="BE6" s="84"/>
      <c r="BF6" s="84"/>
      <c r="BG6" s="84"/>
      <c r="BH6" s="84"/>
      <c r="BI6" s="84"/>
      <c r="BJ6" s="84"/>
      <c r="BK6" s="84"/>
      <c r="BL6" s="84"/>
      <c r="BM6" s="84"/>
      <c r="BN6" s="84"/>
      <c r="BO6" s="84"/>
      <c r="BP6" s="84"/>
      <c r="BQ6" s="84"/>
      <c r="BR6" s="84"/>
      <c r="BS6" s="84"/>
      <c r="BT6" s="84"/>
      <c r="BU6" s="84"/>
      <c r="BV6" s="84"/>
      <c r="BW6" s="84"/>
      <c r="BX6" s="84"/>
      <c r="BY6" s="84"/>
      <c r="BZ6" s="84"/>
      <c r="CA6" s="84"/>
      <c r="CB6" s="84"/>
      <c r="CC6" s="84"/>
      <c r="CD6" s="84"/>
      <c r="CE6" s="84"/>
      <c r="CF6" s="84"/>
      <c r="CG6" s="84"/>
      <c r="CH6" s="84"/>
      <c r="CI6" s="84"/>
      <c r="CJ6" s="84"/>
      <c r="CK6" s="84"/>
      <c r="CL6" s="84"/>
      <c r="CM6" s="84"/>
      <c r="CN6" s="84"/>
      <c r="CO6" s="84"/>
      <c r="CP6" s="84"/>
      <c r="CQ6" s="84"/>
      <c r="CR6" s="84"/>
      <c r="CS6" s="84"/>
      <c r="CT6" s="84"/>
      <c r="CU6" s="84"/>
      <c r="CV6" s="84"/>
      <c r="CW6" s="84"/>
      <c r="CX6" s="84"/>
      <c r="CY6" s="84"/>
      <c r="CZ6" s="84"/>
      <c r="DA6" s="84"/>
      <c r="DB6" s="84"/>
      <c r="DC6" s="84"/>
      <c r="DD6" s="84"/>
      <c r="DE6" s="84"/>
      <c r="DF6" s="84"/>
      <c r="DG6" s="84"/>
    </row>
    <row r="7" ht="20.25" customHeight="1">
      <c r="A7" s="85" t="s">
        <v>106</v>
      </c>
      <c r="B7" s="85" t="s">
        <v>107</v>
      </c>
      <c r="C7" s="85" t="s">
        <v>169</v>
      </c>
      <c r="D7" s="84"/>
      <c r="E7" s="86" t="s">
        <v>145</v>
      </c>
      <c r="F7" s="69" t="s">
        <v>146</v>
      </c>
      <c r="G7" s="87" t="s">
        <v>169</v>
      </c>
      <c r="H7" s="88">
        <v>45641.0</v>
      </c>
      <c r="I7" s="71">
        <v>45680.0</v>
      </c>
      <c r="J7" s="87" t="s">
        <v>170</v>
      </c>
      <c r="K7" s="86"/>
      <c r="L7" s="87" t="s">
        <v>149</v>
      </c>
      <c r="M7" s="87" t="s">
        <v>150</v>
      </c>
      <c r="N7" s="86"/>
      <c r="O7" s="87" t="s">
        <v>151</v>
      </c>
      <c r="P7" s="48" t="str">
        <f t="array" ref="P7">HYPERLINK(INDEX('File Links'!B:B, MATCH(O7, 'File Links'!C:C, 0)))
</f>
        <v>https://drive.google.com/file/d/1O4mjB0-ZSujMTJYtaAoIsXTPuhxgEF-0/view?usp=drivesdk</v>
      </c>
      <c r="Q7" s="87" t="s">
        <v>152</v>
      </c>
      <c r="R7" s="87" t="s">
        <v>153</v>
      </c>
      <c r="S7" s="86"/>
      <c r="T7" s="86"/>
      <c r="U7" s="87" t="s">
        <v>154</v>
      </c>
      <c r="V7" s="87" t="s">
        <v>155</v>
      </c>
      <c r="W7" s="45" t="str">
        <f t="array" ref="W7">HYPERLINK(INDEX('File Links'!B:B, MATCH(U7, 'File Links'!C:C, 0)))
</f>
        <v>#N/A</v>
      </c>
      <c r="X7" s="86"/>
      <c r="Y7" s="87" t="s">
        <v>156</v>
      </c>
      <c r="Z7" s="87" t="s">
        <v>171</v>
      </c>
      <c r="AA7" s="87" t="s">
        <v>172</v>
      </c>
      <c r="AB7" s="87" t="s">
        <v>173</v>
      </c>
      <c r="AC7" s="87" t="s">
        <v>174</v>
      </c>
      <c r="AD7" s="87" t="s">
        <v>175</v>
      </c>
      <c r="AE7" s="89">
        <v>100.0</v>
      </c>
      <c r="AF7" s="87" t="s">
        <v>176</v>
      </c>
      <c r="AG7" s="90" t="s">
        <v>162</v>
      </c>
      <c r="AH7" s="69" t="s">
        <v>177</v>
      </c>
      <c r="AI7" s="69" t="s">
        <v>178</v>
      </c>
      <c r="AJ7" s="87" t="s">
        <v>164</v>
      </c>
      <c r="AK7" s="69" t="s">
        <v>179</v>
      </c>
      <c r="AL7" s="86" t="s">
        <v>129</v>
      </c>
      <c r="AM7" s="86"/>
      <c r="AN7" s="91">
        <v>137.0</v>
      </c>
      <c r="AO7" s="87" t="s">
        <v>180</v>
      </c>
      <c r="AP7" s="87" t="s">
        <v>181</v>
      </c>
      <c r="AQ7" s="87" t="s">
        <v>182</v>
      </c>
      <c r="AR7" s="86"/>
      <c r="AS7" s="86"/>
      <c r="AT7" s="86"/>
      <c r="AU7" s="86"/>
      <c r="AV7" s="92" t="s">
        <v>168</v>
      </c>
      <c r="AW7" s="93" t="s">
        <v>134</v>
      </c>
      <c r="AX7" s="86"/>
      <c r="AY7" s="61" t="s">
        <v>135</v>
      </c>
      <c r="AZ7" s="84"/>
      <c r="BA7" s="84"/>
      <c r="BB7" s="84"/>
      <c r="BC7" s="84"/>
      <c r="BD7" s="84"/>
      <c r="BE7" s="84"/>
      <c r="BF7" s="84"/>
      <c r="BG7" s="84"/>
      <c r="BH7" s="84"/>
      <c r="BI7" s="84"/>
      <c r="BJ7" s="84"/>
      <c r="BK7" s="84"/>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row>
    <row r="8" ht="20.25" customHeight="1">
      <c r="A8" s="40" t="s">
        <v>106</v>
      </c>
      <c r="B8" s="40" t="s">
        <v>107</v>
      </c>
      <c r="C8" s="41" t="s">
        <v>108</v>
      </c>
      <c r="E8" s="42" t="s">
        <v>183</v>
      </c>
      <c r="F8" s="43" t="s">
        <v>184</v>
      </c>
      <c r="G8" s="43" t="s">
        <v>185</v>
      </c>
      <c r="H8" s="43" t="s">
        <v>112</v>
      </c>
      <c r="I8" s="44">
        <v>45641.0</v>
      </c>
      <c r="J8" s="45" t="s">
        <v>113</v>
      </c>
      <c r="K8" s="45"/>
      <c r="L8" s="43" t="s">
        <v>114</v>
      </c>
      <c r="M8" s="43" t="s">
        <v>115</v>
      </c>
      <c r="N8" s="46">
        <v>1.0</v>
      </c>
      <c r="O8" s="47" t="s">
        <v>116</v>
      </c>
      <c r="P8" s="48" t="str">
        <f t="array" ref="P8">HYPERLINK(INDEX('File Links'!B:B, MATCH(O8, 'File Links'!C:C, 0)))
</f>
        <v>https://drive.google.com/file/d/140WKvPe6h8fNM79ffoPo5RX6uP0flGT4/view?usp=drivesdk</v>
      </c>
      <c r="Q8" s="43" t="s">
        <v>186</v>
      </c>
      <c r="R8" s="43" t="s">
        <v>187</v>
      </c>
      <c r="S8" s="45"/>
      <c r="T8" s="51"/>
      <c r="U8" s="43" t="s">
        <v>188</v>
      </c>
      <c r="V8" s="45" t="s">
        <v>120</v>
      </c>
      <c r="W8" s="45" t="str">
        <f t="array" ref="W8">HYPERLINK(INDEX('File Links'!B:B, MATCH(U8, 'File Links'!C:C, 0)))
</f>
        <v>#N/A</v>
      </c>
      <c r="X8" s="45"/>
      <c r="Y8" s="45" t="s">
        <v>121</v>
      </c>
      <c r="Z8" s="45"/>
      <c r="AA8" s="45" t="s">
        <v>122</v>
      </c>
      <c r="AB8" s="45"/>
      <c r="AC8" s="45"/>
      <c r="AD8" s="45" t="s">
        <v>125</v>
      </c>
      <c r="AE8" s="46">
        <v>12.0</v>
      </c>
      <c r="AF8" s="46">
        <v>9.67</v>
      </c>
      <c r="AG8" s="51" t="s">
        <v>126</v>
      </c>
      <c r="AH8" s="45" t="s">
        <v>125</v>
      </c>
      <c r="AI8" s="46">
        <v>0.01</v>
      </c>
      <c r="AJ8" s="42" t="s">
        <v>127</v>
      </c>
      <c r="AK8" s="45" t="s">
        <v>128</v>
      </c>
      <c r="AL8" s="45" t="s">
        <v>129</v>
      </c>
      <c r="AM8" s="45"/>
      <c r="AN8" s="46">
        <v>39.0</v>
      </c>
      <c r="AO8" s="46">
        <v>0.226</v>
      </c>
      <c r="AP8" s="45" t="s">
        <v>130</v>
      </c>
      <c r="AQ8" s="45" t="s">
        <v>131</v>
      </c>
      <c r="AR8" s="46">
        <v>0.02</v>
      </c>
      <c r="AS8" s="42" t="s">
        <v>127</v>
      </c>
      <c r="AT8" s="42" t="s">
        <v>128</v>
      </c>
      <c r="AU8" s="42" t="s">
        <v>132</v>
      </c>
      <c r="AV8" s="53" t="s">
        <v>189</v>
      </c>
      <c r="AW8" s="54" t="s">
        <v>134</v>
      </c>
      <c r="AX8" s="55"/>
      <c r="AY8" s="94" t="s">
        <v>135</v>
      </c>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c r="CU8" s="95"/>
      <c r="CV8" s="95"/>
      <c r="CW8" s="95"/>
      <c r="CX8" s="95"/>
      <c r="CY8" s="95"/>
      <c r="CZ8" s="95"/>
      <c r="DA8" s="95"/>
      <c r="DB8" s="95"/>
      <c r="DC8" s="95"/>
      <c r="DD8" s="95"/>
      <c r="DE8" s="95"/>
      <c r="DF8" s="95"/>
      <c r="DG8" s="95"/>
    </row>
    <row r="9" ht="20.25" hidden="1" customHeight="1">
      <c r="A9" s="41" t="s">
        <v>106</v>
      </c>
      <c r="B9" s="41" t="s">
        <v>107</v>
      </c>
      <c r="C9" s="41" t="s">
        <v>136</v>
      </c>
      <c r="E9" s="41" t="s">
        <v>183</v>
      </c>
      <c r="F9" s="40" t="s">
        <v>184</v>
      </c>
      <c r="G9" s="40" t="s">
        <v>190</v>
      </c>
      <c r="H9" s="56">
        <v>45170.0</v>
      </c>
      <c r="I9" s="57">
        <v>45644.0</v>
      </c>
      <c r="J9" s="58"/>
      <c r="K9" s="58"/>
      <c r="L9" s="40" t="s">
        <v>114</v>
      </c>
      <c r="M9" s="40" t="s">
        <v>115</v>
      </c>
      <c r="N9" s="40">
        <v>1.0</v>
      </c>
      <c r="O9" s="59" t="s">
        <v>116</v>
      </c>
      <c r="P9" s="48" t="str">
        <f t="array" ref="P9">HYPERLINK(INDEX('File Links'!B:B, MATCH(O9, 'File Links'!C:C, 0)))
</f>
        <v>https://drive.google.com/file/d/140WKvPe6h8fNM79ffoPo5RX6uP0flGT4/view?usp=drivesdk</v>
      </c>
      <c r="Q9" s="40" t="s">
        <v>186</v>
      </c>
      <c r="R9" s="40" t="s">
        <v>187</v>
      </c>
      <c r="S9" s="58"/>
      <c r="T9" s="59"/>
      <c r="U9" s="40" t="s">
        <v>188</v>
      </c>
      <c r="V9" s="58"/>
      <c r="W9" s="45" t="str">
        <f t="array" ref="W9">HYPERLINK(INDEX('File Links'!B:B, MATCH(U9, 'File Links'!C:C, 0)))
</f>
        <v>#N/A</v>
      </c>
      <c r="X9" s="40" t="s">
        <v>138</v>
      </c>
      <c r="Y9" s="40" t="s">
        <v>139</v>
      </c>
      <c r="Z9" s="58"/>
      <c r="AA9" s="40" t="s">
        <v>140</v>
      </c>
      <c r="AB9" s="58"/>
      <c r="AC9" s="58"/>
      <c r="AD9" s="58"/>
      <c r="AE9" s="58"/>
      <c r="AF9" s="58"/>
      <c r="AG9" s="40"/>
      <c r="AH9" s="58"/>
      <c r="AI9" s="58"/>
      <c r="AJ9" s="25"/>
      <c r="AK9" s="58"/>
      <c r="AL9" s="58"/>
      <c r="AM9" s="58"/>
      <c r="AN9" s="58"/>
      <c r="AO9" s="40">
        <v>0.313</v>
      </c>
      <c r="AP9" s="58"/>
      <c r="AQ9" s="58"/>
      <c r="AR9" s="40" t="s">
        <v>141</v>
      </c>
      <c r="AS9" s="25"/>
      <c r="AT9" s="25"/>
      <c r="AU9" s="60"/>
      <c r="AW9" s="25"/>
      <c r="AX9" s="58"/>
      <c r="AY9" s="41" t="s">
        <v>135</v>
      </c>
    </row>
    <row r="10" ht="20.25" customHeight="1">
      <c r="A10" s="96" t="s">
        <v>106</v>
      </c>
      <c r="B10" s="96" t="s">
        <v>107</v>
      </c>
      <c r="C10" s="96" t="s">
        <v>191</v>
      </c>
      <c r="D10" s="97"/>
      <c r="E10" s="98" t="s">
        <v>192</v>
      </c>
      <c r="F10" s="99" t="s">
        <v>193</v>
      </c>
      <c r="G10" s="99" t="s">
        <v>194</v>
      </c>
      <c r="H10" s="100">
        <v>45639.0</v>
      </c>
      <c r="I10" s="101"/>
      <c r="J10" s="99" t="s">
        <v>195</v>
      </c>
      <c r="K10" s="102" t="s">
        <v>196</v>
      </c>
      <c r="L10" s="103" t="s">
        <v>197</v>
      </c>
      <c r="M10" s="99" t="s">
        <v>198</v>
      </c>
      <c r="N10" s="104">
        <v>2.0</v>
      </c>
      <c r="O10" s="105" t="str">
        <f> hyperlink(vlookup(lower(M10),'File Links'!A:B, 2, FALSE), SUBSTITUTE(lower(M10), "/", "--") &amp;  ".pdf")</f>
        <v>10.1016--j.obhdp.2004.12.002.pdf</v>
      </c>
      <c r="P10" s="48" t="str">
        <f t="array" ref="P10">HYPERLINK(INDEX('File Links'!B:B, MATCH(O10, 'File Links'!C:C, 0)))
</f>
        <v>https://drive.google.com/file/d/1CZ8RmInPe2eqHwf-p8tl0IQxpn8_H_C5/view?usp=drivesdk</v>
      </c>
      <c r="Q10" s="99" t="s">
        <v>199</v>
      </c>
      <c r="R10" s="99" t="s">
        <v>200</v>
      </c>
      <c r="S10" s="101"/>
      <c r="T10" s="106"/>
      <c r="U10" s="99" t="s">
        <v>201</v>
      </c>
      <c r="V10" s="99" t="s">
        <v>202</v>
      </c>
      <c r="W10" s="45" t="str">
        <f t="array" ref="W10">HYPERLINK(INDEX('File Links'!B:B, MATCH(U10, 'File Links'!C:C, 0)))
</f>
        <v>#N/A</v>
      </c>
      <c r="X10" s="101"/>
      <c r="Y10" s="99" t="s">
        <v>203</v>
      </c>
      <c r="Z10" s="99" t="s">
        <v>204</v>
      </c>
      <c r="AA10" s="99" t="s">
        <v>205</v>
      </c>
      <c r="AB10" s="99" t="s">
        <v>206</v>
      </c>
      <c r="AC10" s="99" t="s">
        <v>207</v>
      </c>
      <c r="AD10" s="104">
        <v>137.0</v>
      </c>
      <c r="AE10" s="104">
        <v>41.0</v>
      </c>
      <c r="AF10" s="104">
        <v>0.31</v>
      </c>
      <c r="AG10" s="107" t="s">
        <v>208</v>
      </c>
      <c r="AH10" s="99" t="s">
        <v>209</v>
      </c>
      <c r="AI10" s="104">
        <v>0.05</v>
      </c>
      <c r="AJ10" s="108" t="s">
        <v>127</v>
      </c>
      <c r="AK10" s="99" t="s">
        <v>179</v>
      </c>
      <c r="AL10" s="101" t="s">
        <v>129</v>
      </c>
      <c r="AM10" s="101"/>
      <c r="AN10" s="104">
        <v>165.0</v>
      </c>
      <c r="AO10" s="104">
        <v>-0.148</v>
      </c>
      <c r="AP10" s="99" t="s">
        <v>166</v>
      </c>
      <c r="AQ10" s="99" t="s">
        <v>210</v>
      </c>
      <c r="AR10" s="104">
        <v>0.83</v>
      </c>
      <c r="AS10" s="108" t="s">
        <v>164</v>
      </c>
      <c r="AT10" s="108" t="s">
        <v>211</v>
      </c>
      <c r="AU10" s="98" t="s">
        <v>129</v>
      </c>
      <c r="AV10" s="98" t="s">
        <v>212</v>
      </c>
      <c r="AW10" s="98" t="s">
        <v>134</v>
      </c>
      <c r="AX10" s="109" t="s">
        <v>213</v>
      </c>
      <c r="AY10" s="41" t="s">
        <v>135</v>
      </c>
    </row>
    <row r="11" ht="20.25" customHeight="1">
      <c r="A11" s="110" t="s">
        <v>143</v>
      </c>
      <c r="B11" s="110" t="s">
        <v>107</v>
      </c>
      <c r="C11" s="110" t="s">
        <v>214</v>
      </c>
      <c r="D11" s="95"/>
      <c r="E11" s="111" t="s">
        <v>192</v>
      </c>
      <c r="F11" s="112" t="s">
        <v>193</v>
      </c>
      <c r="G11" s="112" t="s">
        <v>215</v>
      </c>
      <c r="H11" s="113">
        <v>45641.0</v>
      </c>
      <c r="I11" s="114">
        <v>45663.0</v>
      </c>
      <c r="J11" s="112" t="s">
        <v>216</v>
      </c>
      <c r="K11" s="115" t="s">
        <v>217</v>
      </c>
      <c r="L11" s="116" t="s">
        <v>197</v>
      </c>
      <c r="M11" s="112" t="s">
        <v>198</v>
      </c>
      <c r="N11" s="117">
        <v>2.0</v>
      </c>
      <c r="O11" s="105" t="str">
        <f> hyperlink(vlookup(lower(M11),'File Links'!A:B, 2, FALSE), SUBSTITUTE(lower(M11), "/", "--") &amp;  ".pdf")</f>
        <v>10.1016--j.obhdp.2004.12.002.pdf</v>
      </c>
      <c r="P11" s="48" t="str">
        <f t="array" ref="P11">HYPERLINK(INDEX('File Links'!B:B, MATCH(O11, 'File Links'!C:C, 0)))
</f>
        <v>https://drive.google.com/file/d/1CZ8RmInPe2eqHwf-p8tl0IQxpn8_H_C5/view?usp=drivesdk</v>
      </c>
      <c r="Q11" s="118" t="s">
        <v>218</v>
      </c>
      <c r="R11" s="116" t="s">
        <v>219</v>
      </c>
      <c r="S11" s="119"/>
      <c r="T11" s="120">
        <v>1.0</v>
      </c>
      <c r="U11" s="112" t="s">
        <v>201</v>
      </c>
      <c r="V11" s="112" t="s">
        <v>155</v>
      </c>
      <c r="W11" s="45" t="str">
        <f t="array" ref="W11">HYPERLINK(INDEX('File Links'!B:B, MATCH(U11, 'File Links'!C:C, 0)))
</f>
        <v>#N/A</v>
      </c>
      <c r="X11" s="119"/>
      <c r="Y11" s="112" t="s">
        <v>220</v>
      </c>
      <c r="Z11" s="112" t="s">
        <v>221</v>
      </c>
      <c r="AA11" s="112" t="s">
        <v>222</v>
      </c>
      <c r="AB11" s="112" t="s">
        <v>223</v>
      </c>
      <c r="AC11" s="121" t="s">
        <v>207</v>
      </c>
      <c r="AD11" s="122">
        <v>137.0</v>
      </c>
      <c r="AE11" s="123">
        <v>41.0</v>
      </c>
      <c r="AF11" s="124">
        <v>0.31</v>
      </c>
      <c r="AG11" s="125" t="s">
        <v>208</v>
      </c>
      <c r="AH11" s="126" t="s">
        <v>209</v>
      </c>
      <c r="AI11" s="117">
        <v>0.05</v>
      </c>
      <c r="AJ11" s="127" t="s">
        <v>127</v>
      </c>
      <c r="AK11" s="99" t="s">
        <v>179</v>
      </c>
      <c r="AL11" s="119" t="s">
        <v>129</v>
      </c>
      <c r="AM11" s="128" t="s">
        <v>165</v>
      </c>
      <c r="AN11" s="117">
        <v>165.0</v>
      </c>
      <c r="AO11" s="117">
        <v>-0.148</v>
      </c>
      <c r="AP11" s="112" t="s">
        <v>166</v>
      </c>
      <c r="AQ11" s="99" t="s">
        <v>210</v>
      </c>
      <c r="AR11" s="104">
        <v>0.83</v>
      </c>
      <c r="AS11" s="108" t="s">
        <v>164</v>
      </c>
      <c r="AT11" s="108" t="s">
        <v>211</v>
      </c>
      <c r="AU11" s="98" t="s">
        <v>129</v>
      </c>
      <c r="AV11" s="129" t="s">
        <v>224</v>
      </c>
      <c r="AW11" s="98" t="s">
        <v>134</v>
      </c>
      <c r="AX11" s="115" t="s">
        <v>225</v>
      </c>
      <c r="AY11" s="41" t="s">
        <v>135</v>
      </c>
    </row>
    <row r="12" ht="20.25" customHeight="1">
      <c r="A12" s="40" t="s">
        <v>143</v>
      </c>
      <c r="B12" s="40" t="s">
        <v>107</v>
      </c>
      <c r="C12" s="40" t="s">
        <v>226</v>
      </c>
      <c r="D12" s="40"/>
      <c r="E12" s="40" t="s">
        <v>227</v>
      </c>
      <c r="F12" s="40" t="s">
        <v>228</v>
      </c>
      <c r="G12" s="40" t="s">
        <v>229</v>
      </c>
      <c r="H12" s="56">
        <v>45427.0</v>
      </c>
      <c r="I12" s="57">
        <v>45624.0</v>
      </c>
      <c r="J12" s="58"/>
      <c r="K12" s="40"/>
      <c r="L12" s="40" t="s">
        <v>230</v>
      </c>
      <c r="M12" s="40" t="s">
        <v>231</v>
      </c>
      <c r="N12" s="40">
        <v>1.0</v>
      </c>
      <c r="O12" s="105" t="str">
        <f> hyperlink(vlookup(lower(M12),'File Links'!A:B, 2, FALSE), SUBSTITUTE(lower(M12), "/", "--") &amp;  ".pdf")</f>
        <v>10.1007--s11858-016-0819-3.pdf</v>
      </c>
      <c r="P12" s="48" t="str">
        <f t="array" ref="P12">HYPERLINK(INDEX('File Links'!B:B, MATCH(O12, 'File Links'!C:C, 0)))
</f>
        <v>https://drive.google.com/file/d/1A3A0XWewbvFp536VbiCjIAYxdIJwVP-9/view?usp=drivesdk</v>
      </c>
      <c r="Q12" s="40" t="s">
        <v>232</v>
      </c>
      <c r="R12" s="40" t="s">
        <v>233</v>
      </c>
      <c r="S12" s="58"/>
      <c r="T12" s="120">
        <v>1.0</v>
      </c>
      <c r="U12" s="59" t="str">
        <f> hyperlink(vlookup(lower(R12),'File Links'!E:F, 2, FALSE), SUBSTITUTE(lower(R12), "/", "--") &amp;  ".pdf")</f>
        <v>10.1163--26670127-bja10017.pdf</v>
      </c>
      <c r="V12" s="40" t="s">
        <v>234</v>
      </c>
      <c r="W12" s="45" t="str">
        <f t="array" ref="W12">HYPERLINK(INDEX('File Links'!B:B, MATCH(U12, 'File Links'!C:C, 0)))
</f>
        <v>#N/A</v>
      </c>
      <c r="X12" s="58"/>
      <c r="Y12" s="40" t="s">
        <v>235</v>
      </c>
      <c r="Z12" s="40" t="s">
        <v>236</v>
      </c>
      <c r="AA12" s="40" t="s">
        <v>237</v>
      </c>
      <c r="AB12" s="40" t="s">
        <v>238</v>
      </c>
      <c r="AC12" s="40" t="s">
        <v>239</v>
      </c>
      <c r="AD12" s="40">
        <v>7.0</v>
      </c>
      <c r="AE12" s="40">
        <v>100.0</v>
      </c>
      <c r="AF12" s="40">
        <v>0.3</v>
      </c>
      <c r="AG12" s="40" t="s">
        <v>166</v>
      </c>
      <c r="AH12" s="40" t="s">
        <v>125</v>
      </c>
      <c r="AI12" s="40" t="s">
        <v>240</v>
      </c>
      <c r="AJ12" s="40" t="s">
        <v>127</v>
      </c>
      <c r="AK12" s="40" t="s">
        <v>179</v>
      </c>
      <c r="AL12" s="41" t="s">
        <v>132</v>
      </c>
      <c r="AM12" s="128" t="s">
        <v>165</v>
      </c>
      <c r="AN12" s="40">
        <v>80.0</v>
      </c>
      <c r="AO12" s="40" t="s">
        <v>241</v>
      </c>
      <c r="AP12" s="40" t="s">
        <v>162</v>
      </c>
      <c r="AQ12" s="40" t="s">
        <v>242</v>
      </c>
      <c r="AR12" s="40">
        <v>0.01</v>
      </c>
      <c r="AS12" s="40" t="s">
        <v>127</v>
      </c>
      <c r="AT12" s="40" t="s">
        <v>179</v>
      </c>
      <c r="AU12" s="98" t="s">
        <v>129</v>
      </c>
      <c r="AV12" s="130" t="s">
        <v>165</v>
      </c>
      <c r="AW12" s="115" t="s">
        <v>134</v>
      </c>
      <c r="AX12" s="40"/>
      <c r="AY12" s="41" t="s">
        <v>135</v>
      </c>
    </row>
    <row r="13" ht="20.25" customHeight="1">
      <c r="A13" s="96" t="s">
        <v>106</v>
      </c>
      <c r="B13" s="96" t="s">
        <v>107</v>
      </c>
      <c r="C13" s="96" t="s">
        <v>243</v>
      </c>
      <c r="D13" s="96"/>
      <c r="E13" s="96" t="s">
        <v>227</v>
      </c>
      <c r="F13" s="96" t="s">
        <v>228</v>
      </c>
      <c r="G13" s="96" t="s">
        <v>244</v>
      </c>
      <c r="H13" s="131">
        <v>45427.0</v>
      </c>
      <c r="I13" s="132">
        <v>45625.0</v>
      </c>
      <c r="J13" s="96" t="s">
        <v>245</v>
      </c>
      <c r="K13" s="97"/>
      <c r="L13" s="96" t="s">
        <v>230</v>
      </c>
      <c r="M13" s="96" t="s">
        <v>231</v>
      </c>
      <c r="N13" s="97"/>
      <c r="O13" s="133" t="str">
        <f> hyperlink(vlookup(lower(M13),'File Links'!A:B, 2, FALSE), SUBSTITUTE(lower(M13), "/", "--") &amp;  ".pdf")</f>
        <v>10.1007--s11858-016-0819-3.pdf</v>
      </c>
      <c r="P13" s="48" t="str">
        <f t="array" ref="P13">HYPERLINK(INDEX('File Links'!B:B, MATCH(O13, 'File Links'!C:C, 0)))
</f>
        <v>https://drive.google.com/file/d/1A3A0XWewbvFp536VbiCjIAYxdIJwVP-9/view?usp=drivesdk</v>
      </c>
      <c r="Q13" s="96" t="s">
        <v>232</v>
      </c>
      <c r="R13" s="96" t="s">
        <v>233</v>
      </c>
      <c r="S13" s="97"/>
      <c r="T13" s="97"/>
      <c r="U13" s="96" t="str">
        <f> hyperlink(vlookup(lower(R13),'File Links'!E:F, 2, FALSE), SUBSTITUTE(lower(R13), "/", "--") &amp;  ".pdf")</f>
        <v>10.1163--26670127-bja10017.pdf</v>
      </c>
      <c r="V13" s="97"/>
      <c r="W13" s="45" t="str">
        <f t="array" ref="W13">HYPERLINK(INDEX('File Links'!B:B, MATCH(U13, 'File Links'!C:C, 0)))
</f>
        <v>#N/A</v>
      </c>
      <c r="X13" s="97"/>
      <c r="Y13" s="96" t="s">
        <v>246</v>
      </c>
      <c r="Z13" s="97"/>
      <c r="AA13" s="96" t="s">
        <v>247</v>
      </c>
      <c r="AB13" s="96" t="s">
        <v>248</v>
      </c>
      <c r="AC13" s="96" t="s">
        <v>249</v>
      </c>
      <c r="AD13" s="96" t="s">
        <v>250</v>
      </c>
      <c r="AE13" s="96">
        <v>100.0</v>
      </c>
      <c r="AF13" s="96">
        <v>0.3</v>
      </c>
      <c r="AG13" s="96" t="s">
        <v>166</v>
      </c>
      <c r="AH13" s="97"/>
      <c r="AI13" s="96" t="s">
        <v>251</v>
      </c>
      <c r="AJ13" s="96" t="s">
        <v>127</v>
      </c>
      <c r="AK13" s="96" t="s">
        <v>179</v>
      </c>
      <c r="AL13" s="64"/>
      <c r="AM13" s="97"/>
      <c r="AN13" s="96">
        <v>80.0</v>
      </c>
      <c r="AO13" s="97"/>
      <c r="AP13" s="97"/>
      <c r="AQ13" s="97"/>
      <c r="AR13" s="96" t="s">
        <v>252</v>
      </c>
      <c r="AS13" s="96" t="s">
        <v>127</v>
      </c>
      <c r="AT13" s="96" t="s">
        <v>179</v>
      </c>
      <c r="AU13" s="64"/>
      <c r="AV13" s="63"/>
      <c r="AW13" s="134" t="s">
        <v>134</v>
      </c>
      <c r="AX13" s="58"/>
      <c r="AY13" s="41" t="s">
        <v>135</v>
      </c>
    </row>
    <row r="14" ht="20.25" customHeight="1">
      <c r="A14" s="40" t="s">
        <v>143</v>
      </c>
      <c r="B14" s="40" t="s">
        <v>107</v>
      </c>
      <c r="C14" s="40" t="s">
        <v>226</v>
      </c>
      <c r="D14" s="40"/>
      <c r="E14" s="41" t="s">
        <v>227</v>
      </c>
      <c r="F14" s="40" t="s">
        <v>253</v>
      </c>
      <c r="G14" s="40" t="s">
        <v>229</v>
      </c>
      <c r="H14" s="56">
        <v>45427.0</v>
      </c>
      <c r="I14" s="57">
        <v>45624.0</v>
      </c>
      <c r="J14" s="40" t="s">
        <v>254</v>
      </c>
      <c r="K14" s="40"/>
      <c r="L14" s="40" t="s">
        <v>230</v>
      </c>
      <c r="M14" s="40" t="s">
        <v>231</v>
      </c>
      <c r="N14" s="40">
        <v>1.0</v>
      </c>
      <c r="O14" s="105" t="str">
        <f> hyperlink(vlookup(lower(M14),'File Links'!A:B, 2, FALSE), SUBSTITUTE(lower(M14), "/", "--") &amp;  ".pdf")</f>
        <v>10.1007--s11858-016-0819-3.pdf</v>
      </c>
      <c r="P14" s="48" t="str">
        <f t="array" ref="P14">HYPERLINK(INDEX('File Links'!B:B, MATCH(O14, 'File Links'!C:C, 0)))
</f>
        <v>https://drive.google.com/file/d/1A3A0XWewbvFp536VbiCjIAYxdIJwVP-9/view?usp=drivesdk</v>
      </c>
      <c r="Q14" s="40" t="s">
        <v>232</v>
      </c>
      <c r="R14" s="40" t="s">
        <v>233</v>
      </c>
      <c r="S14" s="58"/>
      <c r="T14" s="120">
        <v>1.0</v>
      </c>
      <c r="U14" s="59" t="str">
        <f> hyperlink(vlookup(lower(R14),'File Links'!E:F, 2, FALSE), SUBSTITUTE(lower(R14), "/", "--") &amp;  ".pdf")</f>
        <v>10.1163--26670127-bja10017.pdf</v>
      </c>
      <c r="V14" s="40" t="s">
        <v>234</v>
      </c>
      <c r="W14" s="45" t="str">
        <f t="array" ref="W14">HYPERLINK(INDEX('File Links'!B:B, MATCH(U14, 'File Links'!C:C, 0)))
</f>
        <v>#N/A</v>
      </c>
      <c r="X14" s="58"/>
      <c r="Y14" s="40" t="s">
        <v>235</v>
      </c>
      <c r="Z14" s="40" t="s">
        <v>236</v>
      </c>
      <c r="AA14" s="40" t="s">
        <v>237</v>
      </c>
      <c r="AB14" s="40" t="s">
        <v>255</v>
      </c>
      <c r="AC14" s="135" t="s">
        <v>256</v>
      </c>
      <c r="AD14" s="40">
        <v>7.0</v>
      </c>
      <c r="AE14" s="96">
        <v>163.0</v>
      </c>
      <c r="AF14" s="96">
        <v>1.12</v>
      </c>
      <c r="AG14" s="96" t="s">
        <v>166</v>
      </c>
      <c r="AH14" s="40" t="s">
        <v>125</v>
      </c>
      <c r="AI14" s="96" t="s">
        <v>251</v>
      </c>
      <c r="AJ14" s="40" t="s">
        <v>127</v>
      </c>
      <c r="AK14" s="40" t="s">
        <v>179</v>
      </c>
      <c r="AL14" s="41" t="s">
        <v>132</v>
      </c>
      <c r="AM14" s="128" t="s">
        <v>165</v>
      </c>
      <c r="AN14" s="40">
        <v>80.0</v>
      </c>
      <c r="AO14" s="96" t="s">
        <v>257</v>
      </c>
      <c r="AP14" s="96" t="s">
        <v>162</v>
      </c>
      <c r="AQ14" s="40" t="s">
        <v>258</v>
      </c>
      <c r="AR14" s="40">
        <v>0.01</v>
      </c>
      <c r="AS14" s="40" t="s">
        <v>127</v>
      </c>
      <c r="AT14" s="40" t="s">
        <v>179</v>
      </c>
      <c r="AU14" s="98" t="s">
        <v>129</v>
      </c>
      <c r="AV14" s="41" t="s">
        <v>165</v>
      </c>
      <c r="AW14" s="115" t="s">
        <v>134</v>
      </c>
      <c r="AX14" s="40"/>
      <c r="AY14" s="41" t="s">
        <v>135</v>
      </c>
    </row>
    <row r="15" ht="20.25" customHeight="1">
      <c r="A15" s="96" t="s">
        <v>106</v>
      </c>
      <c r="B15" s="96" t="s">
        <v>107</v>
      </c>
      <c r="C15" s="96" t="s">
        <v>243</v>
      </c>
      <c r="D15" s="96"/>
      <c r="E15" s="136" t="s">
        <v>227</v>
      </c>
      <c r="F15" s="96" t="s">
        <v>253</v>
      </c>
      <c r="G15" s="96" t="s">
        <v>244</v>
      </c>
      <c r="H15" s="131">
        <v>45427.0</v>
      </c>
      <c r="I15" s="132">
        <v>45625.0</v>
      </c>
      <c r="J15" s="96" t="s">
        <v>259</v>
      </c>
      <c r="K15" s="97"/>
      <c r="L15" s="96" t="s">
        <v>230</v>
      </c>
      <c r="M15" s="96" t="s">
        <v>231</v>
      </c>
      <c r="N15" s="97"/>
      <c r="O15" s="133" t="str">
        <f> hyperlink(vlookup(lower(M15),'File Links'!A:B, 2, FALSE), SUBSTITUTE(lower(M15), "/", "--") &amp;  ".pdf")</f>
        <v>10.1007--s11858-016-0819-3.pdf</v>
      </c>
      <c r="P15" s="48" t="str">
        <f t="array" ref="P15">HYPERLINK(INDEX('File Links'!B:B, MATCH(O15, 'File Links'!C:C, 0)))
</f>
        <v>https://drive.google.com/file/d/1A3A0XWewbvFp536VbiCjIAYxdIJwVP-9/view?usp=drivesdk</v>
      </c>
      <c r="Q15" s="96" t="s">
        <v>232</v>
      </c>
      <c r="R15" s="96" t="s">
        <v>233</v>
      </c>
      <c r="S15" s="97"/>
      <c r="T15" s="97"/>
      <c r="U15" s="96" t="str">
        <f> hyperlink(vlookup(lower(R15),'File Links'!E:F, 2, FALSE), SUBSTITUTE(lower(R15), "/", "--") &amp;  ".pdf")</f>
        <v>10.1163--26670127-bja10017.pdf</v>
      </c>
      <c r="V15" s="97"/>
      <c r="W15" s="45" t="str">
        <f t="array" ref="W15">HYPERLINK(INDEX('File Links'!B:B, MATCH(U15, 'File Links'!C:C, 0)))
</f>
        <v>#N/A</v>
      </c>
      <c r="X15" s="97"/>
      <c r="Y15" s="96" t="s">
        <v>246</v>
      </c>
      <c r="Z15" s="97"/>
      <c r="AA15" s="96" t="s">
        <v>260</v>
      </c>
      <c r="AB15" s="96" t="s">
        <v>248</v>
      </c>
      <c r="AC15" s="96" t="s">
        <v>261</v>
      </c>
      <c r="AD15" s="96" t="s">
        <v>250</v>
      </c>
      <c r="AE15" s="96">
        <v>163.0</v>
      </c>
      <c r="AF15" s="96">
        <v>1.12</v>
      </c>
      <c r="AG15" s="96" t="s">
        <v>166</v>
      </c>
      <c r="AH15" s="97"/>
      <c r="AI15" s="96" t="s">
        <v>251</v>
      </c>
      <c r="AJ15" s="96" t="s">
        <v>127</v>
      </c>
      <c r="AK15" s="96" t="s">
        <v>179</v>
      </c>
      <c r="AL15" s="64"/>
      <c r="AM15" s="97"/>
      <c r="AN15" s="96">
        <v>80.0</v>
      </c>
      <c r="AO15" s="25"/>
      <c r="AP15" s="25"/>
      <c r="AQ15" s="97"/>
      <c r="AR15" s="96" t="s">
        <v>240</v>
      </c>
      <c r="AS15" s="96" t="s">
        <v>127</v>
      </c>
      <c r="AT15" s="96" t="s">
        <v>179</v>
      </c>
      <c r="AU15" s="64"/>
      <c r="AV15" s="64"/>
      <c r="AW15" s="134" t="s">
        <v>134</v>
      </c>
      <c r="AX15" s="58"/>
      <c r="AY15" s="41" t="s">
        <v>135</v>
      </c>
    </row>
    <row r="16" ht="20.25" customHeight="1">
      <c r="A16" s="40" t="s">
        <v>106</v>
      </c>
      <c r="B16" s="40" t="s">
        <v>107</v>
      </c>
      <c r="C16" s="40" t="s">
        <v>226</v>
      </c>
      <c r="D16" s="40"/>
      <c r="E16" s="41" t="s">
        <v>227</v>
      </c>
      <c r="F16" s="40" t="s">
        <v>262</v>
      </c>
      <c r="G16" s="40" t="s">
        <v>229</v>
      </c>
      <c r="H16" s="56">
        <v>45427.0</v>
      </c>
      <c r="I16" s="57">
        <v>45624.0</v>
      </c>
      <c r="J16" s="40" t="s">
        <v>254</v>
      </c>
      <c r="K16" s="40" t="s">
        <v>263</v>
      </c>
      <c r="L16" s="40" t="s">
        <v>230</v>
      </c>
      <c r="M16" s="40" t="s">
        <v>231</v>
      </c>
      <c r="N16" s="40">
        <v>1.0</v>
      </c>
      <c r="O16" s="105" t="str">
        <f> hyperlink(vlookup(lower(M16),'File Links'!A:B, 2, FALSE), SUBSTITUTE(lower(M16), "/", "--") &amp;  ".pdf")</f>
        <v>10.1007--s11858-016-0819-3.pdf</v>
      </c>
      <c r="P16" s="48" t="str">
        <f t="array" ref="P16">HYPERLINK(INDEX('File Links'!B:B, MATCH(O16, 'File Links'!C:C, 0)))
</f>
        <v>https://drive.google.com/file/d/1A3A0XWewbvFp536VbiCjIAYxdIJwVP-9/view?usp=drivesdk</v>
      </c>
      <c r="Q16" s="40" t="s">
        <v>232</v>
      </c>
      <c r="R16" s="40" t="s">
        <v>233</v>
      </c>
      <c r="S16" s="58"/>
      <c r="T16" s="40">
        <v>1.0</v>
      </c>
      <c r="U16" s="59" t="str">
        <f> hyperlink(vlookup(lower(R16),'File Links'!E:F, 2, FALSE), SUBSTITUTE(lower(R16), "/", "--") &amp;  ".pdf")</f>
        <v>10.1163--26670127-bja10017.pdf</v>
      </c>
      <c r="V16" s="40" t="s">
        <v>234</v>
      </c>
      <c r="W16" s="45" t="str">
        <f t="array" ref="W16">HYPERLINK(INDEX('File Links'!B:B, MATCH(U16, 'File Links'!C:C, 0)))
</f>
        <v>#N/A</v>
      </c>
      <c r="X16" s="58"/>
      <c r="Y16" s="40" t="s">
        <v>235</v>
      </c>
      <c r="Z16" s="40" t="s">
        <v>236</v>
      </c>
      <c r="AA16" s="40" t="s">
        <v>237</v>
      </c>
      <c r="AB16" s="40" t="s">
        <v>264</v>
      </c>
      <c r="AC16" s="137"/>
      <c r="AD16" s="58"/>
      <c r="AE16" s="58"/>
      <c r="AF16" s="58"/>
      <c r="AG16" s="58"/>
      <c r="AH16" s="58"/>
      <c r="AI16" s="40"/>
      <c r="AJ16" s="58"/>
      <c r="AK16" s="58"/>
      <c r="AL16" s="25"/>
      <c r="AM16" s="58"/>
      <c r="AN16" s="40">
        <v>80.0</v>
      </c>
      <c r="AO16" s="40">
        <v>0.27</v>
      </c>
      <c r="AP16" s="40" t="s">
        <v>265</v>
      </c>
      <c r="AQ16" s="40" t="s">
        <v>266</v>
      </c>
      <c r="AR16" s="40" t="s">
        <v>240</v>
      </c>
      <c r="AS16" s="40" t="s">
        <v>127</v>
      </c>
      <c r="AT16" s="40" t="s">
        <v>179</v>
      </c>
      <c r="AU16" s="25"/>
      <c r="AW16" s="115" t="s">
        <v>267</v>
      </c>
      <c r="AX16" s="40"/>
      <c r="AY16" s="41" t="s">
        <v>135</v>
      </c>
    </row>
    <row r="17" ht="20.25" customHeight="1">
      <c r="A17" s="40" t="s">
        <v>106</v>
      </c>
      <c r="B17" s="40" t="s">
        <v>107</v>
      </c>
      <c r="C17" s="40" t="s">
        <v>226</v>
      </c>
      <c r="D17" s="40"/>
      <c r="E17" s="41" t="s">
        <v>227</v>
      </c>
      <c r="F17" s="40" t="s">
        <v>268</v>
      </c>
      <c r="G17" s="40" t="s">
        <v>229</v>
      </c>
      <c r="H17" s="56">
        <v>45427.0</v>
      </c>
      <c r="I17" s="57">
        <v>45624.0</v>
      </c>
      <c r="J17" s="40" t="s">
        <v>254</v>
      </c>
      <c r="K17" s="40" t="s">
        <v>263</v>
      </c>
      <c r="L17" s="40" t="s">
        <v>230</v>
      </c>
      <c r="M17" s="40" t="s">
        <v>231</v>
      </c>
      <c r="N17" s="40">
        <v>1.0</v>
      </c>
      <c r="O17" s="105" t="str">
        <f> hyperlink(vlookup(lower(M17),'File Links'!A:B, 2, FALSE), SUBSTITUTE(lower(M17), "/", "--") &amp;  ".pdf")</f>
        <v>10.1007--s11858-016-0819-3.pdf</v>
      </c>
      <c r="P17" s="48" t="str">
        <f t="array" ref="P17">HYPERLINK(INDEX('File Links'!B:B, MATCH(O17, 'File Links'!C:C, 0)))
</f>
        <v>https://drive.google.com/file/d/1A3A0XWewbvFp536VbiCjIAYxdIJwVP-9/view?usp=drivesdk</v>
      </c>
      <c r="Q17" s="40" t="s">
        <v>232</v>
      </c>
      <c r="R17" s="40" t="s">
        <v>233</v>
      </c>
      <c r="S17" s="58"/>
      <c r="T17" s="40">
        <v>1.0</v>
      </c>
      <c r="U17" s="59" t="str">
        <f> hyperlink(vlookup(lower(R17),'File Links'!E:F, 2, FALSE), SUBSTITUTE(lower(R17), "/", "--") &amp;  ".pdf")</f>
        <v>10.1163--26670127-bja10017.pdf</v>
      </c>
      <c r="V17" s="40" t="s">
        <v>234</v>
      </c>
      <c r="W17" s="45" t="str">
        <f t="array" ref="W17">HYPERLINK(INDEX('File Links'!B:B, MATCH(U17, 'File Links'!C:C, 0)))
</f>
        <v>#N/A</v>
      </c>
      <c r="X17" s="58"/>
      <c r="Y17" s="40" t="s">
        <v>235</v>
      </c>
      <c r="Z17" s="40" t="s">
        <v>236</v>
      </c>
      <c r="AA17" s="40" t="s">
        <v>237</v>
      </c>
      <c r="AB17" s="40" t="s">
        <v>269</v>
      </c>
      <c r="AC17" s="137"/>
      <c r="AD17" s="58"/>
      <c r="AE17" s="58"/>
      <c r="AF17" s="58"/>
      <c r="AG17" s="58"/>
      <c r="AH17" s="58"/>
      <c r="AI17" s="40"/>
      <c r="AJ17" s="58"/>
      <c r="AK17" s="58"/>
      <c r="AL17" s="25"/>
      <c r="AM17" s="58"/>
      <c r="AN17" s="40">
        <v>80.0</v>
      </c>
      <c r="AO17" s="40">
        <v>0.68</v>
      </c>
      <c r="AP17" s="40" t="s">
        <v>265</v>
      </c>
      <c r="AQ17" s="40" t="s">
        <v>270</v>
      </c>
      <c r="AR17" s="40" t="s">
        <v>240</v>
      </c>
      <c r="AS17" s="40" t="s">
        <v>127</v>
      </c>
      <c r="AT17" s="40" t="s">
        <v>179</v>
      </c>
      <c r="AU17" s="25"/>
      <c r="AW17" s="115" t="s">
        <v>267</v>
      </c>
      <c r="AX17" s="40"/>
      <c r="AY17" s="41" t="s">
        <v>135</v>
      </c>
    </row>
    <row r="18" ht="20.25" customHeight="1">
      <c r="A18" s="40" t="s">
        <v>106</v>
      </c>
      <c r="B18" s="40" t="s">
        <v>107</v>
      </c>
      <c r="C18" s="40" t="s">
        <v>226</v>
      </c>
      <c r="D18" s="40"/>
      <c r="E18" s="41" t="s">
        <v>227</v>
      </c>
      <c r="F18" s="40" t="s">
        <v>271</v>
      </c>
      <c r="G18" s="40" t="s">
        <v>229</v>
      </c>
      <c r="H18" s="56">
        <v>45427.0</v>
      </c>
      <c r="I18" s="57">
        <v>45624.0</v>
      </c>
      <c r="J18" s="40" t="s">
        <v>254</v>
      </c>
      <c r="K18" s="40" t="s">
        <v>263</v>
      </c>
      <c r="L18" s="40" t="s">
        <v>230</v>
      </c>
      <c r="M18" s="40" t="s">
        <v>231</v>
      </c>
      <c r="N18" s="40">
        <v>1.0</v>
      </c>
      <c r="O18" s="105" t="str">
        <f> hyperlink(vlookup(lower(M18),'File Links'!A:B, 2, FALSE), SUBSTITUTE(lower(M18), "/", "--") &amp;  ".pdf")</f>
        <v>10.1007--s11858-016-0819-3.pdf</v>
      </c>
      <c r="P18" s="48" t="str">
        <f t="array" ref="P18">HYPERLINK(INDEX('File Links'!B:B, MATCH(O18, 'File Links'!C:C, 0)))
</f>
        <v>https://drive.google.com/file/d/1A3A0XWewbvFp536VbiCjIAYxdIJwVP-9/view?usp=drivesdk</v>
      </c>
      <c r="Q18" s="40" t="s">
        <v>232</v>
      </c>
      <c r="R18" s="40" t="s">
        <v>233</v>
      </c>
      <c r="S18" s="58"/>
      <c r="T18" s="40">
        <v>1.0</v>
      </c>
      <c r="U18" s="59" t="str">
        <f> hyperlink(vlookup(lower(R18),'File Links'!E:F, 2, FALSE), SUBSTITUTE(lower(R18), "/", "--") &amp;  ".pdf")</f>
        <v>10.1163--26670127-bja10017.pdf</v>
      </c>
      <c r="V18" s="40" t="s">
        <v>234</v>
      </c>
      <c r="W18" s="45" t="str">
        <f t="array" ref="W18">HYPERLINK(INDEX('File Links'!B:B, MATCH(U18, 'File Links'!C:C, 0)))
</f>
        <v>#N/A</v>
      </c>
      <c r="X18" s="58"/>
      <c r="Y18" s="40" t="s">
        <v>235</v>
      </c>
      <c r="Z18" s="40" t="s">
        <v>236</v>
      </c>
      <c r="AA18" s="40" t="s">
        <v>237</v>
      </c>
      <c r="AB18" s="40" t="s">
        <v>272</v>
      </c>
      <c r="AC18" s="137"/>
      <c r="AD18" s="58"/>
      <c r="AE18" s="58"/>
      <c r="AF18" s="58"/>
      <c r="AG18" s="58"/>
      <c r="AH18" s="58"/>
      <c r="AI18" s="40"/>
      <c r="AJ18" s="58"/>
      <c r="AK18" s="58"/>
      <c r="AL18" s="25"/>
      <c r="AM18" s="58"/>
      <c r="AN18" s="40">
        <v>80.0</v>
      </c>
      <c r="AO18" s="40" t="s">
        <v>273</v>
      </c>
      <c r="AP18" s="40" t="s">
        <v>208</v>
      </c>
      <c r="AQ18" s="58"/>
      <c r="AR18" s="40" t="s">
        <v>274</v>
      </c>
      <c r="AS18" s="40" t="s">
        <v>127</v>
      </c>
      <c r="AT18" s="40" t="s">
        <v>179</v>
      </c>
      <c r="AU18" s="25"/>
      <c r="AW18" s="115" t="s">
        <v>267</v>
      </c>
      <c r="AX18" s="40"/>
      <c r="AY18" s="41" t="s">
        <v>135</v>
      </c>
    </row>
    <row r="19" ht="20.25" customHeight="1">
      <c r="A19" s="40" t="s">
        <v>106</v>
      </c>
      <c r="B19" s="40" t="s">
        <v>107</v>
      </c>
      <c r="C19" s="40" t="s">
        <v>226</v>
      </c>
      <c r="D19" s="40"/>
      <c r="E19" s="41" t="s">
        <v>227</v>
      </c>
      <c r="F19" s="40" t="s">
        <v>275</v>
      </c>
      <c r="G19" s="40" t="s">
        <v>229</v>
      </c>
      <c r="H19" s="56">
        <v>45427.0</v>
      </c>
      <c r="I19" s="57">
        <v>45624.0</v>
      </c>
      <c r="J19" s="40" t="s">
        <v>254</v>
      </c>
      <c r="K19" s="40" t="s">
        <v>263</v>
      </c>
      <c r="L19" s="40" t="s">
        <v>230</v>
      </c>
      <c r="M19" s="40" t="s">
        <v>231</v>
      </c>
      <c r="N19" s="40">
        <v>1.0</v>
      </c>
      <c r="O19" s="105" t="str">
        <f> hyperlink(vlookup(lower(M19),'File Links'!A:B, 2, FALSE), SUBSTITUTE(lower(M19), "/", "--") &amp;  ".pdf")</f>
        <v>10.1007--s11858-016-0819-3.pdf</v>
      </c>
      <c r="P19" s="48" t="str">
        <f t="array" ref="P19">HYPERLINK(INDEX('File Links'!B:B, MATCH(O19, 'File Links'!C:C, 0)))
</f>
        <v>https://drive.google.com/file/d/1A3A0XWewbvFp536VbiCjIAYxdIJwVP-9/view?usp=drivesdk</v>
      </c>
      <c r="Q19" s="40" t="s">
        <v>232</v>
      </c>
      <c r="R19" s="40" t="s">
        <v>233</v>
      </c>
      <c r="S19" s="58"/>
      <c r="T19" s="40">
        <v>1.0</v>
      </c>
      <c r="U19" s="59" t="str">
        <f> hyperlink(vlookup(lower(R19),'File Links'!E:F, 2, FALSE), SUBSTITUTE(lower(R19), "/", "--") &amp;  ".pdf")</f>
        <v>10.1163--26670127-bja10017.pdf</v>
      </c>
      <c r="V19" s="40" t="s">
        <v>234</v>
      </c>
      <c r="W19" s="45" t="str">
        <f t="array" ref="W19">HYPERLINK(INDEX('File Links'!B:B, MATCH(U19, 'File Links'!C:C, 0)))
</f>
        <v>#N/A</v>
      </c>
      <c r="X19" s="58"/>
      <c r="Y19" s="40" t="s">
        <v>235</v>
      </c>
      <c r="Z19" s="40" t="s">
        <v>236</v>
      </c>
      <c r="AA19" s="40" t="s">
        <v>237</v>
      </c>
      <c r="AB19" s="40" t="s">
        <v>276</v>
      </c>
      <c r="AC19" s="58"/>
      <c r="AD19" s="58"/>
      <c r="AE19" s="58"/>
      <c r="AF19" s="58"/>
      <c r="AG19" s="58"/>
      <c r="AH19" s="58"/>
      <c r="AI19" s="40"/>
      <c r="AJ19" s="58"/>
      <c r="AK19" s="58"/>
      <c r="AL19" s="25"/>
      <c r="AM19" s="58"/>
      <c r="AN19" s="40">
        <v>80.0</v>
      </c>
      <c r="AO19" s="40" t="s">
        <v>277</v>
      </c>
      <c r="AP19" s="40" t="s">
        <v>208</v>
      </c>
      <c r="AQ19" s="58"/>
      <c r="AR19" s="40" t="s">
        <v>278</v>
      </c>
      <c r="AS19" s="40" t="s">
        <v>127</v>
      </c>
      <c r="AT19" s="40" t="s">
        <v>179</v>
      </c>
      <c r="AU19" s="25"/>
      <c r="AW19" s="115" t="s">
        <v>267</v>
      </c>
      <c r="AX19" s="40"/>
      <c r="AY19" s="41" t="s">
        <v>135</v>
      </c>
    </row>
    <row r="20" ht="20.25" customHeight="1">
      <c r="A20" s="41" t="s">
        <v>279</v>
      </c>
      <c r="B20" s="41" t="s">
        <v>107</v>
      </c>
      <c r="C20" s="41" t="s">
        <v>280</v>
      </c>
      <c r="E20" s="138" t="s">
        <v>281</v>
      </c>
      <c r="F20" s="139" t="s">
        <v>282</v>
      </c>
      <c r="G20" s="139" t="s">
        <v>283</v>
      </c>
      <c r="H20" s="140"/>
      <c r="I20" s="141">
        <v>45683.0</v>
      </c>
      <c r="J20" s="115" t="s">
        <v>284</v>
      </c>
      <c r="K20" s="60"/>
      <c r="L20" s="142"/>
      <c r="M20" s="143" t="s">
        <v>285</v>
      </c>
      <c r="N20" s="144"/>
      <c r="O20" s="105" t="str">
        <f> hyperlink(vlookup(lower(M20),'File Links'!A:B, 2, FALSE), SUBSTITUTE(lower(M20), "/", "--") &amp;  ".pdf")</f>
        <v>10.1111--lang.12161.pdf</v>
      </c>
      <c r="P20" s="48" t="str">
        <f t="array" ref="P20">HYPERLINK(INDEX('File Links'!B:B, MATCH(O20, 'File Links'!C:C, 0)))
</f>
        <v>https://drive.google.com/file/d/1W_KvsfbanYWBQG9nzoDuqDlzFW_jUYH2/view?usp=drivesdk</v>
      </c>
      <c r="Q20" s="60"/>
      <c r="R20" s="60"/>
      <c r="S20" s="60"/>
      <c r="T20" s="144"/>
      <c r="U20" s="145"/>
      <c r="V20" s="115" t="s">
        <v>286</v>
      </c>
      <c r="W20" s="45" t="str">
        <f t="array" ref="W20">HYPERLINK(INDEX('File Links'!B:B, MATCH(U20, 'File Links'!C:C, 0)))
</f>
        <v>#N/A</v>
      </c>
      <c r="Y20" s="139" t="s">
        <v>287</v>
      </c>
      <c r="Z20" s="115" t="s">
        <v>288</v>
      </c>
      <c r="AA20" s="115" t="s">
        <v>289</v>
      </c>
      <c r="AB20" s="115" t="s">
        <v>290</v>
      </c>
      <c r="AC20" s="146"/>
      <c r="AD20" s="144"/>
      <c r="AE20" s="144"/>
      <c r="AF20" s="144"/>
      <c r="AG20" s="147"/>
      <c r="AH20" s="60"/>
      <c r="AI20" s="148"/>
      <c r="AJ20" s="52"/>
      <c r="AK20" s="52"/>
      <c r="AL20" s="60"/>
      <c r="AM20" s="55"/>
      <c r="AN20" s="149">
        <v>58.0</v>
      </c>
      <c r="AO20" s="149">
        <v>3.31</v>
      </c>
      <c r="AP20" s="139" t="s">
        <v>166</v>
      </c>
      <c r="AQ20" s="115" t="s">
        <v>291</v>
      </c>
      <c r="AR20" s="150"/>
      <c r="AS20" s="147"/>
      <c r="AT20" s="147"/>
      <c r="AU20" s="115" t="s">
        <v>132</v>
      </c>
      <c r="AV20" s="151" t="s">
        <v>292</v>
      </c>
      <c r="AW20" s="115" t="s">
        <v>134</v>
      </c>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row>
    <row r="21" ht="20.25" customHeight="1">
      <c r="A21" s="41" t="s">
        <v>279</v>
      </c>
      <c r="B21" s="41" t="s">
        <v>107</v>
      </c>
      <c r="C21" s="41" t="s">
        <v>280</v>
      </c>
      <c r="E21" s="138" t="s">
        <v>281</v>
      </c>
      <c r="F21" s="139" t="s">
        <v>293</v>
      </c>
      <c r="G21" s="139" t="s">
        <v>283</v>
      </c>
      <c r="H21" s="140"/>
      <c r="I21" s="141">
        <v>45683.0</v>
      </c>
      <c r="J21" s="115" t="s">
        <v>284</v>
      </c>
      <c r="K21" s="60"/>
      <c r="L21" s="142"/>
      <c r="M21" s="143" t="s">
        <v>285</v>
      </c>
      <c r="N21" s="144"/>
      <c r="O21" s="105" t="str">
        <f> hyperlink(vlookup(lower(M21),'File Links'!A:B, 2, FALSE), SUBSTITUTE(lower(M21), "/", "--") &amp;  ".pdf")</f>
        <v>10.1111--lang.12161.pdf</v>
      </c>
      <c r="P21" s="48" t="str">
        <f t="array" ref="P21">HYPERLINK(INDEX('File Links'!B:B, MATCH(O21, 'File Links'!C:C, 0)))
</f>
        <v>https://drive.google.com/file/d/1W_KvsfbanYWBQG9nzoDuqDlzFW_jUYH2/view?usp=drivesdk</v>
      </c>
      <c r="Q21" s="60"/>
      <c r="R21" s="60"/>
      <c r="S21" s="60"/>
      <c r="T21" s="144"/>
      <c r="U21" s="145"/>
      <c r="V21" s="115" t="s">
        <v>286</v>
      </c>
      <c r="W21" s="45" t="str">
        <f t="array" ref="W21">HYPERLINK(INDEX('File Links'!B:B, MATCH(U21, 'File Links'!C:C, 0)))
</f>
        <v>#N/A</v>
      </c>
      <c r="Y21" s="139" t="s">
        <v>287</v>
      </c>
      <c r="Z21" s="115" t="s">
        <v>294</v>
      </c>
      <c r="AA21" s="115" t="s">
        <v>289</v>
      </c>
      <c r="AB21" s="115" t="s">
        <v>295</v>
      </c>
      <c r="AC21" s="153" t="s">
        <v>296</v>
      </c>
      <c r="AD21" s="149" t="s">
        <v>297</v>
      </c>
      <c r="AE21" s="149">
        <v>25.0</v>
      </c>
      <c r="AF21" s="149">
        <v>0.17</v>
      </c>
      <c r="AG21" s="139" t="s">
        <v>208</v>
      </c>
      <c r="AH21" s="115" t="s">
        <v>298</v>
      </c>
      <c r="AI21" s="154">
        <v>0.71</v>
      </c>
      <c r="AJ21" s="139" t="s">
        <v>164</v>
      </c>
      <c r="AK21" s="139" t="s">
        <v>179</v>
      </c>
      <c r="AL21" s="115" t="s">
        <v>132</v>
      </c>
      <c r="AM21" s="55"/>
      <c r="AN21" s="149">
        <v>58.0</v>
      </c>
      <c r="AO21" s="149">
        <v>0.64</v>
      </c>
      <c r="AP21" s="139" t="s">
        <v>166</v>
      </c>
      <c r="AQ21" s="115" t="s">
        <v>299</v>
      </c>
      <c r="AR21" s="154">
        <v>0.001</v>
      </c>
      <c r="AS21" s="139" t="s">
        <v>127</v>
      </c>
      <c r="AT21" s="139" t="s">
        <v>179</v>
      </c>
      <c r="AU21" s="115" t="s">
        <v>132</v>
      </c>
      <c r="AV21" s="151" t="s">
        <v>292</v>
      </c>
      <c r="AW21" s="115" t="s">
        <v>134</v>
      </c>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152"/>
      <c r="CS21" s="152"/>
      <c r="CT21" s="152"/>
      <c r="CU21" s="152"/>
      <c r="CV21" s="152"/>
      <c r="CW21" s="152"/>
      <c r="CX21" s="152"/>
      <c r="CY21" s="152"/>
      <c r="CZ21" s="152"/>
      <c r="DA21" s="152"/>
      <c r="DB21" s="152"/>
      <c r="DC21" s="152"/>
      <c r="DD21" s="152"/>
      <c r="DE21" s="152"/>
      <c r="DF21" s="152"/>
      <c r="DG21" s="152"/>
    </row>
    <row r="22" ht="20.25" customHeight="1">
      <c r="A22" s="41" t="s">
        <v>279</v>
      </c>
      <c r="B22" s="41" t="s">
        <v>107</v>
      </c>
      <c r="C22" s="41" t="s">
        <v>280</v>
      </c>
      <c r="E22" s="138" t="s">
        <v>281</v>
      </c>
      <c r="F22" s="139" t="s">
        <v>300</v>
      </c>
      <c r="G22" s="139" t="s">
        <v>283</v>
      </c>
      <c r="H22" s="140"/>
      <c r="I22" s="141">
        <v>45683.0</v>
      </c>
      <c r="J22" s="115" t="s">
        <v>284</v>
      </c>
      <c r="K22" s="60"/>
      <c r="L22" s="142"/>
      <c r="M22" s="143" t="s">
        <v>285</v>
      </c>
      <c r="N22" s="144"/>
      <c r="O22" s="105" t="str">
        <f> hyperlink(vlookup(lower(M22),'File Links'!A:B, 2, FALSE), SUBSTITUTE(lower(M22), "/", "--") &amp;  ".pdf")</f>
        <v>10.1111--lang.12161.pdf</v>
      </c>
      <c r="P22" s="48" t="str">
        <f t="array" ref="P22">HYPERLINK(INDEX('File Links'!B:B, MATCH(O22, 'File Links'!C:C, 0)))
</f>
        <v>https://drive.google.com/file/d/1W_KvsfbanYWBQG9nzoDuqDlzFW_jUYH2/view?usp=drivesdk</v>
      </c>
      <c r="Q22" s="60"/>
      <c r="R22" s="60"/>
      <c r="S22" s="60"/>
      <c r="T22" s="144"/>
      <c r="U22" s="145"/>
      <c r="V22" s="115" t="s">
        <v>286</v>
      </c>
      <c r="W22" s="45" t="str">
        <f t="array" ref="W22">HYPERLINK(INDEX('File Links'!B:B, MATCH(U22, 'File Links'!C:C, 0)))
</f>
        <v>#N/A</v>
      </c>
      <c r="Y22" s="139" t="s">
        <v>287</v>
      </c>
      <c r="Z22" s="115" t="s">
        <v>301</v>
      </c>
      <c r="AA22" s="115" t="s">
        <v>289</v>
      </c>
      <c r="AB22" s="115" t="s">
        <v>302</v>
      </c>
      <c r="AC22" s="146"/>
      <c r="AD22" s="144"/>
      <c r="AE22" s="144"/>
      <c r="AF22" s="144"/>
      <c r="AG22" s="147"/>
      <c r="AH22" s="60"/>
      <c r="AI22" s="148"/>
      <c r="AJ22" s="52"/>
      <c r="AK22" s="52"/>
      <c r="AL22" s="60"/>
      <c r="AM22" s="55"/>
      <c r="AN22" s="149">
        <v>58.0</v>
      </c>
      <c r="AO22" s="149">
        <v>-2.67</v>
      </c>
      <c r="AP22" s="139" t="s">
        <v>166</v>
      </c>
      <c r="AQ22" s="115" t="s">
        <v>303</v>
      </c>
      <c r="AR22" s="150"/>
      <c r="AS22" s="147"/>
      <c r="AT22" s="147"/>
      <c r="AU22" s="60"/>
      <c r="AV22" s="151" t="s">
        <v>292</v>
      </c>
      <c r="AW22" s="115" t="s">
        <v>134</v>
      </c>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2"/>
      <c r="CI22" s="152"/>
      <c r="CJ22" s="152"/>
      <c r="CK22" s="152"/>
      <c r="CL22" s="152"/>
      <c r="CM22" s="152"/>
      <c r="CN22" s="152"/>
      <c r="CO22" s="152"/>
      <c r="CP22" s="152"/>
      <c r="CQ22" s="152"/>
      <c r="CR22" s="152"/>
      <c r="CS22" s="152"/>
      <c r="CT22" s="152"/>
      <c r="CU22" s="152"/>
      <c r="CV22" s="152"/>
      <c r="CW22" s="152"/>
      <c r="CX22" s="152"/>
      <c r="CY22" s="152"/>
      <c r="CZ22" s="152"/>
      <c r="DA22" s="152"/>
      <c r="DB22" s="152"/>
      <c r="DC22" s="152"/>
      <c r="DD22" s="152"/>
      <c r="DE22" s="152"/>
      <c r="DF22" s="152"/>
      <c r="DG22" s="152"/>
    </row>
    <row r="23" ht="20.25" customHeight="1">
      <c r="A23" s="41" t="s">
        <v>279</v>
      </c>
      <c r="B23" s="41" t="s">
        <v>107</v>
      </c>
      <c r="C23" s="41" t="s">
        <v>280</v>
      </c>
      <c r="E23" s="138" t="s">
        <v>281</v>
      </c>
      <c r="F23" s="139" t="s">
        <v>304</v>
      </c>
      <c r="G23" s="139" t="s">
        <v>283</v>
      </c>
      <c r="H23" s="140"/>
      <c r="I23" s="141">
        <v>45683.0</v>
      </c>
      <c r="J23" s="115" t="s">
        <v>284</v>
      </c>
      <c r="K23" s="60"/>
      <c r="L23" s="142"/>
      <c r="M23" s="143" t="s">
        <v>285</v>
      </c>
      <c r="N23" s="144"/>
      <c r="O23" s="105" t="str">
        <f> hyperlink(vlookup(lower(M23),'File Links'!A:B, 2, FALSE), SUBSTITUTE(lower(M23), "/", "--") &amp;  ".pdf")</f>
        <v>10.1111--lang.12161.pdf</v>
      </c>
      <c r="P23" s="48" t="str">
        <f t="array" ref="P23">HYPERLINK(INDEX('File Links'!B:B, MATCH(O23, 'File Links'!C:C, 0)))
</f>
        <v>https://drive.google.com/file/d/1W_KvsfbanYWBQG9nzoDuqDlzFW_jUYH2/view?usp=drivesdk</v>
      </c>
      <c r="Q23" s="60"/>
      <c r="R23" s="60"/>
      <c r="S23" s="60"/>
      <c r="T23" s="144"/>
      <c r="U23" s="145"/>
      <c r="V23" s="115" t="s">
        <v>286</v>
      </c>
      <c r="W23" s="45" t="str">
        <f t="array" ref="W23">HYPERLINK(INDEX('File Links'!B:B, MATCH(U23, 'File Links'!C:C, 0)))
</f>
        <v>#N/A</v>
      </c>
      <c r="Y23" s="139" t="s">
        <v>287</v>
      </c>
      <c r="Z23" s="115" t="s">
        <v>305</v>
      </c>
      <c r="AA23" s="115" t="s">
        <v>289</v>
      </c>
      <c r="AB23" s="115" t="s">
        <v>306</v>
      </c>
      <c r="AC23" s="146"/>
      <c r="AD23" s="144"/>
      <c r="AE23" s="144"/>
      <c r="AF23" s="144"/>
      <c r="AG23" s="147"/>
      <c r="AH23" s="60"/>
      <c r="AI23" s="148"/>
      <c r="AJ23" s="52"/>
      <c r="AK23" s="52"/>
      <c r="AL23" s="60"/>
      <c r="AM23" s="55"/>
      <c r="AN23" s="149">
        <v>58.0</v>
      </c>
      <c r="AO23" s="149">
        <v>1.94</v>
      </c>
      <c r="AP23" s="139" t="s">
        <v>166</v>
      </c>
      <c r="AQ23" s="115" t="s">
        <v>307</v>
      </c>
      <c r="AR23" s="150"/>
      <c r="AS23" s="147"/>
      <c r="AT23" s="147"/>
      <c r="AU23" s="60"/>
      <c r="AV23" s="151" t="s">
        <v>292</v>
      </c>
      <c r="AW23" s="115" t="s">
        <v>134</v>
      </c>
      <c r="AZ23" s="152"/>
      <c r="BA23" s="152"/>
      <c r="BB23" s="152"/>
      <c r="BC23" s="152"/>
      <c r="BD23" s="152"/>
      <c r="BE23" s="152"/>
      <c r="BF23" s="152"/>
      <c r="BG23" s="152"/>
      <c r="BH23" s="152"/>
      <c r="BI23" s="152"/>
      <c r="BJ23" s="152"/>
      <c r="BK23" s="152"/>
      <c r="BL23" s="152"/>
      <c r="BM23" s="152"/>
      <c r="BN23" s="152"/>
      <c r="BO23" s="152"/>
      <c r="BP23" s="152"/>
      <c r="BQ23" s="152"/>
      <c r="BR23" s="152"/>
      <c r="BS23" s="152"/>
      <c r="BT23" s="152"/>
      <c r="BU23" s="152"/>
      <c r="BV23" s="152"/>
      <c r="BW23" s="152"/>
      <c r="BX23" s="152"/>
      <c r="BY23" s="152"/>
      <c r="BZ23" s="152"/>
      <c r="CA23" s="152"/>
      <c r="CB23" s="152"/>
      <c r="CC23" s="152"/>
      <c r="CD23" s="152"/>
      <c r="CE23" s="152"/>
      <c r="CF23" s="152"/>
      <c r="CG23" s="152"/>
      <c r="CH23" s="152"/>
      <c r="CI23" s="152"/>
      <c r="CJ23" s="152"/>
      <c r="CK23" s="152"/>
      <c r="CL23" s="152"/>
      <c r="CM23" s="152"/>
      <c r="CN23" s="152"/>
      <c r="CO23" s="152"/>
      <c r="CP23" s="152"/>
      <c r="CQ23" s="152"/>
      <c r="CR23" s="152"/>
      <c r="CS23" s="152"/>
      <c r="CT23" s="152"/>
      <c r="CU23" s="152"/>
      <c r="CV23" s="152"/>
      <c r="CW23" s="152"/>
      <c r="CX23" s="152"/>
      <c r="CY23" s="152"/>
      <c r="CZ23" s="152"/>
      <c r="DA23" s="152"/>
      <c r="DB23" s="152"/>
      <c r="DC23" s="152"/>
      <c r="DD23" s="152"/>
      <c r="DE23" s="152"/>
      <c r="DF23" s="152"/>
      <c r="DG23" s="152"/>
    </row>
    <row r="24" ht="20.25" customHeight="1">
      <c r="A24" s="155" t="s">
        <v>106</v>
      </c>
      <c r="B24" s="155" t="s">
        <v>107</v>
      </c>
      <c r="C24" s="156" t="s">
        <v>243</v>
      </c>
      <c r="D24" s="155"/>
      <c r="E24" s="157" t="s">
        <v>308</v>
      </c>
      <c r="F24" s="155" t="s">
        <v>309</v>
      </c>
      <c r="G24" s="155" t="s">
        <v>244</v>
      </c>
      <c r="H24" s="158">
        <v>45625.0</v>
      </c>
      <c r="I24" s="159">
        <v>45692.0</v>
      </c>
      <c r="J24" s="155" t="s">
        <v>310</v>
      </c>
      <c r="K24" s="160"/>
      <c r="L24" s="155" t="s">
        <v>311</v>
      </c>
      <c r="M24" s="155" t="s">
        <v>285</v>
      </c>
      <c r="N24" s="161">
        <v>1.0</v>
      </c>
      <c r="O24" s="162" t="str">
        <f> hyperlink(vlookup(lower(M24),'File Links'!A:B, 2, FALSE), SUBSTITUTE(lower(M24), "/", "--") &amp;  ".pdf")</f>
        <v>10.1111--lang.12161.pdf</v>
      </c>
      <c r="P24" s="48" t="str">
        <f t="array" ref="P24">HYPERLINK(INDEX('File Links'!B:B, MATCH(O24, 'File Links'!C:C, 0)))
</f>
        <v>https://drive.google.com/file/d/1W_KvsfbanYWBQG9nzoDuqDlzFW_jUYH2/view?usp=drivesdk</v>
      </c>
      <c r="Q24" s="155" t="s">
        <v>312</v>
      </c>
      <c r="R24" s="155" t="s">
        <v>313</v>
      </c>
      <c r="S24" s="160"/>
      <c r="T24" s="161">
        <v>1.0</v>
      </c>
      <c r="U24" s="155" t="str">
        <f> hyperlink(vlookup(lower(R24),'File Links'!E:F, 2, FALSE), SUBSTITUTE(lower(R24), "/", "--") &amp;  ".pdf")</f>
        <v>10.1017--s0272263124000238.pdf</v>
      </c>
      <c r="V24" s="161" t="s">
        <v>314</v>
      </c>
      <c r="W24" s="45" t="str">
        <f t="array" ref="W24">HYPERLINK(INDEX('File Links'!B:B, MATCH(U24, 'File Links'!C:C, 0)))
</f>
        <v>#N/A</v>
      </c>
      <c r="X24" s="160"/>
      <c r="Y24" s="156" t="s">
        <v>287</v>
      </c>
      <c r="Z24" s="163" t="s">
        <v>315</v>
      </c>
      <c r="AA24" s="164" t="s">
        <v>289</v>
      </c>
      <c r="AB24" s="155" t="s">
        <v>316</v>
      </c>
      <c r="AC24" s="155" t="s">
        <v>317</v>
      </c>
      <c r="AD24" s="155">
        <v>21.0</v>
      </c>
      <c r="AE24" s="155">
        <v>18.0</v>
      </c>
      <c r="AF24" s="160"/>
      <c r="AG24" s="160"/>
      <c r="AH24" s="160"/>
      <c r="AI24" s="155"/>
      <c r="AJ24" s="155" t="s">
        <v>127</v>
      </c>
      <c r="AK24" s="155" t="s">
        <v>179</v>
      </c>
      <c r="AL24" s="152"/>
      <c r="AM24" s="160"/>
      <c r="AN24" s="155">
        <v>58.0</v>
      </c>
      <c r="AO24" s="160"/>
      <c r="AP24" s="160"/>
      <c r="AQ24" s="160"/>
      <c r="AR24" s="160"/>
      <c r="AS24" s="160"/>
      <c r="AT24" s="155" t="s">
        <v>179</v>
      </c>
      <c r="AU24" s="152"/>
      <c r="AV24" s="152"/>
      <c r="AW24" s="164" t="s">
        <v>318</v>
      </c>
      <c r="AX24" s="160"/>
      <c r="AY24" s="157" t="s">
        <v>135</v>
      </c>
      <c r="AZ24" s="152"/>
      <c r="BA24" s="152"/>
      <c r="BB24" s="152"/>
      <c r="BC24" s="152"/>
      <c r="BD24" s="152"/>
      <c r="BE24" s="152"/>
      <c r="BF24" s="152"/>
      <c r="BG24" s="152"/>
      <c r="BH24" s="152"/>
      <c r="BI24" s="152"/>
      <c r="BJ24" s="152"/>
      <c r="BK24" s="152"/>
      <c r="BL24" s="152"/>
      <c r="BM24" s="152"/>
      <c r="BN24" s="152"/>
      <c r="BO24" s="152"/>
      <c r="BP24" s="152"/>
      <c r="BQ24" s="152"/>
      <c r="BR24" s="152"/>
      <c r="BS24" s="152"/>
      <c r="BT24" s="152"/>
      <c r="BU24" s="152"/>
      <c r="BV24" s="152"/>
      <c r="BW24" s="152"/>
      <c r="BX24" s="152"/>
      <c r="BY24" s="152"/>
      <c r="BZ24" s="152"/>
      <c r="CA24" s="152"/>
      <c r="CB24" s="152"/>
      <c r="CC24" s="152"/>
      <c r="CD24" s="152"/>
      <c r="CE24" s="152"/>
      <c r="CF24" s="152"/>
      <c r="CG24" s="152"/>
      <c r="CH24" s="152"/>
      <c r="CI24" s="152"/>
      <c r="CJ24" s="152"/>
      <c r="CK24" s="152"/>
      <c r="CL24" s="152"/>
      <c r="CM24" s="152"/>
      <c r="CN24" s="152"/>
      <c r="CO24" s="152"/>
      <c r="CP24" s="152"/>
      <c r="CQ24" s="152"/>
      <c r="CR24" s="152"/>
      <c r="CS24" s="152"/>
      <c r="CT24" s="152"/>
      <c r="CU24" s="152"/>
      <c r="CV24" s="152"/>
      <c r="CW24" s="152"/>
      <c r="CX24" s="152"/>
      <c r="CY24" s="152"/>
      <c r="CZ24" s="152"/>
      <c r="DA24" s="152"/>
      <c r="DB24" s="152"/>
      <c r="DC24" s="152"/>
      <c r="DD24" s="152"/>
      <c r="DE24" s="152"/>
      <c r="DF24" s="152"/>
      <c r="DG24" s="152"/>
    </row>
    <row r="25" ht="20.25" customHeight="1">
      <c r="A25" s="155" t="s">
        <v>143</v>
      </c>
      <c r="B25" s="155" t="s">
        <v>107</v>
      </c>
      <c r="C25" s="156" t="s">
        <v>243</v>
      </c>
      <c r="D25" s="155"/>
      <c r="E25" s="157" t="s">
        <v>308</v>
      </c>
      <c r="F25" s="155" t="s">
        <v>319</v>
      </c>
      <c r="G25" s="155" t="s">
        <v>244</v>
      </c>
      <c r="H25" s="158">
        <v>45625.0</v>
      </c>
      <c r="I25" s="159">
        <v>45692.0</v>
      </c>
      <c r="J25" s="155" t="s">
        <v>320</v>
      </c>
      <c r="K25" s="155" t="s">
        <v>321</v>
      </c>
      <c r="L25" s="155" t="s">
        <v>311</v>
      </c>
      <c r="M25" s="155" t="s">
        <v>285</v>
      </c>
      <c r="N25" s="161">
        <v>1.0</v>
      </c>
      <c r="O25" s="162" t="str">
        <f> hyperlink(vlookup(lower(M25),'File Links'!A:B, 2, FALSE), SUBSTITUTE(lower(M25), "/", "--") &amp;  ".pdf")</f>
        <v>10.1111--lang.12161.pdf</v>
      </c>
      <c r="P25" s="48" t="str">
        <f t="array" ref="P25">HYPERLINK(INDEX('File Links'!B:B, MATCH(O25, 'File Links'!C:C, 0)))
</f>
        <v>https://drive.google.com/file/d/1W_KvsfbanYWBQG9nzoDuqDlzFW_jUYH2/view?usp=drivesdk</v>
      </c>
      <c r="Q25" s="155" t="s">
        <v>312</v>
      </c>
      <c r="R25" s="155" t="s">
        <v>313</v>
      </c>
      <c r="S25" s="160"/>
      <c r="T25" s="161">
        <v>1.0</v>
      </c>
      <c r="U25" s="155" t="str">
        <f> hyperlink(vlookup(lower(R25),'File Links'!E:F, 2, FALSE), SUBSTITUTE(lower(R25), "/", "--") &amp;  ".pdf")</f>
        <v>10.1017--s0272263124000238.pdf</v>
      </c>
      <c r="V25" s="161" t="s">
        <v>314</v>
      </c>
      <c r="W25" s="45" t="str">
        <f t="array" ref="W25">HYPERLINK(INDEX('File Links'!B:B, MATCH(U25, 'File Links'!C:C, 0)))
</f>
        <v>#N/A</v>
      </c>
      <c r="X25" s="160"/>
      <c r="Y25" s="156" t="s">
        <v>287</v>
      </c>
      <c r="Z25" s="163" t="s">
        <v>315</v>
      </c>
      <c r="AA25" s="164" t="s">
        <v>289</v>
      </c>
      <c r="AB25" s="155" t="s">
        <v>322</v>
      </c>
      <c r="AC25" s="155" t="s">
        <v>317</v>
      </c>
      <c r="AD25" s="161">
        <v>33.0</v>
      </c>
      <c r="AE25" s="155">
        <v>18.0</v>
      </c>
      <c r="AF25" s="155">
        <v>-0.42</v>
      </c>
      <c r="AG25" s="155" t="s">
        <v>323</v>
      </c>
      <c r="AH25" s="155" t="s">
        <v>324</v>
      </c>
      <c r="AI25" s="155">
        <v>0.01</v>
      </c>
      <c r="AJ25" s="155" t="s">
        <v>127</v>
      </c>
      <c r="AK25" s="155" t="s">
        <v>211</v>
      </c>
      <c r="AL25" s="157" t="s">
        <v>132</v>
      </c>
      <c r="AM25" s="155" t="s">
        <v>165</v>
      </c>
      <c r="AN25" s="155">
        <v>58.0</v>
      </c>
      <c r="AO25" s="155">
        <v>-0.13</v>
      </c>
      <c r="AP25" s="155" t="s">
        <v>323</v>
      </c>
      <c r="AQ25" s="155" t="s">
        <v>325</v>
      </c>
      <c r="AR25" s="155">
        <v>0.379</v>
      </c>
      <c r="AS25" s="155" t="s">
        <v>164</v>
      </c>
      <c r="AT25" s="155" t="s">
        <v>211</v>
      </c>
      <c r="AU25" s="157" t="s">
        <v>132</v>
      </c>
      <c r="AV25" s="165" t="s">
        <v>292</v>
      </c>
      <c r="AW25" s="164" t="s">
        <v>318</v>
      </c>
      <c r="AX25" s="160"/>
      <c r="AY25" s="157" t="s">
        <v>135</v>
      </c>
    </row>
    <row r="26" ht="20.25" customHeight="1">
      <c r="A26" s="155" t="s">
        <v>143</v>
      </c>
      <c r="B26" s="155" t="s">
        <v>107</v>
      </c>
      <c r="C26" s="156" t="s">
        <v>243</v>
      </c>
      <c r="D26" s="155"/>
      <c r="E26" s="157" t="s">
        <v>308</v>
      </c>
      <c r="F26" s="155" t="s">
        <v>326</v>
      </c>
      <c r="G26" s="155" t="s">
        <v>244</v>
      </c>
      <c r="H26" s="158">
        <v>45625.0</v>
      </c>
      <c r="I26" s="159">
        <v>45692.0</v>
      </c>
      <c r="J26" s="155" t="s">
        <v>327</v>
      </c>
      <c r="K26" s="155" t="s">
        <v>321</v>
      </c>
      <c r="L26" s="155" t="s">
        <v>311</v>
      </c>
      <c r="M26" s="155" t="s">
        <v>285</v>
      </c>
      <c r="N26" s="161">
        <v>1.0</v>
      </c>
      <c r="O26" s="162" t="str">
        <f> hyperlink(vlookup(lower(M26),'File Links'!A:B, 2, FALSE), SUBSTITUTE(lower(M26), "/", "--") &amp;  ".pdf")</f>
        <v>10.1111--lang.12161.pdf</v>
      </c>
      <c r="P26" s="48" t="str">
        <f t="array" ref="P26">HYPERLINK(INDEX('File Links'!B:B, MATCH(O26, 'File Links'!C:C, 0)))
</f>
        <v>https://drive.google.com/file/d/1W_KvsfbanYWBQG9nzoDuqDlzFW_jUYH2/view?usp=drivesdk</v>
      </c>
      <c r="Q26" s="155" t="s">
        <v>312</v>
      </c>
      <c r="R26" s="155" t="s">
        <v>313</v>
      </c>
      <c r="S26" s="160"/>
      <c r="T26" s="161">
        <v>1.0</v>
      </c>
      <c r="U26" s="155" t="str">
        <f> hyperlink(vlookup(lower(R26),'File Links'!E:F, 2, FALSE), SUBSTITUTE(lower(R26), "/", "--") &amp;  ".pdf")</f>
        <v>10.1017--s0272263124000238.pdf</v>
      </c>
      <c r="V26" s="161" t="s">
        <v>314</v>
      </c>
      <c r="W26" s="45" t="str">
        <f t="array" ref="W26">HYPERLINK(INDEX('File Links'!B:B, MATCH(U26, 'File Links'!C:C, 0)))
</f>
        <v>#N/A</v>
      </c>
      <c r="X26" s="160"/>
      <c r="Y26" s="156" t="s">
        <v>287</v>
      </c>
      <c r="Z26" s="163" t="s">
        <v>315</v>
      </c>
      <c r="AA26" s="164" t="s">
        <v>289</v>
      </c>
      <c r="AB26" s="155" t="s">
        <v>328</v>
      </c>
      <c r="AC26" s="155" t="s">
        <v>317</v>
      </c>
      <c r="AD26" s="161">
        <v>33.0</v>
      </c>
      <c r="AE26" s="155">
        <v>18.0</v>
      </c>
      <c r="AF26" s="155">
        <v>-0.04</v>
      </c>
      <c r="AG26" s="155" t="s">
        <v>323</v>
      </c>
      <c r="AH26" s="155" t="s">
        <v>324</v>
      </c>
      <c r="AI26" s="155">
        <v>0.05</v>
      </c>
      <c r="AJ26" s="155" t="s">
        <v>329</v>
      </c>
      <c r="AK26" s="155" t="s">
        <v>211</v>
      </c>
      <c r="AL26" s="157" t="s">
        <v>132</v>
      </c>
      <c r="AM26" s="155" t="s">
        <v>165</v>
      </c>
      <c r="AN26" s="155">
        <v>58.0</v>
      </c>
      <c r="AO26" s="155">
        <v>0.09</v>
      </c>
      <c r="AP26" s="155" t="s">
        <v>323</v>
      </c>
      <c r="AQ26" s="155" t="s">
        <v>325</v>
      </c>
      <c r="AR26" s="155">
        <v>0.529</v>
      </c>
      <c r="AS26" s="155" t="s">
        <v>164</v>
      </c>
      <c r="AT26" s="155" t="s">
        <v>211</v>
      </c>
      <c r="AU26" s="157" t="s">
        <v>132</v>
      </c>
      <c r="AV26" s="165" t="s">
        <v>292</v>
      </c>
      <c r="AW26" s="164" t="s">
        <v>318</v>
      </c>
      <c r="AX26" s="160"/>
      <c r="AY26" s="157" t="s">
        <v>135</v>
      </c>
    </row>
    <row r="27" ht="20.25" customHeight="1">
      <c r="A27" s="155" t="s">
        <v>143</v>
      </c>
      <c r="B27" s="155" t="s">
        <v>107</v>
      </c>
      <c r="C27" s="156" t="s">
        <v>243</v>
      </c>
      <c r="D27" s="155"/>
      <c r="E27" s="157" t="s">
        <v>308</v>
      </c>
      <c r="F27" s="155" t="s">
        <v>282</v>
      </c>
      <c r="G27" s="155" t="s">
        <v>244</v>
      </c>
      <c r="H27" s="158">
        <v>45625.0</v>
      </c>
      <c r="I27" s="159">
        <v>45692.0</v>
      </c>
      <c r="J27" s="155" t="s">
        <v>330</v>
      </c>
      <c r="K27" s="155" t="s">
        <v>321</v>
      </c>
      <c r="L27" s="155" t="s">
        <v>311</v>
      </c>
      <c r="M27" s="155" t="s">
        <v>285</v>
      </c>
      <c r="N27" s="161">
        <v>1.0</v>
      </c>
      <c r="O27" s="162" t="str">
        <f> hyperlink(vlookup(lower(M27),'File Links'!A:B, 2, FALSE), SUBSTITUTE(lower(M27), "/", "--") &amp;  ".pdf")</f>
        <v>10.1111--lang.12161.pdf</v>
      </c>
      <c r="P27" s="48" t="str">
        <f t="array" ref="P27">HYPERLINK(INDEX('File Links'!B:B, MATCH(O27, 'File Links'!C:C, 0)))
</f>
        <v>https://drive.google.com/file/d/1W_KvsfbanYWBQG9nzoDuqDlzFW_jUYH2/view?usp=drivesdk</v>
      </c>
      <c r="Q27" s="155" t="s">
        <v>312</v>
      </c>
      <c r="R27" s="155" t="s">
        <v>313</v>
      </c>
      <c r="S27" s="160"/>
      <c r="T27" s="161">
        <v>1.0</v>
      </c>
      <c r="U27" s="155" t="str">
        <f> hyperlink(vlookup(lower(R27),'File Links'!E:F, 2, FALSE), SUBSTITUTE(lower(R27), "/", "--") &amp;  ".pdf")</f>
        <v>10.1017--s0272263124000238.pdf</v>
      </c>
      <c r="V27" s="161" t="s">
        <v>314</v>
      </c>
      <c r="W27" s="45" t="str">
        <f t="array" ref="W27">HYPERLINK(INDEX('File Links'!B:B, MATCH(U27, 'File Links'!C:C, 0)))
</f>
        <v>#N/A</v>
      </c>
      <c r="X27" s="160"/>
      <c r="Y27" s="156" t="s">
        <v>287</v>
      </c>
      <c r="Z27" s="163" t="s">
        <v>315</v>
      </c>
      <c r="AA27" s="164" t="s">
        <v>289</v>
      </c>
      <c r="AB27" s="155" t="s">
        <v>331</v>
      </c>
      <c r="AC27" s="155" t="s">
        <v>317</v>
      </c>
      <c r="AD27" s="161">
        <v>33.0</v>
      </c>
      <c r="AE27" s="155">
        <v>18.0</v>
      </c>
      <c r="AF27" s="155">
        <v>0.34</v>
      </c>
      <c r="AG27" s="155" t="s">
        <v>323</v>
      </c>
      <c r="AH27" s="155" t="s">
        <v>324</v>
      </c>
      <c r="AI27" s="155">
        <v>0.05</v>
      </c>
      <c r="AJ27" s="155" t="s">
        <v>127</v>
      </c>
      <c r="AK27" s="155" t="s">
        <v>211</v>
      </c>
      <c r="AL27" s="157" t="s">
        <v>132</v>
      </c>
      <c r="AM27" s="155" t="s">
        <v>165</v>
      </c>
      <c r="AN27" s="155">
        <v>58.0</v>
      </c>
      <c r="AO27" s="155">
        <v>0.07</v>
      </c>
      <c r="AP27" s="155" t="s">
        <v>323</v>
      </c>
      <c r="AQ27" s="155" t="s">
        <v>325</v>
      </c>
      <c r="AR27" s="166">
        <v>0.61</v>
      </c>
      <c r="AS27" s="155" t="s">
        <v>164</v>
      </c>
      <c r="AT27" s="155" t="s">
        <v>211</v>
      </c>
      <c r="AU27" s="157" t="s">
        <v>132</v>
      </c>
      <c r="AV27" s="165" t="s">
        <v>292</v>
      </c>
      <c r="AW27" s="164" t="s">
        <v>318</v>
      </c>
      <c r="AX27" s="160"/>
      <c r="AY27" s="157" t="s">
        <v>135</v>
      </c>
    </row>
    <row r="28" ht="20.25" customHeight="1">
      <c r="A28" s="155" t="s">
        <v>106</v>
      </c>
      <c r="B28" s="157" t="s">
        <v>107</v>
      </c>
      <c r="C28" s="157" t="s">
        <v>280</v>
      </c>
      <c r="D28" s="152"/>
      <c r="E28" s="167" t="s">
        <v>308</v>
      </c>
      <c r="F28" s="156" t="s">
        <v>281</v>
      </c>
      <c r="G28" s="156" t="s">
        <v>283</v>
      </c>
      <c r="H28" s="168">
        <v>45683.0</v>
      </c>
      <c r="I28" s="159">
        <v>45692.0</v>
      </c>
      <c r="J28" s="164" t="s">
        <v>284</v>
      </c>
      <c r="K28" s="169"/>
      <c r="L28" s="167" t="s">
        <v>311</v>
      </c>
      <c r="M28" s="167" t="s">
        <v>285</v>
      </c>
      <c r="N28" s="170">
        <v>1.0</v>
      </c>
      <c r="O28" s="156" t="s">
        <v>332</v>
      </c>
      <c r="P28" s="48" t="str">
        <f t="array" ref="P28">HYPERLINK(INDEX('File Links'!B:B, MATCH(O28, 'File Links'!C:C, 0)))
</f>
        <v>https://drive.google.com/file/d/1W_KvsfbanYWBQG9nzoDuqDlzFW_jUYH2/view?usp=drivesdk</v>
      </c>
      <c r="Q28" s="164" t="s">
        <v>312</v>
      </c>
      <c r="R28" s="161" t="s">
        <v>313</v>
      </c>
      <c r="S28" s="169"/>
      <c r="T28" s="170">
        <v>1.0</v>
      </c>
      <c r="U28" s="155" t="str">
        <f> hyperlink(vlookup(lower(R28),'File Links'!E:F, 2, FALSE), SUBSTITUTE(lower(R28), "/", "--") &amp;  ".pdf")</f>
        <v>10.1017--s0272263124000238.pdf</v>
      </c>
      <c r="V28" s="161" t="s">
        <v>314</v>
      </c>
      <c r="W28" s="45" t="str">
        <f t="array" ref="W28">HYPERLINK(INDEX('File Links'!B:B, MATCH(U28, 'File Links'!C:C, 0)))
</f>
        <v>#N/A</v>
      </c>
      <c r="X28" s="152"/>
      <c r="Y28" s="156" t="s">
        <v>287</v>
      </c>
      <c r="Z28" s="163" t="s">
        <v>315</v>
      </c>
      <c r="AA28" s="164" t="s">
        <v>289</v>
      </c>
      <c r="AB28" s="164" t="s">
        <v>333</v>
      </c>
      <c r="AC28" s="171" t="s">
        <v>334</v>
      </c>
      <c r="AD28" s="172"/>
      <c r="AE28" s="173" t="s">
        <v>287</v>
      </c>
      <c r="AF28" s="173" t="s">
        <v>335</v>
      </c>
      <c r="AG28" s="156" t="s">
        <v>289</v>
      </c>
      <c r="AH28" s="164" t="s">
        <v>336</v>
      </c>
      <c r="AI28" s="174" t="s">
        <v>337</v>
      </c>
      <c r="AJ28" s="175"/>
      <c r="AK28" s="156" t="s">
        <v>287</v>
      </c>
      <c r="AL28" s="164" t="s">
        <v>338</v>
      </c>
      <c r="AM28" s="164" t="s">
        <v>289</v>
      </c>
      <c r="AN28" s="173" t="s">
        <v>339</v>
      </c>
      <c r="AO28" s="173" t="s">
        <v>340</v>
      </c>
      <c r="AP28" s="156" t="s">
        <v>297</v>
      </c>
      <c r="AQ28" s="164">
        <v>25.0</v>
      </c>
      <c r="AR28" s="174">
        <v>0.71</v>
      </c>
      <c r="AS28" s="156" t="s">
        <v>208</v>
      </c>
      <c r="AT28" s="156" t="s">
        <v>297</v>
      </c>
      <c r="AU28" s="164">
        <v>0.001</v>
      </c>
      <c r="AV28" s="176" t="s">
        <v>127</v>
      </c>
      <c r="AW28" s="164" t="s">
        <v>179</v>
      </c>
      <c r="AX28" s="157" t="s">
        <v>132</v>
      </c>
      <c r="AY28" s="157" t="s">
        <v>135</v>
      </c>
    </row>
    <row r="29" ht="20.25" customHeight="1">
      <c r="A29" s="177" t="s">
        <v>106</v>
      </c>
      <c r="B29" s="177" t="s">
        <v>107</v>
      </c>
      <c r="C29" s="177" t="s">
        <v>341</v>
      </c>
      <c r="D29" s="178"/>
      <c r="E29" s="179" t="s">
        <v>342</v>
      </c>
      <c r="F29" s="180" t="s">
        <v>343</v>
      </c>
      <c r="G29" s="180" t="s">
        <v>344</v>
      </c>
      <c r="H29" s="181">
        <v>45637.0</v>
      </c>
      <c r="I29" s="159">
        <v>45692.0</v>
      </c>
      <c r="J29" s="182" t="s">
        <v>345</v>
      </c>
      <c r="K29" s="183"/>
      <c r="L29" s="180" t="s">
        <v>346</v>
      </c>
      <c r="M29" s="182" t="s">
        <v>347</v>
      </c>
      <c r="N29" s="183"/>
      <c r="O29" s="184" t="s">
        <v>348</v>
      </c>
      <c r="P29" s="48" t="str">
        <f t="array" ref="P29">HYPERLINK(INDEX('File Links'!B:B, MATCH(O29, 'File Links'!C:C, 0)))
</f>
        <v>https://drive.google.com/file/d/1OByNKNsjZqSFHFFyt-o1mPqDkVmgruBu/view?usp=drivesdk</v>
      </c>
      <c r="Q29" s="180" t="s">
        <v>349</v>
      </c>
      <c r="R29" s="180" t="s">
        <v>350</v>
      </c>
      <c r="S29" s="183"/>
      <c r="T29" s="185"/>
      <c r="U29" s="180" t="s">
        <v>351</v>
      </c>
      <c r="V29" s="186" t="s">
        <v>352</v>
      </c>
      <c r="W29" s="45" t="str">
        <f t="array" ref="W29">HYPERLINK(INDEX('File Links'!B:B, MATCH(U29, 'File Links'!C:C, 0)))
</f>
        <v>#N/A</v>
      </c>
      <c r="X29" s="183"/>
      <c r="Y29" s="180" t="s">
        <v>220</v>
      </c>
      <c r="Z29" s="183"/>
      <c r="AA29" s="182" t="s">
        <v>353</v>
      </c>
      <c r="AB29" s="182" t="s">
        <v>354</v>
      </c>
      <c r="AC29" s="182" t="s">
        <v>355</v>
      </c>
      <c r="AD29" s="187">
        <v>1.0</v>
      </c>
      <c r="AE29" s="187">
        <v>1950.0</v>
      </c>
      <c r="AF29" s="187">
        <v>0.13</v>
      </c>
      <c r="AG29" s="184" t="s">
        <v>356</v>
      </c>
      <c r="AH29" s="180" t="s">
        <v>299</v>
      </c>
      <c r="AI29" s="187">
        <v>0.001</v>
      </c>
      <c r="AJ29" s="188" t="s">
        <v>127</v>
      </c>
      <c r="AK29" s="180" t="s">
        <v>179</v>
      </c>
      <c r="AL29" s="183"/>
      <c r="AM29" s="180" t="s">
        <v>165</v>
      </c>
      <c r="AN29" s="187">
        <v>1079.0</v>
      </c>
      <c r="AO29" s="187">
        <v>0.06</v>
      </c>
      <c r="AP29" s="180" t="s">
        <v>357</v>
      </c>
      <c r="AQ29" s="180" t="s">
        <v>358</v>
      </c>
      <c r="AR29" s="187">
        <v>0.01</v>
      </c>
      <c r="AS29" s="188" t="s">
        <v>127</v>
      </c>
      <c r="AT29" s="188" t="s">
        <v>179</v>
      </c>
      <c r="AU29" s="179"/>
      <c r="AV29" s="179" t="s">
        <v>165</v>
      </c>
      <c r="AW29" s="179" t="s">
        <v>142</v>
      </c>
      <c r="AX29" s="183"/>
      <c r="AY29" s="189" t="s">
        <v>135</v>
      </c>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c r="CY29" s="178"/>
      <c r="CZ29" s="178"/>
      <c r="DA29" s="178"/>
      <c r="DB29" s="178"/>
      <c r="DC29" s="178"/>
      <c r="DD29" s="178"/>
      <c r="DE29" s="178"/>
      <c r="DF29" s="178"/>
      <c r="DG29" s="178"/>
    </row>
    <row r="30" ht="20.25" customHeight="1">
      <c r="A30" s="177" t="s">
        <v>106</v>
      </c>
      <c r="B30" s="177" t="s">
        <v>107</v>
      </c>
      <c r="C30" s="177" t="s">
        <v>341</v>
      </c>
      <c r="D30" s="178"/>
      <c r="E30" s="179" t="s">
        <v>342</v>
      </c>
      <c r="F30" s="180" t="s">
        <v>359</v>
      </c>
      <c r="G30" s="180" t="s">
        <v>344</v>
      </c>
      <c r="H30" s="181">
        <v>45637.0</v>
      </c>
      <c r="I30" s="159">
        <v>45692.0</v>
      </c>
      <c r="J30" s="182" t="s">
        <v>345</v>
      </c>
      <c r="K30" s="183"/>
      <c r="L30" s="180" t="s">
        <v>346</v>
      </c>
      <c r="M30" s="182" t="s">
        <v>347</v>
      </c>
      <c r="N30" s="183"/>
      <c r="O30" s="184" t="s">
        <v>348</v>
      </c>
      <c r="P30" s="48" t="str">
        <f t="array" ref="P30">HYPERLINK(INDEX('File Links'!B:B, MATCH(O30, 'File Links'!C:C, 0)))
</f>
        <v>https://drive.google.com/file/d/1OByNKNsjZqSFHFFyt-o1mPqDkVmgruBu/view?usp=drivesdk</v>
      </c>
      <c r="Q30" s="180" t="s">
        <v>349</v>
      </c>
      <c r="R30" s="180" t="s">
        <v>350</v>
      </c>
      <c r="S30" s="183"/>
      <c r="T30" s="185"/>
      <c r="U30" s="180" t="s">
        <v>351</v>
      </c>
      <c r="V30" s="186" t="s">
        <v>352</v>
      </c>
      <c r="W30" s="45" t="str">
        <f t="array" ref="W30">HYPERLINK(INDEX('File Links'!B:B, MATCH(U30, 'File Links'!C:C, 0)))
</f>
        <v>#N/A</v>
      </c>
      <c r="X30" s="183"/>
      <c r="Y30" s="180" t="s">
        <v>220</v>
      </c>
      <c r="Z30" s="183"/>
      <c r="AA30" s="182" t="s">
        <v>353</v>
      </c>
      <c r="AB30" s="182" t="s">
        <v>360</v>
      </c>
      <c r="AC30" s="182" t="s">
        <v>355</v>
      </c>
      <c r="AD30" s="187">
        <v>1.0</v>
      </c>
      <c r="AE30" s="187">
        <v>1950.0</v>
      </c>
      <c r="AF30" s="187">
        <v>0.13</v>
      </c>
      <c r="AG30" s="184" t="s">
        <v>356</v>
      </c>
      <c r="AH30" s="180" t="s">
        <v>299</v>
      </c>
      <c r="AI30" s="187">
        <v>0.001</v>
      </c>
      <c r="AJ30" s="188" t="s">
        <v>127</v>
      </c>
      <c r="AK30" s="180" t="s">
        <v>179</v>
      </c>
      <c r="AL30" s="183"/>
      <c r="AM30" s="180" t="s">
        <v>165</v>
      </c>
      <c r="AN30" s="187">
        <v>1079.0</v>
      </c>
      <c r="AO30" s="187">
        <v>0.02</v>
      </c>
      <c r="AP30" s="180" t="s">
        <v>357</v>
      </c>
      <c r="AQ30" s="180" t="s">
        <v>358</v>
      </c>
      <c r="AR30" s="187">
        <v>0.05</v>
      </c>
      <c r="AS30" s="188" t="s">
        <v>127</v>
      </c>
      <c r="AT30" s="188" t="s">
        <v>179</v>
      </c>
      <c r="AU30" s="179"/>
      <c r="AV30" s="179" t="s">
        <v>165</v>
      </c>
      <c r="AW30" s="179" t="s">
        <v>142</v>
      </c>
      <c r="AX30" s="183"/>
      <c r="AY30" s="189" t="s">
        <v>135</v>
      </c>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c r="CY30" s="178"/>
      <c r="CZ30" s="178"/>
      <c r="DA30" s="178"/>
      <c r="DB30" s="178"/>
      <c r="DC30" s="178"/>
      <c r="DD30" s="178"/>
      <c r="DE30" s="178"/>
      <c r="DF30" s="178"/>
      <c r="DG30" s="178"/>
    </row>
    <row r="31" ht="20.25" customHeight="1">
      <c r="A31" s="177" t="s">
        <v>106</v>
      </c>
      <c r="B31" s="177" t="s">
        <v>107</v>
      </c>
      <c r="C31" s="177" t="s">
        <v>341</v>
      </c>
      <c r="D31" s="178"/>
      <c r="E31" s="179" t="s">
        <v>342</v>
      </c>
      <c r="F31" s="180" t="s">
        <v>361</v>
      </c>
      <c r="G31" s="180" t="s">
        <v>344</v>
      </c>
      <c r="H31" s="181">
        <v>45637.0</v>
      </c>
      <c r="I31" s="159">
        <v>45692.0</v>
      </c>
      <c r="J31" s="182" t="s">
        <v>345</v>
      </c>
      <c r="K31" s="183"/>
      <c r="L31" s="180" t="s">
        <v>346</v>
      </c>
      <c r="M31" s="182" t="s">
        <v>347</v>
      </c>
      <c r="N31" s="183"/>
      <c r="O31" s="184" t="s">
        <v>348</v>
      </c>
      <c r="P31" s="48" t="str">
        <f t="array" ref="P31">HYPERLINK(INDEX('File Links'!B:B, MATCH(O31, 'File Links'!C:C, 0)))
</f>
        <v>https://drive.google.com/file/d/1OByNKNsjZqSFHFFyt-o1mPqDkVmgruBu/view?usp=drivesdk</v>
      </c>
      <c r="Q31" s="180" t="s">
        <v>349</v>
      </c>
      <c r="R31" s="180" t="s">
        <v>350</v>
      </c>
      <c r="S31" s="183"/>
      <c r="T31" s="185"/>
      <c r="U31" s="180" t="s">
        <v>351</v>
      </c>
      <c r="V31" s="186" t="s">
        <v>352</v>
      </c>
      <c r="W31" s="45" t="str">
        <f t="array" ref="W31">HYPERLINK(INDEX('File Links'!B:B, MATCH(U31, 'File Links'!C:C, 0)))
</f>
        <v>#N/A</v>
      </c>
      <c r="X31" s="183"/>
      <c r="Y31" s="180" t="s">
        <v>220</v>
      </c>
      <c r="Z31" s="183"/>
      <c r="AA31" s="182" t="s">
        <v>353</v>
      </c>
      <c r="AB31" s="182" t="s">
        <v>362</v>
      </c>
      <c r="AC31" s="182" t="s">
        <v>355</v>
      </c>
      <c r="AD31" s="187">
        <v>1.0</v>
      </c>
      <c r="AE31" s="187">
        <v>1950.0</v>
      </c>
      <c r="AF31" s="187">
        <v>0.13</v>
      </c>
      <c r="AG31" s="184" t="s">
        <v>356</v>
      </c>
      <c r="AH31" s="180" t="s">
        <v>299</v>
      </c>
      <c r="AI31" s="187">
        <v>0.001</v>
      </c>
      <c r="AJ31" s="188" t="s">
        <v>127</v>
      </c>
      <c r="AK31" s="180" t="s">
        <v>179</v>
      </c>
      <c r="AL31" s="183"/>
      <c r="AM31" s="180" t="s">
        <v>165</v>
      </c>
      <c r="AN31" s="187">
        <v>1079.0</v>
      </c>
      <c r="AO31" s="187">
        <v>0.04</v>
      </c>
      <c r="AP31" s="180" t="s">
        <v>357</v>
      </c>
      <c r="AQ31" s="180" t="s">
        <v>358</v>
      </c>
      <c r="AR31" s="187">
        <v>0.05</v>
      </c>
      <c r="AS31" s="188" t="s">
        <v>127</v>
      </c>
      <c r="AT31" s="188" t="s">
        <v>179</v>
      </c>
      <c r="AU31" s="179"/>
      <c r="AV31" s="179" t="s">
        <v>165</v>
      </c>
      <c r="AW31" s="179" t="s">
        <v>142</v>
      </c>
      <c r="AX31" s="183"/>
      <c r="AY31" s="189" t="s">
        <v>135</v>
      </c>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c r="CY31" s="178"/>
      <c r="CZ31" s="178"/>
      <c r="DA31" s="178"/>
      <c r="DB31" s="178"/>
      <c r="DC31" s="178"/>
      <c r="DD31" s="178"/>
      <c r="DE31" s="178"/>
      <c r="DF31" s="178"/>
      <c r="DG31" s="178"/>
    </row>
    <row r="32" ht="20.25" customHeight="1">
      <c r="A32" s="177" t="s">
        <v>106</v>
      </c>
      <c r="B32" s="177" t="s">
        <v>107</v>
      </c>
      <c r="C32" s="177" t="s">
        <v>341</v>
      </c>
      <c r="D32" s="178"/>
      <c r="E32" s="179" t="s">
        <v>342</v>
      </c>
      <c r="F32" s="180" t="s">
        <v>363</v>
      </c>
      <c r="G32" s="180" t="s">
        <v>344</v>
      </c>
      <c r="H32" s="181">
        <v>45637.0</v>
      </c>
      <c r="I32" s="159">
        <v>45692.0</v>
      </c>
      <c r="J32" s="182" t="s">
        <v>345</v>
      </c>
      <c r="K32" s="183"/>
      <c r="L32" s="180" t="s">
        <v>346</v>
      </c>
      <c r="M32" s="182" t="s">
        <v>347</v>
      </c>
      <c r="N32" s="183"/>
      <c r="O32" s="184" t="s">
        <v>348</v>
      </c>
      <c r="P32" s="48" t="str">
        <f t="array" ref="P32">HYPERLINK(INDEX('File Links'!B:B, MATCH(O32, 'File Links'!C:C, 0)))
</f>
        <v>https://drive.google.com/file/d/1OByNKNsjZqSFHFFyt-o1mPqDkVmgruBu/view?usp=drivesdk</v>
      </c>
      <c r="Q32" s="180" t="s">
        <v>349</v>
      </c>
      <c r="R32" s="180" t="s">
        <v>350</v>
      </c>
      <c r="S32" s="183"/>
      <c r="T32" s="185"/>
      <c r="U32" s="180" t="s">
        <v>351</v>
      </c>
      <c r="V32" s="186" t="s">
        <v>352</v>
      </c>
      <c r="W32" s="45" t="str">
        <f t="array" ref="W32">HYPERLINK(INDEX('File Links'!B:B, MATCH(U32, 'File Links'!C:C, 0)))
</f>
        <v>#N/A</v>
      </c>
      <c r="X32" s="183"/>
      <c r="Y32" s="180" t="s">
        <v>220</v>
      </c>
      <c r="Z32" s="183"/>
      <c r="AA32" s="182" t="s">
        <v>353</v>
      </c>
      <c r="AB32" s="182" t="s">
        <v>364</v>
      </c>
      <c r="AC32" s="182" t="s">
        <v>355</v>
      </c>
      <c r="AD32" s="187">
        <v>1.0</v>
      </c>
      <c r="AE32" s="187">
        <v>1950.0</v>
      </c>
      <c r="AF32" s="187">
        <v>0.13</v>
      </c>
      <c r="AG32" s="184" t="s">
        <v>356</v>
      </c>
      <c r="AH32" s="180" t="s">
        <v>299</v>
      </c>
      <c r="AI32" s="187">
        <v>0.001</v>
      </c>
      <c r="AJ32" s="188" t="s">
        <v>127</v>
      </c>
      <c r="AK32" s="180" t="s">
        <v>179</v>
      </c>
      <c r="AL32" s="183"/>
      <c r="AM32" s="180" t="s">
        <v>165</v>
      </c>
      <c r="AN32" s="187">
        <v>1079.0</v>
      </c>
      <c r="AO32" s="183"/>
      <c r="AP32" s="180" t="s">
        <v>357</v>
      </c>
      <c r="AQ32" s="180" t="s">
        <v>358</v>
      </c>
      <c r="AR32" s="187">
        <v>0.05</v>
      </c>
      <c r="AS32" s="188" t="s">
        <v>329</v>
      </c>
      <c r="AT32" s="188" t="s">
        <v>179</v>
      </c>
      <c r="AU32" s="179"/>
      <c r="AV32" s="179" t="s">
        <v>165</v>
      </c>
      <c r="AW32" s="179" t="s">
        <v>142</v>
      </c>
      <c r="AX32" s="183"/>
      <c r="AY32" s="189" t="s">
        <v>135</v>
      </c>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c r="CY32" s="178"/>
      <c r="CZ32" s="178"/>
      <c r="DA32" s="178"/>
      <c r="DB32" s="178"/>
      <c r="DC32" s="178"/>
      <c r="DD32" s="178"/>
      <c r="DE32" s="178"/>
      <c r="DF32" s="178"/>
      <c r="DG32" s="178"/>
    </row>
    <row r="33" ht="20.25" customHeight="1">
      <c r="A33" s="177" t="s">
        <v>106</v>
      </c>
      <c r="B33" s="177" t="s">
        <v>107</v>
      </c>
      <c r="C33" s="177" t="s">
        <v>341</v>
      </c>
      <c r="D33" s="178"/>
      <c r="E33" s="179" t="s">
        <v>342</v>
      </c>
      <c r="F33" s="180" t="s">
        <v>365</v>
      </c>
      <c r="G33" s="180" t="s">
        <v>344</v>
      </c>
      <c r="H33" s="181">
        <v>45637.0</v>
      </c>
      <c r="I33" s="159">
        <v>45692.0</v>
      </c>
      <c r="J33" s="182" t="s">
        <v>345</v>
      </c>
      <c r="K33" s="183"/>
      <c r="L33" s="180" t="s">
        <v>346</v>
      </c>
      <c r="M33" s="182" t="s">
        <v>347</v>
      </c>
      <c r="N33" s="183"/>
      <c r="O33" s="184" t="s">
        <v>348</v>
      </c>
      <c r="P33" s="48" t="str">
        <f t="array" ref="P33">HYPERLINK(INDEX('File Links'!B:B, MATCH(O33, 'File Links'!C:C, 0)))
</f>
        <v>https://drive.google.com/file/d/1OByNKNsjZqSFHFFyt-o1mPqDkVmgruBu/view?usp=drivesdk</v>
      </c>
      <c r="Q33" s="180" t="s">
        <v>349</v>
      </c>
      <c r="R33" s="180" t="s">
        <v>350</v>
      </c>
      <c r="S33" s="183"/>
      <c r="T33" s="185"/>
      <c r="U33" s="180" t="s">
        <v>351</v>
      </c>
      <c r="V33" s="186" t="s">
        <v>352</v>
      </c>
      <c r="W33" s="45" t="str">
        <f t="array" ref="W33">HYPERLINK(INDEX('File Links'!B:B, MATCH(U33, 'File Links'!C:C, 0)))
</f>
        <v>#N/A</v>
      </c>
      <c r="X33" s="183"/>
      <c r="Y33" s="180" t="s">
        <v>220</v>
      </c>
      <c r="Z33" s="183"/>
      <c r="AA33" s="182" t="s">
        <v>353</v>
      </c>
      <c r="AB33" s="182" t="s">
        <v>366</v>
      </c>
      <c r="AC33" s="182" t="s">
        <v>355</v>
      </c>
      <c r="AD33" s="187">
        <v>1.0</v>
      </c>
      <c r="AE33" s="187">
        <v>1950.0</v>
      </c>
      <c r="AF33" s="187">
        <v>0.13</v>
      </c>
      <c r="AG33" s="184" t="s">
        <v>356</v>
      </c>
      <c r="AH33" s="180" t="s">
        <v>299</v>
      </c>
      <c r="AI33" s="187">
        <v>0.001</v>
      </c>
      <c r="AJ33" s="188" t="s">
        <v>127</v>
      </c>
      <c r="AK33" s="180" t="s">
        <v>179</v>
      </c>
      <c r="AL33" s="183"/>
      <c r="AM33" s="180" t="s">
        <v>165</v>
      </c>
      <c r="AN33" s="187">
        <v>1079.0</v>
      </c>
      <c r="AO33" s="183"/>
      <c r="AP33" s="180" t="s">
        <v>357</v>
      </c>
      <c r="AQ33" s="180" t="s">
        <v>358</v>
      </c>
      <c r="AR33" s="187">
        <v>0.05</v>
      </c>
      <c r="AS33" s="188" t="s">
        <v>329</v>
      </c>
      <c r="AT33" s="188" t="s">
        <v>179</v>
      </c>
      <c r="AU33" s="179"/>
      <c r="AV33" s="179" t="s">
        <v>165</v>
      </c>
      <c r="AW33" s="179" t="s">
        <v>142</v>
      </c>
      <c r="AX33" s="183"/>
      <c r="AY33" s="189" t="s">
        <v>135</v>
      </c>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c r="CY33" s="178"/>
      <c r="CZ33" s="178"/>
      <c r="DA33" s="178"/>
      <c r="DB33" s="178"/>
      <c r="DC33" s="178"/>
      <c r="DD33" s="178"/>
      <c r="DE33" s="178"/>
      <c r="DF33" s="178"/>
      <c r="DG33" s="178"/>
    </row>
    <row r="34" ht="20.25" customHeight="1">
      <c r="A34" s="177" t="s">
        <v>106</v>
      </c>
      <c r="B34" s="177" t="s">
        <v>107</v>
      </c>
      <c r="C34" s="177" t="s">
        <v>341</v>
      </c>
      <c r="D34" s="178"/>
      <c r="E34" s="179" t="s">
        <v>342</v>
      </c>
      <c r="F34" s="180" t="s">
        <v>367</v>
      </c>
      <c r="G34" s="180" t="s">
        <v>344</v>
      </c>
      <c r="H34" s="181">
        <v>45637.0</v>
      </c>
      <c r="I34" s="159">
        <v>45692.0</v>
      </c>
      <c r="J34" s="182" t="s">
        <v>345</v>
      </c>
      <c r="K34" s="183"/>
      <c r="L34" s="180" t="s">
        <v>346</v>
      </c>
      <c r="M34" s="182" t="s">
        <v>347</v>
      </c>
      <c r="N34" s="183"/>
      <c r="O34" s="184" t="s">
        <v>348</v>
      </c>
      <c r="P34" s="48" t="str">
        <f t="array" ref="P34">HYPERLINK(INDEX('File Links'!B:B, MATCH(O34, 'File Links'!C:C, 0)))
</f>
        <v>https://drive.google.com/file/d/1OByNKNsjZqSFHFFyt-o1mPqDkVmgruBu/view?usp=drivesdk</v>
      </c>
      <c r="Q34" s="180" t="s">
        <v>349</v>
      </c>
      <c r="R34" s="180" t="s">
        <v>350</v>
      </c>
      <c r="S34" s="183"/>
      <c r="T34" s="185"/>
      <c r="U34" s="180" t="s">
        <v>351</v>
      </c>
      <c r="V34" s="186" t="s">
        <v>352</v>
      </c>
      <c r="W34" s="45" t="str">
        <f t="array" ref="W34">HYPERLINK(INDEX('File Links'!B:B, MATCH(U34, 'File Links'!C:C, 0)))
</f>
        <v>#N/A</v>
      </c>
      <c r="X34" s="183"/>
      <c r="Y34" s="180" t="s">
        <v>220</v>
      </c>
      <c r="Z34" s="183"/>
      <c r="AA34" s="182" t="s">
        <v>353</v>
      </c>
      <c r="AB34" s="182" t="s">
        <v>368</v>
      </c>
      <c r="AC34" s="182" t="s">
        <v>355</v>
      </c>
      <c r="AD34" s="187">
        <v>1.0</v>
      </c>
      <c r="AE34" s="187">
        <v>1950.0</v>
      </c>
      <c r="AF34" s="187">
        <v>0.13</v>
      </c>
      <c r="AG34" s="184" t="s">
        <v>356</v>
      </c>
      <c r="AH34" s="180" t="s">
        <v>299</v>
      </c>
      <c r="AI34" s="187">
        <v>0.001</v>
      </c>
      <c r="AJ34" s="188" t="s">
        <v>127</v>
      </c>
      <c r="AK34" s="180" t="s">
        <v>179</v>
      </c>
      <c r="AL34" s="183"/>
      <c r="AM34" s="180" t="s">
        <v>165</v>
      </c>
      <c r="AN34" s="187">
        <v>1079.0</v>
      </c>
      <c r="AO34" s="183"/>
      <c r="AP34" s="180" t="s">
        <v>357</v>
      </c>
      <c r="AQ34" s="180" t="s">
        <v>358</v>
      </c>
      <c r="AR34" s="187">
        <v>0.05</v>
      </c>
      <c r="AS34" s="188" t="s">
        <v>329</v>
      </c>
      <c r="AT34" s="188" t="s">
        <v>179</v>
      </c>
      <c r="AU34" s="179"/>
      <c r="AV34" s="179" t="s">
        <v>165</v>
      </c>
      <c r="AW34" s="179" t="s">
        <v>142</v>
      </c>
      <c r="AX34" s="183"/>
      <c r="AY34" s="189" t="s">
        <v>135</v>
      </c>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c r="CY34" s="178"/>
      <c r="CZ34" s="178"/>
      <c r="DA34" s="178"/>
      <c r="DB34" s="178"/>
      <c r="DC34" s="178"/>
      <c r="DD34" s="178"/>
      <c r="DE34" s="178"/>
      <c r="DF34" s="178"/>
      <c r="DG34" s="178"/>
    </row>
    <row r="35" ht="20.25" customHeight="1">
      <c r="A35" s="177" t="s">
        <v>106</v>
      </c>
      <c r="B35" s="177" t="s">
        <v>107</v>
      </c>
      <c r="C35" s="177" t="s">
        <v>341</v>
      </c>
      <c r="D35" s="178"/>
      <c r="E35" s="179" t="s">
        <v>342</v>
      </c>
      <c r="F35" s="180" t="s">
        <v>369</v>
      </c>
      <c r="G35" s="180" t="s">
        <v>344</v>
      </c>
      <c r="H35" s="181">
        <v>45637.0</v>
      </c>
      <c r="I35" s="159">
        <v>45692.0</v>
      </c>
      <c r="J35" s="182" t="s">
        <v>345</v>
      </c>
      <c r="K35" s="183"/>
      <c r="L35" s="180" t="s">
        <v>346</v>
      </c>
      <c r="M35" s="182" t="s">
        <v>347</v>
      </c>
      <c r="N35" s="183"/>
      <c r="O35" s="184" t="s">
        <v>348</v>
      </c>
      <c r="P35" s="48" t="str">
        <f t="array" ref="P35">HYPERLINK(INDEX('File Links'!B:B, MATCH(O35, 'File Links'!C:C, 0)))
</f>
        <v>https://drive.google.com/file/d/1OByNKNsjZqSFHFFyt-o1mPqDkVmgruBu/view?usp=drivesdk</v>
      </c>
      <c r="Q35" s="180" t="s">
        <v>349</v>
      </c>
      <c r="R35" s="180" t="s">
        <v>350</v>
      </c>
      <c r="S35" s="183"/>
      <c r="T35" s="185"/>
      <c r="U35" s="180" t="s">
        <v>351</v>
      </c>
      <c r="V35" s="186" t="s">
        <v>352</v>
      </c>
      <c r="W35" s="45" t="str">
        <f t="array" ref="W35">HYPERLINK(INDEX('File Links'!B:B, MATCH(U35, 'File Links'!C:C, 0)))
</f>
        <v>#N/A</v>
      </c>
      <c r="X35" s="183"/>
      <c r="Y35" s="180" t="s">
        <v>220</v>
      </c>
      <c r="Z35" s="183"/>
      <c r="AA35" s="182" t="s">
        <v>353</v>
      </c>
      <c r="AB35" s="182" t="s">
        <v>370</v>
      </c>
      <c r="AC35" s="182" t="s">
        <v>355</v>
      </c>
      <c r="AD35" s="187">
        <v>1.0</v>
      </c>
      <c r="AE35" s="187">
        <v>1950.0</v>
      </c>
      <c r="AF35" s="187">
        <v>0.13</v>
      </c>
      <c r="AG35" s="184" t="s">
        <v>356</v>
      </c>
      <c r="AH35" s="180" t="s">
        <v>299</v>
      </c>
      <c r="AI35" s="187">
        <v>0.001</v>
      </c>
      <c r="AJ35" s="188" t="s">
        <v>127</v>
      </c>
      <c r="AK35" s="180" t="s">
        <v>179</v>
      </c>
      <c r="AL35" s="183"/>
      <c r="AM35" s="180" t="s">
        <v>165</v>
      </c>
      <c r="AN35" s="187">
        <v>1079.0</v>
      </c>
      <c r="AO35" s="183"/>
      <c r="AP35" s="180" t="s">
        <v>357</v>
      </c>
      <c r="AQ35" s="180" t="s">
        <v>358</v>
      </c>
      <c r="AR35" s="187">
        <v>0.05</v>
      </c>
      <c r="AS35" s="188" t="s">
        <v>329</v>
      </c>
      <c r="AT35" s="188" t="s">
        <v>179</v>
      </c>
      <c r="AU35" s="179"/>
      <c r="AV35" s="179" t="s">
        <v>165</v>
      </c>
      <c r="AW35" s="179" t="s">
        <v>142</v>
      </c>
      <c r="AX35" s="183"/>
      <c r="AY35" s="189" t="s">
        <v>135</v>
      </c>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c r="CY35" s="178"/>
      <c r="CZ35" s="178"/>
      <c r="DA35" s="178"/>
      <c r="DB35" s="178"/>
      <c r="DC35" s="178"/>
      <c r="DD35" s="178"/>
      <c r="DE35" s="178"/>
      <c r="DF35" s="178"/>
      <c r="DG35" s="178"/>
    </row>
    <row r="36" ht="20.25" customHeight="1">
      <c r="A36" s="177" t="s">
        <v>106</v>
      </c>
      <c r="B36" s="177" t="s">
        <v>107</v>
      </c>
      <c r="C36" s="177" t="s">
        <v>341</v>
      </c>
      <c r="D36" s="178"/>
      <c r="E36" s="179" t="s">
        <v>342</v>
      </c>
      <c r="F36" s="180" t="s">
        <v>371</v>
      </c>
      <c r="G36" s="180" t="s">
        <v>344</v>
      </c>
      <c r="H36" s="181">
        <v>45637.0</v>
      </c>
      <c r="I36" s="159">
        <v>45692.0</v>
      </c>
      <c r="J36" s="182" t="s">
        <v>345</v>
      </c>
      <c r="K36" s="183"/>
      <c r="L36" s="180" t="s">
        <v>346</v>
      </c>
      <c r="M36" s="182" t="s">
        <v>347</v>
      </c>
      <c r="N36" s="183"/>
      <c r="O36" s="184" t="s">
        <v>348</v>
      </c>
      <c r="P36" s="48" t="str">
        <f t="array" ref="P36">HYPERLINK(INDEX('File Links'!B:B, MATCH(O36, 'File Links'!C:C, 0)))
</f>
        <v>https://drive.google.com/file/d/1OByNKNsjZqSFHFFyt-o1mPqDkVmgruBu/view?usp=drivesdk</v>
      </c>
      <c r="Q36" s="180" t="s">
        <v>349</v>
      </c>
      <c r="R36" s="180" t="s">
        <v>350</v>
      </c>
      <c r="S36" s="183"/>
      <c r="T36" s="185"/>
      <c r="U36" s="180" t="s">
        <v>351</v>
      </c>
      <c r="V36" s="186" t="s">
        <v>352</v>
      </c>
      <c r="W36" s="45" t="str">
        <f t="array" ref="W36">HYPERLINK(INDEX('File Links'!B:B, MATCH(U36, 'File Links'!C:C, 0)))
</f>
        <v>#N/A</v>
      </c>
      <c r="X36" s="183"/>
      <c r="Y36" s="180" t="s">
        <v>220</v>
      </c>
      <c r="Z36" s="183"/>
      <c r="AA36" s="182" t="s">
        <v>353</v>
      </c>
      <c r="AB36" s="182" t="s">
        <v>372</v>
      </c>
      <c r="AC36" s="182" t="s">
        <v>355</v>
      </c>
      <c r="AD36" s="187">
        <v>1.0</v>
      </c>
      <c r="AE36" s="187">
        <v>1950.0</v>
      </c>
      <c r="AF36" s="187">
        <v>0.13</v>
      </c>
      <c r="AG36" s="184" t="s">
        <v>356</v>
      </c>
      <c r="AH36" s="180" t="s">
        <v>299</v>
      </c>
      <c r="AI36" s="187">
        <v>0.001</v>
      </c>
      <c r="AJ36" s="188" t="s">
        <v>127</v>
      </c>
      <c r="AK36" s="180" t="s">
        <v>179</v>
      </c>
      <c r="AL36" s="183"/>
      <c r="AM36" s="180" t="s">
        <v>165</v>
      </c>
      <c r="AN36" s="187">
        <v>1079.0</v>
      </c>
      <c r="AO36" s="183"/>
      <c r="AP36" s="180" t="s">
        <v>357</v>
      </c>
      <c r="AQ36" s="180" t="s">
        <v>358</v>
      </c>
      <c r="AR36" s="187">
        <v>0.05</v>
      </c>
      <c r="AS36" s="188" t="s">
        <v>329</v>
      </c>
      <c r="AT36" s="188" t="s">
        <v>179</v>
      </c>
      <c r="AU36" s="179"/>
      <c r="AV36" s="179" t="s">
        <v>165</v>
      </c>
      <c r="AW36" s="179" t="s">
        <v>142</v>
      </c>
      <c r="AX36" s="183"/>
      <c r="AY36" s="189" t="s">
        <v>135</v>
      </c>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c r="CY36" s="178"/>
      <c r="CZ36" s="178"/>
      <c r="DA36" s="178"/>
      <c r="DB36" s="178"/>
      <c r="DC36" s="178"/>
      <c r="DD36" s="178"/>
      <c r="DE36" s="178"/>
      <c r="DF36" s="178"/>
      <c r="DG36" s="178"/>
    </row>
    <row r="37" ht="20.25" customHeight="1">
      <c r="A37" s="177" t="s">
        <v>106</v>
      </c>
      <c r="B37" s="177" t="s">
        <v>107</v>
      </c>
      <c r="C37" s="177" t="s">
        <v>341</v>
      </c>
      <c r="D37" s="178"/>
      <c r="E37" s="179" t="s">
        <v>342</v>
      </c>
      <c r="F37" s="180" t="s">
        <v>373</v>
      </c>
      <c r="G37" s="180" t="s">
        <v>344</v>
      </c>
      <c r="H37" s="181">
        <v>45637.0</v>
      </c>
      <c r="I37" s="159">
        <v>45692.0</v>
      </c>
      <c r="J37" s="182" t="s">
        <v>345</v>
      </c>
      <c r="K37" s="183"/>
      <c r="L37" s="180" t="s">
        <v>346</v>
      </c>
      <c r="M37" s="182" t="s">
        <v>347</v>
      </c>
      <c r="N37" s="183"/>
      <c r="O37" s="184" t="s">
        <v>348</v>
      </c>
      <c r="P37" s="48" t="str">
        <f t="array" ref="P37">HYPERLINK(INDEX('File Links'!B:B, MATCH(O37, 'File Links'!C:C, 0)))
</f>
        <v>https://drive.google.com/file/d/1OByNKNsjZqSFHFFyt-o1mPqDkVmgruBu/view?usp=drivesdk</v>
      </c>
      <c r="Q37" s="180" t="s">
        <v>349</v>
      </c>
      <c r="R37" s="180" t="s">
        <v>350</v>
      </c>
      <c r="S37" s="183"/>
      <c r="T37" s="185"/>
      <c r="U37" s="180" t="s">
        <v>351</v>
      </c>
      <c r="V37" s="186" t="s">
        <v>352</v>
      </c>
      <c r="W37" s="45" t="str">
        <f t="array" ref="W37">HYPERLINK(INDEX('File Links'!B:B, MATCH(U37, 'File Links'!C:C, 0)))
</f>
        <v>#N/A</v>
      </c>
      <c r="X37" s="183"/>
      <c r="Y37" s="180" t="s">
        <v>220</v>
      </c>
      <c r="Z37" s="183"/>
      <c r="AA37" s="182" t="s">
        <v>353</v>
      </c>
      <c r="AB37" s="182" t="s">
        <v>374</v>
      </c>
      <c r="AC37" s="182" t="s">
        <v>375</v>
      </c>
      <c r="AD37" s="187">
        <v>11.0</v>
      </c>
      <c r="AE37" s="187">
        <v>1950.0</v>
      </c>
      <c r="AF37" s="183"/>
      <c r="AG37" s="184" t="s">
        <v>356</v>
      </c>
      <c r="AH37" s="180" t="s">
        <v>299</v>
      </c>
      <c r="AI37" s="187">
        <v>0.05</v>
      </c>
      <c r="AJ37" s="188" t="s">
        <v>329</v>
      </c>
      <c r="AK37" s="180" t="s">
        <v>179</v>
      </c>
      <c r="AL37" s="183"/>
      <c r="AM37" s="180" t="s">
        <v>165</v>
      </c>
      <c r="AN37" s="187">
        <v>1079.0</v>
      </c>
      <c r="AO37" s="183"/>
      <c r="AP37" s="180" t="s">
        <v>357</v>
      </c>
      <c r="AQ37" s="180" t="s">
        <v>376</v>
      </c>
      <c r="AR37" s="187">
        <v>0.05</v>
      </c>
      <c r="AS37" s="188" t="s">
        <v>329</v>
      </c>
      <c r="AT37" s="188" t="s">
        <v>179</v>
      </c>
      <c r="AU37" s="179"/>
      <c r="AV37" s="179" t="s">
        <v>165</v>
      </c>
      <c r="AW37" s="179" t="s">
        <v>142</v>
      </c>
      <c r="AX37" s="183"/>
      <c r="AY37" s="189" t="s">
        <v>135</v>
      </c>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c r="CY37" s="178"/>
      <c r="CZ37" s="178"/>
      <c r="DA37" s="178"/>
      <c r="DB37" s="178"/>
      <c r="DC37" s="178"/>
      <c r="DD37" s="178"/>
      <c r="DE37" s="178"/>
      <c r="DF37" s="178"/>
      <c r="DG37" s="178"/>
    </row>
    <row r="38" ht="20.25" customHeight="1">
      <c r="A38" s="177" t="s">
        <v>106</v>
      </c>
      <c r="B38" s="177" t="s">
        <v>107</v>
      </c>
      <c r="C38" s="177" t="s">
        <v>341</v>
      </c>
      <c r="D38" s="178"/>
      <c r="E38" s="179" t="s">
        <v>342</v>
      </c>
      <c r="F38" s="180" t="s">
        <v>377</v>
      </c>
      <c r="G38" s="180" t="s">
        <v>344</v>
      </c>
      <c r="H38" s="181">
        <v>45637.0</v>
      </c>
      <c r="I38" s="159">
        <v>45692.0</v>
      </c>
      <c r="J38" s="182" t="s">
        <v>345</v>
      </c>
      <c r="K38" s="183"/>
      <c r="L38" s="180" t="s">
        <v>346</v>
      </c>
      <c r="M38" s="182" t="s">
        <v>347</v>
      </c>
      <c r="N38" s="183"/>
      <c r="O38" s="184" t="s">
        <v>348</v>
      </c>
      <c r="P38" s="48" t="str">
        <f t="array" ref="P38">HYPERLINK(INDEX('File Links'!B:B, MATCH(O38, 'File Links'!C:C, 0)))
</f>
        <v>https://drive.google.com/file/d/1OByNKNsjZqSFHFFyt-o1mPqDkVmgruBu/view?usp=drivesdk</v>
      </c>
      <c r="Q38" s="180" t="s">
        <v>349</v>
      </c>
      <c r="R38" s="180" t="s">
        <v>350</v>
      </c>
      <c r="S38" s="183"/>
      <c r="T38" s="185"/>
      <c r="U38" s="180" t="s">
        <v>351</v>
      </c>
      <c r="V38" s="186" t="s">
        <v>352</v>
      </c>
      <c r="W38" s="45" t="str">
        <f t="array" ref="W38">HYPERLINK(INDEX('File Links'!B:B, MATCH(U38, 'File Links'!C:C, 0)))
</f>
        <v>#N/A</v>
      </c>
      <c r="X38" s="183"/>
      <c r="Y38" s="180" t="s">
        <v>220</v>
      </c>
      <c r="Z38" s="183"/>
      <c r="AA38" s="182" t="s">
        <v>353</v>
      </c>
      <c r="AB38" s="182" t="s">
        <v>378</v>
      </c>
      <c r="AC38" s="182" t="s">
        <v>375</v>
      </c>
      <c r="AD38" s="187">
        <v>11.0</v>
      </c>
      <c r="AE38" s="187">
        <v>1950.0</v>
      </c>
      <c r="AF38" s="183"/>
      <c r="AG38" s="184" t="s">
        <v>356</v>
      </c>
      <c r="AH38" s="180" t="s">
        <v>299</v>
      </c>
      <c r="AI38" s="187">
        <v>0.05</v>
      </c>
      <c r="AJ38" s="188" t="s">
        <v>329</v>
      </c>
      <c r="AK38" s="180" t="s">
        <v>179</v>
      </c>
      <c r="AL38" s="183"/>
      <c r="AM38" s="180" t="s">
        <v>165</v>
      </c>
      <c r="AN38" s="187">
        <v>1079.0</v>
      </c>
      <c r="AO38" s="183"/>
      <c r="AP38" s="180" t="s">
        <v>357</v>
      </c>
      <c r="AQ38" s="180" t="s">
        <v>376</v>
      </c>
      <c r="AR38" s="187">
        <v>0.05</v>
      </c>
      <c r="AS38" s="188" t="s">
        <v>329</v>
      </c>
      <c r="AT38" s="188" t="s">
        <v>179</v>
      </c>
      <c r="AU38" s="179"/>
      <c r="AV38" s="179" t="s">
        <v>165</v>
      </c>
      <c r="AW38" s="179" t="s">
        <v>142</v>
      </c>
      <c r="AX38" s="183"/>
      <c r="AY38" s="189" t="s">
        <v>135</v>
      </c>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c r="CY38" s="178"/>
      <c r="CZ38" s="178"/>
      <c r="DA38" s="178"/>
      <c r="DB38" s="178"/>
      <c r="DC38" s="178"/>
      <c r="DD38" s="178"/>
      <c r="DE38" s="178"/>
      <c r="DF38" s="178"/>
      <c r="DG38" s="178"/>
    </row>
    <row r="39" ht="20.25" customHeight="1">
      <c r="A39" s="177" t="s">
        <v>106</v>
      </c>
      <c r="B39" s="177" t="s">
        <v>107</v>
      </c>
      <c r="C39" s="177" t="s">
        <v>341</v>
      </c>
      <c r="D39" s="178"/>
      <c r="E39" s="179" t="s">
        <v>342</v>
      </c>
      <c r="F39" s="180" t="s">
        <v>379</v>
      </c>
      <c r="G39" s="180" t="s">
        <v>344</v>
      </c>
      <c r="H39" s="181">
        <v>45637.0</v>
      </c>
      <c r="I39" s="159">
        <v>45692.0</v>
      </c>
      <c r="J39" s="182" t="s">
        <v>345</v>
      </c>
      <c r="K39" s="183"/>
      <c r="L39" s="180" t="s">
        <v>346</v>
      </c>
      <c r="M39" s="182" t="s">
        <v>347</v>
      </c>
      <c r="N39" s="183"/>
      <c r="O39" s="184" t="s">
        <v>348</v>
      </c>
      <c r="P39" s="48" t="str">
        <f t="array" ref="P39">HYPERLINK(INDEX('File Links'!B:B, MATCH(O39, 'File Links'!C:C, 0)))
</f>
        <v>https://drive.google.com/file/d/1OByNKNsjZqSFHFFyt-o1mPqDkVmgruBu/view?usp=drivesdk</v>
      </c>
      <c r="Q39" s="180" t="s">
        <v>349</v>
      </c>
      <c r="R39" s="180" t="s">
        <v>350</v>
      </c>
      <c r="S39" s="183"/>
      <c r="T39" s="185"/>
      <c r="U39" s="180" t="s">
        <v>351</v>
      </c>
      <c r="V39" s="186" t="s">
        <v>352</v>
      </c>
      <c r="W39" s="45" t="str">
        <f t="array" ref="W39">HYPERLINK(INDEX('File Links'!B:B, MATCH(U39, 'File Links'!C:C, 0)))
</f>
        <v>#N/A</v>
      </c>
      <c r="X39" s="183"/>
      <c r="Y39" s="180" t="s">
        <v>220</v>
      </c>
      <c r="Z39" s="183"/>
      <c r="AA39" s="182" t="s">
        <v>353</v>
      </c>
      <c r="AB39" s="182" t="s">
        <v>380</v>
      </c>
      <c r="AC39" s="182" t="s">
        <v>375</v>
      </c>
      <c r="AD39" s="187">
        <v>11.0</v>
      </c>
      <c r="AE39" s="187">
        <v>1950.0</v>
      </c>
      <c r="AF39" s="183"/>
      <c r="AG39" s="184" t="s">
        <v>356</v>
      </c>
      <c r="AH39" s="180" t="s">
        <v>299</v>
      </c>
      <c r="AI39" s="187">
        <v>0.05</v>
      </c>
      <c r="AJ39" s="188" t="s">
        <v>329</v>
      </c>
      <c r="AK39" s="180" t="s">
        <v>179</v>
      </c>
      <c r="AL39" s="183"/>
      <c r="AM39" s="180" t="s">
        <v>165</v>
      </c>
      <c r="AN39" s="187">
        <v>1079.0</v>
      </c>
      <c r="AO39" s="183"/>
      <c r="AP39" s="180" t="s">
        <v>357</v>
      </c>
      <c r="AQ39" s="180" t="s">
        <v>376</v>
      </c>
      <c r="AR39" s="187">
        <v>0.05</v>
      </c>
      <c r="AS39" s="188" t="s">
        <v>329</v>
      </c>
      <c r="AT39" s="188" t="s">
        <v>179</v>
      </c>
      <c r="AU39" s="179"/>
      <c r="AV39" s="179" t="s">
        <v>165</v>
      </c>
      <c r="AW39" s="179" t="s">
        <v>142</v>
      </c>
      <c r="AX39" s="183"/>
      <c r="AY39" s="189" t="s">
        <v>135</v>
      </c>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c r="CY39" s="178"/>
      <c r="CZ39" s="178"/>
      <c r="DA39" s="178"/>
      <c r="DB39" s="178"/>
      <c r="DC39" s="178"/>
      <c r="DD39" s="178"/>
      <c r="DE39" s="178"/>
      <c r="DF39" s="178"/>
      <c r="DG39" s="178"/>
    </row>
    <row r="40" ht="20.25" customHeight="1">
      <c r="A40" s="177" t="s">
        <v>106</v>
      </c>
      <c r="B40" s="177" t="s">
        <v>107</v>
      </c>
      <c r="C40" s="177" t="s">
        <v>341</v>
      </c>
      <c r="D40" s="178"/>
      <c r="E40" s="179" t="s">
        <v>342</v>
      </c>
      <c r="F40" s="180" t="s">
        <v>381</v>
      </c>
      <c r="G40" s="180" t="s">
        <v>344</v>
      </c>
      <c r="H40" s="181">
        <v>45637.0</v>
      </c>
      <c r="I40" s="159">
        <v>45692.0</v>
      </c>
      <c r="J40" s="182" t="s">
        <v>345</v>
      </c>
      <c r="K40" s="183"/>
      <c r="L40" s="180" t="s">
        <v>346</v>
      </c>
      <c r="M40" s="182" t="s">
        <v>347</v>
      </c>
      <c r="N40" s="183"/>
      <c r="O40" s="184" t="s">
        <v>348</v>
      </c>
      <c r="P40" s="48" t="str">
        <f t="array" ref="P40">HYPERLINK(INDEX('File Links'!B:B, MATCH(O40, 'File Links'!C:C, 0)))
</f>
        <v>https://drive.google.com/file/d/1OByNKNsjZqSFHFFyt-o1mPqDkVmgruBu/view?usp=drivesdk</v>
      </c>
      <c r="Q40" s="180" t="s">
        <v>349</v>
      </c>
      <c r="R40" s="180" t="s">
        <v>350</v>
      </c>
      <c r="S40" s="183"/>
      <c r="T40" s="185"/>
      <c r="U40" s="180" t="s">
        <v>351</v>
      </c>
      <c r="V40" s="186" t="s">
        <v>352</v>
      </c>
      <c r="W40" s="45" t="str">
        <f t="array" ref="W40">HYPERLINK(INDEX('File Links'!B:B, MATCH(U40, 'File Links'!C:C, 0)))
</f>
        <v>#N/A</v>
      </c>
      <c r="X40" s="183"/>
      <c r="Y40" s="180" t="s">
        <v>220</v>
      </c>
      <c r="Z40" s="183"/>
      <c r="AA40" s="182" t="s">
        <v>353</v>
      </c>
      <c r="AB40" s="182" t="s">
        <v>382</v>
      </c>
      <c r="AC40" s="182" t="s">
        <v>375</v>
      </c>
      <c r="AD40" s="187">
        <v>11.0</v>
      </c>
      <c r="AE40" s="187">
        <v>1950.0</v>
      </c>
      <c r="AF40" s="183"/>
      <c r="AG40" s="184" t="s">
        <v>356</v>
      </c>
      <c r="AH40" s="180" t="s">
        <v>299</v>
      </c>
      <c r="AI40" s="187">
        <v>0.05</v>
      </c>
      <c r="AJ40" s="188" t="s">
        <v>329</v>
      </c>
      <c r="AK40" s="180" t="s">
        <v>179</v>
      </c>
      <c r="AL40" s="183"/>
      <c r="AM40" s="180" t="s">
        <v>165</v>
      </c>
      <c r="AN40" s="187">
        <v>1079.0</v>
      </c>
      <c r="AO40" s="183"/>
      <c r="AP40" s="180" t="s">
        <v>357</v>
      </c>
      <c r="AQ40" s="180" t="s">
        <v>376</v>
      </c>
      <c r="AR40" s="187">
        <v>0.05</v>
      </c>
      <c r="AS40" s="188" t="s">
        <v>329</v>
      </c>
      <c r="AT40" s="188" t="s">
        <v>179</v>
      </c>
      <c r="AU40" s="179"/>
      <c r="AV40" s="179" t="s">
        <v>165</v>
      </c>
      <c r="AW40" s="179" t="s">
        <v>142</v>
      </c>
      <c r="AX40" s="183"/>
      <c r="AY40" s="189" t="s">
        <v>135</v>
      </c>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c r="CY40" s="178"/>
      <c r="CZ40" s="178"/>
      <c r="DA40" s="178"/>
      <c r="DB40" s="178"/>
      <c r="DC40" s="178"/>
      <c r="DD40" s="178"/>
      <c r="DE40" s="178"/>
      <c r="DF40" s="178"/>
      <c r="DG40" s="178"/>
    </row>
    <row r="41" ht="20.25" customHeight="1">
      <c r="A41" s="177" t="s">
        <v>106</v>
      </c>
      <c r="B41" s="177" t="s">
        <v>107</v>
      </c>
      <c r="C41" s="177" t="s">
        <v>341</v>
      </c>
      <c r="D41" s="178"/>
      <c r="E41" s="179" t="s">
        <v>342</v>
      </c>
      <c r="F41" s="180" t="s">
        <v>383</v>
      </c>
      <c r="G41" s="180" t="s">
        <v>344</v>
      </c>
      <c r="H41" s="181">
        <v>45637.0</v>
      </c>
      <c r="I41" s="159">
        <v>45692.0</v>
      </c>
      <c r="J41" s="182" t="s">
        <v>345</v>
      </c>
      <c r="K41" s="183"/>
      <c r="L41" s="180" t="s">
        <v>346</v>
      </c>
      <c r="M41" s="182" t="s">
        <v>347</v>
      </c>
      <c r="N41" s="183"/>
      <c r="O41" s="184" t="s">
        <v>348</v>
      </c>
      <c r="P41" s="48" t="str">
        <f t="array" ref="P41">HYPERLINK(INDEX('File Links'!B:B, MATCH(O41, 'File Links'!C:C, 0)))
</f>
        <v>https://drive.google.com/file/d/1OByNKNsjZqSFHFFyt-o1mPqDkVmgruBu/view?usp=drivesdk</v>
      </c>
      <c r="Q41" s="180" t="s">
        <v>349</v>
      </c>
      <c r="R41" s="180" t="s">
        <v>350</v>
      </c>
      <c r="S41" s="183"/>
      <c r="T41" s="185"/>
      <c r="U41" s="180" t="s">
        <v>351</v>
      </c>
      <c r="V41" s="186" t="s">
        <v>352</v>
      </c>
      <c r="W41" s="45" t="str">
        <f t="array" ref="W41">HYPERLINK(INDEX('File Links'!B:B, MATCH(U41, 'File Links'!C:C, 0)))
</f>
        <v>#N/A</v>
      </c>
      <c r="X41" s="183"/>
      <c r="Y41" s="180" t="s">
        <v>220</v>
      </c>
      <c r="Z41" s="183"/>
      <c r="AA41" s="182" t="s">
        <v>353</v>
      </c>
      <c r="AB41" s="182" t="s">
        <v>384</v>
      </c>
      <c r="AC41" s="182" t="s">
        <v>375</v>
      </c>
      <c r="AD41" s="187">
        <v>11.0</v>
      </c>
      <c r="AE41" s="187">
        <v>1950.0</v>
      </c>
      <c r="AF41" s="183"/>
      <c r="AG41" s="184" t="s">
        <v>356</v>
      </c>
      <c r="AH41" s="180" t="s">
        <v>299</v>
      </c>
      <c r="AI41" s="187">
        <v>0.05</v>
      </c>
      <c r="AJ41" s="188" t="s">
        <v>329</v>
      </c>
      <c r="AK41" s="180" t="s">
        <v>179</v>
      </c>
      <c r="AL41" s="183"/>
      <c r="AM41" s="180" t="s">
        <v>165</v>
      </c>
      <c r="AN41" s="187">
        <v>1079.0</v>
      </c>
      <c r="AO41" s="183"/>
      <c r="AP41" s="180" t="s">
        <v>357</v>
      </c>
      <c r="AQ41" s="180" t="s">
        <v>358</v>
      </c>
      <c r="AR41" s="187">
        <v>0.05</v>
      </c>
      <c r="AS41" s="188" t="s">
        <v>329</v>
      </c>
      <c r="AT41" s="188" t="s">
        <v>179</v>
      </c>
      <c r="AU41" s="179"/>
      <c r="AV41" s="179" t="s">
        <v>165</v>
      </c>
      <c r="AW41" s="179" t="s">
        <v>142</v>
      </c>
      <c r="AX41" s="183"/>
      <c r="AY41" s="189" t="s">
        <v>135</v>
      </c>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c r="CY41" s="178"/>
      <c r="CZ41" s="178"/>
      <c r="DA41" s="178"/>
      <c r="DB41" s="178"/>
      <c r="DC41" s="178"/>
      <c r="DD41" s="178"/>
      <c r="DE41" s="178"/>
      <c r="DF41" s="178"/>
      <c r="DG41" s="178"/>
    </row>
    <row r="42" ht="20.25" customHeight="1">
      <c r="A42" s="177" t="s">
        <v>106</v>
      </c>
      <c r="B42" s="177" t="s">
        <v>107</v>
      </c>
      <c r="C42" s="177" t="s">
        <v>341</v>
      </c>
      <c r="D42" s="178"/>
      <c r="E42" s="179" t="s">
        <v>342</v>
      </c>
      <c r="F42" s="180" t="s">
        <v>385</v>
      </c>
      <c r="G42" s="180" t="s">
        <v>344</v>
      </c>
      <c r="H42" s="181">
        <v>45637.0</v>
      </c>
      <c r="I42" s="159">
        <v>45692.0</v>
      </c>
      <c r="J42" s="182" t="s">
        <v>345</v>
      </c>
      <c r="K42" s="183"/>
      <c r="L42" s="180" t="s">
        <v>346</v>
      </c>
      <c r="M42" s="182" t="s">
        <v>347</v>
      </c>
      <c r="N42" s="183"/>
      <c r="O42" s="184" t="s">
        <v>348</v>
      </c>
      <c r="P42" s="48" t="str">
        <f t="array" ref="P42">HYPERLINK(INDEX('File Links'!B:B, MATCH(O42, 'File Links'!C:C, 0)))
</f>
        <v>https://drive.google.com/file/d/1OByNKNsjZqSFHFFyt-o1mPqDkVmgruBu/view?usp=drivesdk</v>
      </c>
      <c r="Q42" s="180" t="s">
        <v>349</v>
      </c>
      <c r="R42" s="180" t="s">
        <v>350</v>
      </c>
      <c r="S42" s="183"/>
      <c r="T42" s="185"/>
      <c r="U42" s="180" t="s">
        <v>351</v>
      </c>
      <c r="V42" s="186" t="s">
        <v>352</v>
      </c>
      <c r="W42" s="45" t="str">
        <f t="array" ref="W42">HYPERLINK(INDEX('File Links'!B:B, MATCH(U42, 'File Links'!C:C, 0)))
</f>
        <v>#N/A</v>
      </c>
      <c r="X42" s="183"/>
      <c r="Y42" s="180" t="s">
        <v>220</v>
      </c>
      <c r="Z42" s="183"/>
      <c r="AA42" s="182" t="s">
        <v>353</v>
      </c>
      <c r="AB42" s="182" t="s">
        <v>386</v>
      </c>
      <c r="AC42" s="182" t="s">
        <v>375</v>
      </c>
      <c r="AD42" s="187">
        <v>11.0</v>
      </c>
      <c r="AE42" s="187">
        <v>1950.0</v>
      </c>
      <c r="AF42" s="183"/>
      <c r="AG42" s="184" t="s">
        <v>356</v>
      </c>
      <c r="AH42" s="180" t="s">
        <v>299</v>
      </c>
      <c r="AI42" s="187">
        <v>0.05</v>
      </c>
      <c r="AJ42" s="188" t="s">
        <v>329</v>
      </c>
      <c r="AK42" s="180" t="s">
        <v>179</v>
      </c>
      <c r="AL42" s="183"/>
      <c r="AM42" s="180" t="s">
        <v>165</v>
      </c>
      <c r="AN42" s="187">
        <v>1079.0</v>
      </c>
      <c r="AO42" s="183"/>
      <c r="AP42" s="180" t="s">
        <v>357</v>
      </c>
      <c r="AQ42" s="180" t="s">
        <v>358</v>
      </c>
      <c r="AR42" s="187">
        <v>0.05</v>
      </c>
      <c r="AS42" s="188" t="s">
        <v>329</v>
      </c>
      <c r="AT42" s="188" t="s">
        <v>179</v>
      </c>
      <c r="AU42" s="179"/>
      <c r="AV42" s="179" t="s">
        <v>165</v>
      </c>
      <c r="AW42" s="179" t="s">
        <v>142</v>
      </c>
      <c r="AX42" s="183"/>
      <c r="AY42" s="189" t="s">
        <v>135</v>
      </c>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c r="CY42" s="178"/>
      <c r="CZ42" s="178"/>
      <c r="DA42" s="178"/>
      <c r="DB42" s="178"/>
      <c r="DC42" s="178"/>
      <c r="DD42" s="178"/>
      <c r="DE42" s="178"/>
      <c r="DF42" s="178"/>
      <c r="DG42" s="178"/>
    </row>
    <row r="43" ht="20.25" customHeight="1">
      <c r="A43" s="177" t="s">
        <v>106</v>
      </c>
      <c r="B43" s="177" t="s">
        <v>107</v>
      </c>
      <c r="C43" s="177" t="s">
        <v>341</v>
      </c>
      <c r="D43" s="178"/>
      <c r="E43" s="179" t="s">
        <v>342</v>
      </c>
      <c r="F43" s="180" t="s">
        <v>387</v>
      </c>
      <c r="G43" s="180" t="s">
        <v>344</v>
      </c>
      <c r="H43" s="181">
        <v>45637.0</v>
      </c>
      <c r="I43" s="159">
        <v>45692.0</v>
      </c>
      <c r="J43" s="182" t="s">
        <v>345</v>
      </c>
      <c r="K43" s="183"/>
      <c r="L43" s="180" t="s">
        <v>346</v>
      </c>
      <c r="M43" s="182" t="s">
        <v>347</v>
      </c>
      <c r="N43" s="183"/>
      <c r="O43" s="184" t="s">
        <v>348</v>
      </c>
      <c r="P43" s="48" t="str">
        <f t="array" ref="P43">HYPERLINK(INDEX('File Links'!B:B, MATCH(O43, 'File Links'!C:C, 0)))
</f>
        <v>https://drive.google.com/file/d/1OByNKNsjZqSFHFFyt-o1mPqDkVmgruBu/view?usp=drivesdk</v>
      </c>
      <c r="Q43" s="180" t="s">
        <v>349</v>
      </c>
      <c r="R43" s="180" t="s">
        <v>350</v>
      </c>
      <c r="S43" s="183"/>
      <c r="T43" s="185"/>
      <c r="U43" s="180" t="s">
        <v>351</v>
      </c>
      <c r="V43" s="186" t="s">
        <v>352</v>
      </c>
      <c r="W43" s="45" t="str">
        <f t="array" ref="W43">HYPERLINK(INDEX('File Links'!B:B, MATCH(U43, 'File Links'!C:C, 0)))
</f>
        <v>#N/A</v>
      </c>
      <c r="X43" s="183"/>
      <c r="Y43" s="180" t="s">
        <v>220</v>
      </c>
      <c r="Z43" s="183"/>
      <c r="AA43" s="182" t="s">
        <v>353</v>
      </c>
      <c r="AB43" s="182" t="s">
        <v>388</v>
      </c>
      <c r="AC43" s="182" t="s">
        <v>375</v>
      </c>
      <c r="AD43" s="187">
        <v>11.0</v>
      </c>
      <c r="AE43" s="187">
        <v>1950.0</v>
      </c>
      <c r="AF43" s="183"/>
      <c r="AG43" s="184" t="s">
        <v>356</v>
      </c>
      <c r="AH43" s="180" t="s">
        <v>299</v>
      </c>
      <c r="AI43" s="187">
        <v>0.05</v>
      </c>
      <c r="AJ43" s="188" t="s">
        <v>329</v>
      </c>
      <c r="AK43" s="180" t="s">
        <v>179</v>
      </c>
      <c r="AL43" s="183"/>
      <c r="AM43" s="180" t="s">
        <v>165</v>
      </c>
      <c r="AN43" s="187">
        <v>1079.0</v>
      </c>
      <c r="AO43" s="187">
        <v>0.07</v>
      </c>
      <c r="AP43" s="180" t="s">
        <v>357</v>
      </c>
      <c r="AQ43" s="180" t="s">
        <v>358</v>
      </c>
      <c r="AR43" s="187">
        <v>0.05</v>
      </c>
      <c r="AS43" s="188" t="s">
        <v>127</v>
      </c>
      <c r="AT43" s="188" t="s">
        <v>179</v>
      </c>
      <c r="AU43" s="179"/>
      <c r="AV43" s="179" t="s">
        <v>165</v>
      </c>
      <c r="AW43" s="179" t="s">
        <v>142</v>
      </c>
      <c r="AX43" s="183"/>
      <c r="AY43" s="189" t="s">
        <v>135</v>
      </c>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c r="CY43" s="178"/>
      <c r="CZ43" s="178"/>
      <c r="DA43" s="178"/>
      <c r="DB43" s="178"/>
      <c r="DC43" s="178"/>
      <c r="DD43" s="178"/>
      <c r="DE43" s="178"/>
      <c r="DF43" s="178"/>
      <c r="DG43" s="178"/>
    </row>
    <row r="44" ht="20.25" customHeight="1">
      <c r="A44" s="177" t="s">
        <v>106</v>
      </c>
      <c r="B44" s="177" t="s">
        <v>107</v>
      </c>
      <c r="C44" s="177" t="s">
        <v>341</v>
      </c>
      <c r="D44" s="178"/>
      <c r="E44" s="179" t="s">
        <v>342</v>
      </c>
      <c r="F44" s="180" t="s">
        <v>389</v>
      </c>
      <c r="G44" s="180" t="s">
        <v>344</v>
      </c>
      <c r="H44" s="181">
        <v>45637.0</v>
      </c>
      <c r="I44" s="159">
        <v>45692.0</v>
      </c>
      <c r="J44" s="182" t="s">
        <v>345</v>
      </c>
      <c r="K44" s="183"/>
      <c r="L44" s="180" t="s">
        <v>346</v>
      </c>
      <c r="M44" s="182" t="s">
        <v>347</v>
      </c>
      <c r="N44" s="183"/>
      <c r="O44" s="184" t="s">
        <v>348</v>
      </c>
      <c r="P44" s="48" t="str">
        <f t="array" ref="P44">HYPERLINK(INDEX('File Links'!B:B, MATCH(O44, 'File Links'!C:C, 0)))
</f>
        <v>https://drive.google.com/file/d/1OByNKNsjZqSFHFFyt-o1mPqDkVmgruBu/view?usp=drivesdk</v>
      </c>
      <c r="Q44" s="180" t="s">
        <v>349</v>
      </c>
      <c r="R44" s="180" t="s">
        <v>350</v>
      </c>
      <c r="S44" s="183"/>
      <c r="T44" s="185"/>
      <c r="U44" s="180" t="s">
        <v>351</v>
      </c>
      <c r="V44" s="186" t="s">
        <v>352</v>
      </c>
      <c r="W44" s="45" t="str">
        <f t="array" ref="W44">HYPERLINK(INDEX('File Links'!B:B, MATCH(U44, 'File Links'!C:C, 0)))
</f>
        <v>#N/A</v>
      </c>
      <c r="X44" s="183"/>
      <c r="Y44" s="180" t="s">
        <v>220</v>
      </c>
      <c r="Z44" s="183"/>
      <c r="AA44" s="182" t="s">
        <v>353</v>
      </c>
      <c r="AB44" s="182" t="s">
        <v>390</v>
      </c>
      <c r="AC44" s="182" t="s">
        <v>375</v>
      </c>
      <c r="AD44" s="187">
        <v>11.0</v>
      </c>
      <c r="AE44" s="187">
        <v>1950.0</v>
      </c>
      <c r="AF44" s="183"/>
      <c r="AG44" s="184" t="s">
        <v>356</v>
      </c>
      <c r="AH44" s="180" t="s">
        <v>299</v>
      </c>
      <c r="AI44" s="187">
        <v>0.05</v>
      </c>
      <c r="AJ44" s="188" t="s">
        <v>329</v>
      </c>
      <c r="AK44" s="180" t="s">
        <v>179</v>
      </c>
      <c r="AL44" s="183"/>
      <c r="AM44" s="180" t="s">
        <v>165</v>
      </c>
      <c r="AN44" s="187">
        <v>1079.0</v>
      </c>
      <c r="AO44" s="187">
        <v>0.07</v>
      </c>
      <c r="AP44" s="180" t="s">
        <v>357</v>
      </c>
      <c r="AQ44" s="180" t="s">
        <v>358</v>
      </c>
      <c r="AR44" s="187">
        <v>0.05</v>
      </c>
      <c r="AS44" s="188" t="s">
        <v>127</v>
      </c>
      <c r="AT44" s="188" t="s">
        <v>179</v>
      </c>
      <c r="AU44" s="179"/>
      <c r="AV44" s="179" t="s">
        <v>165</v>
      </c>
      <c r="AW44" s="179" t="s">
        <v>142</v>
      </c>
      <c r="AX44" s="183"/>
      <c r="AY44" s="189" t="s">
        <v>135</v>
      </c>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c r="CY44" s="178"/>
      <c r="CZ44" s="178"/>
      <c r="DA44" s="178"/>
      <c r="DB44" s="178"/>
      <c r="DC44" s="178"/>
      <c r="DD44" s="178"/>
      <c r="DE44" s="178"/>
      <c r="DF44" s="178"/>
      <c r="DG44" s="178"/>
    </row>
    <row r="45" ht="20.25" customHeight="1">
      <c r="A45" s="177" t="s">
        <v>106</v>
      </c>
      <c r="B45" s="177" t="s">
        <v>107</v>
      </c>
      <c r="C45" s="177" t="s">
        <v>341</v>
      </c>
      <c r="D45" s="178"/>
      <c r="E45" s="179" t="s">
        <v>342</v>
      </c>
      <c r="F45" s="180" t="s">
        <v>391</v>
      </c>
      <c r="G45" s="180" t="s">
        <v>344</v>
      </c>
      <c r="H45" s="181">
        <v>45637.0</v>
      </c>
      <c r="I45" s="159">
        <v>45692.0</v>
      </c>
      <c r="J45" s="182" t="s">
        <v>345</v>
      </c>
      <c r="K45" s="183"/>
      <c r="L45" s="180" t="s">
        <v>346</v>
      </c>
      <c r="M45" s="182" t="s">
        <v>347</v>
      </c>
      <c r="N45" s="183"/>
      <c r="O45" s="184" t="s">
        <v>348</v>
      </c>
      <c r="P45" s="48" t="str">
        <f t="array" ref="P45">HYPERLINK(INDEX('File Links'!B:B, MATCH(O45, 'File Links'!C:C, 0)))
</f>
        <v>https://drive.google.com/file/d/1OByNKNsjZqSFHFFyt-o1mPqDkVmgruBu/view?usp=drivesdk</v>
      </c>
      <c r="Q45" s="180" t="s">
        <v>349</v>
      </c>
      <c r="R45" s="180" t="s">
        <v>350</v>
      </c>
      <c r="S45" s="183"/>
      <c r="T45" s="185"/>
      <c r="U45" s="180" t="s">
        <v>351</v>
      </c>
      <c r="V45" s="186" t="s">
        <v>352</v>
      </c>
      <c r="W45" s="45" t="str">
        <f t="array" ref="W45">HYPERLINK(INDEX('File Links'!B:B, MATCH(U45, 'File Links'!C:C, 0)))
</f>
        <v>#N/A</v>
      </c>
      <c r="X45" s="183"/>
      <c r="Y45" s="180" t="s">
        <v>220</v>
      </c>
      <c r="Z45" s="183"/>
      <c r="AA45" s="182" t="s">
        <v>353</v>
      </c>
      <c r="AB45" s="182" t="s">
        <v>392</v>
      </c>
      <c r="AC45" s="182" t="s">
        <v>393</v>
      </c>
      <c r="AD45" s="187">
        <v>11.0</v>
      </c>
      <c r="AE45" s="187">
        <v>1950.0</v>
      </c>
      <c r="AF45" s="187">
        <v>-0.06</v>
      </c>
      <c r="AG45" s="184" t="s">
        <v>356</v>
      </c>
      <c r="AH45" s="180" t="s">
        <v>299</v>
      </c>
      <c r="AI45" s="187">
        <v>0.001</v>
      </c>
      <c r="AJ45" s="188" t="s">
        <v>127</v>
      </c>
      <c r="AK45" s="180" t="s">
        <v>179</v>
      </c>
      <c r="AL45" s="183"/>
      <c r="AM45" s="180" t="s">
        <v>165</v>
      </c>
      <c r="AN45" s="187">
        <v>1079.0</v>
      </c>
      <c r="AO45" s="187">
        <v>-0.07</v>
      </c>
      <c r="AP45" s="180" t="s">
        <v>357</v>
      </c>
      <c r="AQ45" s="180" t="s">
        <v>394</v>
      </c>
      <c r="AR45" s="187">
        <v>0.001</v>
      </c>
      <c r="AS45" s="188" t="s">
        <v>127</v>
      </c>
      <c r="AT45" s="188" t="s">
        <v>179</v>
      </c>
      <c r="AU45" s="179"/>
      <c r="AV45" s="179" t="s">
        <v>165</v>
      </c>
      <c r="AW45" s="179" t="s">
        <v>142</v>
      </c>
      <c r="AX45" s="183"/>
      <c r="AY45" s="189" t="s">
        <v>135</v>
      </c>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c r="CY45" s="178"/>
      <c r="CZ45" s="178"/>
      <c r="DA45" s="178"/>
      <c r="DB45" s="178"/>
      <c r="DC45" s="178"/>
      <c r="DD45" s="178"/>
      <c r="DE45" s="178"/>
      <c r="DF45" s="178"/>
      <c r="DG45" s="178"/>
    </row>
    <row r="46" ht="20.25" customHeight="1">
      <c r="A46" s="177" t="s">
        <v>106</v>
      </c>
      <c r="B46" s="177" t="s">
        <v>107</v>
      </c>
      <c r="C46" s="177" t="s">
        <v>341</v>
      </c>
      <c r="D46" s="178"/>
      <c r="E46" s="179" t="s">
        <v>342</v>
      </c>
      <c r="F46" s="180" t="s">
        <v>395</v>
      </c>
      <c r="G46" s="180" t="s">
        <v>344</v>
      </c>
      <c r="H46" s="181">
        <v>45637.0</v>
      </c>
      <c r="I46" s="159">
        <v>45692.0</v>
      </c>
      <c r="J46" s="182" t="s">
        <v>345</v>
      </c>
      <c r="K46" s="183"/>
      <c r="L46" s="180" t="s">
        <v>346</v>
      </c>
      <c r="M46" s="182" t="s">
        <v>347</v>
      </c>
      <c r="N46" s="183"/>
      <c r="O46" s="184" t="s">
        <v>348</v>
      </c>
      <c r="P46" s="48" t="str">
        <f t="array" ref="P46">HYPERLINK(INDEX('File Links'!B:B, MATCH(O46, 'File Links'!C:C, 0)))
</f>
        <v>https://drive.google.com/file/d/1OByNKNsjZqSFHFFyt-o1mPqDkVmgruBu/view?usp=drivesdk</v>
      </c>
      <c r="Q46" s="180" t="s">
        <v>349</v>
      </c>
      <c r="R46" s="180" t="s">
        <v>350</v>
      </c>
      <c r="S46" s="183"/>
      <c r="T46" s="185"/>
      <c r="U46" s="180" t="s">
        <v>351</v>
      </c>
      <c r="V46" s="186" t="s">
        <v>352</v>
      </c>
      <c r="W46" s="45" t="str">
        <f t="array" ref="W46">HYPERLINK(INDEX('File Links'!B:B, MATCH(U46, 'File Links'!C:C, 0)))
</f>
        <v>#N/A</v>
      </c>
      <c r="X46" s="183"/>
      <c r="Y46" s="180" t="s">
        <v>220</v>
      </c>
      <c r="Z46" s="183"/>
      <c r="AA46" s="182" t="s">
        <v>353</v>
      </c>
      <c r="AB46" s="182" t="s">
        <v>396</v>
      </c>
      <c r="AC46" s="182" t="s">
        <v>393</v>
      </c>
      <c r="AD46" s="187">
        <v>11.0</v>
      </c>
      <c r="AE46" s="187">
        <v>1950.0</v>
      </c>
      <c r="AF46" s="187">
        <v>-0.06</v>
      </c>
      <c r="AG46" s="184" t="s">
        <v>356</v>
      </c>
      <c r="AH46" s="180" t="s">
        <v>299</v>
      </c>
      <c r="AI46" s="187">
        <v>0.001</v>
      </c>
      <c r="AJ46" s="188" t="s">
        <v>127</v>
      </c>
      <c r="AK46" s="180" t="s">
        <v>179</v>
      </c>
      <c r="AL46" s="183"/>
      <c r="AM46" s="180" t="s">
        <v>165</v>
      </c>
      <c r="AN46" s="187">
        <v>1079.0</v>
      </c>
      <c r="AO46" s="187">
        <v>-0.03</v>
      </c>
      <c r="AP46" s="180" t="s">
        <v>357</v>
      </c>
      <c r="AQ46" s="180" t="s">
        <v>394</v>
      </c>
      <c r="AR46" s="187">
        <v>0.01</v>
      </c>
      <c r="AS46" s="188" t="s">
        <v>127</v>
      </c>
      <c r="AT46" s="188" t="s">
        <v>179</v>
      </c>
      <c r="AU46" s="179"/>
      <c r="AV46" s="179" t="s">
        <v>165</v>
      </c>
      <c r="AW46" s="179" t="s">
        <v>142</v>
      </c>
      <c r="AX46" s="183"/>
      <c r="AY46" s="189" t="s">
        <v>135</v>
      </c>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c r="CY46" s="178"/>
      <c r="CZ46" s="178"/>
      <c r="DA46" s="178"/>
      <c r="DB46" s="178"/>
      <c r="DC46" s="178"/>
      <c r="DD46" s="178"/>
      <c r="DE46" s="178"/>
      <c r="DF46" s="178"/>
      <c r="DG46" s="178"/>
    </row>
    <row r="47" ht="20.25" customHeight="1">
      <c r="A47" s="177" t="s">
        <v>106</v>
      </c>
      <c r="B47" s="177" t="s">
        <v>107</v>
      </c>
      <c r="C47" s="177" t="s">
        <v>341</v>
      </c>
      <c r="D47" s="178"/>
      <c r="E47" s="179" t="s">
        <v>342</v>
      </c>
      <c r="F47" s="180" t="s">
        <v>397</v>
      </c>
      <c r="G47" s="180" t="s">
        <v>344</v>
      </c>
      <c r="H47" s="181">
        <v>45637.0</v>
      </c>
      <c r="I47" s="159">
        <v>45692.0</v>
      </c>
      <c r="J47" s="182" t="s">
        <v>345</v>
      </c>
      <c r="K47" s="183"/>
      <c r="L47" s="180" t="s">
        <v>346</v>
      </c>
      <c r="M47" s="182" t="s">
        <v>347</v>
      </c>
      <c r="N47" s="183"/>
      <c r="O47" s="184" t="s">
        <v>348</v>
      </c>
      <c r="P47" s="48" t="str">
        <f t="array" ref="P47">HYPERLINK(INDEX('File Links'!B:B, MATCH(O47, 'File Links'!C:C, 0)))
</f>
        <v>https://drive.google.com/file/d/1OByNKNsjZqSFHFFyt-o1mPqDkVmgruBu/view?usp=drivesdk</v>
      </c>
      <c r="Q47" s="180" t="s">
        <v>349</v>
      </c>
      <c r="R47" s="180" t="s">
        <v>350</v>
      </c>
      <c r="S47" s="183"/>
      <c r="T47" s="185"/>
      <c r="U47" s="180" t="s">
        <v>351</v>
      </c>
      <c r="V47" s="186" t="s">
        <v>352</v>
      </c>
      <c r="W47" s="45" t="str">
        <f t="array" ref="W47">HYPERLINK(INDEX('File Links'!B:B, MATCH(U47, 'File Links'!C:C, 0)))
</f>
        <v>#N/A</v>
      </c>
      <c r="X47" s="183"/>
      <c r="Y47" s="180" t="s">
        <v>220</v>
      </c>
      <c r="Z47" s="183"/>
      <c r="AA47" s="182" t="s">
        <v>353</v>
      </c>
      <c r="AB47" s="182" t="s">
        <v>398</v>
      </c>
      <c r="AC47" s="182" t="s">
        <v>393</v>
      </c>
      <c r="AD47" s="187">
        <v>11.0</v>
      </c>
      <c r="AE47" s="187">
        <v>1950.0</v>
      </c>
      <c r="AF47" s="187">
        <v>-0.06</v>
      </c>
      <c r="AG47" s="184" t="s">
        <v>356</v>
      </c>
      <c r="AH47" s="180" t="s">
        <v>299</v>
      </c>
      <c r="AI47" s="187">
        <v>0.001</v>
      </c>
      <c r="AJ47" s="188" t="s">
        <v>127</v>
      </c>
      <c r="AK47" s="180" t="s">
        <v>179</v>
      </c>
      <c r="AL47" s="183"/>
      <c r="AM47" s="180" t="s">
        <v>165</v>
      </c>
      <c r="AN47" s="187">
        <v>1079.0</v>
      </c>
      <c r="AO47" s="187">
        <v>-0.04</v>
      </c>
      <c r="AP47" s="180" t="s">
        <v>357</v>
      </c>
      <c r="AQ47" s="180" t="s">
        <v>394</v>
      </c>
      <c r="AR47" s="187">
        <v>0.05</v>
      </c>
      <c r="AS47" s="188" t="s">
        <v>127</v>
      </c>
      <c r="AT47" s="188" t="s">
        <v>179</v>
      </c>
      <c r="AU47" s="179"/>
      <c r="AV47" s="179" t="s">
        <v>165</v>
      </c>
      <c r="AW47" s="179" t="s">
        <v>142</v>
      </c>
      <c r="AX47" s="183"/>
      <c r="AY47" s="189" t="s">
        <v>135</v>
      </c>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c r="CY47" s="178"/>
      <c r="CZ47" s="178"/>
      <c r="DA47" s="178"/>
      <c r="DB47" s="178"/>
      <c r="DC47" s="178"/>
      <c r="DD47" s="178"/>
      <c r="DE47" s="178"/>
      <c r="DF47" s="178"/>
      <c r="DG47" s="178"/>
    </row>
    <row r="48" ht="20.25" customHeight="1">
      <c r="A48" s="177" t="s">
        <v>106</v>
      </c>
      <c r="B48" s="177" t="s">
        <v>107</v>
      </c>
      <c r="C48" s="177" t="s">
        <v>341</v>
      </c>
      <c r="D48" s="178"/>
      <c r="E48" s="179" t="s">
        <v>342</v>
      </c>
      <c r="F48" s="180" t="s">
        <v>399</v>
      </c>
      <c r="G48" s="180" t="s">
        <v>344</v>
      </c>
      <c r="H48" s="181">
        <v>45637.0</v>
      </c>
      <c r="I48" s="159">
        <v>45692.0</v>
      </c>
      <c r="J48" s="182" t="s">
        <v>345</v>
      </c>
      <c r="K48" s="183"/>
      <c r="L48" s="180" t="s">
        <v>346</v>
      </c>
      <c r="M48" s="182" t="s">
        <v>347</v>
      </c>
      <c r="N48" s="183"/>
      <c r="O48" s="184" t="s">
        <v>348</v>
      </c>
      <c r="P48" s="48" t="str">
        <f t="array" ref="P48">HYPERLINK(INDEX('File Links'!B:B, MATCH(O48, 'File Links'!C:C, 0)))
</f>
        <v>https://drive.google.com/file/d/1OByNKNsjZqSFHFFyt-o1mPqDkVmgruBu/view?usp=drivesdk</v>
      </c>
      <c r="Q48" s="180" t="s">
        <v>349</v>
      </c>
      <c r="R48" s="180" t="s">
        <v>350</v>
      </c>
      <c r="S48" s="183"/>
      <c r="T48" s="185"/>
      <c r="U48" s="180" t="s">
        <v>351</v>
      </c>
      <c r="V48" s="186" t="s">
        <v>352</v>
      </c>
      <c r="W48" s="45" t="str">
        <f t="array" ref="W48">HYPERLINK(INDEX('File Links'!B:B, MATCH(U48, 'File Links'!C:C, 0)))
</f>
        <v>#N/A</v>
      </c>
      <c r="X48" s="183"/>
      <c r="Y48" s="180" t="s">
        <v>220</v>
      </c>
      <c r="Z48" s="183"/>
      <c r="AA48" s="182" t="s">
        <v>353</v>
      </c>
      <c r="AB48" s="182" t="s">
        <v>400</v>
      </c>
      <c r="AC48" s="182" t="s">
        <v>393</v>
      </c>
      <c r="AD48" s="187">
        <v>11.0</v>
      </c>
      <c r="AE48" s="187">
        <v>1950.0</v>
      </c>
      <c r="AF48" s="187">
        <v>-0.06</v>
      </c>
      <c r="AG48" s="184" t="s">
        <v>356</v>
      </c>
      <c r="AH48" s="180" t="s">
        <v>299</v>
      </c>
      <c r="AI48" s="187">
        <v>0.001</v>
      </c>
      <c r="AJ48" s="188" t="s">
        <v>127</v>
      </c>
      <c r="AK48" s="180" t="s">
        <v>179</v>
      </c>
      <c r="AL48" s="183"/>
      <c r="AM48" s="180" t="s">
        <v>165</v>
      </c>
      <c r="AN48" s="187">
        <v>1079.0</v>
      </c>
      <c r="AO48" s="187">
        <v>-0.02</v>
      </c>
      <c r="AP48" s="180" t="s">
        <v>357</v>
      </c>
      <c r="AQ48" s="180" t="s">
        <v>394</v>
      </c>
      <c r="AR48" s="187">
        <v>0.05</v>
      </c>
      <c r="AS48" s="188" t="s">
        <v>127</v>
      </c>
      <c r="AT48" s="188" t="s">
        <v>179</v>
      </c>
      <c r="AU48" s="179"/>
      <c r="AV48" s="179" t="s">
        <v>165</v>
      </c>
      <c r="AW48" s="179" t="s">
        <v>142</v>
      </c>
      <c r="AX48" s="183"/>
      <c r="AY48" s="189" t="s">
        <v>135</v>
      </c>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c r="CY48" s="178"/>
      <c r="CZ48" s="178"/>
      <c r="DA48" s="178"/>
      <c r="DB48" s="178"/>
      <c r="DC48" s="178"/>
      <c r="DD48" s="178"/>
      <c r="DE48" s="178"/>
      <c r="DF48" s="178"/>
      <c r="DG48" s="178"/>
    </row>
    <row r="49" ht="20.25" customHeight="1">
      <c r="A49" s="177" t="s">
        <v>106</v>
      </c>
      <c r="B49" s="177" t="s">
        <v>107</v>
      </c>
      <c r="C49" s="177" t="s">
        <v>341</v>
      </c>
      <c r="D49" s="178"/>
      <c r="E49" s="179" t="s">
        <v>342</v>
      </c>
      <c r="F49" s="180" t="s">
        <v>401</v>
      </c>
      <c r="G49" s="180" t="s">
        <v>344</v>
      </c>
      <c r="H49" s="181">
        <v>45637.0</v>
      </c>
      <c r="I49" s="159">
        <v>45692.0</v>
      </c>
      <c r="J49" s="182" t="s">
        <v>345</v>
      </c>
      <c r="K49" s="183"/>
      <c r="L49" s="180" t="s">
        <v>346</v>
      </c>
      <c r="M49" s="182" t="s">
        <v>347</v>
      </c>
      <c r="N49" s="183"/>
      <c r="O49" s="184" t="s">
        <v>348</v>
      </c>
      <c r="P49" s="48" t="str">
        <f t="array" ref="P49">HYPERLINK(INDEX('File Links'!B:B, MATCH(O49, 'File Links'!C:C, 0)))
</f>
        <v>https://drive.google.com/file/d/1OByNKNsjZqSFHFFyt-o1mPqDkVmgruBu/view?usp=drivesdk</v>
      </c>
      <c r="Q49" s="180" t="s">
        <v>349</v>
      </c>
      <c r="R49" s="180" t="s">
        <v>350</v>
      </c>
      <c r="S49" s="183"/>
      <c r="T49" s="185"/>
      <c r="U49" s="180" t="s">
        <v>351</v>
      </c>
      <c r="V49" s="186" t="s">
        <v>352</v>
      </c>
      <c r="W49" s="45" t="str">
        <f t="array" ref="W49">HYPERLINK(INDEX('File Links'!B:B, MATCH(U49, 'File Links'!C:C, 0)))
</f>
        <v>#N/A</v>
      </c>
      <c r="X49" s="183"/>
      <c r="Y49" s="180" t="s">
        <v>220</v>
      </c>
      <c r="Z49" s="183"/>
      <c r="AA49" s="182" t="s">
        <v>353</v>
      </c>
      <c r="AB49" s="182" t="s">
        <v>402</v>
      </c>
      <c r="AC49" s="182" t="s">
        <v>393</v>
      </c>
      <c r="AD49" s="187">
        <v>11.0</v>
      </c>
      <c r="AE49" s="187">
        <v>1950.0</v>
      </c>
      <c r="AF49" s="187">
        <v>-0.06</v>
      </c>
      <c r="AG49" s="184" t="s">
        <v>356</v>
      </c>
      <c r="AH49" s="180" t="s">
        <v>299</v>
      </c>
      <c r="AI49" s="187">
        <v>0.001</v>
      </c>
      <c r="AJ49" s="188" t="s">
        <v>127</v>
      </c>
      <c r="AK49" s="180" t="s">
        <v>179</v>
      </c>
      <c r="AL49" s="183"/>
      <c r="AM49" s="180" t="s">
        <v>165</v>
      </c>
      <c r="AN49" s="187">
        <v>1079.0</v>
      </c>
      <c r="AO49" s="183"/>
      <c r="AP49" s="180" t="s">
        <v>357</v>
      </c>
      <c r="AQ49" s="180" t="s">
        <v>358</v>
      </c>
      <c r="AR49" s="187">
        <v>0.05</v>
      </c>
      <c r="AS49" s="188" t="s">
        <v>329</v>
      </c>
      <c r="AT49" s="188" t="s">
        <v>179</v>
      </c>
      <c r="AU49" s="179"/>
      <c r="AV49" s="179" t="s">
        <v>165</v>
      </c>
      <c r="AW49" s="179" t="s">
        <v>142</v>
      </c>
      <c r="AX49" s="183"/>
      <c r="AY49" s="189" t="s">
        <v>135</v>
      </c>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c r="CY49" s="178"/>
      <c r="CZ49" s="178"/>
      <c r="DA49" s="178"/>
      <c r="DB49" s="178"/>
      <c r="DC49" s="178"/>
      <c r="DD49" s="178"/>
      <c r="DE49" s="178"/>
      <c r="DF49" s="178"/>
      <c r="DG49" s="178"/>
    </row>
    <row r="50" ht="20.25" customHeight="1">
      <c r="A50" s="177" t="s">
        <v>106</v>
      </c>
      <c r="B50" s="177" t="s">
        <v>107</v>
      </c>
      <c r="C50" s="177" t="s">
        <v>341</v>
      </c>
      <c r="D50" s="178"/>
      <c r="E50" s="179" t="s">
        <v>342</v>
      </c>
      <c r="F50" s="180" t="s">
        <v>403</v>
      </c>
      <c r="G50" s="180" t="s">
        <v>344</v>
      </c>
      <c r="H50" s="181">
        <v>45637.0</v>
      </c>
      <c r="I50" s="159">
        <v>45692.0</v>
      </c>
      <c r="J50" s="182" t="s">
        <v>345</v>
      </c>
      <c r="K50" s="183"/>
      <c r="L50" s="180" t="s">
        <v>346</v>
      </c>
      <c r="M50" s="182" t="s">
        <v>347</v>
      </c>
      <c r="N50" s="183"/>
      <c r="O50" s="184" t="s">
        <v>348</v>
      </c>
      <c r="P50" s="48" t="str">
        <f t="array" ref="P50">HYPERLINK(INDEX('File Links'!B:B, MATCH(O50, 'File Links'!C:C, 0)))
</f>
        <v>https://drive.google.com/file/d/1OByNKNsjZqSFHFFyt-o1mPqDkVmgruBu/view?usp=drivesdk</v>
      </c>
      <c r="Q50" s="180" t="s">
        <v>349</v>
      </c>
      <c r="R50" s="180" t="s">
        <v>350</v>
      </c>
      <c r="S50" s="183"/>
      <c r="T50" s="185"/>
      <c r="U50" s="180" t="s">
        <v>351</v>
      </c>
      <c r="V50" s="186" t="s">
        <v>352</v>
      </c>
      <c r="W50" s="45" t="str">
        <f t="array" ref="W50">HYPERLINK(INDEX('File Links'!B:B, MATCH(U50, 'File Links'!C:C, 0)))
</f>
        <v>#N/A</v>
      </c>
      <c r="X50" s="183"/>
      <c r="Y50" s="180" t="s">
        <v>220</v>
      </c>
      <c r="Z50" s="183"/>
      <c r="AA50" s="182" t="s">
        <v>353</v>
      </c>
      <c r="AB50" s="182" t="s">
        <v>404</v>
      </c>
      <c r="AC50" s="182" t="s">
        <v>393</v>
      </c>
      <c r="AD50" s="187">
        <v>11.0</v>
      </c>
      <c r="AE50" s="187">
        <v>1950.0</v>
      </c>
      <c r="AF50" s="187">
        <v>-0.06</v>
      </c>
      <c r="AG50" s="184" t="s">
        <v>356</v>
      </c>
      <c r="AH50" s="180" t="s">
        <v>299</v>
      </c>
      <c r="AI50" s="187">
        <v>0.001</v>
      </c>
      <c r="AJ50" s="188" t="s">
        <v>127</v>
      </c>
      <c r="AK50" s="180" t="s">
        <v>179</v>
      </c>
      <c r="AL50" s="183"/>
      <c r="AM50" s="180" t="s">
        <v>165</v>
      </c>
      <c r="AN50" s="187">
        <v>1079.0</v>
      </c>
      <c r="AO50" s="183"/>
      <c r="AP50" s="180" t="s">
        <v>357</v>
      </c>
      <c r="AQ50" s="180" t="s">
        <v>358</v>
      </c>
      <c r="AR50" s="187">
        <v>0.05</v>
      </c>
      <c r="AS50" s="188" t="s">
        <v>329</v>
      </c>
      <c r="AT50" s="188" t="s">
        <v>179</v>
      </c>
      <c r="AU50" s="179"/>
      <c r="AV50" s="179" t="s">
        <v>165</v>
      </c>
      <c r="AW50" s="179" t="s">
        <v>142</v>
      </c>
      <c r="AX50" s="183"/>
      <c r="AY50" s="189" t="s">
        <v>135</v>
      </c>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c r="CY50" s="178"/>
      <c r="CZ50" s="178"/>
      <c r="DA50" s="178"/>
      <c r="DB50" s="178"/>
      <c r="DC50" s="178"/>
      <c r="DD50" s="178"/>
      <c r="DE50" s="178"/>
      <c r="DF50" s="178"/>
      <c r="DG50" s="178"/>
    </row>
    <row r="51" ht="20.25" customHeight="1">
      <c r="A51" s="177" t="s">
        <v>106</v>
      </c>
      <c r="B51" s="177" t="s">
        <v>107</v>
      </c>
      <c r="C51" s="177" t="s">
        <v>341</v>
      </c>
      <c r="D51" s="178"/>
      <c r="E51" s="179" t="s">
        <v>342</v>
      </c>
      <c r="F51" s="180" t="s">
        <v>405</v>
      </c>
      <c r="G51" s="180" t="s">
        <v>344</v>
      </c>
      <c r="H51" s="181">
        <v>45637.0</v>
      </c>
      <c r="I51" s="159">
        <v>45692.0</v>
      </c>
      <c r="J51" s="182" t="s">
        <v>345</v>
      </c>
      <c r="K51" s="183"/>
      <c r="L51" s="180" t="s">
        <v>346</v>
      </c>
      <c r="M51" s="182" t="s">
        <v>347</v>
      </c>
      <c r="N51" s="183"/>
      <c r="O51" s="184" t="s">
        <v>348</v>
      </c>
      <c r="P51" s="48" t="str">
        <f t="array" ref="P51">HYPERLINK(INDEX('File Links'!B:B, MATCH(O51, 'File Links'!C:C, 0)))
</f>
        <v>https://drive.google.com/file/d/1OByNKNsjZqSFHFFyt-o1mPqDkVmgruBu/view?usp=drivesdk</v>
      </c>
      <c r="Q51" s="180" t="s">
        <v>349</v>
      </c>
      <c r="R51" s="180" t="s">
        <v>350</v>
      </c>
      <c r="S51" s="183"/>
      <c r="T51" s="185"/>
      <c r="U51" s="180" t="s">
        <v>351</v>
      </c>
      <c r="V51" s="186" t="s">
        <v>352</v>
      </c>
      <c r="W51" s="45" t="str">
        <f t="array" ref="W51">HYPERLINK(INDEX('File Links'!B:B, MATCH(U51, 'File Links'!C:C, 0)))
</f>
        <v>#N/A</v>
      </c>
      <c r="X51" s="183"/>
      <c r="Y51" s="180" t="s">
        <v>220</v>
      </c>
      <c r="Z51" s="183"/>
      <c r="AA51" s="182" t="s">
        <v>353</v>
      </c>
      <c r="AB51" s="182" t="s">
        <v>406</v>
      </c>
      <c r="AC51" s="182" t="s">
        <v>393</v>
      </c>
      <c r="AD51" s="187">
        <v>11.0</v>
      </c>
      <c r="AE51" s="187">
        <v>1950.0</v>
      </c>
      <c r="AF51" s="187">
        <v>-0.06</v>
      </c>
      <c r="AG51" s="184" t="s">
        <v>356</v>
      </c>
      <c r="AH51" s="180" t="s">
        <v>299</v>
      </c>
      <c r="AI51" s="187">
        <v>0.001</v>
      </c>
      <c r="AJ51" s="188" t="s">
        <v>127</v>
      </c>
      <c r="AK51" s="180" t="s">
        <v>179</v>
      </c>
      <c r="AL51" s="183"/>
      <c r="AM51" s="180" t="s">
        <v>165</v>
      </c>
      <c r="AN51" s="187">
        <v>1079.0</v>
      </c>
      <c r="AO51" s="183"/>
      <c r="AP51" s="180" t="s">
        <v>357</v>
      </c>
      <c r="AQ51" s="180" t="s">
        <v>358</v>
      </c>
      <c r="AR51" s="187">
        <v>0.05</v>
      </c>
      <c r="AS51" s="188" t="s">
        <v>329</v>
      </c>
      <c r="AT51" s="188" t="s">
        <v>179</v>
      </c>
      <c r="AU51" s="179"/>
      <c r="AV51" s="179" t="s">
        <v>165</v>
      </c>
      <c r="AW51" s="179" t="s">
        <v>142</v>
      </c>
      <c r="AX51" s="183"/>
      <c r="AY51" s="189" t="s">
        <v>135</v>
      </c>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c r="CY51" s="178"/>
      <c r="CZ51" s="178"/>
      <c r="DA51" s="178"/>
      <c r="DB51" s="178"/>
      <c r="DC51" s="178"/>
      <c r="DD51" s="178"/>
      <c r="DE51" s="178"/>
      <c r="DF51" s="178"/>
      <c r="DG51" s="178"/>
    </row>
    <row r="52" ht="20.25" customHeight="1">
      <c r="A52" s="177" t="s">
        <v>106</v>
      </c>
      <c r="B52" s="177" t="s">
        <v>107</v>
      </c>
      <c r="C52" s="177" t="s">
        <v>341</v>
      </c>
      <c r="D52" s="178"/>
      <c r="E52" s="179" t="s">
        <v>342</v>
      </c>
      <c r="F52" s="180" t="s">
        <v>407</v>
      </c>
      <c r="G52" s="180" t="s">
        <v>344</v>
      </c>
      <c r="H52" s="181">
        <v>45637.0</v>
      </c>
      <c r="I52" s="159">
        <v>45692.0</v>
      </c>
      <c r="J52" s="182" t="s">
        <v>345</v>
      </c>
      <c r="K52" s="183"/>
      <c r="L52" s="180" t="s">
        <v>346</v>
      </c>
      <c r="M52" s="182" t="s">
        <v>347</v>
      </c>
      <c r="N52" s="183"/>
      <c r="O52" s="184" t="s">
        <v>348</v>
      </c>
      <c r="P52" s="48" t="str">
        <f t="array" ref="P52">HYPERLINK(INDEX('File Links'!B:B, MATCH(O52, 'File Links'!C:C, 0)))
</f>
        <v>https://drive.google.com/file/d/1OByNKNsjZqSFHFFyt-o1mPqDkVmgruBu/view?usp=drivesdk</v>
      </c>
      <c r="Q52" s="180" t="s">
        <v>349</v>
      </c>
      <c r="R52" s="180" t="s">
        <v>350</v>
      </c>
      <c r="S52" s="183"/>
      <c r="T52" s="185"/>
      <c r="U52" s="180" t="s">
        <v>351</v>
      </c>
      <c r="V52" s="186" t="s">
        <v>352</v>
      </c>
      <c r="W52" s="45" t="str">
        <f t="array" ref="W52">HYPERLINK(INDEX('File Links'!B:B, MATCH(U52, 'File Links'!C:C, 0)))
</f>
        <v>#N/A</v>
      </c>
      <c r="X52" s="183"/>
      <c r="Y52" s="180" t="s">
        <v>220</v>
      </c>
      <c r="Z52" s="183"/>
      <c r="AA52" s="182" t="s">
        <v>353</v>
      </c>
      <c r="AB52" s="182" t="s">
        <v>408</v>
      </c>
      <c r="AC52" s="182" t="s">
        <v>393</v>
      </c>
      <c r="AD52" s="187">
        <v>11.0</v>
      </c>
      <c r="AE52" s="187">
        <v>1950.0</v>
      </c>
      <c r="AF52" s="187">
        <v>-0.06</v>
      </c>
      <c r="AG52" s="184" t="s">
        <v>356</v>
      </c>
      <c r="AH52" s="180" t="s">
        <v>299</v>
      </c>
      <c r="AI52" s="187">
        <v>0.001</v>
      </c>
      <c r="AJ52" s="188" t="s">
        <v>127</v>
      </c>
      <c r="AK52" s="180" t="s">
        <v>179</v>
      </c>
      <c r="AL52" s="183"/>
      <c r="AM52" s="180" t="s">
        <v>165</v>
      </c>
      <c r="AN52" s="187">
        <v>1079.0</v>
      </c>
      <c r="AO52" s="183"/>
      <c r="AP52" s="180" t="s">
        <v>357</v>
      </c>
      <c r="AQ52" s="180" t="s">
        <v>358</v>
      </c>
      <c r="AR52" s="187">
        <v>0.05</v>
      </c>
      <c r="AS52" s="188" t="s">
        <v>329</v>
      </c>
      <c r="AT52" s="188" t="s">
        <v>179</v>
      </c>
      <c r="AU52" s="179"/>
      <c r="AV52" s="179" t="s">
        <v>165</v>
      </c>
      <c r="AW52" s="179" t="s">
        <v>142</v>
      </c>
      <c r="AX52" s="183"/>
      <c r="AY52" s="189" t="s">
        <v>135</v>
      </c>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c r="CY52" s="178"/>
      <c r="CZ52" s="178"/>
      <c r="DA52" s="178"/>
      <c r="DB52" s="178"/>
      <c r="DC52" s="178"/>
      <c r="DD52" s="178"/>
      <c r="DE52" s="178"/>
      <c r="DF52" s="178"/>
      <c r="DG52" s="178"/>
    </row>
    <row r="53" ht="20.25" customHeight="1">
      <c r="A53" s="177" t="s">
        <v>106</v>
      </c>
      <c r="B53" s="177" t="s">
        <v>107</v>
      </c>
      <c r="C53" s="177" t="s">
        <v>341</v>
      </c>
      <c r="D53" s="178"/>
      <c r="E53" s="179" t="s">
        <v>342</v>
      </c>
      <c r="F53" s="180" t="s">
        <v>409</v>
      </c>
      <c r="G53" s="180" t="s">
        <v>344</v>
      </c>
      <c r="H53" s="181">
        <v>45637.0</v>
      </c>
      <c r="I53" s="159">
        <v>45692.0</v>
      </c>
      <c r="J53" s="182" t="s">
        <v>345</v>
      </c>
      <c r="K53" s="183"/>
      <c r="L53" s="180" t="s">
        <v>346</v>
      </c>
      <c r="M53" s="182" t="s">
        <v>347</v>
      </c>
      <c r="N53" s="183"/>
      <c r="O53" s="184" t="s">
        <v>348</v>
      </c>
      <c r="P53" s="48" t="str">
        <f t="array" ref="P53">HYPERLINK(INDEX('File Links'!B:B, MATCH(O53, 'File Links'!C:C, 0)))
</f>
        <v>https://drive.google.com/file/d/1OByNKNsjZqSFHFFyt-o1mPqDkVmgruBu/view?usp=drivesdk</v>
      </c>
      <c r="Q53" s="180" t="s">
        <v>349</v>
      </c>
      <c r="R53" s="180" t="s">
        <v>350</v>
      </c>
      <c r="S53" s="183"/>
      <c r="T53" s="185"/>
      <c r="U53" s="180" t="s">
        <v>351</v>
      </c>
      <c r="V53" s="186" t="s">
        <v>352</v>
      </c>
      <c r="W53" s="45" t="str">
        <f t="array" ref="W53">HYPERLINK(INDEX('File Links'!B:B, MATCH(U53, 'File Links'!C:C, 0)))
</f>
        <v>#N/A</v>
      </c>
      <c r="X53" s="183"/>
      <c r="Y53" s="180" t="s">
        <v>220</v>
      </c>
      <c r="Z53" s="183"/>
      <c r="AA53" s="182" t="s">
        <v>353</v>
      </c>
      <c r="AB53" s="182" t="s">
        <v>410</v>
      </c>
      <c r="AC53" s="182" t="s">
        <v>411</v>
      </c>
      <c r="AD53" s="187">
        <v>1.0</v>
      </c>
      <c r="AE53" s="187">
        <v>1950.0</v>
      </c>
      <c r="AF53" s="183"/>
      <c r="AG53" s="184" t="s">
        <v>356</v>
      </c>
      <c r="AH53" s="180" t="s">
        <v>299</v>
      </c>
      <c r="AI53" s="187">
        <v>0.05</v>
      </c>
      <c r="AJ53" s="188" t="s">
        <v>329</v>
      </c>
      <c r="AK53" s="180" t="s">
        <v>179</v>
      </c>
      <c r="AL53" s="183"/>
      <c r="AM53" s="180" t="s">
        <v>165</v>
      </c>
      <c r="AN53" s="187">
        <v>1079.0</v>
      </c>
      <c r="AO53" s="183"/>
      <c r="AP53" s="180" t="s">
        <v>357</v>
      </c>
      <c r="AQ53" s="180" t="s">
        <v>376</v>
      </c>
      <c r="AR53" s="187">
        <v>0.05</v>
      </c>
      <c r="AS53" s="188" t="s">
        <v>329</v>
      </c>
      <c r="AT53" s="188" t="s">
        <v>179</v>
      </c>
      <c r="AU53" s="179"/>
      <c r="AV53" s="179" t="s">
        <v>165</v>
      </c>
      <c r="AW53" s="179" t="s">
        <v>142</v>
      </c>
      <c r="AX53" s="183"/>
      <c r="AY53" s="189" t="s">
        <v>135</v>
      </c>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c r="CY53" s="178"/>
      <c r="CZ53" s="178"/>
      <c r="DA53" s="178"/>
      <c r="DB53" s="178"/>
      <c r="DC53" s="178"/>
      <c r="DD53" s="178"/>
      <c r="DE53" s="178"/>
      <c r="DF53" s="178"/>
      <c r="DG53" s="178"/>
    </row>
    <row r="54" ht="20.25" customHeight="1">
      <c r="A54" s="177" t="s">
        <v>106</v>
      </c>
      <c r="B54" s="177" t="s">
        <v>107</v>
      </c>
      <c r="C54" s="177" t="s">
        <v>341</v>
      </c>
      <c r="D54" s="178"/>
      <c r="E54" s="179" t="s">
        <v>342</v>
      </c>
      <c r="F54" s="180" t="s">
        <v>412</v>
      </c>
      <c r="G54" s="180" t="s">
        <v>344</v>
      </c>
      <c r="H54" s="181">
        <v>45637.0</v>
      </c>
      <c r="I54" s="159">
        <v>45692.0</v>
      </c>
      <c r="J54" s="182" t="s">
        <v>345</v>
      </c>
      <c r="K54" s="183"/>
      <c r="L54" s="180" t="s">
        <v>346</v>
      </c>
      <c r="M54" s="182" t="s">
        <v>347</v>
      </c>
      <c r="N54" s="183"/>
      <c r="O54" s="184" t="s">
        <v>348</v>
      </c>
      <c r="P54" s="48" t="str">
        <f t="array" ref="P54">HYPERLINK(INDEX('File Links'!B:B, MATCH(O54, 'File Links'!C:C, 0)))
</f>
        <v>https://drive.google.com/file/d/1OByNKNsjZqSFHFFyt-o1mPqDkVmgruBu/view?usp=drivesdk</v>
      </c>
      <c r="Q54" s="180" t="s">
        <v>349</v>
      </c>
      <c r="R54" s="180" t="s">
        <v>350</v>
      </c>
      <c r="S54" s="183"/>
      <c r="T54" s="185"/>
      <c r="U54" s="180" t="s">
        <v>351</v>
      </c>
      <c r="V54" s="186" t="s">
        <v>352</v>
      </c>
      <c r="W54" s="45" t="str">
        <f t="array" ref="W54">HYPERLINK(INDEX('File Links'!B:B, MATCH(U54, 'File Links'!C:C, 0)))
</f>
        <v>#N/A</v>
      </c>
      <c r="X54" s="183"/>
      <c r="Y54" s="180" t="s">
        <v>220</v>
      </c>
      <c r="Z54" s="183"/>
      <c r="AA54" s="182" t="s">
        <v>353</v>
      </c>
      <c r="AB54" s="182" t="s">
        <v>413</v>
      </c>
      <c r="AC54" s="182" t="s">
        <v>411</v>
      </c>
      <c r="AD54" s="187">
        <v>1.0</v>
      </c>
      <c r="AE54" s="187">
        <v>1950.0</v>
      </c>
      <c r="AF54" s="183"/>
      <c r="AG54" s="184" t="s">
        <v>356</v>
      </c>
      <c r="AH54" s="180" t="s">
        <v>299</v>
      </c>
      <c r="AI54" s="187">
        <v>0.05</v>
      </c>
      <c r="AJ54" s="188" t="s">
        <v>329</v>
      </c>
      <c r="AK54" s="180" t="s">
        <v>179</v>
      </c>
      <c r="AL54" s="183"/>
      <c r="AM54" s="180" t="s">
        <v>165</v>
      </c>
      <c r="AN54" s="187">
        <v>1079.0</v>
      </c>
      <c r="AO54" s="183"/>
      <c r="AP54" s="180" t="s">
        <v>357</v>
      </c>
      <c r="AQ54" s="180" t="s">
        <v>376</v>
      </c>
      <c r="AR54" s="187">
        <v>0.05</v>
      </c>
      <c r="AS54" s="188" t="s">
        <v>329</v>
      </c>
      <c r="AT54" s="188" t="s">
        <v>179</v>
      </c>
      <c r="AU54" s="179"/>
      <c r="AV54" s="179" t="s">
        <v>165</v>
      </c>
      <c r="AW54" s="179" t="s">
        <v>142</v>
      </c>
      <c r="AX54" s="183"/>
      <c r="AY54" s="189" t="s">
        <v>135</v>
      </c>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c r="CY54" s="178"/>
      <c r="CZ54" s="178"/>
      <c r="DA54" s="178"/>
      <c r="DB54" s="178"/>
      <c r="DC54" s="178"/>
      <c r="DD54" s="178"/>
      <c r="DE54" s="178"/>
      <c r="DF54" s="178"/>
      <c r="DG54" s="178"/>
    </row>
    <row r="55" ht="20.25" customHeight="1">
      <c r="A55" s="177" t="s">
        <v>106</v>
      </c>
      <c r="B55" s="177" t="s">
        <v>107</v>
      </c>
      <c r="C55" s="177" t="s">
        <v>341</v>
      </c>
      <c r="D55" s="178"/>
      <c r="E55" s="179" t="s">
        <v>342</v>
      </c>
      <c r="F55" s="180" t="s">
        <v>414</v>
      </c>
      <c r="G55" s="180" t="s">
        <v>344</v>
      </c>
      <c r="H55" s="181">
        <v>45637.0</v>
      </c>
      <c r="I55" s="159">
        <v>45692.0</v>
      </c>
      <c r="J55" s="182" t="s">
        <v>345</v>
      </c>
      <c r="K55" s="183"/>
      <c r="L55" s="180" t="s">
        <v>346</v>
      </c>
      <c r="M55" s="182" t="s">
        <v>347</v>
      </c>
      <c r="N55" s="183"/>
      <c r="O55" s="184" t="s">
        <v>348</v>
      </c>
      <c r="P55" s="48" t="str">
        <f t="array" ref="P55">HYPERLINK(INDEX('File Links'!B:B, MATCH(O55, 'File Links'!C:C, 0)))
</f>
        <v>https://drive.google.com/file/d/1OByNKNsjZqSFHFFyt-o1mPqDkVmgruBu/view?usp=drivesdk</v>
      </c>
      <c r="Q55" s="180" t="s">
        <v>349</v>
      </c>
      <c r="R55" s="180" t="s">
        <v>350</v>
      </c>
      <c r="S55" s="183"/>
      <c r="T55" s="185"/>
      <c r="U55" s="180" t="s">
        <v>351</v>
      </c>
      <c r="V55" s="186" t="s">
        <v>352</v>
      </c>
      <c r="W55" s="45" t="str">
        <f t="array" ref="W55">HYPERLINK(INDEX('File Links'!B:B, MATCH(U55, 'File Links'!C:C, 0)))
</f>
        <v>#N/A</v>
      </c>
      <c r="X55" s="183"/>
      <c r="Y55" s="180" t="s">
        <v>220</v>
      </c>
      <c r="Z55" s="183"/>
      <c r="AA55" s="182" t="s">
        <v>353</v>
      </c>
      <c r="AB55" s="182" t="s">
        <v>415</v>
      </c>
      <c r="AC55" s="182" t="s">
        <v>411</v>
      </c>
      <c r="AD55" s="187">
        <v>1.0</v>
      </c>
      <c r="AE55" s="187">
        <v>1950.0</v>
      </c>
      <c r="AF55" s="183"/>
      <c r="AG55" s="184" t="s">
        <v>356</v>
      </c>
      <c r="AH55" s="180" t="s">
        <v>299</v>
      </c>
      <c r="AI55" s="187">
        <v>0.05</v>
      </c>
      <c r="AJ55" s="188" t="s">
        <v>329</v>
      </c>
      <c r="AK55" s="180" t="s">
        <v>179</v>
      </c>
      <c r="AL55" s="183"/>
      <c r="AM55" s="180" t="s">
        <v>165</v>
      </c>
      <c r="AN55" s="187">
        <v>1079.0</v>
      </c>
      <c r="AO55" s="183"/>
      <c r="AP55" s="180" t="s">
        <v>357</v>
      </c>
      <c r="AQ55" s="180" t="s">
        <v>376</v>
      </c>
      <c r="AR55" s="187">
        <v>0.05</v>
      </c>
      <c r="AS55" s="188" t="s">
        <v>329</v>
      </c>
      <c r="AT55" s="188" t="s">
        <v>179</v>
      </c>
      <c r="AU55" s="179"/>
      <c r="AV55" s="179" t="s">
        <v>165</v>
      </c>
      <c r="AW55" s="179" t="s">
        <v>142</v>
      </c>
      <c r="AX55" s="183"/>
      <c r="AY55" s="189" t="s">
        <v>135</v>
      </c>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c r="CY55" s="178"/>
      <c r="CZ55" s="178"/>
      <c r="DA55" s="178"/>
      <c r="DB55" s="178"/>
      <c r="DC55" s="178"/>
      <c r="DD55" s="178"/>
      <c r="DE55" s="178"/>
      <c r="DF55" s="178"/>
      <c r="DG55" s="178"/>
    </row>
    <row r="56" ht="20.25" customHeight="1">
      <c r="A56" s="177" t="s">
        <v>106</v>
      </c>
      <c r="B56" s="177" t="s">
        <v>107</v>
      </c>
      <c r="C56" s="177" t="s">
        <v>341</v>
      </c>
      <c r="D56" s="178"/>
      <c r="E56" s="179" t="s">
        <v>342</v>
      </c>
      <c r="F56" s="180" t="s">
        <v>416</v>
      </c>
      <c r="G56" s="180" t="s">
        <v>344</v>
      </c>
      <c r="H56" s="181">
        <v>45637.0</v>
      </c>
      <c r="I56" s="159">
        <v>45692.0</v>
      </c>
      <c r="J56" s="182" t="s">
        <v>345</v>
      </c>
      <c r="K56" s="183"/>
      <c r="L56" s="180" t="s">
        <v>346</v>
      </c>
      <c r="M56" s="182" t="s">
        <v>347</v>
      </c>
      <c r="N56" s="183"/>
      <c r="O56" s="184" t="s">
        <v>348</v>
      </c>
      <c r="P56" s="48" t="str">
        <f t="array" ref="P56">HYPERLINK(INDEX('File Links'!B:B, MATCH(O56, 'File Links'!C:C, 0)))
</f>
        <v>https://drive.google.com/file/d/1OByNKNsjZqSFHFFyt-o1mPqDkVmgruBu/view?usp=drivesdk</v>
      </c>
      <c r="Q56" s="180" t="s">
        <v>349</v>
      </c>
      <c r="R56" s="180" t="s">
        <v>350</v>
      </c>
      <c r="S56" s="183"/>
      <c r="T56" s="185"/>
      <c r="U56" s="180" t="s">
        <v>351</v>
      </c>
      <c r="V56" s="186" t="s">
        <v>352</v>
      </c>
      <c r="W56" s="45" t="str">
        <f t="array" ref="W56">HYPERLINK(INDEX('File Links'!B:B, MATCH(U56, 'File Links'!C:C, 0)))
</f>
        <v>#N/A</v>
      </c>
      <c r="X56" s="183"/>
      <c r="Y56" s="180" t="s">
        <v>220</v>
      </c>
      <c r="Z56" s="183"/>
      <c r="AA56" s="182" t="s">
        <v>353</v>
      </c>
      <c r="AB56" s="182" t="s">
        <v>417</v>
      </c>
      <c r="AC56" s="182" t="s">
        <v>411</v>
      </c>
      <c r="AD56" s="187">
        <v>1.0</v>
      </c>
      <c r="AE56" s="187">
        <v>1950.0</v>
      </c>
      <c r="AF56" s="183"/>
      <c r="AG56" s="184" t="s">
        <v>356</v>
      </c>
      <c r="AH56" s="180" t="s">
        <v>299</v>
      </c>
      <c r="AI56" s="187">
        <v>0.05</v>
      </c>
      <c r="AJ56" s="188" t="s">
        <v>329</v>
      </c>
      <c r="AK56" s="180" t="s">
        <v>179</v>
      </c>
      <c r="AL56" s="183"/>
      <c r="AM56" s="180" t="s">
        <v>165</v>
      </c>
      <c r="AN56" s="187">
        <v>1079.0</v>
      </c>
      <c r="AO56" s="183"/>
      <c r="AP56" s="180" t="s">
        <v>357</v>
      </c>
      <c r="AQ56" s="180" t="s">
        <v>376</v>
      </c>
      <c r="AR56" s="187">
        <v>0.05</v>
      </c>
      <c r="AS56" s="188" t="s">
        <v>329</v>
      </c>
      <c r="AT56" s="188" t="s">
        <v>179</v>
      </c>
      <c r="AU56" s="179"/>
      <c r="AV56" s="179" t="s">
        <v>165</v>
      </c>
      <c r="AW56" s="179" t="s">
        <v>142</v>
      </c>
      <c r="AX56" s="183"/>
      <c r="AY56" s="189" t="s">
        <v>135</v>
      </c>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c r="CY56" s="178"/>
      <c r="CZ56" s="178"/>
      <c r="DA56" s="178"/>
      <c r="DB56" s="178"/>
      <c r="DC56" s="178"/>
      <c r="DD56" s="178"/>
      <c r="DE56" s="178"/>
      <c r="DF56" s="178"/>
      <c r="DG56" s="178"/>
    </row>
    <row r="57" ht="20.25" customHeight="1">
      <c r="A57" s="177" t="s">
        <v>106</v>
      </c>
      <c r="B57" s="177" t="s">
        <v>107</v>
      </c>
      <c r="C57" s="177" t="s">
        <v>341</v>
      </c>
      <c r="D57" s="178"/>
      <c r="E57" s="179" t="s">
        <v>342</v>
      </c>
      <c r="F57" s="180" t="s">
        <v>418</v>
      </c>
      <c r="G57" s="180" t="s">
        <v>344</v>
      </c>
      <c r="H57" s="181">
        <v>45637.0</v>
      </c>
      <c r="I57" s="159">
        <v>45692.0</v>
      </c>
      <c r="J57" s="182" t="s">
        <v>345</v>
      </c>
      <c r="K57" s="183"/>
      <c r="L57" s="180" t="s">
        <v>346</v>
      </c>
      <c r="M57" s="182" t="s">
        <v>347</v>
      </c>
      <c r="N57" s="183"/>
      <c r="O57" s="184" t="s">
        <v>348</v>
      </c>
      <c r="P57" s="48" t="str">
        <f t="array" ref="P57">HYPERLINK(INDEX('File Links'!B:B, MATCH(O57, 'File Links'!C:C, 0)))
</f>
        <v>https://drive.google.com/file/d/1OByNKNsjZqSFHFFyt-o1mPqDkVmgruBu/view?usp=drivesdk</v>
      </c>
      <c r="Q57" s="180" t="s">
        <v>349</v>
      </c>
      <c r="R57" s="180" t="s">
        <v>350</v>
      </c>
      <c r="S57" s="183"/>
      <c r="T57" s="185"/>
      <c r="U57" s="180" t="s">
        <v>351</v>
      </c>
      <c r="V57" s="186" t="s">
        <v>352</v>
      </c>
      <c r="W57" s="45" t="str">
        <f t="array" ref="W57">HYPERLINK(INDEX('File Links'!B:B, MATCH(U57, 'File Links'!C:C, 0)))
</f>
        <v>#N/A</v>
      </c>
      <c r="X57" s="183"/>
      <c r="Y57" s="180" t="s">
        <v>220</v>
      </c>
      <c r="Z57" s="183"/>
      <c r="AA57" s="182" t="s">
        <v>353</v>
      </c>
      <c r="AB57" s="182" t="s">
        <v>419</v>
      </c>
      <c r="AC57" s="182" t="s">
        <v>411</v>
      </c>
      <c r="AD57" s="187">
        <v>1.0</v>
      </c>
      <c r="AE57" s="187">
        <v>1950.0</v>
      </c>
      <c r="AF57" s="183"/>
      <c r="AG57" s="184" t="s">
        <v>356</v>
      </c>
      <c r="AH57" s="180" t="s">
        <v>299</v>
      </c>
      <c r="AI57" s="187">
        <v>0.05</v>
      </c>
      <c r="AJ57" s="188" t="s">
        <v>329</v>
      </c>
      <c r="AK57" s="180" t="s">
        <v>179</v>
      </c>
      <c r="AL57" s="183"/>
      <c r="AM57" s="180" t="s">
        <v>165</v>
      </c>
      <c r="AN57" s="187">
        <v>1079.0</v>
      </c>
      <c r="AO57" s="183"/>
      <c r="AP57" s="180" t="s">
        <v>357</v>
      </c>
      <c r="AQ57" s="180" t="s">
        <v>420</v>
      </c>
      <c r="AR57" s="187">
        <v>0.05</v>
      </c>
      <c r="AS57" s="188" t="s">
        <v>329</v>
      </c>
      <c r="AT57" s="188" t="s">
        <v>179</v>
      </c>
      <c r="AU57" s="179"/>
      <c r="AV57" s="179" t="s">
        <v>165</v>
      </c>
      <c r="AW57" s="179" t="s">
        <v>142</v>
      </c>
      <c r="AX57" s="183"/>
      <c r="AY57" s="189" t="s">
        <v>135</v>
      </c>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c r="CY57" s="178"/>
      <c r="CZ57" s="178"/>
      <c r="DA57" s="178"/>
      <c r="DB57" s="178"/>
      <c r="DC57" s="178"/>
      <c r="DD57" s="178"/>
      <c r="DE57" s="178"/>
      <c r="DF57" s="178"/>
      <c r="DG57" s="178"/>
    </row>
    <row r="58" ht="20.25" customHeight="1">
      <c r="A58" s="177" t="s">
        <v>106</v>
      </c>
      <c r="B58" s="177" t="s">
        <v>107</v>
      </c>
      <c r="C58" s="177" t="s">
        <v>341</v>
      </c>
      <c r="D58" s="178"/>
      <c r="E58" s="179" t="s">
        <v>342</v>
      </c>
      <c r="F58" s="180" t="s">
        <v>421</v>
      </c>
      <c r="G58" s="180" t="s">
        <v>344</v>
      </c>
      <c r="H58" s="181">
        <v>45637.0</v>
      </c>
      <c r="I58" s="159">
        <v>45692.0</v>
      </c>
      <c r="J58" s="182" t="s">
        <v>345</v>
      </c>
      <c r="K58" s="183"/>
      <c r="L58" s="180" t="s">
        <v>346</v>
      </c>
      <c r="M58" s="182" t="s">
        <v>347</v>
      </c>
      <c r="N58" s="183"/>
      <c r="O58" s="184" t="s">
        <v>348</v>
      </c>
      <c r="P58" s="48" t="str">
        <f t="array" ref="P58">HYPERLINK(INDEX('File Links'!B:B, MATCH(O58, 'File Links'!C:C, 0)))
</f>
        <v>https://drive.google.com/file/d/1OByNKNsjZqSFHFFyt-o1mPqDkVmgruBu/view?usp=drivesdk</v>
      </c>
      <c r="Q58" s="180" t="s">
        <v>349</v>
      </c>
      <c r="R58" s="180" t="s">
        <v>350</v>
      </c>
      <c r="S58" s="183"/>
      <c r="T58" s="185"/>
      <c r="U58" s="180" t="s">
        <v>351</v>
      </c>
      <c r="V58" s="186" t="s">
        <v>352</v>
      </c>
      <c r="W58" s="45" t="str">
        <f t="array" ref="W58">HYPERLINK(INDEX('File Links'!B:B, MATCH(U58, 'File Links'!C:C, 0)))
</f>
        <v>#N/A</v>
      </c>
      <c r="X58" s="183"/>
      <c r="Y58" s="180" t="s">
        <v>220</v>
      </c>
      <c r="Z58" s="183"/>
      <c r="AA58" s="182" t="s">
        <v>353</v>
      </c>
      <c r="AB58" s="182" t="s">
        <v>422</v>
      </c>
      <c r="AC58" s="182" t="s">
        <v>411</v>
      </c>
      <c r="AD58" s="187">
        <v>1.0</v>
      </c>
      <c r="AE58" s="187">
        <v>1950.0</v>
      </c>
      <c r="AF58" s="183"/>
      <c r="AG58" s="184" t="s">
        <v>356</v>
      </c>
      <c r="AH58" s="180" t="s">
        <v>299</v>
      </c>
      <c r="AI58" s="187">
        <v>0.05</v>
      </c>
      <c r="AJ58" s="188" t="s">
        <v>329</v>
      </c>
      <c r="AK58" s="180" t="s">
        <v>179</v>
      </c>
      <c r="AL58" s="183"/>
      <c r="AM58" s="180" t="s">
        <v>165</v>
      </c>
      <c r="AN58" s="187">
        <v>1079.0</v>
      </c>
      <c r="AO58" s="183"/>
      <c r="AP58" s="180" t="s">
        <v>357</v>
      </c>
      <c r="AQ58" s="180" t="s">
        <v>420</v>
      </c>
      <c r="AR58" s="187">
        <v>0.05</v>
      </c>
      <c r="AS58" s="188" t="s">
        <v>329</v>
      </c>
      <c r="AT58" s="188" t="s">
        <v>179</v>
      </c>
      <c r="AU58" s="179"/>
      <c r="AV58" s="179" t="s">
        <v>165</v>
      </c>
      <c r="AW58" s="179" t="s">
        <v>142</v>
      </c>
      <c r="AX58" s="183"/>
      <c r="AY58" s="189" t="s">
        <v>135</v>
      </c>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c r="CY58" s="178"/>
      <c r="CZ58" s="178"/>
      <c r="DA58" s="178"/>
      <c r="DB58" s="178"/>
      <c r="DC58" s="178"/>
      <c r="DD58" s="178"/>
      <c r="DE58" s="178"/>
      <c r="DF58" s="178"/>
      <c r="DG58" s="178"/>
    </row>
    <row r="59" ht="20.25" customHeight="1">
      <c r="A59" s="177" t="s">
        <v>106</v>
      </c>
      <c r="B59" s="177" t="s">
        <v>107</v>
      </c>
      <c r="C59" s="177" t="s">
        <v>341</v>
      </c>
      <c r="D59" s="178"/>
      <c r="E59" s="179" t="s">
        <v>342</v>
      </c>
      <c r="F59" s="180" t="s">
        <v>423</v>
      </c>
      <c r="G59" s="180" t="s">
        <v>344</v>
      </c>
      <c r="H59" s="181">
        <v>45637.0</v>
      </c>
      <c r="I59" s="159">
        <v>45692.0</v>
      </c>
      <c r="J59" s="182" t="s">
        <v>345</v>
      </c>
      <c r="K59" s="183"/>
      <c r="L59" s="180" t="s">
        <v>346</v>
      </c>
      <c r="M59" s="182" t="s">
        <v>347</v>
      </c>
      <c r="N59" s="183"/>
      <c r="O59" s="184" t="s">
        <v>348</v>
      </c>
      <c r="P59" s="48" t="str">
        <f t="array" ref="P59">HYPERLINK(INDEX('File Links'!B:B, MATCH(O59, 'File Links'!C:C, 0)))
</f>
        <v>https://drive.google.com/file/d/1OByNKNsjZqSFHFFyt-o1mPqDkVmgruBu/view?usp=drivesdk</v>
      </c>
      <c r="Q59" s="180" t="s">
        <v>349</v>
      </c>
      <c r="R59" s="180" t="s">
        <v>350</v>
      </c>
      <c r="S59" s="183"/>
      <c r="T59" s="185"/>
      <c r="U59" s="180" t="s">
        <v>351</v>
      </c>
      <c r="V59" s="186" t="s">
        <v>352</v>
      </c>
      <c r="W59" s="45" t="str">
        <f t="array" ref="W59">HYPERLINK(INDEX('File Links'!B:B, MATCH(U59, 'File Links'!C:C, 0)))
</f>
        <v>#N/A</v>
      </c>
      <c r="X59" s="183"/>
      <c r="Y59" s="180" t="s">
        <v>220</v>
      </c>
      <c r="Z59" s="183"/>
      <c r="AA59" s="182" t="s">
        <v>353</v>
      </c>
      <c r="AB59" s="182" t="s">
        <v>424</v>
      </c>
      <c r="AC59" s="182" t="s">
        <v>411</v>
      </c>
      <c r="AD59" s="187">
        <v>1.0</v>
      </c>
      <c r="AE59" s="187">
        <v>1950.0</v>
      </c>
      <c r="AF59" s="183"/>
      <c r="AG59" s="184" t="s">
        <v>356</v>
      </c>
      <c r="AH59" s="180" t="s">
        <v>299</v>
      </c>
      <c r="AI59" s="187">
        <v>0.05</v>
      </c>
      <c r="AJ59" s="188" t="s">
        <v>329</v>
      </c>
      <c r="AK59" s="180" t="s">
        <v>179</v>
      </c>
      <c r="AL59" s="183"/>
      <c r="AM59" s="180" t="s">
        <v>165</v>
      </c>
      <c r="AN59" s="187">
        <v>1079.0</v>
      </c>
      <c r="AO59" s="183"/>
      <c r="AP59" s="180" t="s">
        <v>357</v>
      </c>
      <c r="AQ59" s="180" t="s">
        <v>420</v>
      </c>
      <c r="AR59" s="187">
        <v>0.05</v>
      </c>
      <c r="AS59" s="188" t="s">
        <v>329</v>
      </c>
      <c r="AT59" s="188" t="s">
        <v>179</v>
      </c>
      <c r="AU59" s="179"/>
      <c r="AV59" s="179" t="s">
        <v>165</v>
      </c>
      <c r="AW59" s="179" t="s">
        <v>142</v>
      </c>
      <c r="AX59" s="183"/>
      <c r="AY59" s="189" t="s">
        <v>135</v>
      </c>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c r="CY59" s="178"/>
      <c r="CZ59" s="178"/>
      <c r="DA59" s="178"/>
      <c r="DB59" s="178"/>
      <c r="DC59" s="178"/>
      <c r="DD59" s="178"/>
      <c r="DE59" s="178"/>
      <c r="DF59" s="178"/>
      <c r="DG59" s="178"/>
    </row>
    <row r="60" ht="20.25" customHeight="1">
      <c r="A60" s="177" t="s">
        <v>106</v>
      </c>
      <c r="B60" s="177" t="s">
        <v>107</v>
      </c>
      <c r="C60" s="177" t="s">
        <v>341</v>
      </c>
      <c r="D60" s="178"/>
      <c r="E60" s="179" t="s">
        <v>342</v>
      </c>
      <c r="F60" s="180" t="s">
        <v>425</v>
      </c>
      <c r="G60" s="180" t="s">
        <v>344</v>
      </c>
      <c r="H60" s="181">
        <v>45637.0</v>
      </c>
      <c r="I60" s="159">
        <v>45692.0</v>
      </c>
      <c r="J60" s="182" t="s">
        <v>345</v>
      </c>
      <c r="K60" s="183"/>
      <c r="L60" s="180" t="s">
        <v>346</v>
      </c>
      <c r="M60" s="182" t="s">
        <v>347</v>
      </c>
      <c r="N60" s="183"/>
      <c r="O60" s="184" t="s">
        <v>348</v>
      </c>
      <c r="P60" s="48" t="str">
        <f t="array" ref="P60">HYPERLINK(INDEX('File Links'!B:B, MATCH(O60, 'File Links'!C:C, 0)))
</f>
        <v>https://drive.google.com/file/d/1OByNKNsjZqSFHFFyt-o1mPqDkVmgruBu/view?usp=drivesdk</v>
      </c>
      <c r="Q60" s="180" t="s">
        <v>349</v>
      </c>
      <c r="R60" s="180" t="s">
        <v>350</v>
      </c>
      <c r="S60" s="183"/>
      <c r="T60" s="185"/>
      <c r="U60" s="180" t="s">
        <v>351</v>
      </c>
      <c r="V60" s="186" t="s">
        <v>352</v>
      </c>
      <c r="W60" s="45" t="str">
        <f t="array" ref="W60">HYPERLINK(INDEX('File Links'!B:B, MATCH(U60, 'File Links'!C:C, 0)))
</f>
        <v>#N/A</v>
      </c>
      <c r="X60" s="183"/>
      <c r="Y60" s="180" t="s">
        <v>220</v>
      </c>
      <c r="Z60" s="183"/>
      <c r="AA60" s="182" t="s">
        <v>353</v>
      </c>
      <c r="AB60" s="182" t="s">
        <v>426</v>
      </c>
      <c r="AC60" s="182" t="s">
        <v>411</v>
      </c>
      <c r="AD60" s="187">
        <v>1.0</v>
      </c>
      <c r="AE60" s="187">
        <v>1950.0</v>
      </c>
      <c r="AF60" s="183"/>
      <c r="AG60" s="184" t="s">
        <v>356</v>
      </c>
      <c r="AH60" s="180" t="s">
        <v>299</v>
      </c>
      <c r="AI60" s="187">
        <v>0.05</v>
      </c>
      <c r="AJ60" s="188" t="s">
        <v>329</v>
      </c>
      <c r="AK60" s="180" t="s">
        <v>179</v>
      </c>
      <c r="AL60" s="183"/>
      <c r="AM60" s="180" t="s">
        <v>165</v>
      </c>
      <c r="AN60" s="187">
        <v>1079.0</v>
      </c>
      <c r="AO60" s="183"/>
      <c r="AP60" s="180" t="s">
        <v>357</v>
      </c>
      <c r="AQ60" s="180" t="s">
        <v>420</v>
      </c>
      <c r="AR60" s="187">
        <v>0.05</v>
      </c>
      <c r="AS60" s="188" t="s">
        <v>329</v>
      </c>
      <c r="AT60" s="188" t="s">
        <v>179</v>
      </c>
      <c r="AU60" s="179"/>
      <c r="AV60" s="179" t="s">
        <v>165</v>
      </c>
      <c r="AW60" s="179" t="s">
        <v>142</v>
      </c>
      <c r="AX60" s="183"/>
      <c r="AY60" s="189" t="s">
        <v>135</v>
      </c>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c r="CY60" s="178"/>
      <c r="CZ60" s="178"/>
      <c r="DA60" s="178"/>
      <c r="DB60" s="178"/>
      <c r="DC60" s="178"/>
      <c r="DD60" s="178"/>
      <c r="DE60" s="178"/>
      <c r="DF60" s="178"/>
      <c r="DG60" s="178"/>
    </row>
    <row r="61" ht="20.25" customHeight="1">
      <c r="A61" s="189" t="s">
        <v>143</v>
      </c>
      <c r="B61" s="189" t="s">
        <v>107</v>
      </c>
      <c r="C61" s="189" t="s">
        <v>214</v>
      </c>
      <c r="D61" s="190"/>
      <c r="E61" s="191" t="s">
        <v>342</v>
      </c>
      <c r="F61" s="192" t="s">
        <v>427</v>
      </c>
      <c r="G61" s="191" t="s">
        <v>214</v>
      </c>
      <c r="H61" s="193">
        <v>45686.0</v>
      </c>
      <c r="I61" s="159">
        <v>45692.0</v>
      </c>
      <c r="J61" s="194"/>
      <c r="K61" s="195" t="s">
        <v>428</v>
      </c>
      <c r="L61" s="191" t="s">
        <v>346</v>
      </c>
      <c r="M61" s="191" t="s">
        <v>347</v>
      </c>
      <c r="N61" s="194"/>
      <c r="O61" s="191" t="s">
        <v>348</v>
      </c>
      <c r="P61" s="48" t="str">
        <f t="array" ref="P61">HYPERLINK(INDEX('File Links'!B:B, MATCH(O61, 'File Links'!C:C, 0)))
</f>
        <v>https://drive.google.com/file/d/1OByNKNsjZqSFHFFyt-o1mPqDkVmgruBu/view?usp=drivesdk</v>
      </c>
      <c r="Q61" s="191" t="s">
        <v>349</v>
      </c>
      <c r="R61" s="180" t="s">
        <v>350</v>
      </c>
      <c r="S61" s="194"/>
      <c r="T61" s="194"/>
      <c r="U61" s="191" t="s">
        <v>351</v>
      </c>
      <c r="V61" s="186" t="s">
        <v>352</v>
      </c>
      <c r="W61" s="45" t="str">
        <f t="array" ref="W61">HYPERLINK(INDEX('File Links'!B:B, MATCH(U61, 'File Links'!C:C, 0)))
</f>
        <v>#N/A</v>
      </c>
      <c r="X61" s="194"/>
      <c r="Y61" s="191" t="s">
        <v>220</v>
      </c>
      <c r="Z61" s="191" t="s">
        <v>429</v>
      </c>
      <c r="AA61" s="182" t="s">
        <v>353</v>
      </c>
      <c r="AB61" s="194" t="s">
        <v>430</v>
      </c>
      <c r="AC61" s="196" t="s">
        <v>431</v>
      </c>
      <c r="AD61" s="197">
        <v>13.0</v>
      </c>
      <c r="AE61" s="198">
        <v>1950.0</v>
      </c>
      <c r="AF61" s="197">
        <v>0.23</v>
      </c>
      <c r="AG61" s="191" t="s">
        <v>357</v>
      </c>
      <c r="AH61" s="196" t="s">
        <v>432</v>
      </c>
      <c r="AI61" s="199">
        <v>0.001</v>
      </c>
      <c r="AJ61" s="192" t="s">
        <v>127</v>
      </c>
      <c r="AK61" s="180" t="s">
        <v>179</v>
      </c>
      <c r="AL61" s="191" t="s">
        <v>129</v>
      </c>
      <c r="AM61" s="192" t="s">
        <v>165</v>
      </c>
      <c r="AN61" s="198">
        <v>1079.0</v>
      </c>
      <c r="AO61" s="196">
        <v>0.16</v>
      </c>
      <c r="AP61" s="191" t="s">
        <v>357</v>
      </c>
      <c r="AQ61" s="196" t="s">
        <v>433</v>
      </c>
      <c r="AR61" s="198">
        <v>0.001</v>
      </c>
      <c r="AS61" s="191" t="s">
        <v>127</v>
      </c>
      <c r="AT61" s="188" t="s">
        <v>179</v>
      </c>
      <c r="AU61" s="191" t="s">
        <v>132</v>
      </c>
      <c r="AV61" s="191" t="s">
        <v>165</v>
      </c>
      <c r="AW61" s="191" t="s">
        <v>434</v>
      </c>
      <c r="AX61" s="190"/>
      <c r="AY61" s="189" t="s">
        <v>135</v>
      </c>
      <c r="AZ61" s="190"/>
      <c r="BA61" s="190"/>
      <c r="BB61" s="190"/>
      <c r="BC61" s="190"/>
      <c r="BD61" s="190"/>
      <c r="BE61" s="190"/>
      <c r="BF61" s="190"/>
      <c r="BG61" s="190"/>
      <c r="BH61" s="190"/>
      <c r="BI61" s="190"/>
      <c r="BJ61" s="190"/>
      <c r="BK61" s="190"/>
      <c r="BL61" s="190"/>
      <c r="BM61" s="190"/>
      <c r="BN61" s="190"/>
      <c r="BO61" s="190"/>
      <c r="BP61" s="190"/>
      <c r="BQ61" s="190"/>
      <c r="BR61" s="190"/>
      <c r="BS61" s="190"/>
      <c r="BT61" s="190"/>
      <c r="BU61" s="190"/>
      <c r="BV61" s="190"/>
      <c r="BW61" s="190"/>
      <c r="BX61" s="190"/>
      <c r="BY61" s="190"/>
      <c r="BZ61" s="190"/>
      <c r="CA61" s="190"/>
      <c r="CB61" s="190"/>
      <c r="CC61" s="190"/>
      <c r="CD61" s="190"/>
      <c r="CE61" s="190"/>
      <c r="CF61" s="190"/>
      <c r="CG61" s="190"/>
      <c r="CH61" s="190"/>
      <c r="CI61" s="190"/>
      <c r="CJ61" s="190"/>
      <c r="CK61" s="190"/>
      <c r="CL61" s="190"/>
      <c r="CM61" s="190"/>
      <c r="CN61" s="190"/>
      <c r="CO61" s="190"/>
      <c r="CP61" s="190"/>
      <c r="CQ61" s="190"/>
      <c r="CR61" s="190"/>
      <c r="CS61" s="190"/>
      <c r="CT61" s="190"/>
      <c r="CU61" s="190"/>
      <c r="CV61" s="190"/>
      <c r="CW61" s="190"/>
      <c r="CX61" s="190"/>
      <c r="CY61" s="190"/>
      <c r="CZ61" s="190"/>
      <c r="DA61" s="190"/>
      <c r="DB61" s="190"/>
      <c r="DC61" s="190"/>
      <c r="DD61" s="190"/>
      <c r="DE61" s="190"/>
      <c r="DF61" s="190"/>
      <c r="DG61" s="190"/>
    </row>
    <row r="62" ht="20.25" customHeight="1">
      <c r="A62" s="189" t="s">
        <v>143</v>
      </c>
      <c r="B62" s="189" t="s">
        <v>107</v>
      </c>
      <c r="C62" s="189" t="s">
        <v>214</v>
      </c>
      <c r="D62" s="190"/>
      <c r="E62" s="191" t="s">
        <v>342</v>
      </c>
      <c r="F62" s="192" t="s">
        <v>427</v>
      </c>
      <c r="G62" s="191" t="s">
        <v>214</v>
      </c>
      <c r="H62" s="193">
        <v>45686.0</v>
      </c>
      <c r="I62" s="159">
        <v>45692.0</v>
      </c>
      <c r="J62" s="194"/>
      <c r="K62" s="195" t="s">
        <v>428</v>
      </c>
      <c r="L62" s="191" t="s">
        <v>346</v>
      </c>
      <c r="M62" s="191" t="s">
        <v>347</v>
      </c>
      <c r="N62" s="194"/>
      <c r="O62" s="191" t="s">
        <v>348</v>
      </c>
      <c r="P62" s="48" t="str">
        <f t="array" ref="P62">HYPERLINK(INDEX('File Links'!B:B, MATCH(O62, 'File Links'!C:C, 0)))
</f>
        <v>https://drive.google.com/file/d/1OByNKNsjZqSFHFFyt-o1mPqDkVmgruBu/view?usp=drivesdk</v>
      </c>
      <c r="Q62" s="191" t="s">
        <v>349</v>
      </c>
      <c r="R62" s="180" t="s">
        <v>350</v>
      </c>
      <c r="S62" s="194"/>
      <c r="T62" s="194"/>
      <c r="U62" s="191" t="s">
        <v>351</v>
      </c>
      <c r="V62" s="186" t="s">
        <v>352</v>
      </c>
      <c r="W62" s="45" t="str">
        <f t="array" ref="W62">HYPERLINK(INDEX('File Links'!B:B, MATCH(U62, 'File Links'!C:C, 0)))
</f>
        <v>#N/A</v>
      </c>
      <c r="X62" s="194"/>
      <c r="Y62" s="191" t="s">
        <v>220</v>
      </c>
      <c r="Z62" s="191" t="s">
        <v>429</v>
      </c>
      <c r="AA62" s="182" t="s">
        <v>353</v>
      </c>
      <c r="AB62" s="194" t="s">
        <v>430</v>
      </c>
      <c r="AC62" s="196" t="s">
        <v>431</v>
      </c>
      <c r="AD62" s="197">
        <v>13.0</v>
      </c>
      <c r="AE62" s="198">
        <v>1950.0</v>
      </c>
      <c r="AF62" s="197">
        <v>0.23</v>
      </c>
      <c r="AG62" s="191" t="s">
        <v>357</v>
      </c>
      <c r="AH62" s="196" t="s">
        <v>432</v>
      </c>
      <c r="AI62" s="199">
        <v>0.001</v>
      </c>
      <c r="AJ62" s="192" t="s">
        <v>127</v>
      </c>
      <c r="AK62" s="180" t="s">
        <v>179</v>
      </c>
      <c r="AL62" s="191" t="s">
        <v>129</v>
      </c>
      <c r="AM62" s="192" t="s">
        <v>165</v>
      </c>
      <c r="AN62" s="198">
        <v>1079.0</v>
      </c>
      <c r="AO62" s="196">
        <v>0.1</v>
      </c>
      <c r="AP62" s="191" t="s">
        <v>357</v>
      </c>
      <c r="AQ62" s="196" t="s">
        <v>435</v>
      </c>
      <c r="AR62" s="197">
        <v>0.05</v>
      </c>
      <c r="AS62" s="191" t="s">
        <v>127</v>
      </c>
      <c r="AT62" s="188" t="s">
        <v>179</v>
      </c>
      <c r="AU62" s="191" t="s">
        <v>132</v>
      </c>
      <c r="AV62" s="191" t="s">
        <v>165</v>
      </c>
      <c r="AW62" s="191" t="s">
        <v>434</v>
      </c>
      <c r="AX62" s="190"/>
      <c r="AY62" s="189" t="s">
        <v>135</v>
      </c>
      <c r="AZ62" s="190"/>
      <c r="BA62" s="190"/>
      <c r="BB62" s="190"/>
      <c r="BC62" s="190"/>
      <c r="BD62" s="190"/>
      <c r="BE62" s="190"/>
      <c r="BF62" s="190"/>
      <c r="BG62" s="190"/>
      <c r="BH62" s="190"/>
      <c r="BI62" s="190"/>
      <c r="BJ62" s="190"/>
      <c r="BK62" s="190"/>
      <c r="BL62" s="190"/>
      <c r="BM62" s="190"/>
      <c r="BN62" s="190"/>
      <c r="BO62" s="190"/>
      <c r="BP62" s="190"/>
      <c r="BQ62" s="190"/>
      <c r="BR62" s="190"/>
      <c r="BS62" s="190"/>
      <c r="BT62" s="190"/>
      <c r="BU62" s="190"/>
      <c r="BV62" s="190"/>
      <c r="BW62" s="190"/>
      <c r="BX62" s="190"/>
      <c r="BY62" s="190"/>
      <c r="BZ62" s="190"/>
      <c r="CA62" s="190"/>
      <c r="CB62" s="190"/>
      <c r="CC62" s="190"/>
      <c r="CD62" s="190"/>
      <c r="CE62" s="190"/>
      <c r="CF62" s="190"/>
      <c r="CG62" s="190"/>
      <c r="CH62" s="190"/>
      <c r="CI62" s="190"/>
      <c r="CJ62" s="190"/>
      <c r="CK62" s="190"/>
      <c r="CL62" s="190"/>
      <c r="CM62" s="190"/>
      <c r="CN62" s="190"/>
      <c r="CO62" s="190"/>
      <c r="CP62" s="190"/>
      <c r="CQ62" s="190"/>
      <c r="CR62" s="190"/>
      <c r="CS62" s="190"/>
      <c r="CT62" s="190"/>
      <c r="CU62" s="190"/>
      <c r="CV62" s="190"/>
      <c r="CW62" s="190"/>
      <c r="CX62" s="190"/>
      <c r="CY62" s="190"/>
      <c r="CZ62" s="190"/>
      <c r="DA62" s="190"/>
      <c r="DB62" s="190"/>
      <c r="DC62" s="190"/>
      <c r="DD62" s="190"/>
      <c r="DE62" s="190"/>
      <c r="DF62" s="190"/>
      <c r="DG62" s="190"/>
    </row>
    <row r="63" ht="20.25" customHeight="1">
      <c r="A63" s="189" t="s">
        <v>143</v>
      </c>
      <c r="B63" s="189" t="s">
        <v>107</v>
      </c>
      <c r="C63" s="189" t="s">
        <v>214</v>
      </c>
      <c r="D63" s="190"/>
      <c r="E63" s="191" t="s">
        <v>342</v>
      </c>
      <c r="F63" s="192" t="s">
        <v>359</v>
      </c>
      <c r="G63" s="191" t="s">
        <v>214</v>
      </c>
      <c r="H63" s="193">
        <v>45686.0</v>
      </c>
      <c r="I63" s="159">
        <v>45692.0</v>
      </c>
      <c r="J63" s="194"/>
      <c r="K63" s="195" t="s">
        <v>428</v>
      </c>
      <c r="L63" s="191" t="s">
        <v>346</v>
      </c>
      <c r="M63" s="191" t="s">
        <v>347</v>
      </c>
      <c r="N63" s="194"/>
      <c r="O63" s="191" t="s">
        <v>348</v>
      </c>
      <c r="P63" s="48" t="str">
        <f t="array" ref="P63">HYPERLINK(INDEX('File Links'!B:B, MATCH(O63, 'File Links'!C:C, 0)))
</f>
        <v>https://drive.google.com/file/d/1OByNKNsjZqSFHFFyt-o1mPqDkVmgruBu/view?usp=drivesdk</v>
      </c>
      <c r="Q63" s="191" t="s">
        <v>349</v>
      </c>
      <c r="R63" s="180" t="s">
        <v>350</v>
      </c>
      <c r="S63" s="194"/>
      <c r="T63" s="194"/>
      <c r="U63" s="191" t="s">
        <v>351</v>
      </c>
      <c r="V63" s="186" t="s">
        <v>352</v>
      </c>
      <c r="W63" s="45" t="str">
        <f t="array" ref="W63">HYPERLINK(INDEX('File Links'!B:B, MATCH(U63, 'File Links'!C:C, 0)))
</f>
        <v>#N/A</v>
      </c>
      <c r="X63" s="194"/>
      <c r="Y63" s="191" t="s">
        <v>220</v>
      </c>
      <c r="Z63" s="191" t="s">
        <v>429</v>
      </c>
      <c r="AA63" s="182" t="s">
        <v>353</v>
      </c>
      <c r="AB63" s="191" t="s">
        <v>436</v>
      </c>
      <c r="AC63" s="196" t="s">
        <v>437</v>
      </c>
      <c r="AD63" s="197">
        <v>13.0</v>
      </c>
      <c r="AE63" s="198">
        <v>1950.0</v>
      </c>
      <c r="AF63" s="197">
        <v>0.07</v>
      </c>
      <c r="AG63" s="191" t="s">
        <v>357</v>
      </c>
      <c r="AH63" s="196" t="s">
        <v>432</v>
      </c>
      <c r="AI63" s="197">
        <v>0.05</v>
      </c>
      <c r="AJ63" s="192" t="s">
        <v>127</v>
      </c>
      <c r="AK63" s="180" t="s">
        <v>179</v>
      </c>
      <c r="AL63" s="191" t="s">
        <v>129</v>
      </c>
      <c r="AM63" s="192" t="s">
        <v>165</v>
      </c>
      <c r="AN63" s="198">
        <v>1079.0</v>
      </c>
      <c r="AO63" s="196">
        <v>-0.42</v>
      </c>
      <c r="AP63" s="191" t="s">
        <v>357</v>
      </c>
      <c r="AQ63" s="196" t="s">
        <v>433</v>
      </c>
      <c r="AR63" s="198">
        <v>0.001</v>
      </c>
      <c r="AS63" s="191" t="s">
        <v>127</v>
      </c>
      <c r="AT63" s="188" t="s">
        <v>179</v>
      </c>
      <c r="AU63" s="191" t="s">
        <v>132</v>
      </c>
      <c r="AV63" s="191" t="s">
        <v>165</v>
      </c>
      <c r="AW63" s="191" t="s">
        <v>434</v>
      </c>
      <c r="AX63" s="190"/>
      <c r="AY63" s="189" t="s">
        <v>135</v>
      </c>
      <c r="AZ63" s="190"/>
      <c r="BA63" s="190"/>
      <c r="BB63" s="190"/>
      <c r="BC63" s="190"/>
      <c r="BD63" s="190"/>
      <c r="BE63" s="190"/>
      <c r="BF63" s="190"/>
      <c r="BG63" s="190"/>
      <c r="BH63" s="190"/>
      <c r="BI63" s="190"/>
      <c r="BJ63" s="190"/>
      <c r="BK63" s="190"/>
      <c r="BL63" s="190"/>
      <c r="BM63" s="190"/>
      <c r="BN63" s="190"/>
      <c r="BO63" s="190"/>
      <c r="BP63" s="190"/>
      <c r="BQ63" s="190"/>
      <c r="BR63" s="190"/>
      <c r="BS63" s="190"/>
      <c r="BT63" s="190"/>
      <c r="BU63" s="190"/>
      <c r="BV63" s="190"/>
      <c r="BW63" s="190"/>
      <c r="BX63" s="190"/>
      <c r="BY63" s="190"/>
      <c r="BZ63" s="190"/>
      <c r="CA63" s="190"/>
      <c r="CB63" s="190"/>
      <c r="CC63" s="190"/>
      <c r="CD63" s="190"/>
      <c r="CE63" s="190"/>
      <c r="CF63" s="190"/>
      <c r="CG63" s="190"/>
      <c r="CH63" s="190"/>
      <c r="CI63" s="190"/>
      <c r="CJ63" s="190"/>
      <c r="CK63" s="190"/>
      <c r="CL63" s="190"/>
      <c r="CM63" s="190"/>
      <c r="CN63" s="190"/>
      <c r="CO63" s="190"/>
      <c r="CP63" s="190"/>
      <c r="CQ63" s="190"/>
      <c r="CR63" s="190"/>
      <c r="CS63" s="190"/>
      <c r="CT63" s="190"/>
      <c r="CU63" s="190"/>
      <c r="CV63" s="190"/>
      <c r="CW63" s="190"/>
      <c r="CX63" s="190"/>
      <c r="CY63" s="190"/>
      <c r="CZ63" s="190"/>
      <c r="DA63" s="190"/>
      <c r="DB63" s="190"/>
      <c r="DC63" s="190"/>
      <c r="DD63" s="190"/>
      <c r="DE63" s="190"/>
      <c r="DF63" s="190"/>
      <c r="DG63" s="190"/>
    </row>
    <row r="64" ht="20.25" customHeight="1">
      <c r="A64" s="189" t="s">
        <v>143</v>
      </c>
      <c r="B64" s="189" t="s">
        <v>107</v>
      </c>
      <c r="C64" s="189" t="s">
        <v>214</v>
      </c>
      <c r="D64" s="190"/>
      <c r="E64" s="191" t="s">
        <v>342</v>
      </c>
      <c r="F64" s="192" t="s">
        <v>359</v>
      </c>
      <c r="G64" s="191" t="s">
        <v>214</v>
      </c>
      <c r="H64" s="193">
        <v>45686.0</v>
      </c>
      <c r="I64" s="159">
        <v>45692.0</v>
      </c>
      <c r="J64" s="194"/>
      <c r="K64" s="195" t="s">
        <v>428</v>
      </c>
      <c r="L64" s="191" t="s">
        <v>346</v>
      </c>
      <c r="M64" s="191" t="s">
        <v>347</v>
      </c>
      <c r="N64" s="194"/>
      <c r="O64" s="191" t="s">
        <v>348</v>
      </c>
      <c r="P64" s="48" t="str">
        <f t="array" ref="P64">HYPERLINK(INDEX('File Links'!B:B, MATCH(O64, 'File Links'!C:C, 0)))
</f>
        <v>https://drive.google.com/file/d/1OByNKNsjZqSFHFFyt-o1mPqDkVmgruBu/view?usp=drivesdk</v>
      </c>
      <c r="Q64" s="191" t="s">
        <v>349</v>
      </c>
      <c r="R64" s="180" t="s">
        <v>350</v>
      </c>
      <c r="S64" s="194"/>
      <c r="T64" s="194"/>
      <c r="U64" s="191" t="s">
        <v>351</v>
      </c>
      <c r="V64" s="186" t="s">
        <v>352</v>
      </c>
      <c r="W64" s="45" t="str">
        <f t="array" ref="W64">HYPERLINK(INDEX('File Links'!B:B, MATCH(U64, 'File Links'!C:C, 0)))
</f>
        <v>#N/A</v>
      </c>
      <c r="X64" s="194"/>
      <c r="Y64" s="191" t="s">
        <v>220</v>
      </c>
      <c r="Z64" s="191" t="s">
        <v>429</v>
      </c>
      <c r="AA64" s="182" t="s">
        <v>353</v>
      </c>
      <c r="AB64" s="191" t="s">
        <v>436</v>
      </c>
      <c r="AC64" s="196" t="s">
        <v>437</v>
      </c>
      <c r="AD64" s="197">
        <v>13.0</v>
      </c>
      <c r="AE64" s="198">
        <v>1950.0</v>
      </c>
      <c r="AF64" s="197">
        <v>0.07</v>
      </c>
      <c r="AG64" s="191" t="s">
        <v>357</v>
      </c>
      <c r="AH64" s="196" t="s">
        <v>432</v>
      </c>
      <c r="AI64" s="197">
        <v>0.05</v>
      </c>
      <c r="AJ64" s="192" t="s">
        <v>127</v>
      </c>
      <c r="AK64" s="180" t="s">
        <v>179</v>
      </c>
      <c r="AL64" s="191" t="s">
        <v>129</v>
      </c>
      <c r="AM64" s="192" t="s">
        <v>165</v>
      </c>
      <c r="AN64" s="198">
        <v>1079.0</v>
      </c>
      <c r="AO64" s="196">
        <v>-0.41</v>
      </c>
      <c r="AP64" s="191" t="s">
        <v>357</v>
      </c>
      <c r="AQ64" s="196" t="s">
        <v>435</v>
      </c>
      <c r="AR64" s="198">
        <v>0.001</v>
      </c>
      <c r="AS64" s="191" t="s">
        <v>127</v>
      </c>
      <c r="AT64" s="188" t="s">
        <v>179</v>
      </c>
      <c r="AU64" s="191" t="s">
        <v>132</v>
      </c>
      <c r="AV64" s="191" t="s">
        <v>165</v>
      </c>
      <c r="AW64" s="191" t="s">
        <v>434</v>
      </c>
      <c r="AX64" s="190"/>
      <c r="AY64" s="189" t="s">
        <v>135</v>
      </c>
      <c r="AZ64" s="190"/>
      <c r="BA64" s="190"/>
      <c r="BB64" s="190"/>
      <c r="BC64" s="190"/>
      <c r="BD64" s="190"/>
      <c r="BE64" s="190"/>
      <c r="BF64" s="190"/>
      <c r="BG64" s="190"/>
      <c r="BH64" s="190"/>
      <c r="BI64" s="190"/>
      <c r="BJ64" s="190"/>
      <c r="BK64" s="190"/>
      <c r="BL64" s="190"/>
      <c r="BM64" s="190"/>
      <c r="BN64" s="190"/>
      <c r="BO64" s="190"/>
      <c r="BP64" s="190"/>
      <c r="BQ64" s="190"/>
      <c r="BR64" s="190"/>
      <c r="BS64" s="190"/>
      <c r="BT64" s="190"/>
      <c r="BU64" s="190"/>
      <c r="BV64" s="190"/>
      <c r="BW64" s="190"/>
      <c r="BX64" s="190"/>
      <c r="BY64" s="190"/>
      <c r="BZ64" s="190"/>
      <c r="CA64" s="190"/>
      <c r="CB64" s="190"/>
      <c r="CC64" s="190"/>
      <c r="CD64" s="190"/>
      <c r="CE64" s="190"/>
      <c r="CF64" s="190"/>
      <c r="CG64" s="190"/>
      <c r="CH64" s="190"/>
      <c r="CI64" s="190"/>
      <c r="CJ64" s="190"/>
      <c r="CK64" s="190"/>
      <c r="CL64" s="190"/>
      <c r="CM64" s="190"/>
      <c r="CN64" s="190"/>
      <c r="CO64" s="190"/>
      <c r="CP64" s="190"/>
      <c r="CQ64" s="190"/>
      <c r="CR64" s="190"/>
      <c r="CS64" s="190"/>
      <c r="CT64" s="190"/>
      <c r="CU64" s="190"/>
      <c r="CV64" s="190"/>
      <c r="CW64" s="190"/>
      <c r="CX64" s="190"/>
      <c r="CY64" s="190"/>
      <c r="CZ64" s="190"/>
      <c r="DA64" s="190"/>
      <c r="DB64" s="190"/>
      <c r="DC64" s="190"/>
      <c r="DD64" s="190"/>
      <c r="DE64" s="190"/>
      <c r="DF64" s="190"/>
      <c r="DG64" s="190"/>
    </row>
    <row r="65" ht="20.25" customHeight="1">
      <c r="A65" s="96" t="s">
        <v>106</v>
      </c>
      <c r="B65" s="96" t="s">
        <v>107</v>
      </c>
      <c r="C65" s="136" t="s">
        <v>438</v>
      </c>
      <c r="D65" s="64"/>
      <c r="E65" s="111" t="s">
        <v>439</v>
      </c>
      <c r="F65" s="200" t="s">
        <v>440</v>
      </c>
      <c r="G65" s="200" t="s">
        <v>441</v>
      </c>
      <c r="H65" s="201">
        <v>45636.0</v>
      </c>
      <c r="I65" s="101"/>
      <c r="J65" s="200" t="s">
        <v>442</v>
      </c>
      <c r="K65" s="202" t="s">
        <v>443</v>
      </c>
      <c r="L65" s="203" t="s">
        <v>444</v>
      </c>
      <c r="M65" s="203" t="s">
        <v>445</v>
      </c>
      <c r="N65" s="101"/>
      <c r="O65" s="204" t="s">
        <v>446</v>
      </c>
      <c r="P65" s="48" t="str">
        <f t="array" ref="P65">HYPERLINK(INDEX('File Links'!B:B, MATCH(O65, 'File Links'!C:C, 0)))
</f>
        <v>https://drive.google.com/file/d/1DO937F2xhbz54X6xu8qtsy63K6O9mEYa/view?usp=drivesdk</v>
      </c>
      <c r="Q65" s="203" t="s">
        <v>447</v>
      </c>
      <c r="R65" s="205" t="s">
        <v>448</v>
      </c>
      <c r="S65" s="101"/>
      <c r="T65" s="106"/>
      <c r="U65" s="200" t="s">
        <v>449</v>
      </c>
      <c r="V65" s="200" t="s">
        <v>155</v>
      </c>
      <c r="W65" s="50" t="str">
        <f t="array" ref="W65">HYPERLINK(INDEX('File Links'!B:B, MATCH(U65, 'File Links'!C:C, 0)))
</f>
        <v>https://drive.google.com/file/d/12ZFslJnsSmpbIBYf9YKunwP3Ofv14HZ-/view?usp=drivesdk</v>
      </c>
      <c r="X65" s="101"/>
      <c r="Y65" s="203" t="s">
        <v>220</v>
      </c>
      <c r="Z65" s="101"/>
      <c r="AA65" s="200" t="s">
        <v>450</v>
      </c>
      <c r="AB65" s="200" t="s">
        <v>451</v>
      </c>
      <c r="AC65" s="206" t="s">
        <v>452</v>
      </c>
      <c r="AD65" s="207">
        <v>263.0</v>
      </c>
      <c r="AE65" s="207">
        <v>86.0</v>
      </c>
      <c r="AF65" s="200" t="s">
        <v>453</v>
      </c>
      <c r="AG65" s="204" t="s">
        <v>454</v>
      </c>
      <c r="AH65" s="200" t="s">
        <v>455</v>
      </c>
      <c r="AI65" s="207">
        <v>0.02</v>
      </c>
      <c r="AJ65" s="208" t="s">
        <v>164</v>
      </c>
      <c r="AK65" s="200" t="s">
        <v>179</v>
      </c>
      <c r="AL65" s="200" t="s">
        <v>129</v>
      </c>
      <c r="AM65" s="101"/>
      <c r="AN65" s="207">
        <v>71.0</v>
      </c>
      <c r="AO65" s="207" t="s">
        <v>456</v>
      </c>
      <c r="AP65" s="200" t="s">
        <v>162</v>
      </c>
      <c r="AQ65" s="101" t="s">
        <v>457</v>
      </c>
      <c r="AR65" s="207">
        <v>0.438</v>
      </c>
      <c r="AS65" s="208" t="s">
        <v>164</v>
      </c>
      <c r="AT65" s="208" t="s">
        <v>179</v>
      </c>
      <c r="AU65" s="208" t="s">
        <v>129</v>
      </c>
      <c r="AV65" s="98"/>
      <c r="AW65" s="208" t="s">
        <v>134</v>
      </c>
      <c r="AX65" s="115" t="s">
        <v>443</v>
      </c>
      <c r="AY65" s="41" t="s">
        <v>135</v>
      </c>
      <c r="AZ65" s="209"/>
      <c r="BA65" s="209"/>
      <c r="BB65" s="209"/>
      <c r="BC65" s="209"/>
      <c r="BD65" s="209"/>
      <c r="BE65" s="209"/>
      <c r="BF65" s="209"/>
      <c r="BG65" s="209"/>
      <c r="BH65" s="209"/>
      <c r="BI65" s="209"/>
      <c r="BJ65" s="209"/>
      <c r="BK65" s="209"/>
      <c r="BL65" s="209"/>
      <c r="BM65" s="209"/>
      <c r="BN65" s="209"/>
      <c r="BO65" s="209"/>
      <c r="BP65" s="209"/>
      <c r="BQ65" s="209"/>
      <c r="BR65" s="209"/>
      <c r="BS65" s="209"/>
      <c r="BT65" s="209"/>
      <c r="BU65" s="209"/>
      <c r="BV65" s="209"/>
      <c r="BW65" s="209"/>
      <c r="BX65" s="209"/>
      <c r="BY65" s="209"/>
      <c r="BZ65" s="209"/>
      <c r="CA65" s="209"/>
      <c r="CB65" s="209"/>
      <c r="CC65" s="209"/>
      <c r="CD65" s="209"/>
      <c r="CE65" s="209"/>
      <c r="CF65" s="209"/>
      <c r="CG65" s="209"/>
      <c r="CH65" s="209"/>
      <c r="CI65" s="209"/>
      <c r="CJ65" s="209"/>
      <c r="CK65" s="209"/>
      <c r="CL65" s="209"/>
      <c r="CM65" s="209"/>
      <c r="CN65" s="209"/>
      <c r="CO65" s="209"/>
      <c r="CP65" s="209"/>
      <c r="CQ65" s="209"/>
      <c r="CR65" s="209"/>
      <c r="CS65" s="209"/>
      <c r="CT65" s="209"/>
      <c r="CU65" s="209"/>
      <c r="CV65" s="209"/>
      <c r="CW65" s="209"/>
      <c r="CX65" s="209"/>
      <c r="CY65" s="209"/>
      <c r="CZ65" s="209"/>
      <c r="DA65" s="209"/>
      <c r="DB65" s="209"/>
      <c r="DC65" s="209"/>
      <c r="DD65" s="209"/>
      <c r="DE65" s="209"/>
      <c r="DF65" s="209"/>
      <c r="DG65" s="209"/>
    </row>
    <row r="66" ht="20.25" customHeight="1">
      <c r="A66" s="110" t="s">
        <v>143</v>
      </c>
      <c r="B66" s="110" t="s">
        <v>107</v>
      </c>
      <c r="C66" s="110" t="s">
        <v>341</v>
      </c>
      <c r="D66" s="95"/>
      <c r="E66" s="111" t="s">
        <v>439</v>
      </c>
      <c r="F66" s="112" t="s">
        <v>440</v>
      </c>
      <c r="G66" s="112" t="s">
        <v>344</v>
      </c>
      <c r="H66" s="210">
        <v>45639.0</v>
      </c>
      <c r="I66" s="210">
        <v>45663.0</v>
      </c>
      <c r="J66" s="211" t="s">
        <v>458</v>
      </c>
      <c r="K66" s="202" t="s">
        <v>459</v>
      </c>
      <c r="L66" s="203" t="s">
        <v>444</v>
      </c>
      <c r="M66" s="203" t="s">
        <v>445</v>
      </c>
      <c r="N66" s="117">
        <v>3.0</v>
      </c>
      <c r="O66" s="212" t="s">
        <v>446</v>
      </c>
      <c r="P66" s="48" t="str">
        <f t="array" ref="P66">HYPERLINK(INDEX('File Links'!B:B, MATCH(O66, 'File Links'!C:C, 0)))
</f>
        <v>https://drive.google.com/file/d/1DO937F2xhbz54X6xu8qtsy63K6O9mEYa/view?usp=drivesdk</v>
      </c>
      <c r="Q66" s="203" t="s">
        <v>447</v>
      </c>
      <c r="R66" s="205" t="s">
        <v>460</v>
      </c>
      <c r="S66" s="119"/>
      <c r="T66" s="120">
        <v>1.0</v>
      </c>
      <c r="U66" s="200" t="s">
        <v>449</v>
      </c>
      <c r="V66" s="200" t="s">
        <v>155</v>
      </c>
      <c r="W66" s="50" t="str">
        <f t="array" ref="W66">HYPERLINK(INDEX('File Links'!B:B, MATCH(U66, 'File Links'!C:C, 0)))
</f>
        <v>https://drive.google.com/file/d/12ZFslJnsSmpbIBYf9YKunwP3Ofv14HZ-/view?usp=drivesdk</v>
      </c>
      <c r="X66" s="119"/>
      <c r="Y66" s="203" t="s">
        <v>220</v>
      </c>
      <c r="Z66" s="119"/>
      <c r="AA66" s="211" t="s">
        <v>461</v>
      </c>
      <c r="AB66" s="112" t="s">
        <v>462</v>
      </c>
      <c r="AC66" s="206" t="s">
        <v>452</v>
      </c>
      <c r="AD66" s="117">
        <v>263.0</v>
      </c>
      <c r="AE66" s="213">
        <v>85.0</v>
      </c>
      <c r="AF66" s="200" t="s">
        <v>453</v>
      </c>
      <c r="AG66" s="204" t="s">
        <v>454</v>
      </c>
      <c r="AH66" s="200" t="s">
        <v>455</v>
      </c>
      <c r="AI66" s="214">
        <v>0.02</v>
      </c>
      <c r="AJ66" s="127" t="s">
        <v>164</v>
      </c>
      <c r="AK66" s="200" t="s">
        <v>179</v>
      </c>
      <c r="AL66" s="119" t="s">
        <v>129</v>
      </c>
      <c r="AM66" s="128" t="s">
        <v>165</v>
      </c>
      <c r="AN66" s="207">
        <v>71.0</v>
      </c>
      <c r="AO66" s="207" t="s">
        <v>456</v>
      </c>
      <c r="AP66" s="200" t="s">
        <v>162</v>
      </c>
      <c r="AQ66" s="101" t="s">
        <v>457</v>
      </c>
      <c r="AR66" s="207">
        <v>0.438</v>
      </c>
      <c r="AS66" s="127" t="s">
        <v>164</v>
      </c>
      <c r="AT66" s="208" t="s">
        <v>179</v>
      </c>
      <c r="AU66" s="111" t="s">
        <v>129</v>
      </c>
      <c r="AV66" s="128" t="s">
        <v>165</v>
      </c>
      <c r="AW66" s="111" t="s">
        <v>134</v>
      </c>
      <c r="AX66" s="115" t="s">
        <v>463</v>
      </c>
      <c r="AY66" s="41" t="s">
        <v>135</v>
      </c>
      <c r="AZ66" s="209"/>
      <c r="BA66" s="209"/>
      <c r="BB66" s="209"/>
      <c r="BC66" s="209"/>
      <c r="BD66" s="209"/>
      <c r="BE66" s="209"/>
      <c r="BF66" s="209"/>
      <c r="BG66" s="209"/>
      <c r="BH66" s="209"/>
      <c r="BI66" s="209"/>
      <c r="BJ66" s="209"/>
      <c r="BK66" s="209"/>
      <c r="BL66" s="209"/>
      <c r="BM66" s="209"/>
      <c r="BN66" s="209"/>
      <c r="BO66" s="209"/>
      <c r="BP66" s="209"/>
      <c r="BQ66" s="209"/>
      <c r="BR66" s="209"/>
      <c r="BS66" s="209"/>
      <c r="BT66" s="209"/>
      <c r="BU66" s="209"/>
      <c r="BV66" s="209"/>
      <c r="BW66" s="209"/>
      <c r="BX66" s="209"/>
      <c r="BY66" s="209"/>
      <c r="BZ66" s="209"/>
      <c r="CA66" s="209"/>
      <c r="CB66" s="209"/>
      <c r="CC66" s="209"/>
      <c r="CD66" s="209"/>
      <c r="CE66" s="209"/>
      <c r="CF66" s="209"/>
      <c r="CG66" s="209"/>
      <c r="CH66" s="209"/>
      <c r="CI66" s="209"/>
      <c r="CJ66" s="209"/>
      <c r="CK66" s="209"/>
      <c r="CL66" s="209"/>
      <c r="CM66" s="209"/>
      <c r="CN66" s="209"/>
      <c r="CO66" s="209"/>
      <c r="CP66" s="209"/>
      <c r="CQ66" s="209"/>
      <c r="CR66" s="209"/>
      <c r="CS66" s="209"/>
      <c r="CT66" s="209"/>
      <c r="CU66" s="209"/>
      <c r="CV66" s="209"/>
      <c r="CW66" s="209"/>
      <c r="CX66" s="209"/>
      <c r="CY66" s="209"/>
      <c r="CZ66" s="209"/>
      <c r="DA66" s="209"/>
      <c r="DB66" s="209"/>
      <c r="DC66" s="209"/>
      <c r="DD66" s="209"/>
      <c r="DE66" s="209"/>
      <c r="DF66" s="209"/>
      <c r="DG66" s="209"/>
    </row>
    <row r="67" ht="20.25" customHeight="1">
      <c r="A67" s="96" t="s">
        <v>106</v>
      </c>
      <c r="B67" s="96" t="s">
        <v>107</v>
      </c>
      <c r="C67" s="136" t="s">
        <v>438</v>
      </c>
      <c r="D67" s="64"/>
      <c r="E67" s="111" t="s">
        <v>439</v>
      </c>
      <c r="F67" s="200" t="s">
        <v>464</v>
      </c>
      <c r="G67" s="200" t="s">
        <v>441</v>
      </c>
      <c r="H67" s="201">
        <v>45636.0</v>
      </c>
      <c r="I67" s="101"/>
      <c r="J67" s="200" t="s">
        <v>442</v>
      </c>
      <c r="K67" s="101"/>
      <c r="L67" s="203" t="s">
        <v>444</v>
      </c>
      <c r="M67" s="203" t="s">
        <v>445</v>
      </c>
      <c r="N67" s="101"/>
      <c r="O67" s="204" t="s">
        <v>446</v>
      </c>
      <c r="P67" s="48" t="str">
        <f t="array" ref="P67">HYPERLINK(INDEX('File Links'!B:B, MATCH(O67, 'File Links'!C:C, 0)))
</f>
        <v>https://drive.google.com/file/d/1DO937F2xhbz54X6xu8qtsy63K6O9mEYa/view?usp=drivesdk</v>
      </c>
      <c r="Q67" s="203" t="s">
        <v>447</v>
      </c>
      <c r="R67" s="205" t="s">
        <v>465</v>
      </c>
      <c r="S67" s="101"/>
      <c r="T67" s="106"/>
      <c r="U67" s="200" t="s">
        <v>449</v>
      </c>
      <c r="V67" s="200" t="s">
        <v>155</v>
      </c>
      <c r="W67" s="50" t="str">
        <f t="array" ref="W67">HYPERLINK(INDEX('File Links'!B:B, MATCH(U67, 'File Links'!C:C, 0)))
</f>
        <v>https://drive.google.com/file/d/12ZFslJnsSmpbIBYf9YKunwP3Ofv14HZ-/view?usp=drivesdk</v>
      </c>
      <c r="X67" s="101"/>
      <c r="Y67" s="203" t="s">
        <v>220</v>
      </c>
      <c r="Z67" s="101"/>
      <c r="AA67" s="200" t="s">
        <v>450</v>
      </c>
      <c r="AB67" s="200" t="s">
        <v>451</v>
      </c>
      <c r="AC67" s="200" t="s">
        <v>466</v>
      </c>
      <c r="AD67" s="207">
        <v>263.0</v>
      </c>
      <c r="AE67" s="207">
        <v>86.0</v>
      </c>
      <c r="AF67" s="200" t="s">
        <v>467</v>
      </c>
      <c r="AG67" s="204" t="s">
        <v>454</v>
      </c>
      <c r="AH67" s="200" t="s">
        <v>455</v>
      </c>
      <c r="AI67" s="207">
        <v>0.01</v>
      </c>
      <c r="AJ67" s="208" t="s">
        <v>164</v>
      </c>
      <c r="AK67" s="200" t="s">
        <v>179</v>
      </c>
      <c r="AL67" s="200" t="s">
        <v>129</v>
      </c>
      <c r="AM67" s="101"/>
      <c r="AN67" s="207">
        <v>93.0</v>
      </c>
      <c r="AO67" s="207" t="s">
        <v>468</v>
      </c>
      <c r="AP67" s="200" t="s">
        <v>162</v>
      </c>
      <c r="AQ67" s="101" t="s">
        <v>457</v>
      </c>
      <c r="AR67" s="207">
        <v>0.397</v>
      </c>
      <c r="AS67" s="208" t="s">
        <v>164</v>
      </c>
      <c r="AT67" s="208" t="s">
        <v>179</v>
      </c>
      <c r="AU67" s="208" t="s">
        <v>129</v>
      </c>
      <c r="AV67" s="98"/>
      <c r="AW67" s="208" t="s">
        <v>134</v>
      </c>
      <c r="AX67" s="55"/>
      <c r="AY67" s="41" t="s">
        <v>135</v>
      </c>
      <c r="AZ67" s="215"/>
      <c r="BA67" s="215"/>
      <c r="BB67" s="215"/>
      <c r="BC67" s="215"/>
      <c r="BD67" s="215"/>
      <c r="BE67" s="215"/>
      <c r="BF67" s="215"/>
      <c r="BG67" s="215"/>
      <c r="BH67" s="215"/>
      <c r="BI67" s="215"/>
      <c r="BJ67" s="215"/>
      <c r="BK67" s="215"/>
      <c r="BL67" s="215"/>
      <c r="BM67" s="215"/>
      <c r="BN67" s="215"/>
      <c r="BO67" s="215"/>
      <c r="BP67" s="215"/>
      <c r="BQ67" s="215"/>
      <c r="BR67" s="215"/>
      <c r="BS67" s="215"/>
      <c r="BT67" s="215"/>
      <c r="BU67" s="215"/>
      <c r="BV67" s="215"/>
      <c r="BW67" s="215"/>
      <c r="BX67" s="215"/>
      <c r="BY67" s="215"/>
      <c r="BZ67" s="215"/>
      <c r="CA67" s="215"/>
      <c r="CB67" s="215"/>
      <c r="CC67" s="215"/>
      <c r="CD67" s="215"/>
      <c r="CE67" s="215"/>
      <c r="CF67" s="215"/>
      <c r="CG67" s="215"/>
      <c r="CH67" s="215"/>
      <c r="CI67" s="215"/>
      <c r="CJ67" s="215"/>
      <c r="CK67" s="215"/>
      <c r="CL67" s="215"/>
      <c r="CM67" s="215"/>
      <c r="CN67" s="215"/>
      <c r="CO67" s="215"/>
      <c r="CP67" s="215"/>
      <c r="CQ67" s="215"/>
      <c r="CR67" s="215"/>
      <c r="CS67" s="215"/>
      <c r="CT67" s="215"/>
      <c r="CU67" s="215"/>
      <c r="CV67" s="215"/>
      <c r="CW67" s="215"/>
      <c r="CX67" s="215"/>
      <c r="CY67" s="215"/>
      <c r="CZ67" s="215"/>
      <c r="DA67" s="215"/>
      <c r="DB67" s="215"/>
      <c r="DC67" s="215"/>
      <c r="DD67" s="215"/>
      <c r="DE67" s="215"/>
      <c r="DF67" s="215"/>
      <c r="DG67" s="215"/>
    </row>
    <row r="68" ht="20.25" customHeight="1">
      <c r="A68" s="216" t="s">
        <v>143</v>
      </c>
      <c r="B68" s="216" t="s">
        <v>107</v>
      </c>
      <c r="C68" s="216" t="s">
        <v>341</v>
      </c>
      <c r="D68" s="217"/>
      <c r="E68" s="111" t="s">
        <v>439</v>
      </c>
      <c r="F68" s="218" t="s">
        <v>464</v>
      </c>
      <c r="G68" s="218" t="s">
        <v>344</v>
      </c>
      <c r="H68" s="219">
        <v>45639.0</v>
      </c>
      <c r="I68" s="210">
        <v>45663.0</v>
      </c>
      <c r="J68" s="203" t="s">
        <v>458</v>
      </c>
      <c r="K68" s="220"/>
      <c r="L68" s="203" t="s">
        <v>444</v>
      </c>
      <c r="M68" s="203" t="s">
        <v>445</v>
      </c>
      <c r="N68" s="221">
        <v>3.0</v>
      </c>
      <c r="O68" s="222" t="s">
        <v>446</v>
      </c>
      <c r="P68" s="48" t="str">
        <f t="array" ref="P68">HYPERLINK(INDEX('File Links'!B:B, MATCH(O68, 'File Links'!C:C, 0)))
</f>
        <v>https://drive.google.com/file/d/1DO937F2xhbz54X6xu8qtsy63K6O9mEYa/view?usp=drivesdk</v>
      </c>
      <c r="Q68" s="203" t="s">
        <v>447</v>
      </c>
      <c r="R68" s="205" t="s">
        <v>469</v>
      </c>
      <c r="S68" s="220"/>
      <c r="T68" s="120">
        <v>1.0</v>
      </c>
      <c r="U68" s="200" t="s">
        <v>449</v>
      </c>
      <c r="V68" s="200" t="s">
        <v>155</v>
      </c>
      <c r="W68" s="50" t="str">
        <f t="array" ref="W68">HYPERLINK(INDEX('File Links'!B:B, MATCH(U68, 'File Links'!C:C, 0)))
</f>
        <v>https://drive.google.com/file/d/12ZFslJnsSmpbIBYf9YKunwP3Ofv14HZ-/view?usp=drivesdk</v>
      </c>
      <c r="X68" s="220"/>
      <c r="Y68" s="203" t="s">
        <v>220</v>
      </c>
      <c r="Z68" s="220"/>
      <c r="AA68" s="203" t="s">
        <v>461</v>
      </c>
      <c r="AB68" s="218" t="s">
        <v>462</v>
      </c>
      <c r="AC68" s="200" t="s">
        <v>466</v>
      </c>
      <c r="AD68" s="221">
        <v>263.0</v>
      </c>
      <c r="AE68" s="221">
        <v>85.0</v>
      </c>
      <c r="AF68" s="200" t="s">
        <v>467</v>
      </c>
      <c r="AG68" s="204" t="s">
        <v>454</v>
      </c>
      <c r="AH68" s="223" t="s">
        <v>455</v>
      </c>
      <c r="AI68" s="221">
        <v>0.02</v>
      </c>
      <c r="AJ68" s="224" t="s">
        <v>164</v>
      </c>
      <c r="AK68" s="200" t="s">
        <v>179</v>
      </c>
      <c r="AL68" s="220" t="s">
        <v>129</v>
      </c>
      <c r="AM68" s="128" t="s">
        <v>165</v>
      </c>
      <c r="AN68" s="207">
        <v>93.0</v>
      </c>
      <c r="AO68" s="207" t="s">
        <v>468</v>
      </c>
      <c r="AP68" s="200" t="s">
        <v>162</v>
      </c>
      <c r="AQ68" s="218" t="s">
        <v>470</v>
      </c>
      <c r="AR68" s="207">
        <v>0.397</v>
      </c>
      <c r="AS68" s="224" t="s">
        <v>164</v>
      </c>
      <c r="AT68" s="225" t="s">
        <v>179</v>
      </c>
      <c r="AU68" s="226" t="s">
        <v>129</v>
      </c>
      <c r="AV68" s="128" t="s">
        <v>165</v>
      </c>
      <c r="AW68" s="226" t="s">
        <v>134</v>
      </c>
      <c r="AX68" s="55"/>
      <c r="AY68" s="41" t="s">
        <v>135</v>
      </c>
      <c r="AZ68" s="209"/>
      <c r="BA68" s="209"/>
      <c r="BB68" s="209"/>
      <c r="BC68" s="209"/>
      <c r="BD68" s="209"/>
      <c r="BE68" s="209"/>
      <c r="BF68" s="209"/>
      <c r="BG68" s="209"/>
      <c r="BH68" s="209"/>
      <c r="BI68" s="209"/>
      <c r="BJ68" s="209"/>
      <c r="BK68" s="209"/>
      <c r="BL68" s="209"/>
      <c r="BM68" s="209"/>
      <c r="BN68" s="209"/>
      <c r="BO68" s="209"/>
      <c r="BP68" s="209"/>
      <c r="BQ68" s="209"/>
      <c r="BR68" s="209"/>
      <c r="BS68" s="209"/>
      <c r="BT68" s="209"/>
      <c r="BU68" s="209"/>
      <c r="BV68" s="209"/>
      <c r="BW68" s="209"/>
      <c r="BX68" s="209"/>
      <c r="BY68" s="209"/>
      <c r="BZ68" s="209"/>
      <c r="CA68" s="209"/>
      <c r="CB68" s="209"/>
      <c r="CC68" s="209"/>
      <c r="CD68" s="209"/>
      <c r="CE68" s="209"/>
      <c r="CF68" s="209"/>
      <c r="CG68" s="209"/>
      <c r="CH68" s="209"/>
      <c r="CI68" s="209"/>
      <c r="CJ68" s="209"/>
      <c r="CK68" s="209"/>
      <c r="CL68" s="209"/>
      <c r="CM68" s="209"/>
      <c r="CN68" s="209"/>
      <c r="CO68" s="209"/>
      <c r="CP68" s="209"/>
      <c r="CQ68" s="209"/>
      <c r="CR68" s="209"/>
      <c r="CS68" s="209"/>
      <c r="CT68" s="209"/>
      <c r="CU68" s="209"/>
      <c r="CV68" s="209"/>
      <c r="CW68" s="209"/>
      <c r="CX68" s="209"/>
      <c r="CY68" s="209"/>
      <c r="CZ68" s="209"/>
      <c r="DA68" s="209"/>
      <c r="DB68" s="209"/>
      <c r="DC68" s="209"/>
      <c r="DD68" s="209"/>
      <c r="DE68" s="209"/>
      <c r="DF68" s="209"/>
      <c r="DG68" s="209"/>
    </row>
    <row r="69" ht="20.25" customHeight="1">
      <c r="A69" s="227" t="s">
        <v>143</v>
      </c>
      <c r="B69" s="227" t="s">
        <v>107</v>
      </c>
      <c r="C69" s="216" t="s">
        <v>438</v>
      </c>
      <c r="D69" s="217"/>
      <c r="E69" s="111" t="s">
        <v>439</v>
      </c>
      <c r="F69" s="203" t="s">
        <v>471</v>
      </c>
      <c r="G69" s="203" t="s">
        <v>441</v>
      </c>
      <c r="H69" s="228">
        <v>45636.0</v>
      </c>
      <c r="I69" s="210">
        <v>45663.0</v>
      </c>
      <c r="J69" s="203" t="s">
        <v>442</v>
      </c>
      <c r="K69" s="220"/>
      <c r="L69" s="203" t="s">
        <v>444</v>
      </c>
      <c r="M69" s="203" t="s">
        <v>445</v>
      </c>
      <c r="N69" s="221">
        <v>3.0</v>
      </c>
      <c r="O69" s="229" t="s">
        <v>446</v>
      </c>
      <c r="P69" s="48" t="str">
        <f t="array" ref="P69">HYPERLINK(INDEX('File Links'!B:B, MATCH(O69, 'File Links'!C:C, 0)))
</f>
        <v>https://drive.google.com/file/d/1DO937F2xhbz54X6xu8qtsy63K6O9mEYa/view?usp=drivesdk</v>
      </c>
      <c r="Q69" s="203" t="s">
        <v>447</v>
      </c>
      <c r="R69" s="205" t="s">
        <v>472</v>
      </c>
      <c r="S69" s="220"/>
      <c r="T69" s="120">
        <v>1.0</v>
      </c>
      <c r="U69" s="203" t="s">
        <v>449</v>
      </c>
      <c r="V69" s="203" t="s">
        <v>155</v>
      </c>
      <c r="W69" s="50" t="str">
        <f t="array" ref="W69">HYPERLINK(INDEX('File Links'!B:B, MATCH(U69, 'File Links'!C:C, 0)))
</f>
        <v>https://drive.google.com/file/d/12ZFslJnsSmpbIBYf9YKunwP3Ofv14HZ-/view?usp=drivesdk</v>
      </c>
      <c r="X69" s="220"/>
      <c r="Y69" s="203" t="s">
        <v>220</v>
      </c>
      <c r="Z69" s="220"/>
      <c r="AA69" s="203" t="s">
        <v>450</v>
      </c>
      <c r="AB69" s="203" t="s">
        <v>451</v>
      </c>
      <c r="AC69" s="230" t="s">
        <v>473</v>
      </c>
      <c r="AD69" s="231">
        <v>263.0</v>
      </c>
      <c r="AE69" s="231">
        <v>86.0</v>
      </c>
      <c r="AF69" s="203" t="s">
        <v>474</v>
      </c>
      <c r="AG69" s="229" t="s">
        <v>454</v>
      </c>
      <c r="AH69" s="203" t="s">
        <v>455</v>
      </c>
      <c r="AI69" s="231">
        <v>0.79</v>
      </c>
      <c r="AJ69" s="225" t="s">
        <v>164</v>
      </c>
      <c r="AK69" s="203" t="s">
        <v>179</v>
      </c>
      <c r="AL69" s="203" t="s">
        <v>129</v>
      </c>
      <c r="AM69" s="128" t="s">
        <v>165</v>
      </c>
      <c r="AN69" s="231">
        <v>84.0</v>
      </c>
      <c r="AO69" s="231" t="s">
        <v>475</v>
      </c>
      <c r="AP69" s="203" t="s">
        <v>162</v>
      </c>
      <c r="AQ69" s="220" t="s">
        <v>457</v>
      </c>
      <c r="AR69" s="231">
        <v>0.618</v>
      </c>
      <c r="AS69" s="225" t="s">
        <v>164</v>
      </c>
      <c r="AT69" s="232" t="s">
        <v>179</v>
      </c>
      <c r="AU69" s="225" t="s">
        <v>129</v>
      </c>
      <c r="AV69" s="128" t="s">
        <v>165</v>
      </c>
      <c r="AW69" s="225" t="s">
        <v>134</v>
      </c>
      <c r="AX69" s="55"/>
      <c r="AY69" s="41" t="s">
        <v>135</v>
      </c>
      <c r="AZ69" s="209"/>
      <c r="BA69" s="209"/>
      <c r="BB69" s="209"/>
      <c r="BC69" s="209"/>
      <c r="BD69" s="209"/>
      <c r="BE69" s="209"/>
      <c r="BF69" s="209"/>
      <c r="BG69" s="209"/>
      <c r="BH69" s="209"/>
      <c r="BI69" s="209"/>
      <c r="BJ69" s="209"/>
      <c r="BK69" s="209"/>
      <c r="BL69" s="209"/>
      <c r="BM69" s="209"/>
      <c r="BN69" s="209"/>
      <c r="BO69" s="209"/>
      <c r="BP69" s="209"/>
      <c r="BQ69" s="209"/>
      <c r="BR69" s="209"/>
      <c r="BS69" s="209"/>
      <c r="BT69" s="209"/>
      <c r="BU69" s="209"/>
      <c r="BV69" s="209"/>
      <c r="BW69" s="209"/>
      <c r="BX69" s="209"/>
      <c r="BY69" s="209"/>
      <c r="BZ69" s="209"/>
      <c r="CA69" s="209"/>
      <c r="CB69" s="209"/>
      <c r="CC69" s="209"/>
      <c r="CD69" s="209"/>
      <c r="CE69" s="209"/>
      <c r="CF69" s="209"/>
      <c r="CG69" s="209"/>
      <c r="CH69" s="209"/>
      <c r="CI69" s="209"/>
      <c r="CJ69" s="209"/>
      <c r="CK69" s="209"/>
      <c r="CL69" s="209"/>
      <c r="CM69" s="209"/>
      <c r="CN69" s="209"/>
      <c r="CO69" s="209"/>
      <c r="CP69" s="209"/>
      <c r="CQ69" s="209"/>
      <c r="CR69" s="209"/>
      <c r="CS69" s="209"/>
      <c r="CT69" s="209"/>
      <c r="CU69" s="209"/>
      <c r="CV69" s="209"/>
      <c r="CW69" s="209"/>
      <c r="CX69" s="209"/>
      <c r="CY69" s="209"/>
      <c r="CZ69" s="209"/>
      <c r="DA69" s="209"/>
      <c r="DB69" s="209"/>
      <c r="DC69" s="209"/>
      <c r="DD69" s="209"/>
      <c r="DE69" s="209"/>
      <c r="DF69" s="209"/>
      <c r="DG69" s="209"/>
    </row>
    <row r="70" ht="20.25" customHeight="1">
      <c r="A70" s="233" t="s">
        <v>106</v>
      </c>
      <c r="B70" s="234" t="s">
        <v>107</v>
      </c>
      <c r="C70" s="234" t="s">
        <v>169</v>
      </c>
      <c r="D70" s="234"/>
      <c r="E70" s="234" t="s">
        <v>476</v>
      </c>
      <c r="F70" s="234" t="s">
        <v>477</v>
      </c>
      <c r="G70" s="234" t="s">
        <v>169</v>
      </c>
      <c r="H70" s="235">
        <v>45636.0</v>
      </c>
      <c r="I70" s="236">
        <v>45679.0</v>
      </c>
      <c r="J70" s="234" t="s">
        <v>478</v>
      </c>
      <c r="K70" s="234" t="s">
        <v>479</v>
      </c>
      <c r="L70" s="234" t="s">
        <v>480</v>
      </c>
      <c r="M70" s="234" t="s">
        <v>481</v>
      </c>
      <c r="N70" s="234">
        <v>1.0</v>
      </c>
      <c r="O70" s="234" t="s">
        <v>482</v>
      </c>
      <c r="P70" s="237" t="str">
        <f t="array" ref="P70">HYPERLINK(INDEX('File Links'!B:B, MATCH(O70, 'File Links'!C:C, 0)))
</f>
        <v>https://drive.google.com/file/d/1bOamtHkDDCeR5rldqOBSgCXc_AFZb3yD/view?usp=drivesdk</v>
      </c>
      <c r="Q70" s="234" t="s">
        <v>483</v>
      </c>
      <c r="R70" s="234" t="s">
        <v>484</v>
      </c>
      <c r="S70" s="234"/>
      <c r="T70" s="234">
        <v>1.0</v>
      </c>
      <c r="U70" s="234" t="s">
        <v>485</v>
      </c>
      <c r="V70" s="234" t="s">
        <v>155</v>
      </c>
      <c r="W70" s="237" t="str">
        <f t="array" ref="W70">HYPERLINK(INDEX('File Links'!B:B, MATCH(U70, 'File Links'!C:C, 0)))
</f>
        <v>https://drive.google.com/file/d/1iWxdhqxc4T6twXLJR2WbGMzAHqB2cMPh/view?usp=drivesdk</v>
      </c>
      <c r="X70" s="234"/>
      <c r="Y70" s="234" t="s">
        <v>486</v>
      </c>
      <c r="Z70" s="234" t="s">
        <v>487</v>
      </c>
      <c r="AA70" s="234" t="s">
        <v>488</v>
      </c>
      <c r="AB70" s="234" t="s">
        <v>489</v>
      </c>
      <c r="AC70" s="234" t="s">
        <v>490</v>
      </c>
      <c r="AD70" s="234" t="s">
        <v>491</v>
      </c>
      <c r="AE70" s="234">
        <v>20.0</v>
      </c>
      <c r="AF70" s="234" t="s">
        <v>492</v>
      </c>
      <c r="AG70" s="234" t="s">
        <v>162</v>
      </c>
      <c r="AH70" s="234" t="s">
        <v>210</v>
      </c>
      <c r="AI70" s="234">
        <v>0.019</v>
      </c>
      <c r="AJ70" s="234" t="s">
        <v>164</v>
      </c>
      <c r="AK70" s="234" t="s">
        <v>179</v>
      </c>
      <c r="AL70" s="234" t="s">
        <v>132</v>
      </c>
      <c r="AM70" s="234"/>
      <c r="AN70" s="234">
        <v>39.0</v>
      </c>
      <c r="AO70" s="234" t="s">
        <v>493</v>
      </c>
      <c r="AP70" s="234" t="s">
        <v>130</v>
      </c>
      <c r="AQ70" s="234" t="s">
        <v>494</v>
      </c>
      <c r="AR70" s="234" t="s">
        <v>495</v>
      </c>
      <c r="AS70" s="234" t="s">
        <v>164</v>
      </c>
      <c r="AT70" s="234" t="s">
        <v>179</v>
      </c>
      <c r="AU70" s="234" t="s">
        <v>129</v>
      </c>
      <c r="AV70" s="234"/>
      <c r="AW70" s="234" t="s">
        <v>134</v>
      </c>
      <c r="AX70" s="238" t="s">
        <v>496</v>
      </c>
      <c r="AY70" s="234" t="s">
        <v>497</v>
      </c>
      <c r="AZ70" s="234"/>
      <c r="BA70" s="234"/>
      <c r="BB70" s="234"/>
      <c r="BC70" s="234"/>
      <c r="BD70" s="234"/>
      <c r="BE70" s="234"/>
      <c r="BF70" s="234"/>
      <c r="BG70" s="234"/>
      <c r="BH70" s="234"/>
      <c r="BI70" s="234"/>
      <c r="BJ70" s="234"/>
      <c r="BK70" s="234"/>
      <c r="BL70" s="234"/>
      <c r="BM70" s="234"/>
      <c r="BN70" s="234"/>
      <c r="BO70" s="234"/>
      <c r="BP70" s="234"/>
      <c r="BQ70" s="234"/>
      <c r="BR70" s="234"/>
      <c r="BS70" s="234"/>
      <c r="BT70" s="234"/>
      <c r="BU70" s="234"/>
      <c r="BV70" s="234"/>
      <c r="BW70" s="234"/>
      <c r="BX70" s="234"/>
      <c r="BY70" s="234"/>
      <c r="BZ70" s="234"/>
      <c r="CA70" s="234"/>
      <c r="CB70" s="234"/>
      <c r="CC70" s="234"/>
      <c r="CD70" s="234"/>
      <c r="CE70" s="234"/>
      <c r="CF70" s="234"/>
      <c r="CG70" s="234"/>
      <c r="CH70" s="234"/>
      <c r="CI70" s="234"/>
      <c r="CJ70" s="234"/>
      <c r="CK70" s="234"/>
      <c r="CL70" s="234"/>
      <c r="CM70" s="234"/>
      <c r="CN70" s="234"/>
      <c r="CO70" s="234"/>
      <c r="CP70" s="234"/>
      <c r="CQ70" s="234"/>
      <c r="CR70" s="234"/>
      <c r="CS70" s="234"/>
      <c r="CT70" s="234"/>
      <c r="CU70" s="234"/>
      <c r="CV70" s="234"/>
      <c r="CW70" s="234"/>
      <c r="CX70" s="234"/>
      <c r="CY70" s="234"/>
      <c r="CZ70" s="234"/>
      <c r="DA70" s="234"/>
      <c r="DB70" s="234"/>
      <c r="DC70" s="234"/>
      <c r="DD70" s="234"/>
      <c r="DE70" s="234"/>
      <c r="DF70" s="234"/>
      <c r="DG70" s="234"/>
    </row>
    <row r="71" ht="20.25" customHeight="1">
      <c r="A71" s="233" t="s">
        <v>143</v>
      </c>
      <c r="B71" s="234" t="s">
        <v>107</v>
      </c>
      <c r="C71" s="234" t="s">
        <v>144</v>
      </c>
      <c r="D71" s="234"/>
      <c r="E71" s="234" t="s">
        <v>476</v>
      </c>
      <c r="F71" s="234" t="s">
        <v>498</v>
      </c>
      <c r="G71" s="234" t="s">
        <v>144</v>
      </c>
      <c r="H71" s="239">
        <v>45638.0</v>
      </c>
      <c r="I71" s="236">
        <v>45679.0</v>
      </c>
      <c r="J71" s="237" t="s">
        <v>499</v>
      </c>
      <c r="K71" s="234"/>
      <c r="L71" s="234" t="s">
        <v>480</v>
      </c>
      <c r="M71" s="234" t="s">
        <v>481</v>
      </c>
      <c r="N71" s="234">
        <v>1.0</v>
      </c>
      <c r="O71" s="234" t="s">
        <v>482</v>
      </c>
      <c r="P71" s="237" t="str">
        <f t="array" ref="P71">HYPERLINK(INDEX('File Links'!B:B, MATCH(O71, 'File Links'!C:C, 0)))
</f>
        <v>https://drive.google.com/file/d/1bOamtHkDDCeR5rldqOBSgCXc_AFZb3yD/view?usp=drivesdk</v>
      </c>
      <c r="Q71" s="237" t="s">
        <v>500</v>
      </c>
      <c r="R71" s="237" t="s">
        <v>484</v>
      </c>
      <c r="S71" s="234"/>
      <c r="T71" s="234">
        <v>1.0</v>
      </c>
      <c r="U71" s="234" t="s">
        <v>485</v>
      </c>
      <c r="V71" s="234" t="s">
        <v>155</v>
      </c>
      <c r="W71" s="237" t="str">
        <f t="array" ref="W71">HYPERLINK(INDEX('File Links'!B:B, MATCH(U71, 'File Links'!C:C, 0)))
</f>
        <v>https://drive.google.com/file/d/1iWxdhqxc4T6twXLJR2WbGMzAHqB2cMPh/view?usp=drivesdk</v>
      </c>
      <c r="X71" s="234"/>
      <c r="Y71" s="234" t="s">
        <v>501</v>
      </c>
      <c r="Z71" s="234" t="s">
        <v>502</v>
      </c>
      <c r="AA71" s="234" t="s">
        <v>488</v>
      </c>
      <c r="AB71" s="234" t="s">
        <v>503</v>
      </c>
      <c r="AC71" s="234" t="s">
        <v>504</v>
      </c>
      <c r="AD71" s="234">
        <v>3.0</v>
      </c>
      <c r="AE71" s="234">
        <v>20.0</v>
      </c>
      <c r="AF71" s="234" t="s">
        <v>492</v>
      </c>
      <c r="AG71" s="234" t="s">
        <v>162</v>
      </c>
      <c r="AH71" s="234" t="s">
        <v>505</v>
      </c>
      <c r="AI71" s="234">
        <v>0.025</v>
      </c>
      <c r="AJ71" s="234" t="s">
        <v>164</v>
      </c>
      <c r="AK71" s="234" t="s">
        <v>179</v>
      </c>
      <c r="AL71" s="234" t="s">
        <v>132</v>
      </c>
      <c r="AM71" s="234"/>
      <c r="AN71" s="234">
        <v>39.0</v>
      </c>
      <c r="AO71" s="234">
        <v>0.159</v>
      </c>
      <c r="AP71" s="234" t="s">
        <v>130</v>
      </c>
      <c r="AQ71" s="234" t="s">
        <v>494</v>
      </c>
      <c r="AR71" s="234">
        <v>0.002</v>
      </c>
      <c r="AS71" s="234" t="s">
        <v>164</v>
      </c>
      <c r="AT71" s="234" t="s">
        <v>179</v>
      </c>
      <c r="AU71" s="234" t="s">
        <v>129</v>
      </c>
      <c r="AV71" s="237" t="s">
        <v>506</v>
      </c>
      <c r="AW71" s="237" t="s">
        <v>134</v>
      </c>
      <c r="AX71" s="234" t="s">
        <v>507</v>
      </c>
      <c r="AY71" s="234" t="s">
        <v>497</v>
      </c>
      <c r="AZ71" s="234"/>
      <c r="BA71" s="234"/>
      <c r="BB71" s="234"/>
      <c r="BC71" s="234"/>
      <c r="BD71" s="234"/>
      <c r="BE71" s="234"/>
      <c r="BF71" s="234"/>
      <c r="BG71" s="234"/>
      <c r="BH71" s="234"/>
      <c r="BI71" s="234"/>
      <c r="BJ71" s="234"/>
      <c r="BK71" s="234"/>
      <c r="BL71" s="234"/>
      <c r="BM71" s="234"/>
      <c r="BN71" s="234"/>
      <c r="BO71" s="234"/>
      <c r="BP71" s="234"/>
      <c r="BQ71" s="234"/>
      <c r="BR71" s="234"/>
      <c r="BS71" s="234"/>
      <c r="BT71" s="234"/>
      <c r="BU71" s="234"/>
      <c r="BV71" s="234"/>
      <c r="BW71" s="234"/>
      <c r="BX71" s="234"/>
      <c r="BY71" s="234"/>
      <c r="BZ71" s="234"/>
      <c r="CA71" s="234"/>
      <c r="CB71" s="234"/>
      <c r="CC71" s="234"/>
      <c r="CD71" s="234"/>
      <c r="CE71" s="234"/>
      <c r="CF71" s="234"/>
      <c r="CG71" s="234"/>
      <c r="CH71" s="234"/>
      <c r="CI71" s="234"/>
      <c r="CJ71" s="234"/>
      <c r="CK71" s="234"/>
      <c r="CL71" s="234"/>
      <c r="CM71" s="234"/>
      <c r="CN71" s="234"/>
      <c r="CO71" s="234"/>
      <c r="CP71" s="234"/>
      <c r="CQ71" s="234"/>
      <c r="CR71" s="234"/>
      <c r="CS71" s="234"/>
      <c r="CT71" s="234"/>
      <c r="CU71" s="234"/>
      <c r="CV71" s="234"/>
      <c r="CW71" s="234"/>
      <c r="CX71" s="234"/>
      <c r="CY71" s="234"/>
      <c r="CZ71" s="234"/>
      <c r="DA71" s="234"/>
      <c r="DB71" s="234"/>
      <c r="DC71" s="234"/>
      <c r="DD71" s="234"/>
      <c r="DE71" s="234"/>
      <c r="DF71" s="234"/>
      <c r="DG71" s="234"/>
    </row>
    <row r="72" ht="19.5" hidden="1" customHeight="1">
      <c r="A72" s="234" t="s">
        <v>106</v>
      </c>
      <c r="B72" s="234" t="s">
        <v>107</v>
      </c>
      <c r="C72" s="234" t="s">
        <v>169</v>
      </c>
      <c r="D72" s="234"/>
      <c r="E72" s="234" t="s">
        <v>476</v>
      </c>
      <c r="F72" s="234" t="s">
        <v>508</v>
      </c>
      <c r="G72" s="234" t="s">
        <v>169</v>
      </c>
      <c r="H72" s="234">
        <v>45636.0</v>
      </c>
      <c r="I72" s="234">
        <v>45679.0</v>
      </c>
      <c r="J72" s="234" t="s">
        <v>478</v>
      </c>
      <c r="K72" s="234" t="s">
        <v>509</v>
      </c>
      <c r="L72" s="234" t="s">
        <v>510</v>
      </c>
      <c r="M72" s="234" t="s">
        <v>481</v>
      </c>
      <c r="N72" s="234">
        <v>1.0</v>
      </c>
      <c r="O72" s="234" t="s">
        <v>482</v>
      </c>
      <c r="P72" s="237" t="str">
        <f t="array" ref="P72">HYPERLINK(INDEX('File Links'!B:B, MATCH(O72, 'File Links'!C:C, 0)))
</f>
        <v>https://drive.google.com/file/d/1bOamtHkDDCeR5rldqOBSgCXc_AFZb3yD/view?usp=drivesdk</v>
      </c>
      <c r="Q72" s="234" t="s">
        <v>483</v>
      </c>
      <c r="R72" s="234" t="s">
        <v>484</v>
      </c>
      <c r="S72" s="234"/>
      <c r="T72" s="234">
        <v>1.0</v>
      </c>
      <c r="U72" s="234" t="s">
        <v>485</v>
      </c>
      <c r="V72" s="234" t="s">
        <v>155</v>
      </c>
      <c r="W72" s="237" t="str">
        <f t="array" ref="W72">HYPERLINK(INDEX('File Links'!B:B, MATCH(U72, 'File Links'!C:C, 0)))
</f>
        <v>https://drive.google.com/file/d/1iWxdhqxc4T6twXLJR2WbGMzAHqB2cMPh/view?usp=drivesdk</v>
      </c>
      <c r="X72" s="234" t="s">
        <v>511</v>
      </c>
      <c r="Y72" s="234" t="s">
        <v>486</v>
      </c>
      <c r="Z72" s="234" t="s">
        <v>487</v>
      </c>
      <c r="AA72" s="234" t="s">
        <v>512</v>
      </c>
      <c r="AB72" s="234" t="s">
        <v>513</v>
      </c>
      <c r="AC72" s="234" t="s">
        <v>490</v>
      </c>
      <c r="AD72" s="234" t="s">
        <v>491</v>
      </c>
      <c r="AE72" s="234">
        <v>20.0</v>
      </c>
      <c r="AF72" s="234">
        <v>6503.0</v>
      </c>
      <c r="AG72" s="234" t="s">
        <v>162</v>
      </c>
      <c r="AH72" s="234" t="s">
        <v>210</v>
      </c>
      <c r="AI72" s="234">
        <v>4.0E-4</v>
      </c>
      <c r="AJ72" s="234" t="s">
        <v>164</v>
      </c>
      <c r="AK72" s="234" t="s">
        <v>179</v>
      </c>
      <c r="AL72" s="234" t="s">
        <v>129</v>
      </c>
      <c r="AM72" s="234"/>
      <c r="AN72" s="234"/>
      <c r="AO72" s="234"/>
      <c r="AP72" s="234"/>
      <c r="AQ72" s="234"/>
      <c r="AR72" s="234"/>
      <c r="AS72" s="234"/>
      <c r="AT72" s="234"/>
      <c r="AU72" s="234"/>
      <c r="AV72" s="234"/>
      <c r="AW72" s="234"/>
      <c r="AX72" s="238" t="s">
        <v>514</v>
      </c>
      <c r="AY72" s="234" t="s">
        <v>497</v>
      </c>
      <c r="AZ72" s="234"/>
      <c r="BA72" s="234"/>
      <c r="BB72" s="234"/>
      <c r="BC72" s="234"/>
      <c r="BD72" s="234"/>
      <c r="BE72" s="234"/>
      <c r="BF72" s="234"/>
      <c r="BG72" s="234"/>
      <c r="BH72" s="234"/>
      <c r="BI72" s="234"/>
      <c r="BJ72" s="234"/>
      <c r="BK72" s="234"/>
      <c r="BL72" s="234"/>
      <c r="BM72" s="234"/>
      <c r="BN72" s="234"/>
      <c r="BO72" s="234"/>
      <c r="BP72" s="234"/>
      <c r="BQ72" s="234"/>
      <c r="BR72" s="234"/>
      <c r="BS72" s="234"/>
      <c r="BT72" s="234"/>
      <c r="BU72" s="234"/>
      <c r="BV72" s="234"/>
      <c r="BW72" s="234"/>
      <c r="BX72" s="234"/>
      <c r="BY72" s="234"/>
      <c r="BZ72" s="234"/>
      <c r="CA72" s="234"/>
      <c r="CB72" s="234"/>
      <c r="CC72" s="234"/>
      <c r="CD72" s="234"/>
      <c r="CE72" s="234"/>
      <c r="CF72" s="234"/>
      <c r="CG72" s="234"/>
      <c r="CH72" s="234"/>
      <c r="CI72" s="234"/>
      <c r="CJ72" s="234"/>
      <c r="CK72" s="234"/>
      <c r="CL72" s="234"/>
      <c r="CM72" s="234"/>
      <c r="CN72" s="234"/>
      <c r="CO72" s="234"/>
      <c r="CP72" s="234"/>
      <c r="CQ72" s="234"/>
      <c r="CR72" s="234"/>
      <c r="CS72" s="234"/>
      <c r="CT72" s="234"/>
      <c r="CU72" s="234"/>
      <c r="CV72" s="234"/>
      <c r="CW72" s="234"/>
      <c r="CX72" s="234"/>
      <c r="CY72" s="234"/>
      <c r="CZ72" s="234"/>
      <c r="DA72" s="234"/>
      <c r="DB72" s="234"/>
      <c r="DC72" s="234"/>
      <c r="DD72" s="234"/>
      <c r="DE72" s="234"/>
      <c r="DF72" s="234"/>
      <c r="DG72" s="234"/>
    </row>
    <row r="73" ht="20.25" hidden="1" customHeight="1">
      <c r="A73" s="234" t="s">
        <v>106</v>
      </c>
      <c r="B73" s="234" t="s">
        <v>107</v>
      </c>
      <c r="C73" s="234" t="s">
        <v>169</v>
      </c>
      <c r="D73" s="234"/>
      <c r="E73" s="234" t="s">
        <v>476</v>
      </c>
      <c r="F73" s="234" t="s">
        <v>515</v>
      </c>
      <c r="G73" s="234" t="s">
        <v>169</v>
      </c>
      <c r="H73" s="234">
        <v>45636.0</v>
      </c>
      <c r="I73" s="234">
        <v>45679.0</v>
      </c>
      <c r="J73" s="234" t="s">
        <v>478</v>
      </c>
      <c r="K73" s="234" t="s">
        <v>516</v>
      </c>
      <c r="L73" s="234" t="s">
        <v>517</v>
      </c>
      <c r="M73" s="234" t="s">
        <v>481</v>
      </c>
      <c r="N73" s="234">
        <v>1.0</v>
      </c>
      <c r="O73" s="234" t="s">
        <v>482</v>
      </c>
      <c r="P73" s="237" t="str">
        <f t="array" ref="P73">HYPERLINK(INDEX('File Links'!B:B, MATCH(O73, 'File Links'!C:C, 0)))
</f>
        <v>https://drive.google.com/file/d/1bOamtHkDDCeR5rldqOBSgCXc_AFZb3yD/view?usp=drivesdk</v>
      </c>
      <c r="Q73" s="234" t="s">
        <v>483</v>
      </c>
      <c r="R73" s="234" t="s">
        <v>484</v>
      </c>
      <c r="S73" s="234"/>
      <c r="T73" s="234">
        <v>1.0</v>
      </c>
      <c r="U73" s="234" t="s">
        <v>485</v>
      </c>
      <c r="V73" s="234" t="s">
        <v>155</v>
      </c>
      <c r="W73" s="237" t="str">
        <f t="array" ref="W73">HYPERLINK(INDEX('File Links'!B:B, MATCH(U73, 'File Links'!C:C, 0)))
</f>
        <v>https://drive.google.com/file/d/1iWxdhqxc4T6twXLJR2WbGMzAHqB2cMPh/view?usp=drivesdk</v>
      </c>
      <c r="X73" s="234" t="s">
        <v>511</v>
      </c>
      <c r="Y73" s="234" t="s">
        <v>486</v>
      </c>
      <c r="Z73" s="234" t="s">
        <v>487</v>
      </c>
      <c r="AA73" s="234" t="s">
        <v>512</v>
      </c>
      <c r="AB73" s="234" t="s">
        <v>518</v>
      </c>
      <c r="AC73" s="234" t="s">
        <v>490</v>
      </c>
      <c r="AD73" s="234" t="s">
        <v>491</v>
      </c>
      <c r="AE73" s="234">
        <v>20.0</v>
      </c>
      <c r="AF73" s="234">
        <v>6503.0</v>
      </c>
      <c r="AG73" s="234" t="s">
        <v>162</v>
      </c>
      <c r="AH73" s="234" t="s">
        <v>210</v>
      </c>
      <c r="AI73" s="234" t="s">
        <v>519</v>
      </c>
      <c r="AJ73" s="234" t="s">
        <v>164</v>
      </c>
      <c r="AK73" s="234" t="s">
        <v>179</v>
      </c>
      <c r="AL73" s="234" t="s">
        <v>129</v>
      </c>
      <c r="AM73" s="234"/>
      <c r="AN73" s="234"/>
      <c r="AO73" s="234"/>
      <c r="AP73" s="234"/>
      <c r="AQ73" s="234"/>
      <c r="AR73" s="234"/>
      <c r="AS73" s="234"/>
      <c r="AT73" s="234"/>
      <c r="AU73" s="234"/>
      <c r="AV73" s="234"/>
      <c r="AW73" s="234"/>
      <c r="AX73" s="234"/>
      <c r="AY73" s="234" t="s">
        <v>497</v>
      </c>
      <c r="AZ73" s="234"/>
      <c r="BA73" s="234"/>
      <c r="BB73" s="234"/>
      <c r="BC73" s="23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c r="CE73" s="234"/>
      <c r="CF73" s="234"/>
      <c r="CG73" s="234"/>
      <c r="CH73" s="234"/>
      <c r="CI73" s="234"/>
      <c r="CJ73" s="234"/>
      <c r="CK73" s="234"/>
      <c r="CL73" s="234"/>
      <c r="CM73" s="234"/>
      <c r="CN73" s="234"/>
      <c r="CO73" s="234"/>
      <c r="CP73" s="234"/>
      <c r="CQ73" s="234"/>
      <c r="CR73" s="234"/>
      <c r="CS73" s="234"/>
      <c r="CT73" s="234"/>
      <c r="CU73" s="234"/>
      <c r="CV73" s="234"/>
      <c r="CW73" s="234"/>
      <c r="CX73" s="234"/>
      <c r="CY73" s="234"/>
      <c r="CZ73" s="234"/>
      <c r="DA73" s="234"/>
      <c r="DB73" s="234"/>
      <c r="DC73" s="234"/>
      <c r="DD73" s="234"/>
      <c r="DE73" s="234"/>
      <c r="DF73" s="234"/>
      <c r="DG73" s="234"/>
    </row>
    <row r="74" ht="20.25" customHeight="1">
      <c r="A74" s="240" t="s">
        <v>520</v>
      </c>
      <c r="B74" s="240" t="s">
        <v>107</v>
      </c>
      <c r="C74" s="240" t="s">
        <v>169</v>
      </c>
      <c r="D74" s="241"/>
      <c r="E74" s="242" t="s">
        <v>476</v>
      </c>
      <c r="F74" s="243" t="s">
        <v>521</v>
      </c>
      <c r="G74" s="242" t="s">
        <v>169</v>
      </c>
      <c r="H74" s="244">
        <v>45636.0</v>
      </c>
      <c r="I74" s="245">
        <v>45679.0</v>
      </c>
      <c r="J74" s="242" t="s">
        <v>478</v>
      </c>
      <c r="K74" s="246" t="s">
        <v>522</v>
      </c>
      <c r="L74" s="242" t="s">
        <v>523</v>
      </c>
      <c r="M74" s="242" t="s">
        <v>481</v>
      </c>
      <c r="N74" s="247">
        <v>1.0</v>
      </c>
      <c r="O74" s="242" t="s">
        <v>482</v>
      </c>
      <c r="P74" s="248" t="str">
        <f t="array" ref="P74">HYPERLINK(INDEX('File Links'!B:B, MATCH(O74, 'File Links'!C:C, 0)))
</f>
        <v>https://drive.google.com/file/d/1bOamtHkDDCeR5rldqOBSgCXc_AFZb3yD/view?usp=drivesdk</v>
      </c>
      <c r="Q74" s="242" t="s">
        <v>483</v>
      </c>
      <c r="R74" s="242" t="s">
        <v>484</v>
      </c>
      <c r="S74" s="249"/>
      <c r="T74" s="247">
        <v>1.0</v>
      </c>
      <c r="U74" s="242" t="s">
        <v>485</v>
      </c>
      <c r="V74" s="250" t="s">
        <v>155</v>
      </c>
      <c r="W74" s="251" t="str">
        <f t="array" ref="W74">HYPERLINK(INDEX('File Links'!B:B, MATCH(U74, 'File Links'!C:C, 0)))
</f>
        <v>https://drive.google.com/file/d/1iWxdhqxc4T6twXLJR2WbGMzAHqB2cMPh/view?usp=drivesdk</v>
      </c>
      <c r="X74" s="249"/>
      <c r="Y74" s="242" t="s">
        <v>486</v>
      </c>
      <c r="Z74" s="242" t="s">
        <v>487</v>
      </c>
      <c r="AA74" s="242" t="s">
        <v>512</v>
      </c>
      <c r="AB74" s="242" t="s">
        <v>524</v>
      </c>
      <c r="AC74" s="242" t="s">
        <v>525</v>
      </c>
      <c r="AD74" s="242" t="s">
        <v>526</v>
      </c>
      <c r="AE74" s="247">
        <v>20.0</v>
      </c>
      <c r="AF74" s="249"/>
      <c r="AG74" s="252"/>
      <c r="AH74" s="253"/>
      <c r="AI74" s="243" t="s">
        <v>527</v>
      </c>
      <c r="AJ74" s="242" t="s">
        <v>164</v>
      </c>
      <c r="AK74" s="243" t="s">
        <v>179</v>
      </c>
      <c r="AL74" s="249" t="s">
        <v>129</v>
      </c>
      <c r="AM74" s="249"/>
      <c r="AN74" s="254">
        <v>39.0</v>
      </c>
      <c r="AO74" s="249"/>
      <c r="AP74" s="249"/>
      <c r="AQ74" s="249"/>
      <c r="AR74" s="249" t="s">
        <v>527</v>
      </c>
      <c r="AS74" s="242" t="s">
        <v>164</v>
      </c>
      <c r="AT74" s="242" t="s">
        <v>179</v>
      </c>
      <c r="AU74" s="249" t="s">
        <v>129</v>
      </c>
      <c r="AV74" s="249"/>
      <c r="AW74" s="249" t="s">
        <v>134</v>
      </c>
      <c r="AX74" s="246" t="s">
        <v>528</v>
      </c>
      <c r="AY74" s="240" t="s">
        <v>497</v>
      </c>
      <c r="AZ74" s="241"/>
      <c r="BA74" s="241"/>
      <c r="BB74" s="241"/>
      <c r="BC74" s="241"/>
      <c r="BD74" s="241"/>
      <c r="BE74" s="241"/>
      <c r="BF74" s="241"/>
      <c r="BG74" s="241"/>
      <c r="BH74" s="241"/>
      <c r="BI74" s="241"/>
      <c r="BJ74" s="241"/>
      <c r="BK74" s="241"/>
      <c r="BL74" s="241"/>
      <c r="BM74" s="241"/>
      <c r="BN74" s="241"/>
      <c r="BO74" s="241"/>
      <c r="BP74" s="241"/>
      <c r="BQ74" s="241"/>
      <c r="BR74" s="241"/>
      <c r="BS74" s="241"/>
      <c r="BT74" s="241"/>
      <c r="BU74" s="241"/>
      <c r="BV74" s="241"/>
      <c r="BW74" s="241"/>
      <c r="BX74" s="241"/>
      <c r="BY74" s="241"/>
      <c r="BZ74" s="241"/>
      <c r="CA74" s="241"/>
      <c r="CB74" s="241"/>
      <c r="CC74" s="241"/>
      <c r="CD74" s="241"/>
      <c r="CE74" s="241"/>
      <c r="CF74" s="241"/>
      <c r="CG74" s="241"/>
      <c r="CH74" s="241"/>
      <c r="CI74" s="241"/>
      <c r="CJ74" s="241"/>
      <c r="CK74" s="241"/>
      <c r="CL74" s="241"/>
      <c r="CM74" s="241"/>
      <c r="CN74" s="241"/>
      <c r="CO74" s="241"/>
      <c r="CP74" s="241"/>
      <c r="CQ74" s="241"/>
      <c r="CR74" s="241"/>
      <c r="CS74" s="241"/>
      <c r="CT74" s="241"/>
      <c r="CU74" s="241"/>
      <c r="CV74" s="241"/>
      <c r="CW74" s="241"/>
      <c r="CX74" s="241"/>
      <c r="CY74" s="241"/>
      <c r="CZ74" s="241"/>
      <c r="DA74" s="241"/>
      <c r="DB74" s="241"/>
      <c r="DC74" s="241"/>
      <c r="DD74" s="241"/>
      <c r="DE74" s="241"/>
      <c r="DF74" s="241"/>
      <c r="DG74" s="241"/>
    </row>
    <row r="75" ht="20.25" hidden="1" customHeight="1">
      <c r="A75" s="233" t="s">
        <v>520</v>
      </c>
      <c r="B75" s="233" t="s">
        <v>107</v>
      </c>
      <c r="C75" s="233" t="s">
        <v>169</v>
      </c>
      <c r="D75" s="234"/>
      <c r="E75" s="255" t="s">
        <v>476</v>
      </c>
      <c r="F75" s="256" t="s">
        <v>529</v>
      </c>
      <c r="G75" s="255" t="s">
        <v>169</v>
      </c>
      <c r="H75" s="257">
        <v>45636.0</v>
      </c>
      <c r="I75" s="258">
        <v>45679.0</v>
      </c>
      <c r="J75" s="255" t="s">
        <v>478</v>
      </c>
      <c r="K75" s="259"/>
      <c r="L75" s="255" t="s">
        <v>530</v>
      </c>
      <c r="M75" s="255" t="s">
        <v>481</v>
      </c>
      <c r="N75" s="260">
        <v>1.0</v>
      </c>
      <c r="O75" s="255" t="s">
        <v>482</v>
      </c>
      <c r="P75" s="261" t="str">
        <f t="array" ref="P75">HYPERLINK(INDEX('File Links'!B:B, MATCH(O75, 'File Links'!C:C, 0)))
</f>
        <v>https://drive.google.com/file/d/1bOamtHkDDCeR5rldqOBSgCXc_AFZb3yD/view?usp=drivesdk</v>
      </c>
      <c r="Q75" s="255" t="s">
        <v>483</v>
      </c>
      <c r="R75" s="255" t="s">
        <v>484</v>
      </c>
      <c r="S75" s="259"/>
      <c r="T75" s="260">
        <v>1.0</v>
      </c>
      <c r="U75" s="255" t="s">
        <v>485</v>
      </c>
      <c r="V75" s="262" t="s">
        <v>155</v>
      </c>
      <c r="W75" s="263" t="str">
        <f t="array" ref="W75">HYPERLINK(INDEX('File Links'!B:B, MATCH(U75, 'File Links'!C:C, 0)))
</f>
        <v>https://drive.google.com/file/d/1iWxdhqxc4T6twXLJR2WbGMzAHqB2cMPh/view?usp=drivesdk</v>
      </c>
      <c r="X75" s="255" t="s">
        <v>511</v>
      </c>
      <c r="Y75" s="255" t="s">
        <v>486</v>
      </c>
      <c r="Z75" s="255" t="s">
        <v>487</v>
      </c>
      <c r="AA75" s="255" t="s">
        <v>512</v>
      </c>
      <c r="AB75" s="255" t="s">
        <v>531</v>
      </c>
      <c r="AC75" s="255" t="s">
        <v>525</v>
      </c>
      <c r="AD75" s="255" t="s">
        <v>526</v>
      </c>
      <c r="AE75" s="260">
        <v>20.0</v>
      </c>
      <c r="AF75" s="259"/>
      <c r="AG75" s="264"/>
      <c r="AH75" s="265"/>
      <c r="AI75" s="256" t="s">
        <v>532</v>
      </c>
      <c r="AJ75" s="255" t="s">
        <v>164</v>
      </c>
      <c r="AK75" s="256" t="s">
        <v>179</v>
      </c>
      <c r="AL75" s="259" t="s">
        <v>129</v>
      </c>
      <c r="AM75" s="259"/>
      <c r="AN75" s="259"/>
      <c r="AO75" s="259"/>
      <c r="AP75" s="259"/>
      <c r="AQ75" s="259"/>
      <c r="AR75" s="259"/>
      <c r="AS75" s="259"/>
      <c r="AT75" s="259"/>
      <c r="AU75" s="259"/>
      <c r="AV75" s="259"/>
      <c r="AW75" s="259"/>
      <c r="AX75" s="259"/>
      <c r="AY75" s="233" t="s">
        <v>497</v>
      </c>
      <c r="AZ75" s="234"/>
      <c r="BA75" s="234"/>
      <c r="BB75" s="234"/>
      <c r="BC75" s="23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c r="CE75" s="234"/>
      <c r="CF75" s="234"/>
      <c r="CG75" s="234"/>
      <c r="CH75" s="234"/>
      <c r="CI75" s="234"/>
      <c r="CJ75" s="234"/>
      <c r="CK75" s="234"/>
      <c r="CL75" s="234"/>
      <c r="CM75" s="234"/>
      <c r="CN75" s="234"/>
      <c r="CO75" s="234"/>
      <c r="CP75" s="234"/>
      <c r="CQ75" s="234"/>
      <c r="CR75" s="234"/>
      <c r="CS75" s="234"/>
      <c r="CT75" s="234"/>
      <c r="CU75" s="234"/>
      <c r="CV75" s="234"/>
      <c r="CW75" s="234"/>
      <c r="CX75" s="234"/>
      <c r="CY75" s="234"/>
      <c r="CZ75" s="234"/>
      <c r="DA75" s="234"/>
      <c r="DB75" s="234"/>
      <c r="DC75" s="234"/>
      <c r="DD75" s="234"/>
      <c r="DE75" s="234"/>
      <c r="DF75" s="234"/>
      <c r="DG75" s="234"/>
    </row>
    <row r="76" ht="20.25" hidden="1" customHeight="1">
      <c r="A76" s="233" t="s">
        <v>520</v>
      </c>
      <c r="B76" s="233" t="s">
        <v>107</v>
      </c>
      <c r="C76" s="233" t="s">
        <v>169</v>
      </c>
      <c r="D76" s="234"/>
      <c r="E76" s="255" t="s">
        <v>476</v>
      </c>
      <c r="F76" s="256" t="s">
        <v>533</v>
      </c>
      <c r="G76" s="255" t="s">
        <v>169</v>
      </c>
      <c r="H76" s="257">
        <v>45636.0</v>
      </c>
      <c r="I76" s="258">
        <v>45679.0</v>
      </c>
      <c r="J76" s="255" t="s">
        <v>478</v>
      </c>
      <c r="K76" s="259"/>
      <c r="L76" s="255" t="s">
        <v>534</v>
      </c>
      <c r="M76" s="255" t="s">
        <v>481</v>
      </c>
      <c r="N76" s="260">
        <v>1.0</v>
      </c>
      <c r="O76" s="255" t="s">
        <v>482</v>
      </c>
      <c r="P76" s="261" t="str">
        <f t="array" ref="P76">HYPERLINK(INDEX('File Links'!B:B, MATCH(O76, 'File Links'!C:C, 0)))
</f>
        <v>https://drive.google.com/file/d/1bOamtHkDDCeR5rldqOBSgCXc_AFZb3yD/view?usp=drivesdk</v>
      </c>
      <c r="Q76" s="255" t="s">
        <v>483</v>
      </c>
      <c r="R76" s="255" t="s">
        <v>484</v>
      </c>
      <c r="S76" s="259"/>
      <c r="T76" s="260">
        <v>1.0</v>
      </c>
      <c r="U76" s="255" t="s">
        <v>485</v>
      </c>
      <c r="V76" s="262" t="s">
        <v>155</v>
      </c>
      <c r="W76" s="263" t="str">
        <f t="array" ref="W76">HYPERLINK(INDEX('File Links'!B:B, MATCH(U76, 'File Links'!C:C, 0)))
</f>
        <v>https://drive.google.com/file/d/1iWxdhqxc4T6twXLJR2WbGMzAHqB2cMPh/view?usp=drivesdk</v>
      </c>
      <c r="X76" s="255" t="s">
        <v>511</v>
      </c>
      <c r="Y76" s="255" t="s">
        <v>486</v>
      </c>
      <c r="Z76" s="255" t="s">
        <v>487</v>
      </c>
      <c r="AA76" s="255" t="s">
        <v>512</v>
      </c>
      <c r="AB76" s="255" t="s">
        <v>535</v>
      </c>
      <c r="AC76" s="255" t="s">
        <v>525</v>
      </c>
      <c r="AD76" s="255" t="s">
        <v>526</v>
      </c>
      <c r="AE76" s="260">
        <v>20.0</v>
      </c>
      <c r="AF76" s="259"/>
      <c r="AG76" s="264"/>
      <c r="AH76" s="265"/>
      <c r="AI76" s="256" t="s">
        <v>536</v>
      </c>
      <c r="AJ76" s="255" t="s">
        <v>164</v>
      </c>
      <c r="AK76" s="256" t="s">
        <v>179</v>
      </c>
      <c r="AL76" s="259" t="s">
        <v>129</v>
      </c>
      <c r="AM76" s="259"/>
      <c r="AN76" s="259"/>
      <c r="AO76" s="259"/>
      <c r="AP76" s="259"/>
      <c r="AQ76" s="259"/>
      <c r="AR76" s="259"/>
      <c r="AS76" s="259"/>
      <c r="AT76" s="259"/>
      <c r="AU76" s="259"/>
      <c r="AV76" s="259"/>
      <c r="AW76" s="259"/>
      <c r="AX76" s="259"/>
      <c r="AY76" s="233" t="s">
        <v>497</v>
      </c>
      <c r="AZ76" s="234"/>
      <c r="BA76" s="234"/>
      <c r="BB76" s="234"/>
      <c r="BC76" s="23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c r="CE76" s="234"/>
      <c r="CF76" s="234"/>
      <c r="CG76" s="234"/>
      <c r="CH76" s="234"/>
      <c r="CI76" s="234"/>
      <c r="CJ76" s="234"/>
      <c r="CK76" s="234"/>
      <c r="CL76" s="234"/>
      <c r="CM76" s="234"/>
      <c r="CN76" s="234"/>
      <c r="CO76" s="234"/>
      <c r="CP76" s="234"/>
      <c r="CQ76" s="234"/>
      <c r="CR76" s="234"/>
      <c r="CS76" s="234"/>
      <c r="CT76" s="234"/>
      <c r="CU76" s="234"/>
      <c r="CV76" s="234"/>
      <c r="CW76" s="234"/>
      <c r="CX76" s="234"/>
      <c r="CY76" s="234"/>
      <c r="CZ76" s="234"/>
      <c r="DA76" s="234"/>
      <c r="DB76" s="234"/>
      <c r="DC76" s="234"/>
      <c r="DD76" s="234"/>
      <c r="DE76" s="234"/>
      <c r="DF76" s="234"/>
      <c r="DG76" s="234"/>
    </row>
    <row r="77" ht="20.25" hidden="1" customHeight="1">
      <c r="A77" s="233" t="s">
        <v>520</v>
      </c>
      <c r="B77" s="233" t="s">
        <v>107</v>
      </c>
      <c r="C77" s="233" t="s">
        <v>169</v>
      </c>
      <c r="D77" s="234"/>
      <c r="E77" s="255" t="s">
        <v>476</v>
      </c>
      <c r="F77" s="256" t="s">
        <v>537</v>
      </c>
      <c r="G77" s="255" t="s">
        <v>169</v>
      </c>
      <c r="H77" s="257">
        <v>45636.0</v>
      </c>
      <c r="I77" s="258">
        <v>45679.0</v>
      </c>
      <c r="J77" s="255" t="s">
        <v>478</v>
      </c>
      <c r="K77" s="259"/>
      <c r="L77" s="255" t="s">
        <v>538</v>
      </c>
      <c r="M77" s="255" t="s">
        <v>481</v>
      </c>
      <c r="N77" s="260">
        <v>1.0</v>
      </c>
      <c r="O77" s="255" t="s">
        <v>482</v>
      </c>
      <c r="P77" s="261" t="str">
        <f t="array" ref="P77">HYPERLINK(INDEX('File Links'!B:B, MATCH(O77, 'File Links'!C:C, 0)))
</f>
        <v>https://drive.google.com/file/d/1bOamtHkDDCeR5rldqOBSgCXc_AFZb3yD/view?usp=drivesdk</v>
      </c>
      <c r="Q77" s="255" t="s">
        <v>483</v>
      </c>
      <c r="R77" s="255" t="s">
        <v>484</v>
      </c>
      <c r="S77" s="259"/>
      <c r="T77" s="260">
        <v>1.0</v>
      </c>
      <c r="U77" s="255" t="s">
        <v>485</v>
      </c>
      <c r="V77" s="262" t="s">
        <v>155</v>
      </c>
      <c r="W77" s="263" t="str">
        <f t="array" ref="W77">HYPERLINK(INDEX('File Links'!B:B, MATCH(U77, 'File Links'!C:C, 0)))
</f>
        <v>https://drive.google.com/file/d/1iWxdhqxc4T6twXLJR2WbGMzAHqB2cMPh/view?usp=drivesdk</v>
      </c>
      <c r="X77" s="255" t="s">
        <v>511</v>
      </c>
      <c r="Y77" s="255" t="s">
        <v>486</v>
      </c>
      <c r="Z77" s="255" t="s">
        <v>487</v>
      </c>
      <c r="AA77" s="255" t="s">
        <v>512</v>
      </c>
      <c r="AB77" s="255" t="s">
        <v>539</v>
      </c>
      <c r="AC77" s="259"/>
      <c r="AD77" s="255" t="s">
        <v>526</v>
      </c>
      <c r="AE77" s="260">
        <v>20.0</v>
      </c>
      <c r="AF77" s="259"/>
      <c r="AG77" s="264"/>
      <c r="AH77" s="265"/>
      <c r="AI77" s="265"/>
      <c r="AJ77" s="259"/>
      <c r="AK77" s="256" t="s">
        <v>179</v>
      </c>
      <c r="AL77" s="259" t="s">
        <v>129</v>
      </c>
      <c r="AM77" s="259"/>
      <c r="AN77" s="259"/>
      <c r="AO77" s="259"/>
      <c r="AP77" s="259"/>
      <c r="AQ77" s="259"/>
      <c r="AR77" s="259"/>
      <c r="AS77" s="259"/>
      <c r="AT77" s="259"/>
      <c r="AU77" s="259"/>
      <c r="AV77" s="259"/>
      <c r="AW77" s="259"/>
      <c r="AX77" s="259"/>
      <c r="AY77" s="233" t="s">
        <v>497</v>
      </c>
      <c r="AZ77" s="234"/>
      <c r="BA77" s="234"/>
      <c r="BB77" s="234"/>
      <c r="BC77" s="234"/>
      <c r="BD77" s="234"/>
      <c r="BE77" s="234"/>
      <c r="BF77" s="234"/>
      <c r="BG77" s="234"/>
      <c r="BH77" s="234"/>
      <c r="BI77" s="234"/>
      <c r="BJ77" s="234"/>
      <c r="BK77" s="234"/>
      <c r="BL77" s="234"/>
      <c r="BM77" s="234"/>
      <c r="BN77" s="234"/>
      <c r="BO77" s="234"/>
      <c r="BP77" s="234"/>
      <c r="BQ77" s="234"/>
      <c r="BR77" s="234"/>
      <c r="BS77" s="234"/>
      <c r="BT77" s="234"/>
      <c r="BU77" s="234"/>
      <c r="BV77" s="234"/>
      <c r="BW77" s="234"/>
      <c r="BX77" s="234"/>
      <c r="BY77" s="234"/>
      <c r="BZ77" s="234"/>
      <c r="CA77" s="234"/>
      <c r="CB77" s="234"/>
      <c r="CC77" s="234"/>
      <c r="CD77" s="234"/>
      <c r="CE77" s="234"/>
      <c r="CF77" s="234"/>
      <c r="CG77" s="234"/>
      <c r="CH77" s="234"/>
      <c r="CI77" s="234"/>
      <c r="CJ77" s="234"/>
      <c r="CK77" s="234"/>
      <c r="CL77" s="234"/>
      <c r="CM77" s="234"/>
      <c r="CN77" s="234"/>
      <c r="CO77" s="234"/>
      <c r="CP77" s="234"/>
      <c r="CQ77" s="234"/>
      <c r="CR77" s="234"/>
      <c r="CS77" s="234"/>
      <c r="CT77" s="234"/>
      <c r="CU77" s="234"/>
      <c r="CV77" s="234"/>
      <c r="CW77" s="234"/>
      <c r="CX77" s="234"/>
      <c r="CY77" s="234"/>
      <c r="CZ77" s="234"/>
      <c r="DA77" s="234"/>
      <c r="DB77" s="234"/>
      <c r="DC77" s="234"/>
      <c r="DD77" s="234"/>
      <c r="DE77" s="234"/>
      <c r="DF77" s="234"/>
      <c r="DG77" s="234"/>
    </row>
    <row r="78" ht="20.25" hidden="1" customHeight="1">
      <c r="A78" s="233" t="s">
        <v>520</v>
      </c>
      <c r="B78" s="233" t="s">
        <v>107</v>
      </c>
      <c r="C78" s="233" t="s">
        <v>169</v>
      </c>
      <c r="D78" s="234"/>
      <c r="E78" s="255" t="s">
        <v>476</v>
      </c>
      <c r="F78" s="256" t="s">
        <v>540</v>
      </c>
      <c r="G78" s="255" t="s">
        <v>169</v>
      </c>
      <c r="H78" s="257">
        <v>45636.0</v>
      </c>
      <c r="I78" s="258">
        <v>45679.0</v>
      </c>
      <c r="J78" s="255" t="s">
        <v>478</v>
      </c>
      <c r="K78" s="259"/>
      <c r="L78" s="255" t="s">
        <v>541</v>
      </c>
      <c r="M78" s="255" t="s">
        <v>481</v>
      </c>
      <c r="N78" s="260">
        <v>1.0</v>
      </c>
      <c r="O78" s="255" t="s">
        <v>482</v>
      </c>
      <c r="P78" s="261" t="str">
        <f t="array" ref="P78">HYPERLINK(INDEX('File Links'!B:B, MATCH(O78, 'File Links'!C:C, 0)))
</f>
        <v>https://drive.google.com/file/d/1bOamtHkDDCeR5rldqOBSgCXc_AFZb3yD/view?usp=drivesdk</v>
      </c>
      <c r="Q78" s="255" t="s">
        <v>483</v>
      </c>
      <c r="R78" s="255" t="s">
        <v>484</v>
      </c>
      <c r="S78" s="259"/>
      <c r="T78" s="260">
        <v>1.0</v>
      </c>
      <c r="U78" s="255" t="s">
        <v>485</v>
      </c>
      <c r="V78" s="262" t="s">
        <v>155</v>
      </c>
      <c r="W78" s="263" t="str">
        <f t="array" ref="W78">HYPERLINK(INDEX('File Links'!B:B, MATCH(U78, 'File Links'!C:C, 0)))
</f>
        <v>https://drive.google.com/file/d/1iWxdhqxc4T6twXLJR2WbGMzAHqB2cMPh/view?usp=drivesdk</v>
      </c>
      <c r="X78" s="255" t="s">
        <v>511</v>
      </c>
      <c r="Y78" s="255" t="s">
        <v>486</v>
      </c>
      <c r="Z78" s="255" t="s">
        <v>487</v>
      </c>
      <c r="AA78" s="255" t="s">
        <v>512</v>
      </c>
      <c r="AB78" s="255" t="s">
        <v>542</v>
      </c>
      <c r="AC78" s="259"/>
      <c r="AD78" s="255" t="s">
        <v>526</v>
      </c>
      <c r="AE78" s="260">
        <v>20.0</v>
      </c>
      <c r="AF78" s="259"/>
      <c r="AG78" s="264"/>
      <c r="AH78" s="265"/>
      <c r="AI78" s="265"/>
      <c r="AJ78" s="259"/>
      <c r="AK78" s="256" t="s">
        <v>179</v>
      </c>
      <c r="AL78" s="259" t="s">
        <v>129</v>
      </c>
      <c r="AM78" s="259"/>
      <c r="AN78" s="259"/>
      <c r="AO78" s="259"/>
      <c r="AP78" s="259"/>
      <c r="AQ78" s="259"/>
      <c r="AR78" s="259"/>
      <c r="AS78" s="259"/>
      <c r="AT78" s="259"/>
      <c r="AU78" s="259"/>
      <c r="AV78" s="259"/>
      <c r="AW78" s="259"/>
      <c r="AX78" s="259"/>
      <c r="AY78" s="233" t="s">
        <v>497</v>
      </c>
      <c r="AZ78" s="234"/>
      <c r="BA78" s="234"/>
      <c r="BB78" s="234"/>
      <c r="BC78" s="234"/>
      <c r="BD78" s="234"/>
      <c r="BE78" s="234"/>
      <c r="BF78" s="234"/>
      <c r="BG78" s="234"/>
      <c r="BH78" s="234"/>
      <c r="BI78" s="234"/>
      <c r="BJ78" s="234"/>
      <c r="BK78" s="234"/>
      <c r="BL78" s="234"/>
      <c r="BM78" s="234"/>
      <c r="BN78" s="234"/>
      <c r="BO78" s="234"/>
      <c r="BP78" s="234"/>
      <c r="BQ78" s="234"/>
      <c r="BR78" s="234"/>
      <c r="BS78" s="234"/>
      <c r="BT78" s="234"/>
      <c r="BU78" s="234"/>
      <c r="BV78" s="234"/>
      <c r="BW78" s="234"/>
      <c r="BX78" s="234"/>
      <c r="BY78" s="234"/>
      <c r="BZ78" s="234"/>
      <c r="CA78" s="234"/>
      <c r="CB78" s="234"/>
      <c r="CC78" s="234"/>
      <c r="CD78" s="234"/>
      <c r="CE78" s="234"/>
      <c r="CF78" s="234"/>
      <c r="CG78" s="234"/>
      <c r="CH78" s="234"/>
      <c r="CI78" s="234"/>
      <c r="CJ78" s="234"/>
      <c r="CK78" s="234"/>
      <c r="CL78" s="234"/>
      <c r="CM78" s="234"/>
      <c r="CN78" s="234"/>
      <c r="CO78" s="234"/>
      <c r="CP78" s="234"/>
      <c r="CQ78" s="234"/>
      <c r="CR78" s="234"/>
      <c r="CS78" s="234"/>
      <c r="CT78" s="234"/>
      <c r="CU78" s="234"/>
      <c r="CV78" s="234"/>
      <c r="CW78" s="234"/>
      <c r="CX78" s="234"/>
      <c r="CY78" s="234"/>
      <c r="CZ78" s="234"/>
      <c r="DA78" s="234"/>
      <c r="DB78" s="234"/>
      <c r="DC78" s="234"/>
      <c r="DD78" s="234"/>
      <c r="DE78" s="234"/>
      <c r="DF78" s="234"/>
      <c r="DG78" s="234"/>
    </row>
    <row r="79" ht="20.25" hidden="1" customHeight="1">
      <c r="A79" s="233" t="s">
        <v>520</v>
      </c>
      <c r="B79" s="233" t="s">
        <v>107</v>
      </c>
      <c r="C79" s="233" t="s">
        <v>169</v>
      </c>
      <c r="D79" s="234"/>
      <c r="E79" s="255" t="s">
        <v>476</v>
      </c>
      <c r="F79" s="256" t="s">
        <v>543</v>
      </c>
      <c r="G79" s="255" t="s">
        <v>169</v>
      </c>
      <c r="H79" s="257">
        <v>45636.0</v>
      </c>
      <c r="I79" s="258">
        <v>45679.0</v>
      </c>
      <c r="J79" s="255" t="s">
        <v>478</v>
      </c>
      <c r="K79" s="259"/>
      <c r="L79" s="255" t="s">
        <v>544</v>
      </c>
      <c r="M79" s="255" t="s">
        <v>481</v>
      </c>
      <c r="N79" s="260">
        <v>1.0</v>
      </c>
      <c r="O79" s="255" t="s">
        <v>482</v>
      </c>
      <c r="P79" s="261" t="str">
        <f t="array" ref="P79">HYPERLINK(INDEX('File Links'!B:B, MATCH(O79, 'File Links'!C:C, 0)))
</f>
        <v>https://drive.google.com/file/d/1bOamtHkDDCeR5rldqOBSgCXc_AFZb3yD/view?usp=drivesdk</v>
      </c>
      <c r="Q79" s="255" t="s">
        <v>483</v>
      </c>
      <c r="R79" s="255" t="s">
        <v>484</v>
      </c>
      <c r="S79" s="259"/>
      <c r="T79" s="260">
        <v>1.0</v>
      </c>
      <c r="U79" s="255" t="s">
        <v>485</v>
      </c>
      <c r="V79" s="262" t="s">
        <v>155</v>
      </c>
      <c r="W79" s="263" t="str">
        <f t="array" ref="W79">HYPERLINK(INDEX('File Links'!B:B, MATCH(U79, 'File Links'!C:C, 0)))
</f>
        <v>https://drive.google.com/file/d/1iWxdhqxc4T6twXLJR2WbGMzAHqB2cMPh/view?usp=drivesdk</v>
      </c>
      <c r="X79" s="255" t="s">
        <v>511</v>
      </c>
      <c r="Y79" s="255" t="s">
        <v>486</v>
      </c>
      <c r="Z79" s="255" t="s">
        <v>487</v>
      </c>
      <c r="AA79" s="255" t="s">
        <v>512</v>
      </c>
      <c r="AB79" s="255" t="s">
        <v>545</v>
      </c>
      <c r="AC79" s="259"/>
      <c r="AD79" s="255" t="s">
        <v>526</v>
      </c>
      <c r="AE79" s="260">
        <v>20.0</v>
      </c>
      <c r="AF79" s="259"/>
      <c r="AG79" s="264"/>
      <c r="AH79" s="265"/>
      <c r="AI79" s="265"/>
      <c r="AJ79" s="259"/>
      <c r="AK79" s="256" t="s">
        <v>179</v>
      </c>
      <c r="AL79" s="259" t="s">
        <v>129</v>
      </c>
      <c r="AM79" s="259"/>
      <c r="AN79" s="259"/>
      <c r="AO79" s="259"/>
      <c r="AP79" s="259"/>
      <c r="AQ79" s="259"/>
      <c r="AR79" s="259"/>
      <c r="AS79" s="259"/>
      <c r="AT79" s="259"/>
      <c r="AU79" s="259"/>
      <c r="AV79" s="259"/>
      <c r="AW79" s="259"/>
      <c r="AX79" s="259"/>
      <c r="AY79" s="233" t="s">
        <v>497</v>
      </c>
      <c r="AZ79" s="234"/>
      <c r="BA79" s="234"/>
      <c r="BB79" s="234"/>
      <c r="BC79" s="234"/>
      <c r="BD79" s="234"/>
      <c r="BE79" s="234"/>
      <c r="BF79" s="234"/>
      <c r="BG79" s="234"/>
      <c r="BH79" s="234"/>
      <c r="BI79" s="234"/>
      <c r="BJ79" s="234"/>
      <c r="BK79" s="234"/>
      <c r="BL79" s="234"/>
      <c r="BM79" s="234"/>
      <c r="BN79" s="234"/>
      <c r="BO79" s="234"/>
      <c r="BP79" s="234"/>
      <c r="BQ79" s="234"/>
      <c r="BR79" s="234"/>
      <c r="BS79" s="234"/>
      <c r="BT79" s="234"/>
      <c r="BU79" s="234"/>
      <c r="BV79" s="234"/>
      <c r="BW79" s="234"/>
      <c r="BX79" s="234"/>
      <c r="BY79" s="234"/>
      <c r="BZ79" s="234"/>
      <c r="CA79" s="234"/>
      <c r="CB79" s="234"/>
      <c r="CC79" s="234"/>
      <c r="CD79" s="234"/>
      <c r="CE79" s="234"/>
      <c r="CF79" s="234"/>
      <c r="CG79" s="234"/>
      <c r="CH79" s="234"/>
      <c r="CI79" s="234"/>
      <c r="CJ79" s="234"/>
      <c r="CK79" s="234"/>
      <c r="CL79" s="234"/>
      <c r="CM79" s="234"/>
      <c r="CN79" s="234"/>
      <c r="CO79" s="234"/>
      <c r="CP79" s="234"/>
      <c r="CQ79" s="234"/>
      <c r="CR79" s="234"/>
      <c r="CS79" s="234"/>
      <c r="CT79" s="234"/>
      <c r="CU79" s="234"/>
      <c r="CV79" s="234"/>
      <c r="CW79" s="234"/>
      <c r="CX79" s="234"/>
      <c r="CY79" s="234"/>
      <c r="CZ79" s="234"/>
      <c r="DA79" s="234"/>
      <c r="DB79" s="234"/>
      <c r="DC79" s="234"/>
      <c r="DD79" s="234"/>
      <c r="DE79" s="234"/>
      <c r="DF79" s="234"/>
      <c r="DG79" s="234"/>
    </row>
    <row r="80" ht="20.25" customHeight="1">
      <c r="A80" s="240" t="s">
        <v>520</v>
      </c>
      <c r="B80" s="266" t="s">
        <v>107</v>
      </c>
      <c r="C80" s="266" t="s">
        <v>144</v>
      </c>
      <c r="D80" s="267"/>
      <c r="E80" s="242" t="s">
        <v>476</v>
      </c>
      <c r="F80" s="243" t="s">
        <v>546</v>
      </c>
      <c r="G80" s="243" t="s">
        <v>144</v>
      </c>
      <c r="H80" s="268">
        <v>45638.0</v>
      </c>
      <c r="I80" s="245">
        <v>45679.0</v>
      </c>
      <c r="J80" s="269" t="s">
        <v>547</v>
      </c>
      <c r="K80" s="253"/>
      <c r="L80" s="243" t="s">
        <v>480</v>
      </c>
      <c r="M80" s="243" t="s">
        <v>481</v>
      </c>
      <c r="N80" s="270">
        <v>1.0</v>
      </c>
      <c r="O80" s="271" t="s">
        <v>482</v>
      </c>
      <c r="P80" s="248" t="str">
        <f t="array" ref="P80">HYPERLINK(INDEX('File Links'!B:B, MATCH(O80, 'File Links'!C:C, 0)))
</f>
        <v>https://drive.google.com/file/d/1bOamtHkDDCeR5rldqOBSgCXc_AFZb3yD/view?usp=drivesdk</v>
      </c>
      <c r="Q80" s="243" t="s">
        <v>483</v>
      </c>
      <c r="R80" s="243" t="s">
        <v>484</v>
      </c>
      <c r="S80" s="253"/>
      <c r="T80" s="272">
        <v>1.0</v>
      </c>
      <c r="U80" s="243" t="s">
        <v>485</v>
      </c>
      <c r="V80" s="243" t="s">
        <v>155</v>
      </c>
      <c r="W80" s="251" t="str">
        <f t="array" ref="W80">HYPERLINK(INDEX('File Links'!B:B, MATCH(U80, 'File Links'!C:C, 0)))
</f>
        <v>https://drive.google.com/file/d/1iWxdhqxc4T6twXLJR2WbGMzAHqB2cMPh/view?usp=drivesdk</v>
      </c>
      <c r="X80" s="253"/>
      <c r="Y80" s="243" t="s">
        <v>501</v>
      </c>
      <c r="Z80" s="273" t="s">
        <v>502</v>
      </c>
      <c r="AA80" s="273" t="s">
        <v>488</v>
      </c>
      <c r="AB80" s="273" t="s">
        <v>548</v>
      </c>
      <c r="AC80" s="273" t="s">
        <v>549</v>
      </c>
      <c r="AD80" s="274">
        <v>3.0</v>
      </c>
      <c r="AE80" s="274">
        <v>20.0</v>
      </c>
      <c r="AF80" s="243" t="s">
        <v>550</v>
      </c>
      <c r="AG80" s="271" t="s">
        <v>162</v>
      </c>
      <c r="AH80" s="243" t="s">
        <v>505</v>
      </c>
      <c r="AI80" s="274">
        <v>0.059</v>
      </c>
      <c r="AJ80" s="242" t="s">
        <v>164</v>
      </c>
      <c r="AK80" s="243" t="s">
        <v>211</v>
      </c>
      <c r="AL80" s="253" t="s">
        <v>132</v>
      </c>
      <c r="AM80" s="253"/>
      <c r="AN80" s="274">
        <v>39.0</v>
      </c>
      <c r="AO80" s="274">
        <v>0.052</v>
      </c>
      <c r="AP80" s="243" t="s">
        <v>130</v>
      </c>
      <c r="AQ80" s="243" t="s">
        <v>494</v>
      </c>
      <c r="AR80" s="274">
        <v>0.122</v>
      </c>
      <c r="AS80" s="242" t="s">
        <v>164</v>
      </c>
      <c r="AT80" s="275" t="s">
        <v>179</v>
      </c>
      <c r="AU80" s="249" t="s">
        <v>129</v>
      </c>
      <c r="AV80" s="276" t="s">
        <v>506</v>
      </c>
      <c r="AW80" s="277" t="s">
        <v>134</v>
      </c>
      <c r="AX80" s="278" t="s">
        <v>551</v>
      </c>
      <c r="AY80" s="240" t="s">
        <v>497</v>
      </c>
      <c r="AZ80" s="241"/>
      <c r="BA80" s="241"/>
      <c r="BB80" s="241"/>
      <c r="BC80" s="241"/>
      <c r="BD80" s="241"/>
      <c r="BE80" s="241"/>
      <c r="BF80" s="241"/>
      <c r="BG80" s="241"/>
      <c r="BH80" s="241"/>
      <c r="BI80" s="241"/>
      <c r="BJ80" s="241"/>
      <c r="BK80" s="241"/>
      <c r="BL80" s="241"/>
      <c r="BM80" s="241"/>
      <c r="BN80" s="241"/>
      <c r="BO80" s="241"/>
      <c r="BP80" s="241"/>
      <c r="BQ80" s="241"/>
      <c r="BR80" s="241"/>
      <c r="BS80" s="241"/>
      <c r="BT80" s="241"/>
      <c r="BU80" s="241"/>
      <c r="BV80" s="241"/>
      <c r="BW80" s="241"/>
      <c r="BX80" s="241"/>
      <c r="BY80" s="241"/>
      <c r="BZ80" s="241"/>
      <c r="CA80" s="241"/>
      <c r="CB80" s="241"/>
      <c r="CC80" s="241"/>
      <c r="CD80" s="241"/>
      <c r="CE80" s="241"/>
      <c r="CF80" s="241"/>
      <c r="CG80" s="241"/>
      <c r="CH80" s="241"/>
      <c r="CI80" s="241"/>
      <c r="CJ80" s="241"/>
      <c r="CK80" s="241"/>
      <c r="CL80" s="241"/>
      <c r="CM80" s="241"/>
      <c r="CN80" s="241"/>
      <c r="CO80" s="241"/>
      <c r="CP80" s="241"/>
      <c r="CQ80" s="241"/>
      <c r="CR80" s="241"/>
      <c r="CS80" s="241"/>
      <c r="CT80" s="241"/>
      <c r="CU80" s="241"/>
      <c r="CV80" s="241"/>
      <c r="CW80" s="241"/>
      <c r="CX80" s="241"/>
      <c r="CY80" s="241"/>
      <c r="CZ80" s="241"/>
      <c r="DA80" s="241"/>
      <c r="DB80" s="241"/>
      <c r="DC80" s="241"/>
      <c r="DD80" s="241"/>
      <c r="DE80" s="241"/>
      <c r="DF80" s="241"/>
      <c r="DG80" s="241"/>
    </row>
    <row r="81" ht="20.25" customHeight="1">
      <c r="A81" s="279" t="s">
        <v>143</v>
      </c>
      <c r="B81" s="280" t="s">
        <v>107</v>
      </c>
      <c r="C81" s="280" t="s">
        <v>144</v>
      </c>
      <c r="D81" s="281"/>
      <c r="E81" s="282" t="s">
        <v>476</v>
      </c>
      <c r="F81" s="283" t="s">
        <v>552</v>
      </c>
      <c r="G81" s="283" t="s">
        <v>144</v>
      </c>
      <c r="H81" s="284">
        <v>45638.0</v>
      </c>
      <c r="I81" s="285">
        <v>45679.0</v>
      </c>
      <c r="J81" s="286" t="s">
        <v>553</v>
      </c>
      <c r="K81" s="287" t="s">
        <v>554</v>
      </c>
      <c r="L81" s="288" t="s">
        <v>555</v>
      </c>
      <c r="M81" s="283" t="s">
        <v>481</v>
      </c>
      <c r="N81" s="289">
        <v>1.0</v>
      </c>
      <c r="O81" s="290" t="s">
        <v>482</v>
      </c>
      <c r="P81" s="288" t="str">
        <f t="array" ref="P81">HYPERLINK(INDEX('File Links'!B:B, MATCH(O81, 'File Links'!C:C, 0)))
</f>
        <v>https://drive.google.com/file/d/1bOamtHkDDCeR5rldqOBSgCXc_AFZb3yD/view?usp=drivesdk</v>
      </c>
      <c r="Q81" s="283" t="s">
        <v>483</v>
      </c>
      <c r="R81" s="283" t="s">
        <v>484</v>
      </c>
      <c r="S81" s="291"/>
      <c r="T81" s="292">
        <v>1.0</v>
      </c>
      <c r="U81" s="283" t="s">
        <v>485</v>
      </c>
      <c r="V81" s="283" t="s">
        <v>155</v>
      </c>
      <c r="W81" s="293" t="str">
        <f t="array" ref="W81">HYPERLINK(INDEX('File Links'!B:B, MATCH(U81, 'File Links'!C:C, 0)))
</f>
        <v>https://drive.google.com/file/d/1iWxdhqxc4T6twXLJR2WbGMzAHqB2cMPh/view?usp=drivesdk</v>
      </c>
      <c r="X81" s="291"/>
      <c r="Y81" s="283" t="s">
        <v>501</v>
      </c>
      <c r="Z81" s="294" t="s">
        <v>502</v>
      </c>
      <c r="AA81" s="294" t="s">
        <v>488</v>
      </c>
      <c r="AB81" s="294" t="s">
        <v>556</v>
      </c>
      <c r="AC81" s="294" t="s">
        <v>557</v>
      </c>
      <c r="AD81" s="295">
        <v>3.0</v>
      </c>
      <c r="AE81" s="295">
        <v>20.0</v>
      </c>
      <c r="AF81" s="283" t="s">
        <v>558</v>
      </c>
      <c r="AG81" s="290" t="s">
        <v>162</v>
      </c>
      <c r="AH81" s="296" t="s">
        <v>210</v>
      </c>
      <c r="AI81" s="295">
        <v>4.0E-4</v>
      </c>
      <c r="AJ81" s="282" t="s">
        <v>164</v>
      </c>
      <c r="AK81" s="283" t="s">
        <v>211</v>
      </c>
      <c r="AL81" s="291" t="s">
        <v>132</v>
      </c>
      <c r="AM81" s="291"/>
      <c r="AN81" s="295">
        <v>39.0</v>
      </c>
      <c r="AO81" s="295">
        <v>0.054</v>
      </c>
      <c r="AP81" s="283" t="s">
        <v>130</v>
      </c>
      <c r="AQ81" s="283" t="s">
        <v>494</v>
      </c>
      <c r="AR81" s="295">
        <v>0.11</v>
      </c>
      <c r="AS81" s="282" t="s">
        <v>164</v>
      </c>
      <c r="AT81" s="297" t="s">
        <v>179</v>
      </c>
      <c r="AU81" s="298" t="s">
        <v>129</v>
      </c>
      <c r="AV81" s="299" t="s">
        <v>506</v>
      </c>
      <c r="AW81" s="300" t="s">
        <v>134</v>
      </c>
      <c r="AX81" s="291"/>
      <c r="AY81" s="279" t="s">
        <v>497</v>
      </c>
      <c r="AZ81" s="301"/>
      <c r="BA81" s="301"/>
      <c r="BB81" s="301"/>
      <c r="BC81" s="301"/>
      <c r="BD81" s="301"/>
      <c r="BE81" s="301"/>
      <c r="BF81" s="301"/>
      <c r="BG81" s="301"/>
      <c r="BH81" s="301"/>
      <c r="BI81" s="301"/>
      <c r="BJ81" s="301"/>
      <c r="BK81" s="301"/>
      <c r="BL81" s="301"/>
      <c r="BM81" s="301"/>
      <c r="BN81" s="301"/>
      <c r="BO81" s="301"/>
      <c r="BP81" s="301"/>
      <c r="BQ81" s="301"/>
      <c r="BR81" s="301"/>
      <c r="BS81" s="301"/>
      <c r="BT81" s="301"/>
      <c r="BU81" s="301"/>
      <c r="BV81" s="301"/>
      <c r="BW81" s="301"/>
      <c r="BX81" s="301"/>
      <c r="BY81" s="301"/>
      <c r="BZ81" s="301"/>
      <c r="CA81" s="301"/>
      <c r="CB81" s="301"/>
      <c r="CC81" s="301"/>
      <c r="CD81" s="301"/>
      <c r="CE81" s="301"/>
      <c r="CF81" s="301"/>
      <c r="CG81" s="301"/>
      <c r="CH81" s="301"/>
      <c r="CI81" s="301"/>
      <c r="CJ81" s="301"/>
      <c r="CK81" s="301"/>
      <c r="CL81" s="301"/>
      <c r="CM81" s="301"/>
      <c r="CN81" s="301"/>
      <c r="CO81" s="301"/>
      <c r="CP81" s="301"/>
      <c r="CQ81" s="301"/>
      <c r="CR81" s="301"/>
      <c r="CS81" s="301"/>
      <c r="CT81" s="301"/>
      <c r="CU81" s="301"/>
      <c r="CV81" s="301"/>
      <c r="CW81" s="301"/>
      <c r="CX81" s="301"/>
      <c r="CY81" s="301"/>
      <c r="CZ81" s="301"/>
      <c r="DA81" s="301"/>
      <c r="DB81" s="301"/>
      <c r="DC81" s="301"/>
      <c r="DD81" s="301"/>
      <c r="DE81" s="301"/>
      <c r="DF81" s="301"/>
      <c r="DG81" s="301"/>
    </row>
    <row r="82" ht="20.25" hidden="1" customHeight="1">
      <c r="A82" s="40" t="s">
        <v>106</v>
      </c>
      <c r="B82" s="40" t="s">
        <v>107</v>
      </c>
      <c r="C82" s="139" t="s">
        <v>243</v>
      </c>
      <c r="D82" s="40"/>
      <c r="E82" s="41" t="s">
        <v>559</v>
      </c>
      <c r="F82" s="40" t="s">
        <v>560</v>
      </c>
      <c r="G82" s="40" t="s">
        <v>244</v>
      </c>
      <c r="H82" s="56">
        <v>45427.0</v>
      </c>
      <c r="I82" s="57">
        <v>45626.0</v>
      </c>
      <c r="J82" s="40" t="s">
        <v>561</v>
      </c>
      <c r="K82" s="58"/>
      <c r="L82" s="40" t="s">
        <v>562</v>
      </c>
      <c r="M82" s="40" t="s">
        <v>563</v>
      </c>
      <c r="N82" s="58"/>
      <c r="O82" s="105" t="str">
        <f> hyperlink(vlookup(lower(M82),'File Links'!A:B, 2, FALSE), SUBSTITUTE(lower(M82), "/", "--") &amp;  ".pdf")</f>
        <v>10.1017--s1355617717001059.pdf</v>
      </c>
      <c r="P82" s="48" t="str">
        <f t="array" ref="P82">HYPERLINK(INDEX('File Links'!B:B, MATCH(O82, 'File Links'!C:C, 0)))
</f>
        <v>https://drive.google.com/file/d/1EKnIsw-dolmmk1-6Kle0hKb5-wtcqfmw/view?usp=drivesdk</v>
      </c>
      <c r="Q82" s="40" t="s">
        <v>564</v>
      </c>
      <c r="R82" s="40" t="s">
        <v>565</v>
      </c>
      <c r="S82" s="58"/>
      <c r="T82" s="58"/>
      <c r="U82" s="59" t="str">
        <f> hyperlink(vlookup(lower(R82),'File Links'!E:F, 2, FALSE), SUBSTITUTE(lower(R82), "/", "--") &amp;  ".pdf")</f>
        <v>10.1038--s44220-024-00225-1.pdf</v>
      </c>
      <c r="V82" s="58"/>
      <c r="W82" s="45" t="str">
        <f t="array" ref="W82">HYPERLINK(INDEX('File Links'!B:B, MATCH(U82, 'File Links'!C:C, 0)))
</f>
        <v>#N/A</v>
      </c>
      <c r="X82" s="40" t="s">
        <v>566</v>
      </c>
      <c r="Y82" s="40" t="s">
        <v>501</v>
      </c>
      <c r="Z82" s="58"/>
      <c r="AA82" s="40" t="s">
        <v>567</v>
      </c>
      <c r="AB82" s="40" t="s">
        <v>568</v>
      </c>
      <c r="AC82" s="40" t="s">
        <v>569</v>
      </c>
      <c r="AD82" s="40" t="s">
        <v>570</v>
      </c>
      <c r="AE82" s="40">
        <v>272.0</v>
      </c>
      <c r="AF82" s="58"/>
      <c r="AG82" s="58"/>
      <c r="AH82" s="58"/>
      <c r="AI82" s="40"/>
      <c r="AJ82" s="58"/>
      <c r="AK82" s="58"/>
      <c r="AL82" s="25"/>
      <c r="AM82" s="58"/>
      <c r="AN82" s="58"/>
      <c r="AO82" s="58"/>
      <c r="AP82" s="58"/>
      <c r="AQ82" s="58"/>
      <c r="AR82" s="58"/>
      <c r="AS82" s="58"/>
      <c r="AT82" s="58"/>
      <c r="AU82" s="25"/>
      <c r="AW82" s="115" t="s">
        <v>571</v>
      </c>
      <c r="AX82" s="58"/>
      <c r="AZ82" s="95"/>
      <c r="BA82" s="95"/>
      <c r="BB82" s="95"/>
      <c r="BC82" s="95"/>
      <c r="BD82" s="95"/>
      <c r="BE82" s="95"/>
      <c r="BF82" s="95"/>
      <c r="BG82" s="95"/>
      <c r="BH82" s="95"/>
      <c r="BI82" s="95"/>
      <c r="BJ82" s="95"/>
      <c r="BK82" s="95"/>
      <c r="BL82" s="95"/>
      <c r="BM82" s="95"/>
      <c r="BN82" s="95"/>
      <c r="BO82" s="95"/>
      <c r="BP82" s="95"/>
      <c r="BQ82" s="95"/>
      <c r="BR82" s="95"/>
      <c r="BS82" s="95"/>
      <c r="BT82" s="95"/>
      <c r="BU82" s="95"/>
      <c r="BV82" s="95"/>
      <c r="BW82" s="95"/>
      <c r="BX82" s="95"/>
      <c r="BY82" s="95"/>
      <c r="BZ82" s="95"/>
      <c r="CA82" s="95"/>
      <c r="CB82" s="95"/>
      <c r="CC82" s="95"/>
      <c r="CD82" s="95"/>
      <c r="CE82" s="95"/>
      <c r="CF82" s="95"/>
      <c r="CG82" s="95"/>
      <c r="CH82" s="95"/>
      <c r="CI82" s="95"/>
      <c r="CJ82" s="95"/>
      <c r="CK82" s="95"/>
      <c r="CL82" s="95"/>
      <c r="CM82" s="95"/>
      <c r="CN82" s="95"/>
      <c r="CO82" s="95"/>
      <c r="CP82" s="95"/>
      <c r="CQ82" s="95"/>
      <c r="CR82" s="95"/>
      <c r="CS82" s="95"/>
      <c r="CT82" s="95"/>
      <c r="CU82" s="95"/>
      <c r="CV82" s="95"/>
      <c r="CW82" s="95"/>
      <c r="CX82" s="95"/>
      <c r="CY82" s="95"/>
      <c r="CZ82" s="95"/>
      <c r="DA82" s="95"/>
      <c r="DB82" s="95"/>
      <c r="DC82" s="95"/>
      <c r="DD82" s="95"/>
      <c r="DE82" s="95"/>
      <c r="DF82" s="95"/>
      <c r="DG82" s="95"/>
    </row>
    <row r="83" ht="20.25" hidden="1" customHeight="1">
      <c r="A83" s="40" t="s">
        <v>106</v>
      </c>
      <c r="B83" s="41" t="s">
        <v>107</v>
      </c>
      <c r="C83" s="41" t="s">
        <v>280</v>
      </c>
      <c r="E83" s="143" t="s">
        <v>559</v>
      </c>
      <c r="F83" s="139" t="s">
        <v>560</v>
      </c>
      <c r="G83" s="139" t="s">
        <v>283</v>
      </c>
      <c r="H83" s="141">
        <v>45427.0</v>
      </c>
      <c r="I83" s="141">
        <v>45684.0</v>
      </c>
      <c r="J83" s="115" t="s">
        <v>572</v>
      </c>
      <c r="K83" s="60"/>
      <c r="L83" s="143" t="s">
        <v>562</v>
      </c>
      <c r="M83" s="143" t="s">
        <v>563</v>
      </c>
      <c r="N83" s="144"/>
      <c r="O83" s="302" t="s">
        <v>573</v>
      </c>
      <c r="P83" s="48" t="str">
        <f t="array" ref="P83">HYPERLINK(INDEX('File Links'!B:B, MATCH(O83, 'File Links'!C:C, 0)))
</f>
        <v>https://drive.google.com/file/d/1EKnIsw-dolmmk1-6Kle0hKb5-wtcqfmw/view?usp=drivesdk</v>
      </c>
      <c r="Q83" s="115" t="s">
        <v>564</v>
      </c>
      <c r="R83" s="60"/>
      <c r="S83" s="60"/>
      <c r="T83" s="144"/>
      <c r="U83" s="302" t="s">
        <v>351</v>
      </c>
      <c r="V83" s="60"/>
      <c r="W83" s="45" t="str">
        <f t="array" ref="W83">HYPERLINK(INDEX('File Links'!B:B, MATCH(U83, 'File Links'!C:C, 0)))
</f>
        <v>#N/A</v>
      </c>
      <c r="X83" s="40" t="s">
        <v>566</v>
      </c>
      <c r="Y83" s="139" t="s">
        <v>139</v>
      </c>
      <c r="Z83" s="60"/>
      <c r="AA83" s="60"/>
      <c r="AB83" s="60"/>
      <c r="AC83" s="146"/>
      <c r="AD83" s="144"/>
      <c r="AE83" s="144"/>
      <c r="AF83" s="144"/>
      <c r="AG83" s="147"/>
      <c r="AH83" s="60"/>
      <c r="AI83" s="148"/>
      <c r="AJ83" s="52"/>
      <c r="AK83" s="52"/>
      <c r="AL83" s="60"/>
      <c r="AM83" s="55"/>
      <c r="AN83" s="144"/>
      <c r="AO83" s="144"/>
      <c r="AP83" s="147"/>
      <c r="AQ83" s="60"/>
      <c r="AR83" s="150"/>
      <c r="AS83" s="147"/>
      <c r="AT83" s="147"/>
      <c r="AU83" s="60"/>
      <c r="AV83" s="303"/>
      <c r="AW83" s="60"/>
      <c r="AZ83" s="64"/>
      <c r="BA83" s="64"/>
      <c r="BB83" s="64"/>
      <c r="BC83" s="64"/>
      <c r="BD83" s="64"/>
      <c r="BE83" s="64"/>
      <c r="BF83" s="64"/>
      <c r="BG83" s="64"/>
      <c r="BH83" s="64"/>
      <c r="BI83" s="64"/>
      <c r="BJ83" s="64"/>
      <c r="BK83" s="64"/>
      <c r="BL83" s="64"/>
      <c r="BM83" s="64"/>
      <c r="BN83" s="64"/>
      <c r="BO83" s="64"/>
      <c r="BP83" s="64"/>
      <c r="BQ83" s="64"/>
      <c r="BR83" s="64"/>
      <c r="BS83" s="64"/>
      <c r="BT83" s="64"/>
      <c r="BU83" s="64"/>
      <c r="BV83" s="64"/>
      <c r="BW83" s="64"/>
      <c r="BX83" s="64"/>
      <c r="BY83" s="64"/>
      <c r="BZ83" s="64"/>
      <c r="CA83" s="64"/>
      <c r="CB83" s="64"/>
      <c r="CC83" s="64"/>
      <c r="CD83" s="64"/>
      <c r="CE83" s="64"/>
      <c r="CF83" s="64"/>
      <c r="CG83" s="64"/>
      <c r="CH83" s="64"/>
      <c r="CI83" s="64"/>
      <c r="CJ83" s="64"/>
      <c r="CK83" s="64"/>
      <c r="CL83" s="64"/>
      <c r="CM83" s="64"/>
      <c r="CN83" s="64"/>
      <c r="CO83" s="64"/>
      <c r="CP83" s="64"/>
      <c r="CQ83" s="64"/>
      <c r="CR83" s="64"/>
      <c r="CS83" s="64"/>
      <c r="CT83" s="64"/>
      <c r="CU83" s="64"/>
      <c r="CV83" s="64"/>
      <c r="CW83" s="64"/>
      <c r="CX83" s="64"/>
      <c r="CY83" s="64"/>
      <c r="CZ83" s="64"/>
      <c r="DA83" s="64"/>
      <c r="DB83" s="64"/>
      <c r="DC83" s="64"/>
      <c r="DD83" s="64"/>
      <c r="DE83" s="64"/>
      <c r="DF83" s="64"/>
      <c r="DG83" s="64"/>
    </row>
    <row r="84" ht="20.25" hidden="1" customHeight="1">
      <c r="A84" s="40" t="s">
        <v>520</v>
      </c>
      <c r="B84" s="40" t="s">
        <v>107</v>
      </c>
      <c r="C84" s="139" t="s">
        <v>243</v>
      </c>
      <c r="D84" s="40"/>
      <c r="E84" s="41" t="s">
        <v>574</v>
      </c>
      <c r="F84" s="40" t="s">
        <v>575</v>
      </c>
      <c r="G84" s="40" t="s">
        <v>244</v>
      </c>
      <c r="H84" s="56">
        <v>45427.0</v>
      </c>
      <c r="I84" s="57">
        <v>45626.0</v>
      </c>
      <c r="J84" s="40" t="s">
        <v>576</v>
      </c>
      <c r="K84" s="58"/>
      <c r="L84" s="40" t="s">
        <v>577</v>
      </c>
      <c r="M84" s="40" t="s">
        <v>578</v>
      </c>
      <c r="N84" s="58"/>
      <c r="O84" s="105" t="str">
        <f> hyperlink(vlookup(lower(M84),'File Links'!A:B, 2, FALSE), SUBSTITUTE(lower(M84), "/", "--") &amp;  ".pdf")</f>
        <v>10.2307--25148791.pdf</v>
      </c>
      <c r="P84" s="48" t="str">
        <f t="array" ref="P84">HYPERLINK(INDEX('File Links'!B:B, MATCH(O84, 'File Links'!C:C, 0)))
</f>
        <v>https://drive.google.com/file/d/1R2VrRXYyejGfSg11kpe_vHbQr5DvYbiJ/view?usp=drivesdk</v>
      </c>
      <c r="Q84" s="40" t="s">
        <v>579</v>
      </c>
      <c r="R84" s="40" t="s">
        <v>580</v>
      </c>
      <c r="S84" s="58"/>
      <c r="T84" s="58"/>
      <c r="U84" s="59" t="str">
        <f> hyperlink(vlookup(lower(R84),'File Links'!E:F, 2, FALSE), SUBSTITUTE(lower(R84), "/", "--") &amp;  ".pdf")</f>
        <v>10.2139--ssrn.3816626.pdf</v>
      </c>
      <c r="V84" s="58"/>
      <c r="W84" s="45" t="str">
        <f t="array" ref="W84">HYPERLINK(INDEX('File Links'!B:B, MATCH(U84, 'File Links'!C:C, 0)))
</f>
        <v>#N/A</v>
      </c>
      <c r="X84" s="40" t="s">
        <v>581</v>
      </c>
      <c r="Y84" s="40" t="s">
        <v>582</v>
      </c>
      <c r="Z84" s="58"/>
      <c r="AA84" s="58"/>
      <c r="AB84" s="40" t="s">
        <v>583</v>
      </c>
      <c r="AC84" s="58"/>
      <c r="AD84" s="58"/>
      <c r="AE84" s="58"/>
      <c r="AF84" s="58"/>
      <c r="AG84" s="58"/>
      <c r="AH84" s="58"/>
      <c r="AI84" s="40"/>
      <c r="AJ84" s="58"/>
      <c r="AK84" s="58"/>
      <c r="AL84" s="25"/>
      <c r="AM84" s="58"/>
      <c r="AN84" s="58"/>
      <c r="AO84" s="58"/>
      <c r="AP84" s="58"/>
      <c r="AQ84" s="58"/>
      <c r="AR84" s="58"/>
      <c r="AS84" s="58"/>
      <c r="AT84" s="58"/>
      <c r="AU84" s="25"/>
      <c r="AW84" s="115" t="s">
        <v>267</v>
      </c>
      <c r="AX84" s="58"/>
      <c r="AZ84" s="95"/>
      <c r="BA84" s="95"/>
      <c r="BB84" s="95"/>
      <c r="BC84" s="95"/>
      <c r="BD84" s="95"/>
      <c r="BE84" s="95"/>
      <c r="BF84" s="95"/>
      <c r="BG84" s="95"/>
      <c r="BH84" s="95"/>
      <c r="BI84" s="95"/>
      <c r="BJ84" s="95"/>
      <c r="BK84" s="95"/>
      <c r="BL84" s="95"/>
      <c r="BM84" s="95"/>
      <c r="BN84" s="95"/>
      <c r="BO84" s="95"/>
      <c r="BP84" s="95"/>
      <c r="BQ84" s="95"/>
      <c r="BR84" s="95"/>
      <c r="BS84" s="95"/>
      <c r="BT84" s="95"/>
      <c r="BU84" s="95"/>
      <c r="BV84" s="95"/>
      <c r="BW84" s="95"/>
      <c r="BX84" s="95"/>
      <c r="BY84" s="95"/>
      <c r="BZ84" s="95"/>
      <c r="CA84" s="95"/>
      <c r="CB84" s="95"/>
      <c r="CC84" s="95"/>
      <c r="CD84" s="95"/>
      <c r="CE84" s="95"/>
      <c r="CF84" s="95"/>
      <c r="CG84" s="95"/>
      <c r="CH84" s="95"/>
      <c r="CI84" s="95"/>
      <c r="CJ84" s="95"/>
      <c r="CK84" s="95"/>
      <c r="CL84" s="95"/>
      <c r="CM84" s="95"/>
      <c r="CN84" s="95"/>
      <c r="CO84" s="95"/>
      <c r="CP84" s="95"/>
      <c r="CQ84" s="95"/>
      <c r="CR84" s="95"/>
      <c r="CS84" s="95"/>
      <c r="CT84" s="95"/>
      <c r="CU84" s="95"/>
      <c r="CV84" s="95"/>
      <c r="CW84" s="95"/>
      <c r="CX84" s="95"/>
      <c r="CY84" s="95"/>
      <c r="CZ84" s="95"/>
      <c r="DA84" s="95"/>
      <c r="DB84" s="95"/>
      <c r="DC84" s="95"/>
      <c r="DD84" s="95"/>
      <c r="DE84" s="95"/>
      <c r="DF84" s="95"/>
      <c r="DG84" s="95"/>
    </row>
    <row r="85" ht="20.25" customHeight="1">
      <c r="A85" s="40" t="s">
        <v>520</v>
      </c>
      <c r="B85" s="41" t="s">
        <v>107</v>
      </c>
      <c r="C85" s="41" t="s">
        <v>280</v>
      </c>
      <c r="E85" s="143" t="s">
        <v>574</v>
      </c>
      <c r="F85" s="139" t="s">
        <v>575</v>
      </c>
      <c r="G85" s="139" t="s">
        <v>283</v>
      </c>
      <c r="H85" s="141">
        <v>45427.0</v>
      </c>
      <c r="I85" s="141">
        <v>45684.0</v>
      </c>
      <c r="J85" s="115" t="s">
        <v>584</v>
      </c>
      <c r="K85" s="60"/>
      <c r="L85" s="143" t="s">
        <v>577</v>
      </c>
      <c r="M85" s="143" t="s">
        <v>578</v>
      </c>
      <c r="N85" s="144"/>
      <c r="O85" s="302" t="s">
        <v>585</v>
      </c>
      <c r="P85" s="48" t="str">
        <f t="array" ref="P85">HYPERLINK(INDEX('File Links'!B:B, MATCH(O85, 'File Links'!C:C, 0)))
</f>
        <v>https://drive.google.com/file/d/1R2VrRXYyejGfSg11kpe_vHbQr5DvYbiJ/view?usp=drivesdk</v>
      </c>
      <c r="Q85" s="115" t="s">
        <v>579</v>
      </c>
      <c r="R85" s="60"/>
      <c r="S85" s="60"/>
      <c r="T85" s="144"/>
      <c r="U85" s="302" t="s">
        <v>351</v>
      </c>
      <c r="V85" s="60"/>
      <c r="W85" s="45" t="str">
        <f t="array" ref="W85">HYPERLINK(INDEX('File Links'!B:B, MATCH(U85, 'File Links'!C:C, 0)))
</f>
        <v>#N/A</v>
      </c>
      <c r="Y85" s="139" t="s">
        <v>582</v>
      </c>
      <c r="AF85" s="144"/>
      <c r="AG85" s="147"/>
      <c r="AH85" s="60"/>
      <c r="AI85" s="148"/>
      <c r="AJ85" s="52"/>
      <c r="AK85" s="52"/>
      <c r="AL85" s="60"/>
      <c r="AM85" s="55"/>
      <c r="AN85" s="144"/>
      <c r="AO85" s="144"/>
      <c r="AP85" s="147"/>
      <c r="AQ85" s="60"/>
      <c r="AR85" s="150"/>
      <c r="AS85" s="147"/>
      <c r="AT85" s="147"/>
      <c r="AU85" s="60"/>
      <c r="AV85" s="303"/>
      <c r="AW85" s="60"/>
      <c r="AZ85" s="64"/>
      <c r="BA85" s="64"/>
      <c r="BB85" s="64"/>
      <c r="BC85" s="64"/>
      <c r="BD85" s="64"/>
      <c r="BE85" s="64"/>
      <c r="BF85" s="64"/>
      <c r="BG85" s="64"/>
      <c r="BH85" s="64"/>
      <c r="BI85" s="64"/>
      <c r="BJ85" s="64"/>
      <c r="BK85" s="64"/>
      <c r="BL85" s="64"/>
      <c r="BM85" s="64"/>
      <c r="BN85" s="64"/>
      <c r="BO85" s="64"/>
      <c r="BP85" s="64"/>
      <c r="BQ85" s="64"/>
      <c r="BR85" s="64"/>
      <c r="BS85" s="64"/>
      <c r="BT85" s="64"/>
      <c r="BU85" s="64"/>
      <c r="BV85" s="64"/>
      <c r="BW85" s="64"/>
      <c r="BX85" s="64"/>
      <c r="BY85" s="64"/>
      <c r="BZ85" s="64"/>
      <c r="CA85" s="64"/>
      <c r="CB85" s="64"/>
      <c r="CC85" s="64"/>
      <c r="CD85" s="64"/>
      <c r="CE85" s="64"/>
      <c r="CF85" s="64"/>
      <c r="CG85" s="64"/>
      <c r="CH85" s="64"/>
      <c r="CI85" s="64"/>
      <c r="CJ85" s="64"/>
      <c r="CK85" s="64"/>
      <c r="CL85" s="64"/>
      <c r="CM85" s="64"/>
      <c r="CN85" s="64"/>
      <c r="CO85" s="64"/>
      <c r="CP85" s="64"/>
      <c r="CQ85" s="64"/>
      <c r="CR85" s="64"/>
      <c r="CS85" s="64"/>
      <c r="CT85" s="64"/>
      <c r="CU85" s="64"/>
      <c r="CV85" s="64"/>
      <c r="CW85" s="64"/>
      <c r="CX85" s="64"/>
      <c r="CY85" s="64"/>
      <c r="CZ85" s="64"/>
      <c r="DA85" s="64"/>
      <c r="DB85" s="64"/>
      <c r="DC85" s="64"/>
      <c r="DD85" s="64"/>
      <c r="DE85" s="64"/>
      <c r="DF85" s="64"/>
      <c r="DG85" s="64"/>
    </row>
    <row r="86" ht="20.25" customHeight="1">
      <c r="A86" s="96" t="s">
        <v>586</v>
      </c>
      <c r="B86" s="96" t="s">
        <v>107</v>
      </c>
      <c r="C86" s="136" t="s">
        <v>438</v>
      </c>
      <c r="D86" s="64"/>
      <c r="E86" s="208" t="s">
        <v>587</v>
      </c>
      <c r="F86" s="200" t="s">
        <v>588</v>
      </c>
      <c r="G86" s="200" t="s">
        <v>441</v>
      </c>
      <c r="H86" s="201">
        <v>45636.0</v>
      </c>
      <c r="I86" s="304">
        <v>45680.0</v>
      </c>
      <c r="J86" s="101"/>
      <c r="K86" s="134" t="s">
        <v>589</v>
      </c>
      <c r="L86" s="200" t="s">
        <v>590</v>
      </c>
      <c r="M86" s="200" t="s">
        <v>591</v>
      </c>
      <c r="N86" s="101"/>
      <c r="O86" s="204" t="s">
        <v>592</v>
      </c>
      <c r="P86" s="48" t="str">
        <f t="array" ref="P86">HYPERLINK(INDEX('File Links'!B:B, MATCH(O86, 'File Links'!C:C, 0)))
</f>
        <v>https://drive.google.com/file/d/1RTiaFppoyqVSbs6ENCjo8xyaIVfjFhVI/view?usp=drivesdk</v>
      </c>
      <c r="Q86" s="200" t="s">
        <v>593</v>
      </c>
      <c r="R86" s="305" t="s">
        <v>594</v>
      </c>
      <c r="S86" s="101"/>
      <c r="T86" s="106"/>
      <c r="U86" s="200" t="s">
        <v>595</v>
      </c>
      <c r="V86" s="200" t="s">
        <v>155</v>
      </c>
      <c r="W86" s="50" t="str">
        <f t="array" ref="W86">HYPERLINK(INDEX('File Links'!B:B, MATCH(U86, 'File Links'!C:C, 0)))
</f>
        <v>https://drive.google.com/file/d/1VAdnhoiJmdHbv1LbvyIfcfg3rNALrpkj/view?usp=drivesdk</v>
      </c>
      <c r="X86" s="101"/>
      <c r="Y86" s="306" t="s">
        <v>235</v>
      </c>
      <c r="Z86" s="101"/>
      <c r="AA86" s="200" t="s">
        <v>596</v>
      </c>
      <c r="AB86" s="200" t="s">
        <v>597</v>
      </c>
      <c r="AC86" s="307" t="s">
        <v>598</v>
      </c>
      <c r="AD86" s="207">
        <v>25.0</v>
      </c>
      <c r="AE86" s="207">
        <v>6.0</v>
      </c>
      <c r="AF86" s="308">
        <v>1.21</v>
      </c>
      <c r="AG86" s="204" t="s">
        <v>599</v>
      </c>
      <c r="AH86" s="200" t="s">
        <v>600</v>
      </c>
      <c r="AI86" s="309">
        <v>0.006</v>
      </c>
      <c r="AJ86" s="208" t="s">
        <v>164</v>
      </c>
      <c r="AK86" s="200" t="s">
        <v>179</v>
      </c>
      <c r="AL86" s="200" t="s">
        <v>132</v>
      </c>
      <c r="AM86" s="101"/>
      <c r="AN86" s="207">
        <v>4.0</v>
      </c>
      <c r="AO86" s="207">
        <v>2.06</v>
      </c>
      <c r="AP86" s="200" t="s">
        <v>599</v>
      </c>
      <c r="AQ86" s="200" t="s">
        <v>601</v>
      </c>
      <c r="AR86" s="309">
        <v>0.25</v>
      </c>
      <c r="AS86" s="208" t="s">
        <v>164</v>
      </c>
      <c r="AT86" s="208" t="s">
        <v>179</v>
      </c>
      <c r="AU86" s="208" t="s">
        <v>132</v>
      </c>
      <c r="AV86" s="98"/>
      <c r="AW86" s="208" t="s">
        <v>434</v>
      </c>
      <c r="AX86" s="134" t="s">
        <v>602</v>
      </c>
      <c r="AY86" s="136" t="s">
        <v>135</v>
      </c>
      <c r="AZ86" s="64"/>
      <c r="BA86" s="64"/>
      <c r="BB86" s="64"/>
      <c r="BC86" s="64"/>
      <c r="BD86" s="64"/>
      <c r="BE86" s="64"/>
      <c r="BF86" s="64"/>
      <c r="BG86" s="64"/>
      <c r="BH86" s="64"/>
      <c r="BI86" s="64"/>
      <c r="BJ86" s="64"/>
      <c r="BK86" s="64"/>
      <c r="BL86" s="64"/>
      <c r="BM86" s="64"/>
      <c r="BN86" s="64"/>
      <c r="BO86" s="64"/>
      <c r="BP86" s="64"/>
      <c r="BQ86" s="64"/>
      <c r="BR86" s="64"/>
      <c r="BS86" s="64"/>
      <c r="BT86" s="64"/>
      <c r="BU86" s="64"/>
      <c r="BV86" s="64"/>
      <c r="BW86" s="64"/>
      <c r="BX86" s="64"/>
      <c r="BY86" s="64"/>
      <c r="BZ86" s="64"/>
      <c r="CA86" s="64"/>
      <c r="CB86" s="64"/>
      <c r="CC86" s="64"/>
      <c r="CD86" s="64"/>
      <c r="CE86" s="64"/>
      <c r="CF86" s="64"/>
      <c r="CG86" s="64"/>
      <c r="CH86" s="64"/>
      <c r="CI86" s="64"/>
      <c r="CJ86" s="64"/>
      <c r="CK86" s="64"/>
      <c r="CL86" s="64"/>
      <c r="CM86" s="64"/>
      <c r="CN86" s="64"/>
      <c r="CO86" s="64"/>
      <c r="CP86" s="64"/>
      <c r="CQ86" s="64"/>
      <c r="CR86" s="64"/>
      <c r="CS86" s="64"/>
      <c r="CT86" s="64"/>
      <c r="CU86" s="64"/>
      <c r="CV86" s="64"/>
      <c r="CW86" s="64"/>
      <c r="CX86" s="64"/>
      <c r="CY86" s="64"/>
      <c r="CZ86" s="64"/>
      <c r="DA86" s="64"/>
      <c r="DB86" s="64"/>
      <c r="DC86" s="64"/>
      <c r="DD86" s="64"/>
      <c r="DE86" s="64"/>
      <c r="DF86" s="64"/>
      <c r="DG86" s="64"/>
    </row>
    <row r="87" ht="20.25" customHeight="1">
      <c r="A87" s="96" t="s">
        <v>586</v>
      </c>
      <c r="B87" s="110" t="s">
        <v>107</v>
      </c>
      <c r="C87" s="110" t="s">
        <v>341</v>
      </c>
      <c r="D87" s="95"/>
      <c r="E87" s="111" t="s">
        <v>587</v>
      </c>
      <c r="F87" s="112" t="s">
        <v>588</v>
      </c>
      <c r="G87" s="112" t="s">
        <v>344</v>
      </c>
      <c r="H87" s="310">
        <v>45639.0</v>
      </c>
      <c r="I87" s="304">
        <v>45680.0</v>
      </c>
      <c r="J87" s="211" t="s">
        <v>603</v>
      </c>
      <c r="K87" s="134" t="s">
        <v>589</v>
      </c>
      <c r="L87" s="112" t="s">
        <v>590</v>
      </c>
      <c r="M87" s="211" t="s">
        <v>591</v>
      </c>
      <c r="N87" s="119"/>
      <c r="O87" s="212" t="s">
        <v>592</v>
      </c>
      <c r="P87" s="48" t="str">
        <f t="array" ref="P87">HYPERLINK(INDEX('File Links'!B:B, MATCH(O87, 'File Links'!C:C, 0)))
</f>
        <v>https://drive.google.com/file/d/1RTiaFppoyqVSbs6ENCjo8xyaIVfjFhVI/view?usp=drivesdk</v>
      </c>
      <c r="Q87" s="112" t="s">
        <v>593</v>
      </c>
      <c r="R87" s="112" t="s">
        <v>594</v>
      </c>
      <c r="S87" s="119"/>
      <c r="T87" s="311"/>
      <c r="U87" s="112" t="s">
        <v>351</v>
      </c>
      <c r="V87" s="112" t="s">
        <v>604</v>
      </c>
      <c r="W87" s="45" t="str">
        <f t="array" ref="W87">HYPERLINK(INDEX('File Links'!B:B, MATCH(U87, 'File Links'!C:C, 0)))
</f>
        <v>#N/A</v>
      </c>
      <c r="X87" s="119"/>
      <c r="Y87" s="306" t="s">
        <v>235</v>
      </c>
      <c r="Z87" s="119"/>
      <c r="AA87" s="211" t="s">
        <v>605</v>
      </c>
      <c r="AB87" s="211" t="s">
        <v>606</v>
      </c>
      <c r="AC87" s="211" t="s">
        <v>607</v>
      </c>
      <c r="AD87" s="112" t="s">
        <v>608</v>
      </c>
      <c r="AE87" s="117">
        <v>6.0</v>
      </c>
      <c r="AF87" s="312">
        <v>1.33</v>
      </c>
      <c r="AG87" s="212" t="s">
        <v>166</v>
      </c>
      <c r="AH87" s="112" t="s">
        <v>609</v>
      </c>
      <c r="AI87" s="117">
        <v>0.006</v>
      </c>
      <c r="AJ87" s="127" t="s">
        <v>164</v>
      </c>
      <c r="AK87" s="112" t="s">
        <v>179</v>
      </c>
      <c r="AL87" s="119"/>
      <c r="AM87" s="112" t="s">
        <v>165</v>
      </c>
      <c r="AN87" s="117">
        <v>4.0</v>
      </c>
      <c r="AO87" s="313">
        <v>2.06</v>
      </c>
      <c r="AP87" s="112" t="s">
        <v>599</v>
      </c>
      <c r="AQ87" s="112" t="s">
        <v>610</v>
      </c>
      <c r="AR87" s="313">
        <v>0.25</v>
      </c>
      <c r="AS87" s="127" t="s">
        <v>164</v>
      </c>
      <c r="AT87" s="127" t="s">
        <v>179</v>
      </c>
      <c r="AU87" s="111"/>
      <c r="AV87" s="111" t="s">
        <v>165</v>
      </c>
      <c r="AW87" s="111" t="s">
        <v>434</v>
      </c>
      <c r="AX87" s="128" t="s">
        <v>611</v>
      </c>
      <c r="AY87" s="136" t="s">
        <v>135</v>
      </c>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c r="CU87" s="98"/>
      <c r="CV87" s="98"/>
      <c r="CW87" s="98"/>
      <c r="CX87" s="98"/>
      <c r="CY87" s="98"/>
      <c r="CZ87" s="98"/>
      <c r="DA87" s="98"/>
      <c r="DB87" s="98"/>
      <c r="DC87" s="98"/>
      <c r="DD87" s="98"/>
      <c r="DE87" s="98"/>
      <c r="DF87" s="64"/>
      <c r="DG87" s="64"/>
    </row>
    <row r="88" ht="20.25" customHeight="1">
      <c r="A88" s="96" t="s">
        <v>586</v>
      </c>
      <c r="B88" s="96" t="s">
        <v>107</v>
      </c>
      <c r="C88" s="136" t="s">
        <v>438</v>
      </c>
      <c r="D88" s="64"/>
      <c r="E88" s="111" t="s">
        <v>587</v>
      </c>
      <c r="F88" s="200" t="s">
        <v>612</v>
      </c>
      <c r="G88" s="200" t="s">
        <v>441</v>
      </c>
      <c r="H88" s="201">
        <v>45636.0</v>
      </c>
      <c r="I88" s="304">
        <v>45680.0</v>
      </c>
      <c r="J88" s="200" t="s">
        <v>613</v>
      </c>
      <c r="K88" s="134" t="s">
        <v>589</v>
      </c>
      <c r="L88" s="200" t="s">
        <v>590</v>
      </c>
      <c r="M88" s="200" t="s">
        <v>591</v>
      </c>
      <c r="N88" s="101"/>
      <c r="O88" s="204" t="s">
        <v>592</v>
      </c>
      <c r="P88" s="48" t="str">
        <f t="array" ref="P88">HYPERLINK(INDEX('File Links'!B:B, MATCH(O88, 'File Links'!C:C, 0)))
</f>
        <v>https://drive.google.com/file/d/1RTiaFppoyqVSbs6ENCjo8xyaIVfjFhVI/view?usp=drivesdk</v>
      </c>
      <c r="Q88" s="200" t="s">
        <v>593</v>
      </c>
      <c r="R88" s="305" t="s">
        <v>594</v>
      </c>
      <c r="S88" s="101"/>
      <c r="T88" s="106"/>
      <c r="U88" s="200" t="s">
        <v>595</v>
      </c>
      <c r="V88" s="200" t="s">
        <v>155</v>
      </c>
      <c r="W88" s="50" t="str">
        <f t="array" ref="W88">HYPERLINK(INDEX('File Links'!B:B, MATCH(U88, 'File Links'!C:C, 0)))
</f>
        <v>https://drive.google.com/file/d/1VAdnhoiJmdHbv1LbvyIfcfg3rNALrpkj/view?usp=drivesdk</v>
      </c>
      <c r="X88" s="101"/>
      <c r="Y88" s="306" t="s">
        <v>235</v>
      </c>
      <c r="Z88" s="101"/>
      <c r="AA88" s="200" t="s">
        <v>596</v>
      </c>
      <c r="AB88" s="200" t="s">
        <v>597</v>
      </c>
      <c r="AC88" s="200" t="s">
        <v>598</v>
      </c>
      <c r="AD88" s="207">
        <v>25.0</v>
      </c>
      <c r="AE88" s="207">
        <v>6.0</v>
      </c>
      <c r="AF88" s="309">
        <v>1.21</v>
      </c>
      <c r="AG88" s="204" t="s">
        <v>599</v>
      </c>
      <c r="AH88" s="200" t="s">
        <v>600</v>
      </c>
      <c r="AI88" s="309">
        <v>0.006</v>
      </c>
      <c r="AJ88" s="208" t="s">
        <v>164</v>
      </c>
      <c r="AK88" s="200" t="s">
        <v>179</v>
      </c>
      <c r="AL88" s="200" t="s">
        <v>132</v>
      </c>
      <c r="AM88" s="101"/>
      <c r="AN88" s="207">
        <v>4.0</v>
      </c>
      <c r="AO88" s="207">
        <v>1.5</v>
      </c>
      <c r="AP88" s="200" t="s">
        <v>599</v>
      </c>
      <c r="AQ88" s="200" t="s">
        <v>601</v>
      </c>
      <c r="AR88" s="309">
        <v>0.042</v>
      </c>
      <c r="AS88" s="208" t="s">
        <v>164</v>
      </c>
      <c r="AT88" s="208" t="s">
        <v>179</v>
      </c>
      <c r="AU88" s="208" t="s">
        <v>132</v>
      </c>
      <c r="AV88" s="98"/>
      <c r="AW88" s="208" t="s">
        <v>434</v>
      </c>
      <c r="AX88" s="101"/>
      <c r="AY88" s="136" t="s">
        <v>135</v>
      </c>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64"/>
      <c r="CT88" s="64"/>
      <c r="CU88" s="64"/>
      <c r="CV88" s="64"/>
      <c r="CW88" s="64"/>
      <c r="CX88" s="64"/>
      <c r="CY88" s="64"/>
      <c r="CZ88" s="64"/>
      <c r="DA88" s="64"/>
      <c r="DB88" s="64"/>
      <c r="DC88" s="64"/>
      <c r="DD88" s="64"/>
      <c r="DE88" s="64"/>
      <c r="DF88" s="64"/>
      <c r="DG88" s="64"/>
    </row>
    <row r="89" ht="20.25" customHeight="1">
      <c r="A89" s="96" t="s">
        <v>586</v>
      </c>
      <c r="B89" s="110" t="s">
        <v>107</v>
      </c>
      <c r="C89" s="110" t="s">
        <v>341</v>
      </c>
      <c r="D89" s="95"/>
      <c r="E89" s="111" t="s">
        <v>587</v>
      </c>
      <c r="F89" s="112" t="s">
        <v>612</v>
      </c>
      <c r="G89" s="112" t="s">
        <v>344</v>
      </c>
      <c r="H89" s="310">
        <v>45639.0</v>
      </c>
      <c r="I89" s="304">
        <v>45680.0</v>
      </c>
      <c r="J89" s="211" t="s">
        <v>614</v>
      </c>
      <c r="K89" s="134" t="s">
        <v>589</v>
      </c>
      <c r="L89" s="112" t="s">
        <v>590</v>
      </c>
      <c r="M89" s="211" t="s">
        <v>591</v>
      </c>
      <c r="N89" s="119"/>
      <c r="O89" s="212" t="s">
        <v>592</v>
      </c>
      <c r="P89" s="48" t="str">
        <f t="array" ref="P89">HYPERLINK(INDEX('File Links'!B:B, MATCH(O89, 'File Links'!C:C, 0)))
</f>
        <v>https://drive.google.com/file/d/1RTiaFppoyqVSbs6ENCjo8xyaIVfjFhVI/view?usp=drivesdk</v>
      </c>
      <c r="Q89" s="112" t="s">
        <v>593</v>
      </c>
      <c r="R89" s="112" t="s">
        <v>594</v>
      </c>
      <c r="S89" s="119"/>
      <c r="T89" s="311"/>
      <c r="U89" s="112" t="s">
        <v>351</v>
      </c>
      <c r="V89" s="112" t="s">
        <v>604</v>
      </c>
      <c r="W89" s="45" t="str">
        <f t="array" ref="W89">HYPERLINK(INDEX('File Links'!B:B, MATCH(U89, 'File Links'!C:C, 0)))
</f>
        <v>#N/A</v>
      </c>
      <c r="X89" s="119"/>
      <c r="Y89" s="306" t="s">
        <v>235</v>
      </c>
      <c r="Z89" s="119"/>
      <c r="AA89" s="211" t="s">
        <v>605</v>
      </c>
      <c r="AB89" s="211" t="s">
        <v>606</v>
      </c>
      <c r="AC89" s="211" t="s">
        <v>615</v>
      </c>
      <c r="AD89" s="112" t="s">
        <v>616</v>
      </c>
      <c r="AE89" s="117">
        <v>6.0</v>
      </c>
      <c r="AF89" s="117">
        <v>2.8</v>
      </c>
      <c r="AG89" s="212" t="s">
        <v>166</v>
      </c>
      <c r="AH89" s="112" t="s">
        <v>432</v>
      </c>
      <c r="AI89" s="117">
        <v>0.001</v>
      </c>
      <c r="AJ89" s="127" t="s">
        <v>164</v>
      </c>
      <c r="AK89" s="112" t="s">
        <v>179</v>
      </c>
      <c r="AL89" s="119"/>
      <c r="AM89" s="112" t="s">
        <v>165</v>
      </c>
      <c r="AN89" s="117">
        <v>4.0</v>
      </c>
      <c r="AO89" s="117">
        <v>3.59</v>
      </c>
      <c r="AP89" s="112" t="s">
        <v>599</v>
      </c>
      <c r="AQ89" s="112" t="s">
        <v>610</v>
      </c>
      <c r="AR89" s="117">
        <v>0.042</v>
      </c>
      <c r="AS89" s="127" t="s">
        <v>164</v>
      </c>
      <c r="AT89" s="127" t="s">
        <v>179</v>
      </c>
      <c r="AU89" s="111"/>
      <c r="AV89" s="111" t="s">
        <v>165</v>
      </c>
      <c r="AW89" s="111" t="s">
        <v>434</v>
      </c>
      <c r="AX89" s="119"/>
      <c r="AY89" s="136" t="s">
        <v>135</v>
      </c>
      <c r="BB89" s="64"/>
      <c r="BC89" s="64"/>
      <c r="BD89" s="64"/>
      <c r="BE89" s="64"/>
      <c r="BF89" s="64"/>
      <c r="BG89" s="64"/>
      <c r="BH89" s="64"/>
      <c r="BI89" s="64"/>
      <c r="BJ89" s="64"/>
      <c r="BK89" s="64"/>
      <c r="BL89" s="64"/>
      <c r="BM89" s="64"/>
      <c r="BN89" s="64"/>
      <c r="BO89" s="64"/>
      <c r="BP89" s="64"/>
      <c r="BQ89" s="64"/>
      <c r="BR89" s="64"/>
      <c r="BS89" s="64"/>
      <c r="BT89" s="64"/>
      <c r="BU89" s="64"/>
      <c r="BV89" s="64"/>
      <c r="BW89" s="64"/>
      <c r="BX89" s="64"/>
      <c r="BY89" s="64"/>
      <c r="BZ89" s="64"/>
      <c r="CA89" s="64"/>
      <c r="CB89" s="64"/>
      <c r="CC89" s="64"/>
      <c r="CD89" s="64"/>
      <c r="CE89" s="64"/>
      <c r="CF89" s="64"/>
      <c r="CG89" s="64"/>
      <c r="CH89" s="64"/>
      <c r="CI89" s="64"/>
      <c r="CJ89" s="64"/>
      <c r="CK89" s="64"/>
      <c r="CL89" s="64"/>
      <c r="CM89" s="64"/>
      <c r="CN89" s="64"/>
      <c r="CO89" s="64"/>
      <c r="CP89" s="64"/>
      <c r="CQ89" s="64"/>
      <c r="CR89" s="64"/>
      <c r="CS89" s="64"/>
      <c r="CT89" s="64"/>
      <c r="CU89" s="64"/>
      <c r="CV89" s="64"/>
      <c r="CW89" s="64"/>
      <c r="CX89" s="64"/>
      <c r="CY89" s="64"/>
      <c r="CZ89" s="64"/>
      <c r="DA89" s="64"/>
      <c r="DB89" s="64"/>
      <c r="DC89" s="64"/>
      <c r="DD89" s="64"/>
      <c r="DE89" s="64"/>
      <c r="DF89" s="64"/>
      <c r="DG89" s="64"/>
    </row>
    <row r="90" ht="20.25" customHeight="1">
      <c r="A90" s="96" t="s">
        <v>586</v>
      </c>
      <c r="B90" s="96" t="s">
        <v>107</v>
      </c>
      <c r="C90" s="136" t="s">
        <v>438</v>
      </c>
      <c r="D90" s="64"/>
      <c r="E90" s="111" t="s">
        <v>587</v>
      </c>
      <c r="F90" s="200" t="s">
        <v>617</v>
      </c>
      <c r="G90" s="200" t="s">
        <v>441</v>
      </c>
      <c r="H90" s="201">
        <v>45636.0</v>
      </c>
      <c r="I90" s="304">
        <v>45680.0</v>
      </c>
      <c r="J90" s="101"/>
      <c r="K90" s="134" t="s">
        <v>589</v>
      </c>
      <c r="L90" s="200" t="s">
        <v>590</v>
      </c>
      <c r="M90" s="200" t="s">
        <v>591</v>
      </c>
      <c r="N90" s="101"/>
      <c r="O90" s="204" t="s">
        <v>592</v>
      </c>
      <c r="P90" s="48" t="str">
        <f t="array" ref="P90">HYPERLINK(INDEX('File Links'!B:B, MATCH(O90, 'File Links'!C:C, 0)))
</f>
        <v>https://drive.google.com/file/d/1RTiaFppoyqVSbs6ENCjo8xyaIVfjFhVI/view?usp=drivesdk</v>
      </c>
      <c r="Q90" s="200" t="s">
        <v>593</v>
      </c>
      <c r="R90" s="305" t="s">
        <v>594</v>
      </c>
      <c r="S90" s="101"/>
      <c r="T90" s="106"/>
      <c r="U90" s="200" t="s">
        <v>595</v>
      </c>
      <c r="V90" s="200" t="s">
        <v>155</v>
      </c>
      <c r="W90" s="50" t="str">
        <f t="array" ref="W90">HYPERLINK(INDEX('File Links'!B:B, MATCH(U90, 'File Links'!C:C, 0)))
</f>
        <v>https://drive.google.com/file/d/1VAdnhoiJmdHbv1LbvyIfcfg3rNALrpkj/view?usp=drivesdk</v>
      </c>
      <c r="X90" s="101"/>
      <c r="Y90" s="306" t="s">
        <v>235</v>
      </c>
      <c r="Z90" s="101"/>
      <c r="AA90" s="200" t="s">
        <v>596</v>
      </c>
      <c r="AB90" s="200" t="s">
        <v>597</v>
      </c>
      <c r="AC90" s="200" t="s">
        <v>618</v>
      </c>
      <c r="AD90" s="200" t="s">
        <v>619</v>
      </c>
      <c r="AE90" s="207">
        <v>6.0</v>
      </c>
      <c r="AF90" s="309">
        <v>1.03</v>
      </c>
      <c r="AG90" s="204" t="s">
        <v>599</v>
      </c>
      <c r="AH90" s="200" t="s">
        <v>620</v>
      </c>
      <c r="AI90" s="207">
        <v>0.001</v>
      </c>
      <c r="AJ90" s="208" t="s">
        <v>164</v>
      </c>
      <c r="AK90" s="200" t="s">
        <v>179</v>
      </c>
      <c r="AL90" s="200" t="s">
        <v>132</v>
      </c>
      <c r="AM90" s="101"/>
      <c r="AN90" s="207">
        <v>4.0</v>
      </c>
      <c r="AO90" s="207">
        <v>1.41</v>
      </c>
      <c r="AP90" s="200" t="s">
        <v>599</v>
      </c>
      <c r="AQ90" s="200" t="s">
        <v>621</v>
      </c>
      <c r="AR90" s="309">
        <v>0.29</v>
      </c>
      <c r="AS90" s="208" t="s">
        <v>164</v>
      </c>
      <c r="AT90" s="208" t="s">
        <v>179</v>
      </c>
      <c r="AU90" s="208" t="s">
        <v>132</v>
      </c>
      <c r="AV90" s="98"/>
      <c r="AW90" s="208" t="s">
        <v>434</v>
      </c>
      <c r="AX90" s="101"/>
      <c r="AY90" s="136" t="s">
        <v>135</v>
      </c>
      <c r="AZ90" s="215"/>
      <c r="BA90" s="215"/>
      <c r="BB90" s="215"/>
      <c r="BC90" s="215"/>
      <c r="BD90" s="215"/>
      <c r="BE90" s="215"/>
      <c r="BF90" s="215"/>
      <c r="BG90" s="215"/>
      <c r="BH90" s="215"/>
      <c r="BI90" s="215"/>
      <c r="BJ90" s="215"/>
      <c r="BK90" s="215"/>
      <c r="BL90" s="215"/>
      <c r="BM90" s="215"/>
      <c r="BN90" s="215"/>
      <c r="BO90" s="215"/>
      <c r="BP90" s="215"/>
      <c r="BQ90" s="215"/>
      <c r="BR90" s="215"/>
      <c r="BS90" s="215"/>
      <c r="BT90" s="215"/>
      <c r="BU90" s="215"/>
      <c r="BV90" s="215"/>
      <c r="BW90" s="215"/>
      <c r="BX90" s="215"/>
      <c r="BY90" s="215"/>
      <c r="BZ90" s="215"/>
      <c r="CA90" s="215"/>
      <c r="CB90" s="215"/>
      <c r="CC90" s="215"/>
      <c r="CD90" s="215"/>
      <c r="CE90" s="215"/>
      <c r="CF90" s="215"/>
      <c r="CG90" s="215"/>
      <c r="CH90" s="215"/>
      <c r="CI90" s="215"/>
      <c r="CJ90" s="215"/>
      <c r="CK90" s="215"/>
      <c r="CL90" s="215"/>
      <c r="CM90" s="215"/>
      <c r="CN90" s="215"/>
      <c r="CO90" s="215"/>
      <c r="CP90" s="215"/>
      <c r="CQ90" s="215"/>
      <c r="CR90" s="215"/>
      <c r="CS90" s="215"/>
      <c r="CT90" s="215"/>
      <c r="CU90" s="215"/>
      <c r="CV90" s="215"/>
      <c r="CW90" s="215"/>
      <c r="CX90" s="215"/>
      <c r="CY90" s="215"/>
      <c r="CZ90" s="215"/>
      <c r="DA90" s="215"/>
      <c r="DB90" s="215"/>
      <c r="DC90" s="215"/>
      <c r="DD90" s="215"/>
      <c r="DE90" s="215"/>
      <c r="DF90" s="215"/>
      <c r="DG90" s="215"/>
    </row>
    <row r="91" ht="20.25" customHeight="1">
      <c r="A91" s="96" t="s">
        <v>586</v>
      </c>
      <c r="B91" s="110" t="s">
        <v>107</v>
      </c>
      <c r="C91" s="110" t="s">
        <v>341</v>
      </c>
      <c r="D91" s="95"/>
      <c r="E91" s="111" t="s">
        <v>587</v>
      </c>
      <c r="F91" s="112" t="s">
        <v>617</v>
      </c>
      <c r="G91" s="112" t="s">
        <v>344</v>
      </c>
      <c r="H91" s="310">
        <v>45639.0</v>
      </c>
      <c r="I91" s="304">
        <v>45680.0</v>
      </c>
      <c r="J91" s="211" t="s">
        <v>603</v>
      </c>
      <c r="K91" s="134" t="s">
        <v>589</v>
      </c>
      <c r="L91" s="112" t="s">
        <v>590</v>
      </c>
      <c r="M91" s="211" t="s">
        <v>591</v>
      </c>
      <c r="N91" s="119"/>
      <c r="O91" s="212" t="s">
        <v>592</v>
      </c>
      <c r="P91" s="48" t="str">
        <f t="array" ref="P91">HYPERLINK(INDEX('File Links'!B:B, MATCH(O91, 'File Links'!C:C, 0)))
</f>
        <v>https://drive.google.com/file/d/1RTiaFppoyqVSbs6ENCjo8xyaIVfjFhVI/view?usp=drivesdk</v>
      </c>
      <c r="Q91" s="112" t="s">
        <v>593</v>
      </c>
      <c r="R91" s="112" t="s">
        <v>594</v>
      </c>
      <c r="S91" s="119"/>
      <c r="T91" s="311"/>
      <c r="U91" s="112" t="s">
        <v>351</v>
      </c>
      <c r="V91" s="112" t="s">
        <v>604</v>
      </c>
      <c r="W91" s="45" t="str">
        <f t="array" ref="W91">HYPERLINK(INDEX('File Links'!B:B, MATCH(U91, 'File Links'!C:C, 0)))
</f>
        <v>#N/A</v>
      </c>
      <c r="X91" s="119"/>
      <c r="Y91" s="306" t="s">
        <v>235</v>
      </c>
      <c r="Z91" s="119"/>
      <c r="AA91" s="211" t="s">
        <v>605</v>
      </c>
      <c r="AB91" s="211" t="s">
        <v>606</v>
      </c>
      <c r="AC91" s="211" t="s">
        <v>622</v>
      </c>
      <c r="AD91" s="112" t="s">
        <v>623</v>
      </c>
      <c r="AE91" s="117">
        <v>6.0</v>
      </c>
      <c r="AF91" s="117">
        <v>1.14</v>
      </c>
      <c r="AG91" s="212" t="s">
        <v>166</v>
      </c>
      <c r="AH91" s="112" t="s">
        <v>624</v>
      </c>
      <c r="AI91" s="117">
        <v>0.001</v>
      </c>
      <c r="AJ91" s="127" t="s">
        <v>164</v>
      </c>
      <c r="AK91" s="112" t="s">
        <v>179</v>
      </c>
      <c r="AL91" s="119"/>
      <c r="AM91" s="112" t="s">
        <v>165</v>
      </c>
      <c r="AN91" s="117">
        <v>4.0</v>
      </c>
      <c r="AO91" s="117">
        <v>1.41</v>
      </c>
      <c r="AP91" s="112" t="s">
        <v>599</v>
      </c>
      <c r="AQ91" s="112" t="s">
        <v>625</v>
      </c>
      <c r="AR91" s="117">
        <v>0.29</v>
      </c>
      <c r="AS91" s="127" t="s">
        <v>164</v>
      </c>
      <c r="AT91" s="127" t="s">
        <v>179</v>
      </c>
      <c r="AU91" s="111"/>
      <c r="AV91" s="111" t="s">
        <v>165</v>
      </c>
      <c r="AW91" s="111" t="s">
        <v>434</v>
      </c>
      <c r="AX91" s="119"/>
      <c r="AY91" s="136" t="s">
        <v>135</v>
      </c>
      <c r="AZ91" s="215"/>
      <c r="BA91" s="215"/>
      <c r="BB91" s="215"/>
      <c r="BC91" s="215"/>
      <c r="BD91" s="215"/>
      <c r="BE91" s="215"/>
      <c r="BF91" s="215"/>
      <c r="BG91" s="215"/>
      <c r="BH91" s="215"/>
      <c r="BI91" s="215"/>
      <c r="BJ91" s="215"/>
      <c r="BK91" s="215"/>
      <c r="BL91" s="215"/>
      <c r="BM91" s="215"/>
      <c r="BN91" s="215"/>
      <c r="BO91" s="215"/>
      <c r="BP91" s="215"/>
      <c r="BQ91" s="215"/>
      <c r="BR91" s="215"/>
      <c r="BS91" s="215"/>
      <c r="BT91" s="215"/>
      <c r="BU91" s="215"/>
      <c r="BV91" s="215"/>
      <c r="BW91" s="215"/>
      <c r="BX91" s="215"/>
      <c r="BY91" s="215"/>
      <c r="BZ91" s="215"/>
      <c r="CA91" s="215"/>
      <c r="CB91" s="215"/>
      <c r="CC91" s="215"/>
      <c r="CD91" s="215"/>
      <c r="CE91" s="215"/>
      <c r="CF91" s="215"/>
      <c r="CG91" s="215"/>
      <c r="CH91" s="215"/>
      <c r="CI91" s="215"/>
      <c r="CJ91" s="215"/>
      <c r="CK91" s="215"/>
      <c r="CL91" s="215"/>
      <c r="CM91" s="215"/>
      <c r="CN91" s="215"/>
      <c r="CO91" s="215"/>
      <c r="CP91" s="215"/>
      <c r="CQ91" s="215"/>
      <c r="CR91" s="215"/>
      <c r="CS91" s="215"/>
      <c r="CT91" s="215"/>
      <c r="CU91" s="215"/>
      <c r="CV91" s="215"/>
      <c r="CW91" s="215"/>
      <c r="CX91" s="215"/>
      <c r="CY91" s="215"/>
      <c r="CZ91" s="215"/>
      <c r="DA91" s="215"/>
      <c r="DB91" s="215"/>
      <c r="DC91" s="215"/>
      <c r="DD91" s="215"/>
      <c r="DE91" s="215"/>
      <c r="DF91" s="215"/>
      <c r="DG91" s="215"/>
    </row>
    <row r="92" ht="20.25" customHeight="1">
      <c r="A92" s="96" t="s">
        <v>586</v>
      </c>
      <c r="B92" s="96" t="s">
        <v>107</v>
      </c>
      <c r="C92" s="136" t="s">
        <v>438</v>
      </c>
      <c r="D92" s="64"/>
      <c r="E92" s="111" t="s">
        <v>587</v>
      </c>
      <c r="F92" s="200" t="s">
        <v>626</v>
      </c>
      <c r="G92" s="200" t="s">
        <v>441</v>
      </c>
      <c r="H92" s="201">
        <v>45636.0</v>
      </c>
      <c r="I92" s="304">
        <v>45680.0</v>
      </c>
      <c r="J92" s="200" t="s">
        <v>613</v>
      </c>
      <c r="K92" s="134" t="s">
        <v>589</v>
      </c>
      <c r="L92" s="200" t="s">
        <v>590</v>
      </c>
      <c r="M92" s="200" t="s">
        <v>591</v>
      </c>
      <c r="N92" s="101"/>
      <c r="O92" s="204" t="s">
        <v>592</v>
      </c>
      <c r="P92" s="48" t="str">
        <f t="array" ref="P92">HYPERLINK(INDEX('File Links'!B:B, MATCH(O92, 'File Links'!C:C, 0)))
</f>
        <v>https://drive.google.com/file/d/1RTiaFppoyqVSbs6ENCjo8xyaIVfjFhVI/view?usp=drivesdk</v>
      </c>
      <c r="Q92" s="200" t="s">
        <v>593</v>
      </c>
      <c r="R92" s="305" t="s">
        <v>594</v>
      </c>
      <c r="S92" s="101"/>
      <c r="T92" s="106"/>
      <c r="U92" s="200" t="s">
        <v>595</v>
      </c>
      <c r="V92" s="200" t="s">
        <v>155</v>
      </c>
      <c r="W92" s="50" t="str">
        <f t="array" ref="W92">HYPERLINK(INDEX('File Links'!B:B, MATCH(U92, 'File Links'!C:C, 0)))
</f>
        <v>https://drive.google.com/file/d/1VAdnhoiJmdHbv1LbvyIfcfg3rNALrpkj/view?usp=drivesdk</v>
      </c>
      <c r="X92" s="101"/>
      <c r="Y92" s="306" t="s">
        <v>235</v>
      </c>
      <c r="Z92" s="101"/>
      <c r="AA92" s="200" t="s">
        <v>596</v>
      </c>
      <c r="AB92" s="200" t="s">
        <v>597</v>
      </c>
      <c r="AC92" s="200" t="s">
        <v>618</v>
      </c>
      <c r="AD92" s="200" t="s">
        <v>619</v>
      </c>
      <c r="AE92" s="207">
        <v>6.0</v>
      </c>
      <c r="AF92" s="309">
        <v>1.03</v>
      </c>
      <c r="AG92" s="204" t="s">
        <v>599</v>
      </c>
      <c r="AH92" s="200" t="s">
        <v>620</v>
      </c>
      <c r="AI92" s="207">
        <v>0.001</v>
      </c>
      <c r="AJ92" s="208" t="s">
        <v>164</v>
      </c>
      <c r="AK92" s="200" t="s">
        <v>179</v>
      </c>
      <c r="AL92" s="200" t="s">
        <v>132</v>
      </c>
      <c r="AM92" s="101"/>
      <c r="AN92" s="207">
        <v>4.0</v>
      </c>
      <c r="AO92" s="309">
        <v>1.25</v>
      </c>
      <c r="AP92" s="200" t="s">
        <v>599</v>
      </c>
      <c r="AQ92" s="200" t="s">
        <v>627</v>
      </c>
      <c r="AR92" s="309">
        <v>0.042</v>
      </c>
      <c r="AS92" s="208" t="s">
        <v>164</v>
      </c>
      <c r="AT92" s="208" t="s">
        <v>179</v>
      </c>
      <c r="AU92" s="208" t="s">
        <v>132</v>
      </c>
      <c r="AV92" s="98"/>
      <c r="AW92" s="208" t="s">
        <v>434</v>
      </c>
      <c r="AX92" s="101"/>
      <c r="AY92" s="136" t="s">
        <v>135</v>
      </c>
      <c r="AZ92" s="215"/>
      <c r="BA92" s="215"/>
      <c r="BB92" s="215"/>
      <c r="BC92" s="215"/>
      <c r="BD92" s="215"/>
      <c r="BE92" s="215"/>
      <c r="BF92" s="215"/>
      <c r="BG92" s="215"/>
      <c r="BH92" s="215"/>
      <c r="BI92" s="215"/>
      <c r="BJ92" s="215"/>
      <c r="BK92" s="215"/>
      <c r="BL92" s="215"/>
      <c r="BM92" s="215"/>
      <c r="BN92" s="215"/>
      <c r="BO92" s="215"/>
      <c r="BP92" s="215"/>
      <c r="BQ92" s="215"/>
      <c r="BR92" s="215"/>
      <c r="BS92" s="215"/>
      <c r="BT92" s="215"/>
      <c r="BU92" s="215"/>
      <c r="BV92" s="215"/>
      <c r="BW92" s="215"/>
      <c r="BX92" s="215"/>
      <c r="BY92" s="215"/>
      <c r="BZ92" s="215"/>
      <c r="CA92" s="215"/>
      <c r="CB92" s="215"/>
      <c r="CC92" s="215"/>
      <c r="CD92" s="215"/>
      <c r="CE92" s="215"/>
      <c r="CF92" s="215"/>
      <c r="CG92" s="215"/>
      <c r="CH92" s="215"/>
      <c r="CI92" s="215"/>
      <c r="CJ92" s="215"/>
      <c r="CK92" s="215"/>
      <c r="CL92" s="215"/>
      <c r="CM92" s="215"/>
      <c r="CN92" s="215"/>
      <c r="CO92" s="215"/>
      <c r="CP92" s="215"/>
      <c r="CQ92" s="215"/>
      <c r="CR92" s="215"/>
      <c r="CS92" s="215"/>
      <c r="CT92" s="215"/>
      <c r="CU92" s="215"/>
      <c r="CV92" s="215"/>
      <c r="CW92" s="215"/>
      <c r="CX92" s="215"/>
      <c r="CY92" s="215"/>
      <c r="CZ92" s="215"/>
      <c r="DA92" s="215"/>
      <c r="DB92" s="215"/>
      <c r="DC92" s="215"/>
      <c r="DD92" s="215"/>
      <c r="DE92" s="215"/>
      <c r="DF92" s="215"/>
      <c r="DG92" s="215"/>
    </row>
    <row r="93" ht="20.25" customHeight="1">
      <c r="A93" s="96" t="s">
        <v>586</v>
      </c>
      <c r="B93" s="110" t="s">
        <v>107</v>
      </c>
      <c r="C93" s="110" t="s">
        <v>341</v>
      </c>
      <c r="D93" s="95"/>
      <c r="E93" s="111" t="s">
        <v>587</v>
      </c>
      <c r="F93" s="112" t="s">
        <v>626</v>
      </c>
      <c r="G93" s="112" t="s">
        <v>344</v>
      </c>
      <c r="H93" s="310">
        <v>45639.0</v>
      </c>
      <c r="I93" s="304">
        <v>45680.0</v>
      </c>
      <c r="J93" s="211" t="s">
        <v>603</v>
      </c>
      <c r="K93" s="134" t="s">
        <v>589</v>
      </c>
      <c r="L93" s="112" t="s">
        <v>590</v>
      </c>
      <c r="M93" s="211" t="s">
        <v>591</v>
      </c>
      <c r="N93" s="119"/>
      <c r="O93" s="212" t="s">
        <v>592</v>
      </c>
      <c r="P93" s="48" t="str">
        <f t="array" ref="P93">HYPERLINK(INDEX('File Links'!B:B, MATCH(O93, 'File Links'!C:C, 0)))
</f>
        <v>https://drive.google.com/file/d/1RTiaFppoyqVSbs6ENCjo8xyaIVfjFhVI/view?usp=drivesdk</v>
      </c>
      <c r="Q93" s="112" t="s">
        <v>593</v>
      </c>
      <c r="R93" s="112" t="s">
        <v>594</v>
      </c>
      <c r="S93" s="119"/>
      <c r="T93" s="311"/>
      <c r="U93" s="112" t="s">
        <v>351</v>
      </c>
      <c r="V93" s="112" t="s">
        <v>604</v>
      </c>
      <c r="W93" s="45" t="str">
        <f t="array" ref="W93">HYPERLINK(INDEX('File Links'!B:B, MATCH(U93, 'File Links'!C:C, 0)))
</f>
        <v>#N/A</v>
      </c>
      <c r="X93" s="119"/>
      <c r="Y93" s="306" t="s">
        <v>235</v>
      </c>
      <c r="Z93" s="119"/>
      <c r="AA93" s="211" t="s">
        <v>605</v>
      </c>
      <c r="AB93" s="211" t="s">
        <v>606</v>
      </c>
      <c r="AC93" s="211" t="s">
        <v>628</v>
      </c>
      <c r="AD93" s="112" t="s">
        <v>623</v>
      </c>
      <c r="AE93" s="117">
        <v>6.0</v>
      </c>
      <c r="AF93" s="117">
        <v>-0.85</v>
      </c>
      <c r="AG93" s="212" t="s">
        <v>166</v>
      </c>
      <c r="AH93" s="112" t="s">
        <v>624</v>
      </c>
      <c r="AI93" s="117">
        <v>0.001</v>
      </c>
      <c r="AJ93" s="127" t="s">
        <v>164</v>
      </c>
      <c r="AK93" s="112" t="s">
        <v>179</v>
      </c>
      <c r="AL93" s="119"/>
      <c r="AM93" s="112" t="s">
        <v>165</v>
      </c>
      <c r="AN93" s="117">
        <v>4.0</v>
      </c>
      <c r="AO93" s="117">
        <v>-0.91</v>
      </c>
      <c r="AP93" s="112" t="s">
        <v>599</v>
      </c>
      <c r="AQ93" s="112" t="s">
        <v>629</v>
      </c>
      <c r="AR93" s="117">
        <v>0.33</v>
      </c>
      <c r="AS93" s="127" t="s">
        <v>164</v>
      </c>
      <c r="AT93" s="127" t="s">
        <v>179</v>
      </c>
      <c r="AU93" s="111"/>
      <c r="AV93" s="111" t="s">
        <v>165</v>
      </c>
      <c r="AW93" s="111" t="s">
        <v>434</v>
      </c>
      <c r="AX93" s="119"/>
      <c r="AY93" s="136" t="s">
        <v>135</v>
      </c>
      <c r="AZ93" s="215"/>
      <c r="BA93" s="215"/>
      <c r="BB93" s="215"/>
      <c r="BC93" s="215"/>
      <c r="BD93" s="215"/>
      <c r="BE93" s="215"/>
      <c r="BF93" s="215"/>
      <c r="BG93" s="215"/>
      <c r="BH93" s="215"/>
      <c r="BI93" s="215"/>
      <c r="BJ93" s="215"/>
      <c r="BK93" s="215"/>
      <c r="BL93" s="215"/>
      <c r="BM93" s="215"/>
      <c r="BN93" s="215"/>
      <c r="BO93" s="215"/>
      <c r="BP93" s="215"/>
      <c r="BQ93" s="215"/>
      <c r="BR93" s="215"/>
      <c r="BS93" s="215"/>
      <c r="BT93" s="215"/>
      <c r="BU93" s="215"/>
      <c r="BV93" s="215"/>
      <c r="BW93" s="215"/>
      <c r="BX93" s="215"/>
      <c r="BY93" s="215"/>
      <c r="BZ93" s="215"/>
      <c r="CA93" s="215"/>
      <c r="CB93" s="215"/>
      <c r="CC93" s="215"/>
      <c r="CD93" s="215"/>
      <c r="CE93" s="215"/>
      <c r="CF93" s="215"/>
      <c r="CG93" s="215"/>
      <c r="CH93" s="215"/>
      <c r="CI93" s="215"/>
      <c r="CJ93" s="215"/>
      <c r="CK93" s="215"/>
      <c r="CL93" s="215"/>
      <c r="CM93" s="215"/>
      <c r="CN93" s="215"/>
      <c r="CO93" s="215"/>
      <c r="CP93" s="215"/>
      <c r="CQ93" s="215"/>
      <c r="CR93" s="215"/>
      <c r="CS93" s="215"/>
      <c r="CT93" s="215"/>
      <c r="CU93" s="215"/>
      <c r="CV93" s="215"/>
      <c r="CW93" s="215"/>
      <c r="CX93" s="215"/>
      <c r="CY93" s="215"/>
      <c r="CZ93" s="215"/>
      <c r="DA93" s="215"/>
      <c r="DB93" s="215"/>
      <c r="DC93" s="215"/>
      <c r="DD93" s="215"/>
      <c r="DE93" s="215"/>
      <c r="DF93" s="215"/>
      <c r="DG93" s="215"/>
    </row>
    <row r="94" ht="20.25" customHeight="1">
      <c r="A94" s="96" t="s">
        <v>586</v>
      </c>
      <c r="B94" s="96" t="s">
        <v>107</v>
      </c>
      <c r="C94" s="136" t="s">
        <v>438</v>
      </c>
      <c r="D94" s="64"/>
      <c r="E94" s="111" t="s">
        <v>587</v>
      </c>
      <c r="F94" s="200" t="s">
        <v>630</v>
      </c>
      <c r="G94" s="200" t="s">
        <v>441</v>
      </c>
      <c r="H94" s="201">
        <v>45636.0</v>
      </c>
      <c r="I94" s="304">
        <v>45680.0</v>
      </c>
      <c r="J94" s="101"/>
      <c r="K94" s="134" t="s">
        <v>589</v>
      </c>
      <c r="L94" s="200" t="s">
        <v>590</v>
      </c>
      <c r="M94" s="200" t="s">
        <v>591</v>
      </c>
      <c r="N94" s="101"/>
      <c r="O94" s="204" t="s">
        <v>592</v>
      </c>
      <c r="P94" s="48" t="str">
        <f t="array" ref="P94">HYPERLINK(INDEX('File Links'!B:B, MATCH(O94, 'File Links'!C:C, 0)))
</f>
        <v>https://drive.google.com/file/d/1RTiaFppoyqVSbs6ENCjo8xyaIVfjFhVI/view?usp=drivesdk</v>
      </c>
      <c r="Q94" s="200" t="s">
        <v>593</v>
      </c>
      <c r="R94" s="305" t="s">
        <v>594</v>
      </c>
      <c r="S94" s="101"/>
      <c r="T94" s="106"/>
      <c r="U94" s="200" t="s">
        <v>595</v>
      </c>
      <c r="V94" s="200" t="s">
        <v>155</v>
      </c>
      <c r="W94" s="50" t="str">
        <f t="array" ref="W94">HYPERLINK(INDEX('File Links'!B:B, MATCH(U94, 'File Links'!C:C, 0)))
</f>
        <v>https://drive.google.com/file/d/1VAdnhoiJmdHbv1LbvyIfcfg3rNALrpkj/view?usp=drivesdk</v>
      </c>
      <c r="X94" s="101"/>
      <c r="Y94" s="306" t="s">
        <v>235</v>
      </c>
      <c r="Z94" s="101"/>
      <c r="AA94" s="200" t="s">
        <v>596</v>
      </c>
      <c r="AB94" s="200" t="s">
        <v>597</v>
      </c>
      <c r="AC94" s="200" t="s">
        <v>631</v>
      </c>
      <c r="AD94" s="207">
        <v>26.0</v>
      </c>
      <c r="AE94" s="207">
        <v>6.0</v>
      </c>
      <c r="AF94" s="309" t="s">
        <v>632</v>
      </c>
      <c r="AG94" s="204" t="s">
        <v>599</v>
      </c>
      <c r="AH94" s="200" t="s">
        <v>620</v>
      </c>
      <c r="AI94" s="207">
        <v>0.001</v>
      </c>
      <c r="AJ94" s="208" t="s">
        <v>164</v>
      </c>
      <c r="AK94" s="200" t="s">
        <v>179</v>
      </c>
      <c r="AL94" s="200" t="s">
        <v>132</v>
      </c>
      <c r="AM94" s="101"/>
      <c r="AN94" s="207">
        <v>4.0</v>
      </c>
      <c r="AO94" s="309" t="s">
        <v>633</v>
      </c>
      <c r="AP94" s="200" t="s">
        <v>599</v>
      </c>
      <c r="AQ94" s="200" t="s">
        <v>627</v>
      </c>
      <c r="AR94" s="309">
        <v>0.33</v>
      </c>
      <c r="AS94" s="208" t="s">
        <v>164</v>
      </c>
      <c r="AT94" s="208" t="s">
        <v>179</v>
      </c>
      <c r="AU94" s="208" t="s">
        <v>132</v>
      </c>
      <c r="AV94" s="98"/>
      <c r="AW94" s="208" t="s">
        <v>434</v>
      </c>
      <c r="AX94" s="101"/>
      <c r="AY94" s="136" t="s">
        <v>135</v>
      </c>
      <c r="BB94" s="178"/>
      <c r="BC94" s="178"/>
      <c r="BD94" s="178"/>
      <c r="BE94" s="178"/>
      <c r="BF94" s="178"/>
      <c r="BG94" s="178"/>
      <c r="BH94" s="178"/>
      <c r="BI94" s="178"/>
      <c r="BJ94" s="178"/>
      <c r="BK94" s="178"/>
      <c r="BL94" s="178"/>
      <c r="BM94" s="178"/>
      <c r="BN94" s="178"/>
      <c r="BO94" s="178"/>
      <c r="BP94" s="178"/>
      <c r="BQ94" s="178"/>
      <c r="BR94" s="178"/>
      <c r="BS94" s="178"/>
      <c r="BT94" s="178"/>
      <c r="BU94" s="178"/>
      <c r="BV94" s="178"/>
      <c r="BW94" s="178"/>
      <c r="BX94" s="178"/>
      <c r="BY94" s="178"/>
      <c r="BZ94" s="178"/>
      <c r="CA94" s="178"/>
      <c r="CB94" s="178"/>
      <c r="CC94" s="178"/>
      <c r="CD94" s="178"/>
      <c r="CE94" s="178"/>
      <c r="CF94" s="178"/>
      <c r="CG94" s="178"/>
      <c r="CH94" s="178"/>
      <c r="CI94" s="178"/>
      <c r="CJ94" s="178"/>
      <c r="CK94" s="178"/>
      <c r="CL94" s="178"/>
      <c r="CM94" s="178"/>
      <c r="CN94" s="178"/>
      <c r="CO94" s="178"/>
      <c r="CP94" s="178"/>
      <c r="CQ94" s="178"/>
      <c r="CR94" s="178"/>
      <c r="CS94" s="178"/>
      <c r="CT94" s="178"/>
      <c r="CU94" s="178"/>
      <c r="CV94" s="178"/>
      <c r="CW94" s="178"/>
      <c r="CX94" s="178"/>
      <c r="CY94" s="178"/>
      <c r="CZ94" s="178"/>
      <c r="DA94" s="178"/>
      <c r="DB94" s="178"/>
      <c r="DC94" s="178"/>
      <c r="DD94" s="178"/>
      <c r="DE94" s="178"/>
      <c r="DF94" s="178"/>
      <c r="DG94" s="178"/>
    </row>
    <row r="95" ht="20.25" customHeight="1">
      <c r="A95" s="96" t="s">
        <v>586</v>
      </c>
      <c r="B95" s="96" t="s">
        <v>107</v>
      </c>
      <c r="C95" s="136" t="s">
        <v>438</v>
      </c>
      <c r="D95" s="64"/>
      <c r="E95" s="111" t="s">
        <v>587</v>
      </c>
      <c r="F95" s="200" t="s">
        <v>634</v>
      </c>
      <c r="G95" s="200" t="s">
        <v>441</v>
      </c>
      <c r="H95" s="201">
        <v>45636.0</v>
      </c>
      <c r="I95" s="304">
        <v>45680.0</v>
      </c>
      <c r="J95" s="200" t="s">
        <v>613</v>
      </c>
      <c r="K95" s="134" t="s">
        <v>589</v>
      </c>
      <c r="L95" s="200" t="s">
        <v>590</v>
      </c>
      <c r="M95" s="200" t="s">
        <v>591</v>
      </c>
      <c r="N95" s="101"/>
      <c r="O95" s="204" t="s">
        <v>592</v>
      </c>
      <c r="P95" s="48" t="str">
        <f t="array" ref="P95">HYPERLINK(INDEX('File Links'!B:B, MATCH(O95, 'File Links'!C:C, 0)))
</f>
        <v>https://drive.google.com/file/d/1RTiaFppoyqVSbs6ENCjo8xyaIVfjFhVI/view?usp=drivesdk</v>
      </c>
      <c r="Q95" s="200" t="s">
        <v>593</v>
      </c>
      <c r="R95" s="305" t="s">
        <v>594</v>
      </c>
      <c r="S95" s="101"/>
      <c r="T95" s="106"/>
      <c r="U95" s="200" t="s">
        <v>595</v>
      </c>
      <c r="V95" s="200" t="s">
        <v>155</v>
      </c>
      <c r="W95" s="50" t="str">
        <f t="array" ref="W95">HYPERLINK(INDEX('File Links'!B:B, MATCH(U95, 'File Links'!C:C, 0)))
</f>
        <v>https://drive.google.com/file/d/1VAdnhoiJmdHbv1LbvyIfcfg3rNALrpkj/view?usp=drivesdk</v>
      </c>
      <c r="X95" s="101"/>
      <c r="Y95" s="306" t="s">
        <v>235</v>
      </c>
      <c r="Z95" s="101"/>
      <c r="AA95" s="200" t="s">
        <v>596</v>
      </c>
      <c r="AB95" s="200" t="s">
        <v>597</v>
      </c>
      <c r="AC95" s="200" t="s">
        <v>631</v>
      </c>
      <c r="AD95" s="207">
        <v>26.0</v>
      </c>
      <c r="AE95" s="207">
        <v>6.0</v>
      </c>
      <c r="AF95" s="309" t="s">
        <v>632</v>
      </c>
      <c r="AG95" s="204" t="s">
        <v>599</v>
      </c>
      <c r="AH95" s="200" t="s">
        <v>620</v>
      </c>
      <c r="AI95" s="207">
        <v>0.001</v>
      </c>
      <c r="AJ95" s="208" t="s">
        <v>164</v>
      </c>
      <c r="AK95" s="200" t="s">
        <v>179</v>
      </c>
      <c r="AL95" s="200" t="s">
        <v>132</v>
      </c>
      <c r="AM95" s="101"/>
      <c r="AN95" s="207">
        <v>4.0</v>
      </c>
      <c r="AO95" s="309" t="s">
        <v>635</v>
      </c>
      <c r="AP95" s="200" t="s">
        <v>599</v>
      </c>
      <c r="AQ95" s="200" t="s">
        <v>627</v>
      </c>
      <c r="AR95" s="309">
        <v>0.042</v>
      </c>
      <c r="AS95" s="208" t="s">
        <v>164</v>
      </c>
      <c r="AT95" s="208" t="s">
        <v>179</v>
      </c>
      <c r="AU95" s="208" t="s">
        <v>132</v>
      </c>
      <c r="AV95" s="98"/>
      <c r="AW95" s="208" t="s">
        <v>434</v>
      </c>
      <c r="AX95" s="101"/>
      <c r="AY95" s="136" t="s">
        <v>135</v>
      </c>
    </row>
    <row r="96" ht="20.25" customHeight="1">
      <c r="A96" s="314" t="s">
        <v>520</v>
      </c>
      <c r="B96" s="41" t="s">
        <v>107</v>
      </c>
      <c r="C96" s="41" t="s">
        <v>280</v>
      </c>
      <c r="E96" s="138" t="s">
        <v>636</v>
      </c>
      <c r="F96" s="139" t="s">
        <v>637</v>
      </c>
      <c r="G96" s="139" t="s">
        <v>283</v>
      </c>
      <c r="H96" s="140"/>
      <c r="I96" s="141">
        <v>45684.0</v>
      </c>
      <c r="J96" s="115" t="s">
        <v>638</v>
      </c>
      <c r="K96" s="60"/>
      <c r="L96" s="142"/>
      <c r="M96" s="143" t="s">
        <v>639</v>
      </c>
      <c r="N96" s="144"/>
      <c r="O96" s="302" t="s">
        <v>640</v>
      </c>
      <c r="P96" s="48" t="str">
        <f t="array" ref="P96">HYPERLINK(INDEX('File Links'!B:B, MATCH(O96, 'File Links'!C:C, 0)))
</f>
        <v>https://drive.google.com/file/d/1GpQZNwn0thDz2IQRffeGzv6KDWQiKn_I/view?usp=drivesdk</v>
      </c>
      <c r="Q96" s="115" t="s">
        <v>641</v>
      </c>
      <c r="R96" s="60"/>
      <c r="S96" s="60"/>
      <c r="T96" s="144"/>
      <c r="U96" s="302" t="s">
        <v>351</v>
      </c>
      <c r="V96" s="115" t="s">
        <v>642</v>
      </c>
      <c r="W96" s="45" t="str">
        <f t="array" ref="W96">HYPERLINK(INDEX('File Links'!B:B, MATCH(U96, 'File Links'!C:C, 0)))
</f>
        <v>#N/A</v>
      </c>
      <c r="Y96" s="139" t="s">
        <v>235</v>
      </c>
      <c r="Z96" s="115" t="s">
        <v>643</v>
      </c>
      <c r="AA96" s="115" t="s">
        <v>644</v>
      </c>
      <c r="AB96" s="115" t="s">
        <v>645</v>
      </c>
      <c r="AC96" s="153" t="s">
        <v>646</v>
      </c>
      <c r="AD96" s="149">
        <v>140.0</v>
      </c>
      <c r="AE96" s="149">
        <v>0.66</v>
      </c>
      <c r="AF96" s="149" t="s">
        <v>647</v>
      </c>
      <c r="AG96" s="139" t="s">
        <v>648</v>
      </c>
      <c r="AH96" s="115">
        <v>0.007</v>
      </c>
      <c r="AI96" s="154" t="s">
        <v>164</v>
      </c>
      <c r="AJ96" s="139" t="s">
        <v>179</v>
      </c>
      <c r="AK96" s="139" t="s">
        <v>132</v>
      </c>
      <c r="AL96" s="60"/>
      <c r="AM96" s="115">
        <v>486.0</v>
      </c>
      <c r="AN96" s="149">
        <v>0.41</v>
      </c>
      <c r="AO96" s="149" t="s">
        <v>599</v>
      </c>
      <c r="AP96" s="139" t="s">
        <v>297</v>
      </c>
      <c r="AQ96" s="115">
        <v>0.073</v>
      </c>
      <c r="AR96" s="154" t="s">
        <v>164</v>
      </c>
      <c r="AS96" s="139" t="s">
        <v>179</v>
      </c>
      <c r="AT96" s="139" t="s">
        <v>132</v>
      </c>
      <c r="AU96" s="60"/>
      <c r="AV96" s="151" t="s">
        <v>142</v>
      </c>
      <c r="AW96" s="60"/>
    </row>
    <row r="97" ht="20.25" customHeight="1">
      <c r="A97" s="314" t="s">
        <v>520</v>
      </c>
      <c r="B97" s="41" t="s">
        <v>107</v>
      </c>
      <c r="C97" s="41" t="s">
        <v>280</v>
      </c>
      <c r="E97" s="138" t="s">
        <v>636</v>
      </c>
      <c r="F97" s="139" t="s">
        <v>649</v>
      </c>
      <c r="G97" s="139" t="s">
        <v>283</v>
      </c>
      <c r="H97" s="140"/>
      <c r="I97" s="141">
        <v>45684.0</v>
      </c>
      <c r="J97" s="115" t="s">
        <v>638</v>
      </c>
      <c r="K97" s="60"/>
      <c r="L97" s="142"/>
      <c r="M97" s="143" t="s">
        <v>639</v>
      </c>
      <c r="N97" s="144"/>
      <c r="O97" s="302" t="s">
        <v>640</v>
      </c>
      <c r="P97" s="48" t="str">
        <f t="array" ref="P97">HYPERLINK(INDEX('File Links'!B:B, MATCH(O97, 'File Links'!C:C, 0)))
</f>
        <v>https://drive.google.com/file/d/1GpQZNwn0thDz2IQRffeGzv6KDWQiKn_I/view?usp=drivesdk</v>
      </c>
      <c r="Q97" s="115" t="s">
        <v>650</v>
      </c>
      <c r="R97" s="60"/>
      <c r="S97" s="60"/>
      <c r="T97" s="144"/>
      <c r="U97" s="302" t="s">
        <v>351</v>
      </c>
      <c r="V97" s="115" t="s">
        <v>642</v>
      </c>
      <c r="W97" s="45" t="str">
        <f t="array" ref="W97">HYPERLINK(INDEX('File Links'!B:B, MATCH(U97, 'File Links'!C:C, 0)))
</f>
        <v>#N/A</v>
      </c>
      <c r="Y97" s="139" t="s">
        <v>235</v>
      </c>
      <c r="Z97" s="115" t="s">
        <v>651</v>
      </c>
      <c r="AA97" s="115" t="s">
        <v>644</v>
      </c>
      <c r="AB97" s="115" t="s">
        <v>652</v>
      </c>
      <c r="AC97" s="153" t="s">
        <v>646</v>
      </c>
      <c r="AD97" s="149">
        <v>140.0</v>
      </c>
      <c r="AE97" s="149">
        <v>0.58</v>
      </c>
      <c r="AF97" s="149" t="s">
        <v>647</v>
      </c>
      <c r="AG97" s="139" t="s">
        <v>648</v>
      </c>
      <c r="AH97" s="115">
        <v>0.001</v>
      </c>
      <c r="AI97" s="154" t="s">
        <v>164</v>
      </c>
      <c r="AJ97" s="139" t="s">
        <v>179</v>
      </c>
      <c r="AK97" s="139" t="s">
        <v>132</v>
      </c>
      <c r="AL97" s="60"/>
      <c r="AM97" s="115">
        <v>486.0</v>
      </c>
      <c r="AN97" s="149">
        <v>0.46</v>
      </c>
      <c r="AO97" s="149" t="s">
        <v>599</v>
      </c>
      <c r="AP97" s="139" t="s">
        <v>297</v>
      </c>
      <c r="AQ97" s="115">
        <v>0.0</v>
      </c>
      <c r="AR97" s="154" t="s">
        <v>127</v>
      </c>
      <c r="AS97" s="139" t="s">
        <v>179</v>
      </c>
      <c r="AT97" s="139" t="s">
        <v>132</v>
      </c>
      <c r="AU97" s="60"/>
      <c r="AV97" s="151" t="s">
        <v>142</v>
      </c>
      <c r="AW97" s="60"/>
    </row>
    <row r="98" ht="20.25" customHeight="1">
      <c r="A98" s="314" t="s">
        <v>520</v>
      </c>
      <c r="B98" s="314" t="s">
        <v>107</v>
      </c>
      <c r="C98" s="315" t="s">
        <v>243</v>
      </c>
      <c r="D98" s="314"/>
      <c r="E98" s="316" t="s">
        <v>653</v>
      </c>
      <c r="F98" s="314" t="s">
        <v>654</v>
      </c>
      <c r="G98" s="314" t="s">
        <v>244</v>
      </c>
      <c r="H98" s="317">
        <v>45427.0</v>
      </c>
      <c r="I98" s="318">
        <v>45626.0</v>
      </c>
      <c r="J98" s="314" t="s">
        <v>655</v>
      </c>
      <c r="K98" s="319"/>
      <c r="L98" s="314" t="s">
        <v>656</v>
      </c>
      <c r="M98" s="314" t="s">
        <v>639</v>
      </c>
      <c r="N98" s="319"/>
      <c r="O98" s="320" t="str">
        <f> hyperlink(vlookup(lower(M98),'File Links'!A:B, 2, FALSE), SUBSTITUTE(lower(M98), "/", "--") &amp;  ".pdf")</f>
        <v>10.1016--j.learninstruc.2018.05.004.pdf</v>
      </c>
      <c r="P98" s="48" t="str">
        <f t="array" ref="P98">HYPERLINK(INDEX('File Links'!B:B, MATCH(O98, 'File Links'!C:C, 0)))
</f>
        <v>https://drive.google.com/file/d/1GpQZNwn0thDz2IQRffeGzv6KDWQiKn_I/view?usp=drivesdk</v>
      </c>
      <c r="Q98" s="314" t="s">
        <v>657</v>
      </c>
      <c r="R98" s="314" t="s">
        <v>658</v>
      </c>
      <c r="S98" s="319"/>
      <c r="T98" s="319"/>
      <c r="U98" s="314" t="str">
        <f> hyperlink(vlookup(lower(R98),'File Links'!E:F, 2, FALSE), SUBSTITUTE(lower(R98), "/", "--") &amp;  ".pdf")</f>
        <v>10.1080--19345747.2024.2333734.pdf</v>
      </c>
      <c r="V98" s="319"/>
      <c r="W98" s="45" t="str">
        <f t="array" ref="W98">HYPERLINK(INDEX('File Links'!B:B, MATCH(U98, 'File Links'!C:C, 0)))
</f>
        <v>#N/A</v>
      </c>
      <c r="X98" s="319"/>
      <c r="Y98" s="314" t="s">
        <v>659</v>
      </c>
      <c r="Z98" s="319"/>
      <c r="AA98" s="314" t="s">
        <v>660</v>
      </c>
      <c r="AB98" s="314" t="s">
        <v>661</v>
      </c>
      <c r="AC98" s="314" t="s">
        <v>662</v>
      </c>
      <c r="AD98" s="314" t="s">
        <v>663</v>
      </c>
      <c r="AE98" s="314">
        <v>744.0</v>
      </c>
      <c r="AF98" s="314">
        <v>0.75</v>
      </c>
      <c r="AG98" s="314" t="s">
        <v>599</v>
      </c>
      <c r="AH98" s="319"/>
      <c r="AI98" s="314" t="s">
        <v>664</v>
      </c>
      <c r="AJ98" s="314" t="s">
        <v>164</v>
      </c>
      <c r="AK98" s="314" t="s">
        <v>179</v>
      </c>
      <c r="AL98" s="215"/>
      <c r="AM98" s="319"/>
      <c r="AN98" s="314">
        <v>2421.0</v>
      </c>
      <c r="AO98" s="314">
        <v>0.36</v>
      </c>
      <c r="AP98" s="314" t="s">
        <v>599</v>
      </c>
      <c r="AQ98" s="319"/>
      <c r="AR98" s="314" t="s">
        <v>665</v>
      </c>
      <c r="AS98" s="314" t="s">
        <v>164</v>
      </c>
      <c r="AT98" s="314" t="s">
        <v>179</v>
      </c>
      <c r="AU98" s="215"/>
      <c r="AV98" s="215"/>
      <c r="AW98" s="321" t="s">
        <v>666</v>
      </c>
      <c r="AX98" s="319"/>
      <c r="AY98" s="322"/>
    </row>
    <row r="99" ht="20.25" customHeight="1">
      <c r="A99" s="314" t="s">
        <v>520</v>
      </c>
      <c r="B99" s="314" t="s">
        <v>107</v>
      </c>
      <c r="C99" s="315" t="s">
        <v>243</v>
      </c>
      <c r="D99" s="315"/>
      <c r="E99" s="316" t="s">
        <v>653</v>
      </c>
      <c r="F99" s="314" t="s">
        <v>637</v>
      </c>
      <c r="G99" s="314" t="s">
        <v>244</v>
      </c>
      <c r="H99" s="317">
        <v>45427.0</v>
      </c>
      <c r="I99" s="318">
        <v>45626.0</v>
      </c>
      <c r="J99" s="314" t="s">
        <v>667</v>
      </c>
      <c r="K99" s="319"/>
      <c r="L99" s="314" t="s">
        <v>656</v>
      </c>
      <c r="M99" s="314" t="s">
        <v>639</v>
      </c>
      <c r="N99" s="319"/>
      <c r="O99" s="320" t="str">
        <f> hyperlink(vlookup(lower(M99),'File Links'!A:B, 2, FALSE), SUBSTITUTE(lower(M99), "/", "--") &amp;  ".pdf")</f>
        <v>10.1016--j.learninstruc.2018.05.004.pdf</v>
      </c>
      <c r="P99" s="48" t="str">
        <f t="array" ref="P99">HYPERLINK(INDEX('File Links'!B:B, MATCH(O99, 'File Links'!C:C, 0)))
</f>
        <v>https://drive.google.com/file/d/1GpQZNwn0thDz2IQRffeGzv6KDWQiKn_I/view?usp=drivesdk</v>
      </c>
      <c r="Q99" s="314" t="s">
        <v>657</v>
      </c>
      <c r="R99" s="314" t="s">
        <v>658</v>
      </c>
      <c r="S99" s="319"/>
      <c r="T99" s="319"/>
      <c r="U99" s="314" t="str">
        <f> hyperlink(vlookup(lower(R99),'File Links'!E:F, 2, FALSE), SUBSTITUTE(lower(R99), "/", "--") &amp;  ".pdf")</f>
        <v>10.1080--19345747.2024.2333734.pdf</v>
      </c>
      <c r="V99" s="319"/>
      <c r="W99" s="45" t="str">
        <f t="array" ref="W99">HYPERLINK(INDEX('File Links'!B:B, MATCH(U99, 'File Links'!C:C, 0)))
</f>
        <v>#N/A</v>
      </c>
      <c r="X99" s="319"/>
      <c r="Y99" s="314" t="s">
        <v>659</v>
      </c>
      <c r="Z99" s="319"/>
      <c r="AA99" s="314" t="s">
        <v>668</v>
      </c>
      <c r="AB99" s="314" t="s">
        <v>661</v>
      </c>
      <c r="AC99" s="314" t="s">
        <v>669</v>
      </c>
      <c r="AD99" s="314" t="s">
        <v>663</v>
      </c>
      <c r="AE99" s="314">
        <v>744.0</v>
      </c>
      <c r="AF99" s="314">
        <v>0.61</v>
      </c>
      <c r="AG99" s="314" t="s">
        <v>599</v>
      </c>
      <c r="AH99" s="319"/>
      <c r="AI99" s="314" t="s">
        <v>670</v>
      </c>
      <c r="AJ99" s="314" t="s">
        <v>164</v>
      </c>
      <c r="AK99" s="314" t="s">
        <v>179</v>
      </c>
      <c r="AL99" s="215"/>
      <c r="AM99" s="319"/>
      <c r="AN99" s="314">
        <v>2421.0</v>
      </c>
      <c r="AO99" s="314">
        <v>0.58</v>
      </c>
      <c r="AP99" s="314" t="s">
        <v>599</v>
      </c>
      <c r="AQ99" s="319"/>
      <c r="AR99" s="314" t="s">
        <v>671</v>
      </c>
      <c r="AS99" s="314" t="s">
        <v>164</v>
      </c>
      <c r="AT99" s="314" t="s">
        <v>179</v>
      </c>
      <c r="AU99" s="215"/>
      <c r="AV99" s="215"/>
      <c r="AW99" s="321" t="s">
        <v>666</v>
      </c>
      <c r="AX99" s="319"/>
      <c r="AY99" s="215"/>
      <c r="BB99" s="215"/>
      <c r="BC99" s="215"/>
      <c r="BD99" s="215"/>
      <c r="BE99" s="215"/>
      <c r="BF99" s="215"/>
      <c r="BG99" s="215"/>
      <c r="BH99" s="215"/>
      <c r="BI99" s="215"/>
      <c r="BJ99" s="215"/>
      <c r="BK99" s="215"/>
      <c r="BL99" s="215"/>
      <c r="BM99" s="215"/>
      <c r="BN99" s="215"/>
      <c r="BO99" s="215"/>
      <c r="BP99" s="215"/>
      <c r="BQ99" s="215"/>
      <c r="BR99" s="215"/>
      <c r="BS99" s="215"/>
      <c r="BT99" s="215"/>
      <c r="BU99" s="215"/>
      <c r="BV99" s="215"/>
      <c r="BW99" s="215"/>
      <c r="BX99" s="215"/>
      <c r="BY99" s="215"/>
      <c r="BZ99" s="215"/>
      <c r="CA99" s="215"/>
      <c r="CB99" s="215"/>
      <c r="CC99" s="215"/>
      <c r="CD99" s="215"/>
      <c r="CE99" s="215"/>
      <c r="CF99" s="215"/>
      <c r="CG99" s="215"/>
      <c r="CH99" s="215"/>
      <c r="CI99" s="215"/>
      <c r="CJ99" s="215"/>
      <c r="CK99" s="215"/>
      <c r="CL99" s="215"/>
      <c r="CM99" s="215"/>
      <c r="CN99" s="215"/>
      <c r="CO99" s="215"/>
      <c r="CP99" s="215"/>
      <c r="CQ99" s="215"/>
      <c r="CR99" s="215"/>
      <c r="CS99" s="215"/>
      <c r="CT99" s="215"/>
      <c r="CU99" s="215"/>
      <c r="CV99" s="215"/>
      <c r="CW99" s="215"/>
      <c r="CX99" s="215"/>
      <c r="CY99" s="215"/>
      <c r="CZ99" s="215"/>
      <c r="DA99" s="215"/>
      <c r="DB99" s="215"/>
      <c r="DC99" s="215"/>
      <c r="DD99" s="215"/>
      <c r="DE99" s="215"/>
      <c r="DF99" s="215"/>
      <c r="DG99" s="215"/>
    </row>
    <row r="100" ht="20.25" customHeight="1">
      <c r="A100" s="314" t="s">
        <v>520</v>
      </c>
      <c r="B100" s="314" t="s">
        <v>107</v>
      </c>
      <c r="C100" s="315" t="s">
        <v>243</v>
      </c>
      <c r="D100" s="315"/>
      <c r="E100" s="316" t="s">
        <v>653</v>
      </c>
      <c r="F100" s="314" t="s">
        <v>649</v>
      </c>
      <c r="G100" s="314" t="s">
        <v>244</v>
      </c>
      <c r="H100" s="317">
        <v>45427.0</v>
      </c>
      <c r="I100" s="318">
        <v>45626.0</v>
      </c>
      <c r="J100" s="314" t="s">
        <v>672</v>
      </c>
      <c r="K100" s="319"/>
      <c r="L100" s="314" t="s">
        <v>656</v>
      </c>
      <c r="M100" s="314" t="s">
        <v>639</v>
      </c>
      <c r="N100" s="319"/>
      <c r="O100" s="320" t="str">
        <f> hyperlink(vlookup(lower(M100),'File Links'!A:B, 2, FALSE), SUBSTITUTE(lower(M100), "/", "--") &amp;  ".pdf")</f>
        <v>10.1016--j.learninstruc.2018.05.004.pdf</v>
      </c>
      <c r="P100" s="48" t="str">
        <f t="array" ref="P100">HYPERLINK(INDEX('File Links'!B:B, MATCH(O100, 'File Links'!C:C, 0)))
</f>
        <v>https://drive.google.com/file/d/1GpQZNwn0thDz2IQRffeGzv6KDWQiKn_I/view?usp=drivesdk</v>
      </c>
      <c r="Q100" s="314" t="s">
        <v>657</v>
      </c>
      <c r="R100" s="314" t="s">
        <v>658</v>
      </c>
      <c r="S100" s="319"/>
      <c r="T100" s="319"/>
      <c r="U100" s="314" t="str">
        <f> hyperlink(vlookup(lower(R100),'File Links'!E:F, 2, FALSE), SUBSTITUTE(lower(R100), "/", "--") &amp;  ".pdf")</f>
        <v>10.1080--19345747.2024.2333734.pdf</v>
      </c>
      <c r="V100" s="319"/>
      <c r="W100" s="45" t="str">
        <f t="array" ref="W100">HYPERLINK(INDEX('File Links'!B:B, MATCH(U100, 'File Links'!C:C, 0)))
</f>
        <v>#N/A</v>
      </c>
      <c r="X100" s="319"/>
      <c r="Y100" s="314" t="s">
        <v>659</v>
      </c>
      <c r="Z100" s="319"/>
      <c r="AA100" s="314" t="s">
        <v>673</v>
      </c>
      <c r="AB100" s="314" t="s">
        <v>661</v>
      </c>
      <c r="AC100" s="314" t="s">
        <v>674</v>
      </c>
      <c r="AD100" s="314" t="s">
        <v>663</v>
      </c>
      <c r="AE100" s="314">
        <v>744.0</v>
      </c>
      <c r="AF100" s="314">
        <v>0.57</v>
      </c>
      <c r="AG100" s="314" t="s">
        <v>599</v>
      </c>
      <c r="AH100" s="319"/>
      <c r="AI100" s="314" t="s">
        <v>240</v>
      </c>
      <c r="AJ100" s="314" t="s">
        <v>127</v>
      </c>
      <c r="AK100" s="314" t="s">
        <v>179</v>
      </c>
      <c r="AL100" s="215"/>
      <c r="AM100" s="319"/>
      <c r="AN100" s="314">
        <v>2421.0</v>
      </c>
      <c r="AO100" s="314">
        <v>0.54</v>
      </c>
      <c r="AP100" s="314" t="s">
        <v>599</v>
      </c>
      <c r="AQ100" s="319"/>
      <c r="AR100" s="314" t="s">
        <v>675</v>
      </c>
      <c r="AS100" s="314" t="s">
        <v>164</v>
      </c>
      <c r="AT100" s="314" t="s">
        <v>179</v>
      </c>
      <c r="AU100" s="215"/>
      <c r="AV100" s="215"/>
      <c r="AW100" s="321" t="s">
        <v>666</v>
      </c>
      <c r="AX100" s="319"/>
      <c r="AY100" s="215"/>
      <c r="BB100" s="215"/>
      <c r="BC100" s="215"/>
      <c r="BD100" s="215"/>
      <c r="BE100" s="215"/>
      <c r="BF100" s="215"/>
      <c r="BG100" s="215"/>
      <c r="BH100" s="215"/>
      <c r="BI100" s="215"/>
      <c r="BJ100" s="215"/>
      <c r="BK100" s="215"/>
      <c r="BL100" s="215"/>
      <c r="BM100" s="215"/>
      <c r="BN100" s="215"/>
      <c r="BO100" s="215"/>
      <c r="BP100" s="215"/>
      <c r="BQ100" s="215"/>
      <c r="BR100" s="215"/>
      <c r="BS100" s="215"/>
      <c r="BT100" s="215"/>
      <c r="BU100" s="215"/>
      <c r="BV100" s="215"/>
      <c r="BW100" s="215"/>
      <c r="BX100" s="215"/>
      <c r="BY100" s="215"/>
      <c r="BZ100" s="215"/>
      <c r="CA100" s="215"/>
      <c r="CB100" s="215"/>
      <c r="CC100" s="215"/>
      <c r="CD100" s="215"/>
      <c r="CE100" s="215"/>
      <c r="CF100" s="215"/>
      <c r="CG100" s="215"/>
      <c r="CH100" s="215"/>
      <c r="CI100" s="215"/>
      <c r="CJ100" s="215"/>
      <c r="CK100" s="215"/>
      <c r="CL100" s="215"/>
      <c r="CM100" s="215"/>
      <c r="CN100" s="215"/>
      <c r="CO100" s="215"/>
      <c r="CP100" s="215"/>
      <c r="CQ100" s="215"/>
      <c r="CR100" s="215"/>
      <c r="CS100" s="215"/>
      <c r="CT100" s="215"/>
      <c r="CU100" s="215"/>
      <c r="CV100" s="215"/>
      <c r="CW100" s="215"/>
      <c r="CX100" s="215"/>
      <c r="CY100" s="215"/>
      <c r="CZ100" s="215"/>
      <c r="DA100" s="215"/>
      <c r="DB100" s="215"/>
      <c r="DC100" s="215"/>
      <c r="DD100" s="215"/>
      <c r="DE100" s="215"/>
      <c r="DF100" s="215"/>
      <c r="DG100" s="215"/>
    </row>
    <row r="101" ht="20.25" customHeight="1">
      <c r="A101" s="314" t="s">
        <v>586</v>
      </c>
      <c r="B101" s="316" t="s">
        <v>107</v>
      </c>
      <c r="C101" s="316" t="s">
        <v>280</v>
      </c>
      <c r="D101" s="215"/>
      <c r="E101" s="323" t="s">
        <v>653</v>
      </c>
      <c r="F101" s="315" t="s">
        <v>636</v>
      </c>
      <c r="G101" s="315" t="s">
        <v>283</v>
      </c>
      <c r="H101" s="324">
        <v>45427.0</v>
      </c>
      <c r="I101" s="324">
        <v>45684.0</v>
      </c>
      <c r="J101" s="321" t="s">
        <v>638</v>
      </c>
      <c r="K101" s="322"/>
      <c r="L101" s="323" t="s">
        <v>656</v>
      </c>
      <c r="M101" s="323" t="s">
        <v>639</v>
      </c>
      <c r="N101" s="325"/>
      <c r="O101" s="315" t="s">
        <v>640</v>
      </c>
      <c r="P101" s="48" t="str">
        <f t="array" ref="P101">HYPERLINK(INDEX('File Links'!B:B, MATCH(O101, 'File Links'!C:C, 0)))
</f>
        <v>https://drive.google.com/file/d/1GpQZNwn0thDz2IQRffeGzv6KDWQiKn_I/view?usp=drivesdk</v>
      </c>
      <c r="Q101" s="321" t="s">
        <v>657</v>
      </c>
      <c r="R101" s="322"/>
      <c r="S101" s="322"/>
      <c r="T101" s="325"/>
      <c r="U101" s="315" t="s">
        <v>351</v>
      </c>
      <c r="V101" s="326" t="s">
        <v>676</v>
      </c>
      <c r="W101" s="45" t="str">
        <f t="array" ref="W101">HYPERLINK(INDEX('File Links'!B:B, MATCH(U101, 'File Links'!C:C, 0)))
</f>
        <v>#N/A</v>
      </c>
      <c r="X101" s="215"/>
      <c r="Y101" s="315" t="s">
        <v>235</v>
      </c>
      <c r="Z101" s="60" t="s">
        <v>677</v>
      </c>
      <c r="AA101" s="147" t="s">
        <v>644</v>
      </c>
      <c r="AB101" s="60" t="s">
        <v>678</v>
      </c>
      <c r="AC101" s="60" t="s">
        <v>679</v>
      </c>
      <c r="AD101" s="60" t="s">
        <v>646</v>
      </c>
      <c r="AE101" s="327">
        <v>140.0</v>
      </c>
      <c r="AF101" s="328">
        <v>0.75</v>
      </c>
      <c r="AG101" s="329" t="s">
        <v>647</v>
      </c>
      <c r="AH101" s="329" t="s">
        <v>648</v>
      </c>
      <c r="AI101" s="328">
        <v>0.002</v>
      </c>
      <c r="AJ101" s="329" t="s">
        <v>164</v>
      </c>
      <c r="AK101" s="329" t="s">
        <v>179</v>
      </c>
      <c r="AL101" s="60" t="s">
        <v>132</v>
      </c>
      <c r="AM101" s="115"/>
      <c r="AN101" s="328">
        <v>486.0</v>
      </c>
      <c r="AO101" s="328">
        <v>0.9</v>
      </c>
      <c r="AP101" s="330" t="s">
        <v>599</v>
      </c>
      <c r="AQ101" s="329" t="s">
        <v>297</v>
      </c>
      <c r="AR101" s="328">
        <v>0.047</v>
      </c>
      <c r="AS101" s="329" t="s">
        <v>164</v>
      </c>
      <c r="AT101" s="329" t="s">
        <v>179</v>
      </c>
      <c r="AU101" s="60" t="s">
        <v>132</v>
      </c>
      <c r="AV101" s="329"/>
      <c r="AW101" s="60" t="s">
        <v>142</v>
      </c>
      <c r="AX101" s="215"/>
      <c r="AY101" s="215"/>
      <c r="BB101" s="215"/>
      <c r="BC101" s="215"/>
      <c r="BD101" s="215"/>
      <c r="BE101" s="215"/>
      <c r="BF101" s="215"/>
      <c r="BG101" s="215"/>
      <c r="BH101" s="215"/>
      <c r="BI101" s="215"/>
      <c r="BJ101" s="215"/>
      <c r="BK101" s="215"/>
      <c r="BL101" s="215"/>
      <c r="BM101" s="215"/>
      <c r="BN101" s="215"/>
      <c r="BO101" s="215"/>
      <c r="BP101" s="215"/>
      <c r="BQ101" s="215"/>
      <c r="BR101" s="215"/>
      <c r="BS101" s="215"/>
      <c r="BT101" s="215"/>
      <c r="BU101" s="215"/>
      <c r="BV101" s="215"/>
      <c r="BW101" s="215"/>
      <c r="BX101" s="215"/>
      <c r="BY101" s="215"/>
      <c r="BZ101" s="215"/>
      <c r="CA101" s="215"/>
      <c r="CB101" s="215"/>
      <c r="CC101" s="215"/>
      <c r="CD101" s="215"/>
      <c r="CE101" s="215"/>
      <c r="CF101" s="215"/>
      <c r="CG101" s="215"/>
      <c r="CH101" s="215"/>
      <c r="CI101" s="215"/>
      <c r="CJ101" s="215"/>
      <c r="CK101" s="215"/>
      <c r="CL101" s="215"/>
      <c r="CM101" s="215"/>
      <c r="CN101" s="215"/>
      <c r="CO101" s="215"/>
      <c r="CP101" s="215"/>
      <c r="CQ101" s="215"/>
      <c r="CR101" s="215"/>
      <c r="CS101" s="215"/>
      <c r="CT101" s="215"/>
      <c r="CU101" s="215"/>
      <c r="CV101" s="215"/>
      <c r="CW101" s="215"/>
      <c r="CX101" s="215"/>
      <c r="CY101" s="215"/>
      <c r="CZ101" s="215"/>
      <c r="DA101" s="215"/>
      <c r="DB101" s="215"/>
      <c r="DC101" s="215"/>
      <c r="DD101" s="215"/>
      <c r="DE101" s="215"/>
      <c r="DF101" s="215"/>
      <c r="DG101" s="215"/>
    </row>
    <row r="102" ht="20.25" customHeight="1">
      <c r="A102" s="331" t="s">
        <v>520</v>
      </c>
      <c r="B102" s="332" t="s">
        <v>107</v>
      </c>
      <c r="C102" s="332" t="s">
        <v>280</v>
      </c>
      <c r="D102" s="333"/>
      <c r="E102" s="138" t="s">
        <v>680</v>
      </c>
      <c r="F102" s="139" t="s">
        <v>681</v>
      </c>
      <c r="G102" s="139" t="s">
        <v>283</v>
      </c>
      <c r="H102" s="140"/>
      <c r="I102" s="141">
        <v>45684.0</v>
      </c>
      <c r="J102" s="115" t="s">
        <v>682</v>
      </c>
      <c r="K102" s="60"/>
      <c r="L102" s="142"/>
      <c r="M102" s="143" t="s">
        <v>683</v>
      </c>
      <c r="N102" s="144"/>
      <c r="O102" s="302" t="s">
        <v>684</v>
      </c>
      <c r="P102" s="48" t="str">
        <f t="array" ref="P102">HYPERLINK(INDEX('File Links'!B:B, MATCH(O102, 'File Links'!C:C, 0)))
</f>
        <v>https://drive.google.com/file/d/1mMbXlq0wHwW3u94B3l_0KZ3_2GsCObmh/view?usp=drivesdk</v>
      </c>
      <c r="Q102" s="115" t="s">
        <v>685</v>
      </c>
      <c r="R102" s="60"/>
      <c r="S102" s="60"/>
      <c r="T102" s="144"/>
      <c r="U102" s="302" t="s">
        <v>351</v>
      </c>
      <c r="V102" s="115" t="s">
        <v>686</v>
      </c>
      <c r="W102" s="45" t="str">
        <f t="array" ref="W102">HYPERLINK(INDEX('File Links'!B:B, MATCH(U102, 'File Links'!C:C, 0)))
</f>
        <v>#N/A</v>
      </c>
      <c r="Y102" s="139" t="s">
        <v>235</v>
      </c>
      <c r="Z102" s="115" t="s">
        <v>687</v>
      </c>
      <c r="AA102" s="115" t="s">
        <v>688</v>
      </c>
      <c r="AB102" s="115" t="s">
        <v>689</v>
      </c>
      <c r="AC102" s="153" t="s">
        <v>690</v>
      </c>
      <c r="AD102" s="144"/>
      <c r="AE102" s="149">
        <v>79.0</v>
      </c>
      <c r="AF102" s="149">
        <v>1.62</v>
      </c>
      <c r="AG102" s="139" t="s">
        <v>691</v>
      </c>
      <c r="AH102" s="115" t="s">
        <v>692</v>
      </c>
      <c r="AI102" s="154">
        <v>0.2</v>
      </c>
      <c r="AJ102" s="139" t="s">
        <v>164</v>
      </c>
      <c r="AK102" s="139" t="s">
        <v>179</v>
      </c>
      <c r="AL102" s="115" t="s">
        <v>129</v>
      </c>
      <c r="AM102" s="55"/>
      <c r="AN102" s="149">
        <v>40.0</v>
      </c>
      <c r="AO102" s="149">
        <v>1.35</v>
      </c>
      <c r="AP102" s="139" t="s">
        <v>691</v>
      </c>
      <c r="AQ102" s="115" t="s">
        <v>693</v>
      </c>
      <c r="AR102" s="154">
        <v>0.25</v>
      </c>
      <c r="AS102" s="139" t="s">
        <v>164</v>
      </c>
      <c r="AT102" s="139" t="s">
        <v>179</v>
      </c>
      <c r="AU102" s="115" t="s">
        <v>129</v>
      </c>
      <c r="AV102" s="151" t="s">
        <v>694</v>
      </c>
      <c r="AW102" s="115" t="s">
        <v>142</v>
      </c>
      <c r="BB102" s="215"/>
      <c r="BC102" s="215"/>
      <c r="BD102" s="215"/>
      <c r="BE102" s="215"/>
      <c r="BF102" s="215"/>
      <c r="BG102" s="215"/>
      <c r="BH102" s="215"/>
      <c r="BI102" s="215"/>
      <c r="BJ102" s="215"/>
      <c r="BK102" s="215"/>
      <c r="BL102" s="215"/>
      <c r="BM102" s="215"/>
      <c r="BN102" s="215"/>
      <c r="BO102" s="215"/>
      <c r="BP102" s="215"/>
      <c r="BQ102" s="215"/>
      <c r="BR102" s="215"/>
      <c r="BS102" s="215"/>
      <c r="BT102" s="215"/>
      <c r="BU102" s="215"/>
      <c r="BV102" s="215"/>
      <c r="BW102" s="215"/>
      <c r="BX102" s="215"/>
      <c r="BY102" s="215"/>
      <c r="BZ102" s="215"/>
      <c r="CA102" s="215"/>
      <c r="CB102" s="215"/>
      <c r="CC102" s="215"/>
      <c r="CD102" s="215"/>
      <c r="CE102" s="215"/>
      <c r="CF102" s="215"/>
      <c r="CG102" s="215"/>
      <c r="CH102" s="215"/>
      <c r="CI102" s="215"/>
      <c r="CJ102" s="215"/>
      <c r="CK102" s="215"/>
      <c r="CL102" s="215"/>
      <c r="CM102" s="215"/>
      <c r="CN102" s="215"/>
      <c r="CO102" s="215"/>
      <c r="CP102" s="215"/>
      <c r="CQ102" s="215"/>
      <c r="CR102" s="215"/>
      <c r="CS102" s="215"/>
      <c r="CT102" s="215"/>
      <c r="CU102" s="215"/>
      <c r="CV102" s="215"/>
      <c r="CW102" s="215"/>
      <c r="CX102" s="215"/>
      <c r="CY102" s="215"/>
      <c r="CZ102" s="215"/>
      <c r="DA102" s="215"/>
      <c r="DB102" s="215"/>
      <c r="DC102" s="215"/>
      <c r="DD102" s="215"/>
      <c r="DE102" s="215"/>
      <c r="DF102" s="215"/>
      <c r="DG102" s="215"/>
    </row>
    <row r="103" ht="20.25" customHeight="1">
      <c r="A103" s="331" t="s">
        <v>520</v>
      </c>
      <c r="B103" s="332" t="s">
        <v>107</v>
      </c>
      <c r="C103" s="332" t="s">
        <v>280</v>
      </c>
      <c r="D103" s="333"/>
      <c r="E103" s="138" t="s">
        <v>680</v>
      </c>
      <c r="F103" s="139" t="s">
        <v>695</v>
      </c>
      <c r="G103" s="139" t="s">
        <v>283</v>
      </c>
      <c r="H103" s="140"/>
      <c r="I103" s="141">
        <v>45684.0</v>
      </c>
      <c r="J103" s="115" t="s">
        <v>682</v>
      </c>
      <c r="K103" s="60"/>
      <c r="L103" s="142"/>
      <c r="M103" s="143" t="s">
        <v>683</v>
      </c>
      <c r="N103" s="144"/>
      <c r="O103" s="302" t="s">
        <v>684</v>
      </c>
      <c r="P103" s="48" t="str">
        <f t="array" ref="P103">HYPERLINK(INDEX('File Links'!B:B, MATCH(O103, 'File Links'!C:C, 0)))
</f>
        <v>https://drive.google.com/file/d/1mMbXlq0wHwW3u94B3l_0KZ3_2GsCObmh/view?usp=drivesdk</v>
      </c>
      <c r="Q103" s="115" t="s">
        <v>696</v>
      </c>
      <c r="R103" s="60"/>
      <c r="S103" s="60"/>
      <c r="T103" s="144"/>
      <c r="U103" s="302" t="s">
        <v>351</v>
      </c>
      <c r="V103" s="115" t="s">
        <v>686</v>
      </c>
      <c r="W103" s="45" t="str">
        <f t="array" ref="W103">HYPERLINK(INDEX('File Links'!B:B, MATCH(U103, 'File Links'!C:C, 0)))
</f>
        <v>#N/A</v>
      </c>
      <c r="Y103" s="139" t="s">
        <v>235</v>
      </c>
      <c r="Z103" s="115" t="s">
        <v>697</v>
      </c>
      <c r="AA103" s="115" t="s">
        <v>688</v>
      </c>
      <c r="AB103" s="115" t="s">
        <v>698</v>
      </c>
      <c r="AC103" s="153" t="s">
        <v>690</v>
      </c>
      <c r="AD103" s="144"/>
      <c r="AE103" s="149">
        <v>79.0</v>
      </c>
      <c r="AF103" s="149">
        <v>0.53</v>
      </c>
      <c r="AG103" s="139" t="s">
        <v>691</v>
      </c>
      <c r="AH103" s="115" t="s">
        <v>699</v>
      </c>
      <c r="AI103" s="154">
        <v>0.41</v>
      </c>
      <c r="AJ103" s="139" t="s">
        <v>164</v>
      </c>
      <c r="AK103" s="139" t="s">
        <v>179</v>
      </c>
      <c r="AL103" s="115" t="s">
        <v>129</v>
      </c>
      <c r="AM103" s="55"/>
      <c r="AN103" s="149">
        <v>40.0</v>
      </c>
      <c r="AO103" s="149">
        <v>6.15</v>
      </c>
      <c r="AP103" s="139" t="s">
        <v>691</v>
      </c>
      <c r="AQ103" s="115" t="s">
        <v>700</v>
      </c>
      <c r="AR103" s="154">
        <v>0.01</v>
      </c>
      <c r="AS103" s="139" t="s">
        <v>164</v>
      </c>
      <c r="AT103" s="139" t="s">
        <v>179</v>
      </c>
      <c r="AU103" s="115" t="s">
        <v>129</v>
      </c>
      <c r="AV103" s="151" t="s">
        <v>694</v>
      </c>
      <c r="AW103" s="115" t="s">
        <v>142</v>
      </c>
      <c r="BB103" s="215"/>
      <c r="BC103" s="215"/>
      <c r="BD103" s="215"/>
      <c r="BE103" s="215"/>
      <c r="BF103" s="215"/>
      <c r="BG103" s="215"/>
      <c r="BH103" s="215"/>
      <c r="BI103" s="215"/>
      <c r="BJ103" s="215"/>
      <c r="BK103" s="215"/>
      <c r="BL103" s="215"/>
      <c r="BM103" s="215"/>
      <c r="BN103" s="215"/>
      <c r="BO103" s="215"/>
      <c r="BP103" s="215"/>
      <c r="BQ103" s="215"/>
      <c r="BR103" s="215"/>
      <c r="BS103" s="215"/>
      <c r="BT103" s="215"/>
      <c r="BU103" s="215"/>
      <c r="BV103" s="215"/>
      <c r="BW103" s="215"/>
      <c r="BX103" s="215"/>
      <c r="BY103" s="215"/>
      <c r="BZ103" s="215"/>
      <c r="CA103" s="215"/>
      <c r="CB103" s="215"/>
      <c r="CC103" s="215"/>
      <c r="CD103" s="215"/>
      <c r="CE103" s="215"/>
      <c r="CF103" s="215"/>
      <c r="CG103" s="215"/>
      <c r="CH103" s="215"/>
      <c r="CI103" s="215"/>
      <c r="CJ103" s="215"/>
      <c r="CK103" s="215"/>
      <c r="CL103" s="215"/>
      <c r="CM103" s="215"/>
      <c r="CN103" s="215"/>
      <c r="CO103" s="215"/>
      <c r="CP103" s="215"/>
      <c r="CQ103" s="215"/>
      <c r="CR103" s="215"/>
      <c r="CS103" s="215"/>
      <c r="CT103" s="215"/>
      <c r="CU103" s="215"/>
      <c r="CV103" s="215"/>
      <c r="CW103" s="215"/>
      <c r="CX103" s="215"/>
      <c r="CY103" s="215"/>
      <c r="CZ103" s="215"/>
      <c r="DA103" s="215"/>
      <c r="DB103" s="215"/>
      <c r="DC103" s="215"/>
      <c r="DD103" s="215"/>
      <c r="DE103" s="215"/>
      <c r="DF103" s="215"/>
      <c r="DG103" s="215"/>
    </row>
    <row r="104" ht="20.25" customHeight="1">
      <c r="A104" s="331" t="s">
        <v>520</v>
      </c>
      <c r="B104" s="332" t="s">
        <v>107</v>
      </c>
      <c r="C104" s="332" t="s">
        <v>280</v>
      </c>
      <c r="D104" s="333"/>
      <c r="E104" s="138" t="s">
        <v>680</v>
      </c>
      <c r="F104" s="139" t="s">
        <v>701</v>
      </c>
      <c r="G104" s="139" t="s">
        <v>283</v>
      </c>
      <c r="H104" s="140"/>
      <c r="I104" s="141">
        <v>45677.0</v>
      </c>
      <c r="J104" s="115" t="s">
        <v>682</v>
      </c>
      <c r="K104" s="60"/>
      <c r="L104" s="142"/>
      <c r="M104" s="143" t="s">
        <v>683</v>
      </c>
      <c r="N104" s="144"/>
      <c r="O104" s="302" t="s">
        <v>684</v>
      </c>
      <c r="P104" s="48" t="str">
        <f t="array" ref="P104">HYPERLINK(INDEX('File Links'!B:B, MATCH(O104, 'File Links'!C:C, 0)))
</f>
        <v>https://drive.google.com/file/d/1mMbXlq0wHwW3u94B3l_0KZ3_2GsCObmh/view?usp=drivesdk</v>
      </c>
      <c r="Q104" s="115" t="s">
        <v>702</v>
      </c>
      <c r="R104" s="60"/>
      <c r="S104" s="60"/>
      <c r="T104" s="144"/>
      <c r="U104" s="302" t="s">
        <v>351</v>
      </c>
      <c r="V104" s="115" t="s">
        <v>686</v>
      </c>
      <c r="W104" s="45" t="str">
        <f t="array" ref="W104">HYPERLINK(INDEX('File Links'!B:B, MATCH(U104, 'File Links'!C:C, 0)))
</f>
        <v>#N/A</v>
      </c>
      <c r="Y104" s="139" t="s">
        <v>235</v>
      </c>
      <c r="Z104" s="115" t="s">
        <v>703</v>
      </c>
      <c r="AA104" s="115" t="s">
        <v>688</v>
      </c>
      <c r="AB104" s="115" t="s">
        <v>704</v>
      </c>
      <c r="AC104" s="153" t="s">
        <v>690</v>
      </c>
      <c r="AD104" s="144"/>
      <c r="AE104" s="149">
        <v>79.0</v>
      </c>
      <c r="AF104" s="149">
        <v>0.51</v>
      </c>
      <c r="AG104" s="139" t="s">
        <v>691</v>
      </c>
      <c r="AH104" s="115" t="s">
        <v>705</v>
      </c>
      <c r="AI104" s="154">
        <v>0.48</v>
      </c>
      <c r="AJ104" s="139" t="s">
        <v>164</v>
      </c>
      <c r="AK104" s="139" t="s">
        <v>179</v>
      </c>
      <c r="AL104" s="115" t="s">
        <v>129</v>
      </c>
      <c r="AM104" s="55"/>
      <c r="AN104" s="149">
        <v>40.0</v>
      </c>
      <c r="AO104" s="149">
        <v>2.48</v>
      </c>
      <c r="AP104" s="139" t="s">
        <v>691</v>
      </c>
      <c r="AQ104" s="115" t="s">
        <v>706</v>
      </c>
      <c r="AR104" s="154">
        <v>0.12</v>
      </c>
      <c r="AS104" s="139" t="s">
        <v>164</v>
      </c>
      <c r="AT104" s="139" t="s">
        <v>179</v>
      </c>
      <c r="AU104" s="115" t="s">
        <v>129</v>
      </c>
      <c r="AV104" s="151" t="s">
        <v>694</v>
      </c>
      <c r="AW104" s="115" t="s">
        <v>142</v>
      </c>
      <c r="BB104" s="215"/>
      <c r="BC104" s="215"/>
      <c r="BD104" s="215"/>
      <c r="BE104" s="215"/>
      <c r="BF104" s="215"/>
      <c r="BG104" s="215"/>
      <c r="BH104" s="215"/>
      <c r="BI104" s="215"/>
      <c r="BJ104" s="215"/>
      <c r="BK104" s="215"/>
      <c r="BL104" s="215"/>
      <c r="BM104" s="215"/>
      <c r="BN104" s="215"/>
      <c r="BO104" s="215"/>
      <c r="BP104" s="215"/>
      <c r="BQ104" s="215"/>
      <c r="BR104" s="215"/>
      <c r="BS104" s="215"/>
      <c r="BT104" s="215"/>
      <c r="BU104" s="215"/>
      <c r="BV104" s="215"/>
      <c r="BW104" s="215"/>
      <c r="BX104" s="215"/>
      <c r="BY104" s="215"/>
      <c r="BZ104" s="215"/>
      <c r="CA104" s="215"/>
      <c r="CB104" s="215"/>
      <c r="CC104" s="215"/>
      <c r="CD104" s="215"/>
      <c r="CE104" s="215"/>
      <c r="CF104" s="215"/>
      <c r="CG104" s="215"/>
      <c r="CH104" s="215"/>
      <c r="CI104" s="215"/>
      <c r="CJ104" s="215"/>
      <c r="CK104" s="215"/>
      <c r="CL104" s="215"/>
      <c r="CM104" s="215"/>
      <c r="CN104" s="215"/>
      <c r="CO104" s="215"/>
      <c r="CP104" s="215"/>
      <c r="CQ104" s="215"/>
      <c r="CR104" s="215"/>
      <c r="CS104" s="215"/>
      <c r="CT104" s="215"/>
      <c r="CU104" s="215"/>
      <c r="CV104" s="215"/>
      <c r="CW104" s="215"/>
      <c r="CX104" s="215"/>
      <c r="CY104" s="215"/>
      <c r="CZ104" s="215"/>
      <c r="DA104" s="215"/>
      <c r="DB104" s="215"/>
      <c r="DC104" s="215"/>
      <c r="DD104" s="215"/>
      <c r="DE104" s="215"/>
      <c r="DF104" s="215"/>
      <c r="DG104" s="215"/>
    </row>
    <row r="105" ht="20.25" customHeight="1">
      <c r="A105" s="331" t="s">
        <v>520</v>
      </c>
      <c r="B105" s="332" t="s">
        <v>107</v>
      </c>
      <c r="C105" s="332" t="s">
        <v>280</v>
      </c>
      <c r="D105" s="333"/>
      <c r="E105" s="138" t="s">
        <v>680</v>
      </c>
      <c r="F105" s="139" t="s">
        <v>707</v>
      </c>
      <c r="G105" s="139" t="s">
        <v>283</v>
      </c>
      <c r="H105" s="140"/>
      <c r="I105" s="141">
        <v>45684.0</v>
      </c>
      <c r="J105" s="115" t="s">
        <v>682</v>
      </c>
      <c r="K105" s="60"/>
      <c r="L105" s="142"/>
      <c r="M105" s="143" t="s">
        <v>683</v>
      </c>
      <c r="N105" s="144"/>
      <c r="O105" s="302" t="s">
        <v>684</v>
      </c>
      <c r="P105" s="48" t="str">
        <f t="array" ref="P105">HYPERLINK(INDEX('File Links'!B:B, MATCH(O105, 'File Links'!C:C, 0)))
</f>
        <v>https://drive.google.com/file/d/1mMbXlq0wHwW3u94B3l_0KZ3_2GsCObmh/view?usp=drivesdk</v>
      </c>
      <c r="Q105" s="115" t="s">
        <v>708</v>
      </c>
      <c r="R105" s="60"/>
      <c r="S105" s="60"/>
      <c r="T105" s="144"/>
      <c r="U105" s="302" t="s">
        <v>351</v>
      </c>
      <c r="V105" s="115" t="s">
        <v>686</v>
      </c>
      <c r="W105" s="45" t="str">
        <f t="array" ref="W105">HYPERLINK(INDEX('File Links'!B:B, MATCH(U105, 'File Links'!C:C, 0)))
</f>
        <v>#N/A</v>
      </c>
      <c r="Y105" s="139" t="s">
        <v>235</v>
      </c>
      <c r="Z105" s="115" t="s">
        <v>709</v>
      </c>
      <c r="AA105" s="115" t="s">
        <v>688</v>
      </c>
      <c r="AB105" s="115" t="s">
        <v>710</v>
      </c>
      <c r="AC105" s="153" t="s">
        <v>690</v>
      </c>
      <c r="AD105" s="144"/>
      <c r="AE105" s="149">
        <v>79.0</v>
      </c>
      <c r="AF105" s="149">
        <v>0.37</v>
      </c>
      <c r="AG105" s="139" t="s">
        <v>691</v>
      </c>
      <c r="AH105" s="115" t="s">
        <v>711</v>
      </c>
      <c r="AI105" s="154">
        <v>0.55</v>
      </c>
      <c r="AJ105" s="139" t="s">
        <v>164</v>
      </c>
      <c r="AK105" s="139" t="s">
        <v>179</v>
      </c>
      <c r="AL105" s="115" t="s">
        <v>129</v>
      </c>
      <c r="AM105" s="55"/>
      <c r="AN105" s="149">
        <v>40.0</v>
      </c>
      <c r="AO105" s="149">
        <v>8.7</v>
      </c>
      <c r="AP105" s="139" t="s">
        <v>691</v>
      </c>
      <c r="AQ105" s="115" t="s">
        <v>712</v>
      </c>
      <c r="AR105" s="154">
        <v>0.01</v>
      </c>
      <c r="AS105" s="139" t="s">
        <v>127</v>
      </c>
      <c r="AT105" s="139" t="s">
        <v>179</v>
      </c>
      <c r="AU105" s="115" t="s">
        <v>129</v>
      </c>
      <c r="AV105" s="151" t="s">
        <v>694</v>
      </c>
      <c r="AW105" s="115" t="s">
        <v>142</v>
      </c>
      <c r="BB105" s="215"/>
      <c r="BC105" s="215"/>
      <c r="BD105" s="215"/>
      <c r="BE105" s="215"/>
      <c r="BF105" s="215"/>
      <c r="BG105" s="215"/>
      <c r="BH105" s="215"/>
      <c r="BI105" s="215"/>
      <c r="BJ105" s="215"/>
      <c r="BK105" s="215"/>
      <c r="BL105" s="215"/>
      <c r="BM105" s="215"/>
      <c r="BN105" s="215"/>
      <c r="BO105" s="215"/>
      <c r="BP105" s="215"/>
      <c r="BQ105" s="215"/>
      <c r="BR105" s="215"/>
      <c r="BS105" s="215"/>
      <c r="BT105" s="215"/>
      <c r="BU105" s="215"/>
      <c r="BV105" s="215"/>
      <c r="BW105" s="215"/>
      <c r="BX105" s="215"/>
      <c r="BY105" s="215"/>
      <c r="BZ105" s="215"/>
      <c r="CA105" s="215"/>
      <c r="CB105" s="215"/>
      <c r="CC105" s="215"/>
      <c r="CD105" s="215"/>
      <c r="CE105" s="215"/>
      <c r="CF105" s="215"/>
      <c r="CG105" s="215"/>
      <c r="CH105" s="215"/>
      <c r="CI105" s="215"/>
      <c r="CJ105" s="215"/>
      <c r="CK105" s="215"/>
      <c r="CL105" s="215"/>
      <c r="CM105" s="215"/>
      <c r="CN105" s="215"/>
      <c r="CO105" s="215"/>
      <c r="CP105" s="215"/>
      <c r="CQ105" s="215"/>
      <c r="CR105" s="215"/>
      <c r="CS105" s="215"/>
      <c r="CT105" s="215"/>
      <c r="CU105" s="215"/>
      <c r="CV105" s="215"/>
      <c r="CW105" s="215"/>
      <c r="CX105" s="215"/>
      <c r="CY105" s="215"/>
      <c r="CZ105" s="215"/>
      <c r="DA105" s="215"/>
      <c r="DB105" s="215"/>
      <c r="DC105" s="215"/>
      <c r="DD105" s="215"/>
      <c r="DE105" s="215"/>
      <c r="DF105" s="215"/>
      <c r="DG105" s="215"/>
    </row>
    <row r="106" ht="20.25" customHeight="1">
      <c r="A106" s="331" t="s">
        <v>520</v>
      </c>
      <c r="B106" s="331" t="s">
        <v>107</v>
      </c>
      <c r="C106" s="334" t="s">
        <v>243</v>
      </c>
      <c r="D106" s="334"/>
      <c r="E106" s="41" t="s">
        <v>713</v>
      </c>
      <c r="F106" s="40" t="s">
        <v>714</v>
      </c>
      <c r="G106" s="40" t="s">
        <v>244</v>
      </c>
      <c r="H106" s="56">
        <v>45427.0</v>
      </c>
      <c r="I106" s="57">
        <v>45626.0</v>
      </c>
      <c r="J106" s="40" t="s">
        <v>715</v>
      </c>
      <c r="K106" s="58"/>
      <c r="L106" s="40" t="s">
        <v>716</v>
      </c>
      <c r="M106" s="40" t="s">
        <v>683</v>
      </c>
      <c r="N106" s="58"/>
      <c r="O106" s="105" t="str">
        <f> hyperlink(vlookup(lower(M106),'File Links'!A:B, 2, FALSE), SUBSTITUTE(lower(M106), "/", "--") &amp;  ".pdf")</f>
        <v>10.3102--0013189x13507104.pdf</v>
      </c>
      <c r="P106" s="48" t="str">
        <f t="array" ref="P106">HYPERLINK(INDEX('File Links'!B:B, MATCH(O106, 'File Links'!C:C, 0)))
</f>
        <v>https://drive.google.com/file/d/1mMbXlq0wHwW3u94B3l_0KZ3_2GsCObmh/view?usp=drivesdk</v>
      </c>
      <c r="Q106" s="40" t="s">
        <v>717</v>
      </c>
      <c r="R106" s="40" t="s">
        <v>718</v>
      </c>
      <c r="S106" s="58"/>
      <c r="T106" s="58"/>
      <c r="U106" s="59" t="str">
        <f> hyperlink(vlookup(lower(R106),'File Links'!E:F, 2, FALSE), SUBSTITUTE(lower(R106), "/", "--") &amp;  ".pdf")</f>
        <v>10.1177--07419325241240067.pdf</v>
      </c>
      <c r="V106" s="58"/>
      <c r="W106" s="45" t="str">
        <f t="array" ref="W106">HYPERLINK(INDEX('File Links'!B:B, MATCH(U106, 'File Links'!C:C, 0)))
</f>
        <v>#N/A</v>
      </c>
      <c r="X106" s="58"/>
      <c r="Y106" s="40" t="s">
        <v>659</v>
      </c>
      <c r="Z106" s="58"/>
      <c r="AA106" s="40" t="s">
        <v>719</v>
      </c>
      <c r="AB106" s="40" t="s">
        <v>720</v>
      </c>
      <c r="AC106" s="40" t="s">
        <v>721</v>
      </c>
      <c r="AD106" s="40">
        <v>429.0</v>
      </c>
      <c r="AE106" s="40">
        <v>79.0</v>
      </c>
      <c r="AF106" s="40">
        <v>2.0</v>
      </c>
      <c r="AG106" s="40" t="s">
        <v>722</v>
      </c>
      <c r="AH106" s="58"/>
      <c r="AI106" s="40" t="s">
        <v>723</v>
      </c>
      <c r="AJ106" s="40" t="s">
        <v>164</v>
      </c>
      <c r="AK106" s="40" t="s">
        <v>179</v>
      </c>
      <c r="AL106" s="25"/>
      <c r="AM106" s="58"/>
      <c r="AN106" s="40">
        <v>40.0</v>
      </c>
      <c r="AO106" s="40">
        <v>0.65</v>
      </c>
      <c r="AP106" s="40" t="s">
        <v>722</v>
      </c>
      <c r="AQ106" s="58"/>
      <c r="AR106" s="40" t="s">
        <v>724</v>
      </c>
      <c r="AS106" s="40" t="s">
        <v>164</v>
      </c>
      <c r="AT106" s="40" t="s">
        <v>179</v>
      </c>
      <c r="AU106" s="25"/>
      <c r="AW106" s="115" t="s">
        <v>318</v>
      </c>
      <c r="AX106" s="58"/>
      <c r="AY106" s="64"/>
      <c r="BB106" s="215"/>
      <c r="BC106" s="215"/>
      <c r="BD106" s="215"/>
      <c r="BE106" s="215"/>
      <c r="BF106" s="215"/>
      <c r="BG106" s="215"/>
      <c r="BH106" s="215"/>
      <c r="BI106" s="215"/>
      <c r="BJ106" s="215"/>
      <c r="BK106" s="215"/>
      <c r="BL106" s="215"/>
      <c r="BM106" s="215"/>
      <c r="BN106" s="215"/>
      <c r="BO106" s="215"/>
      <c r="BP106" s="215"/>
      <c r="BQ106" s="215"/>
      <c r="BR106" s="215"/>
      <c r="BS106" s="215"/>
      <c r="BT106" s="215"/>
      <c r="BU106" s="215"/>
      <c r="BV106" s="215"/>
      <c r="BW106" s="215"/>
      <c r="BX106" s="215"/>
      <c r="BY106" s="215"/>
      <c r="BZ106" s="215"/>
      <c r="CA106" s="215"/>
      <c r="CB106" s="215"/>
      <c r="CC106" s="215"/>
      <c r="CD106" s="215"/>
      <c r="CE106" s="215"/>
      <c r="CF106" s="215"/>
      <c r="CG106" s="215"/>
      <c r="CH106" s="215"/>
      <c r="CI106" s="215"/>
      <c r="CJ106" s="215"/>
      <c r="CK106" s="215"/>
      <c r="CL106" s="215"/>
      <c r="CM106" s="215"/>
      <c r="CN106" s="215"/>
      <c r="CO106" s="215"/>
      <c r="CP106" s="215"/>
      <c r="CQ106" s="215"/>
      <c r="CR106" s="215"/>
      <c r="CS106" s="215"/>
      <c r="CT106" s="215"/>
      <c r="CU106" s="215"/>
      <c r="CV106" s="215"/>
      <c r="CW106" s="215"/>
      <c r="CX106" s="215"/>
      <c r="CY106" s="215"/>
      <c r="CZ106" s="215"/>
      <c r="DA106" s="215"/>
      <c r="DB106" s="215"/>
      <c r="DC106" s="215"/>
      <c r="DD106" s="215"/>
      <c r="DE106" s="215"/>
      <c r="DF106" s="215"/>
      <c r="DG106" s="215"/>
    </row>
    <row r="107" ht="20.25" customHeight="1">
      <c r="A107" s="331" t="s">
        <v>520</v>
      </c>
      <c r="B107" s="331" t="s">
        <v>107</v>
      </c>
      <c r="C107" s="334" t="s">
        <v>243</v>
      </c>
      <c r="D107" s="334"/>
      <c r="E107" s="41" t="s">
        <v>713</v>
      </c>
      <c r="F107" s="40" t="s">
        <v>681</v>
      </c>
      <c r="G107" s="40" t="s">
        <v>244</v>
      </c>
      <c r="H107" s="56">
        <v>45427.0</v>
      </c>
      <c r="I107" s="57">
        <v>45626.0</v>
      </c>
      <c r="J107" s="40" t="s">
        <v>725</v>
      </c>
      <c r="K107" s="58"/>
      <c r="L107" s="40" t="s">
        <v>716</v>
      </c>
      <c r="M107" s="40" t="s">
        <v>683</v>
      </c>
      <c r="N107" s="58"/>
      <c r="O107" s="105" t="str">
        <f> hyperlink(vlookup(lower(M107),'File Links'!A:B, 2, FALSE), SUBSTITUTE(lower(M107), "/", "--") &amp;  ".pdf")</f>
        <v>10.3102--0013189x13507104.pdf</v>
      </c>
      <c r="P107" s="48" t="str">
        <f t="array" ref="P107">HYPERLINK(INDEX('File Links'!B:B, MATCH(O107, 'File Links'!C:C, 0)))
</f>
        <v>https://drive.google.com/file/d/1mMbXlq0wHwW3u94B3l_0KZ3_2GsCObmh/view?usp=drivesdk</v>
      </c>
      <c r="Q107" s="40" t="s">
        <v>717</v>
      </c>
      <c r="R107" s="40" t="s">
        <v>718</v>
      </c>
      <c r="S107" s="58"/>
      <c r="T107" s="58"/>
      <c r="U107" s="59" t="str">
        <f> hyperlink(vlookup(lower(R107),'File Links'!E:F, 2, FALSE), SUBSTITUTE(lower(R107), "/", "--") &amp;  ".pdf")</f>
        <v>10.1177--07419325241240067.pdf</v>
      </c>
      <c r="V107" s="58"/>
      <c r="W107" s="45" t="str">
        <f t="array" ref="W107">HYPERLINK(INDEX('File Links'!B:B, MATCH(U107, 'File Links'!C:C, 0)))
</f>
        <v>#N/A</v>
      </c>
      <c r="X107" s="58"/>
      <c r="Y107" s="40" t="s">
        <v>659</v>
      </c>
      <c r="Z107" s="58"/>
      <c r="AA107" s="40" t="s">
        <v>726</v>
      </c>
      <c r="AB107" s="40" t="s">
        <v>720</v>
      </c>
      <c r="AC107" s="40" t="s">
        <v>727</v>
      </c>
      <c r="AD107" s="40">
        <v>429.0</v>
      </c>
      <c r="AE107" s="40">
        <v>79.0</v>
      </c>
      <c r="AF107" s="40">
        <v>2.97</v>
      </c>
      <c r="AG107" s="40" t="s">
        <v>722</v>
      </c>
      <c r="AH107" s="58"/>
      <c r="AI107" s="40" t="s">
        <v>723</v>
      </c>
      <c r="AJ107" s="40" t="s">
        <v>164</v>
      </c>
      <c r="AK107" s="40" t="s">
        <v>179</v>
      </c>
      <c r="AL107" s="25"/>
      <c r="AM107" s="58"/>
      <c r="AN107" s="40">
        <v>40.0</v>
      </c>
      <c r="AO107" s="40">
        <v>1.88</v>
      </c>
      <c r="AP107" s="40" t="s">
        <v>722</v>
      </c>
      <c r="AQ107" s="58"/>
      <c r="AR107" s="40" t="s">
        <v>724</v>
      </c>
      <c r="AS107" s="40" t="s">
        <v>164</v>
      </c>
      <c r="AT107" s="40" t="s">
        <v>179</v>
      </c>
      <c r="AU107" s="25"/>
      <c r="AW107" s="115" t="s">
        <v>318</v>
      </c>
      <c r="AX107" s="58"/>
      <c r="AY107" s="178"/>
      <c r="BB107" s="215"/>
      <c r="BC107" s="215"/>
      <c r="BD107" s="215"/>
      <c r="BE107" s="215"/>
      <c r="BF107" s="215"/>
      <c r="BG107" s="215"/>
      <c r="BH107" s="215"/>
      <c r="BI107" s="215"/>
      <c r="BJ107" s="215"/>
      <c r="BK107" s="215"/>
      <c r="BL107" s="215"/>
      <c r="BM107" s="215"/>
      <c r="BN107" s="215"/>
      <c r="BO107" s="215"/>
      <c r="BP107" s="215"/>
      <c r="BQ107" s="215"/>
      <c r="BR107" s="215"/>
      <c r="BS107" s="215"/>
      <c r="BT107" s="215"/>
      <c r="BU107" s="215"/>
      <c r="BV107" s="215"/>
      <c r="BW107" s="215"/>
      <c r="BX107" s="215"/>
      <c r="BY107" s="215"/>
      <c r="BZ107" s="215"/>
      <c r="CA107" s="215"/>
      <c r="CB107" s="215"/>
      <c r="CC107" s="215"/>
      <c r="CD107" s="215"/>
      <c r="CE107" s="215"/>
      <c r="CF107" s="215"/>
      <c r="CG107" s="215"/>
      <c r="CH107" s="215"/>
      <c r="CI107" s="215"/>
      <c r="CJ107" s="215"/>
      <c r="CK107" s="215"/>
      <c r="CL107" s="215"/>
      <c r="CM107" s="215"/>
      <c r="CN107" s="215"/>
      <c r="CO107" s="215"/>
      <c r="CP107" s="215"/>
      <c r="CQ107" s="215"/>
      <c r="CR107" s="215"/>
      <c r="CS107" s="215"/>
      <c r="CT107" s="215"/>
      <c r="CU107" s="215"/>
      <c r="CV107" s="215"/>
      <c r="CW107" s="215"/>
      <c r="CX107" s="215"/>
      <c r="CY107" s="215"/>
      <c r="CZ107" s="215"/>
      <c r="DA107" s="215"/>
      <c r="DB107" s="215"/>
      <c r="DC107" s="215"/>
      <c r="DD107" s="215"/>
      <c r="DE107" s="215"/>
      <c r="DF107" s="215"/>
      <c r="DG107" s="215"/>
    </row>
    <row r="108" ht="20.25" customHeight="1">
      <c r="A108" s="331" t="s">
        <v>520</v>
      </c>
      <c r="B108" s="331" t="s">
        <v>107</v>
      </c>
      <c r="C108" s="334" t="s">
        <v>243</v>
      </c>
      <c r="D108" s="334"/>
      <c r="E108" s="41" t="s">
        <v>713</v>
      </c>
      <c r="F108" s="40" t="s">
        <v>695</v>
      </c>
      <c r="G108" s="40" t="s">
        <v>244</v>
      </c>
      <c r="H108" s="56">
        <v>45427.0</v>
      </c>
      <c r="I108" s="57">
        <v>45626.0</v>
      </c>
      <c r="J108" s="40" t="s">
        <v>728</v>
      </c>
      <c r="K108" s="58"/>
      <c r="L108" s="40" t="s">
        <v>716</v>
      </c>
      <c r="M108" s="40" t="s">
        <v>683</v>
      </c>
      <c r="N108" s="58"/>
      <c r="O108" s="105" t="str">
        <f> hyperlink(vlookup(lower(M108),'File Links'!A:B, 2, FALSE), SUBSTITUTE(lower(M108), "/", "--") &amp;  ".pdf")</f>
        <v>10.3102--0013189x13507104.pdf</v>
      </c>
      <c r="P108" s="48" t="str">
        <f t="array" ref="P108">HYPERLINK(INDEX('File Links'!B:B, MATCH(O108, 'File Links'!C:C, 0)))
</f>
        <v>https://drive.google.com/file/d/1mMbXlq0wHwW3u94B3l_0KZ3_2GsCObmh/view?usp=drivesdk</v>
      </c>
      <c r="Q108" s="40" t="s">
        <v>717</v>
      </c>
      <c r="R108" s="40" t="s">
        <v>718</v>
      </c>
      <c r="S108" s="58"/>
      <c r="T108" s="58"/>
      <c r="U108" s="59" t="str">
        <f> hyperlink(vlookup(lower(R108),'File Links'!E:F, 2, FALSE), SUBSTITUTE(lower(R108), "/", "--") &amp;  ".pdf")</f>
        <v>10.1177--07419325241240067.pdf</v>
      </c>
      <c r="V108" s="58"/>
      <c r="W108" s="45" t="str">
        <f t="array" ref="W108">HYPERLINK(INDEX('File Links'!B:B, MATCH(U108, 'File Links'!C:C, 0)))
</f>
        <v>#N/A</v>
      </c>
      <c r="X108" s="58"/>
      <c r="Y108" s="40" t="s">
        <v>659</v>
      </c>
      <c r="Z108" s="58"/>
      <c r="AA108" s="40" t="s">
        <v>729</v>
      </c>
      <c r="AB108" s="40" t="s">
        <v>720</v>
      </c>
      <c r="AC108" s="40" t="s">
        <v>730</v>
      </c>
      <c r="AD108" s="40">
        <v>429.0</v>
      </c>
      <c r="AE108" s="40">
        <v>79.0</v>
      </c>
      <c r="AF108" s="40">
        <v>2.35</v>
      </c>
      <c r="AG108" s="40" t="s">
        <v>722</v>
      </c>
      <c r="AH108" s="58"/>
      <c r="AI108" s="40" t="s">
        <v>731</v>
      </c>
      <c r="AJ108" s="40" t="s">
        <v>164</v>
      </c>
      <c r="AK108" s="40" t="s">
        <v>179</v>
      </c>
      <c r="AL108" s="25"/>
      <c r="AM108" s="58"/>
      <c r="AN108" s="40">
        <v>40.0</v>
      </c>
      <c r="AO108" s="40">
        <v>1.46</v>
      </c>
      <c r="AP108" s="40" t="s">
        <v>722</v>
      </c>
      <c r="AQ108" s="58"/>
      <c r="AR108" s="40" t="s">
        <v>732</v>
      </c>
      <c r="AS108" s="40" t="s">
        <v>164</v>
      </c>
      <c r="AT108" s="40" t="s">
        <v>179</v>
      </c>
      <c r="AU108" s="25"/>
      <c r="AW108" s="115" t="s">
        <v>318</v>
      </c>
      <c r="AX108" s="58"/>
      <c r="AY108" s="178"/>
    </row>
    <row r="109" ht="20.25" customHeight="1">
      <c r="A109" s="331" t="s">
        <v>520</v>
      </c>
      <c r="B109" s="331" t="s">
        <v>107</v>
      </c>
      <c r="C109" s="334" t="s">
        <v>243</v>
      </c>
      <c r="D109" s="335"/>
      <c r="E109" s="41" t="s">
        <v>713</v>
      </c>
      <c r="F109" s="40" t="s">
        <v>701</v>
      </c>
      <c r="G109" s="40" t="s">
        <v>244</v>
      </c>
      <c r="H109" s="56">
        <v>45427.0</v>
      </c>
      <c r="I109" s="57">
        <v>45626.0</v>
      </c>
      <c r="J109" s="40" t="s">
        <v>733</v>
      </c>
      <c r="K109" s="58"/>
      <c r="L109" s="40" t="s">
        <v>716</v>
      </c>
      <c r="M109" s="40" t="s">
        <v>683</v>
      </c>
      <c r="N109" s="58"/>
      <c r="O109" s="105" t="str">
        <f> hyperlink(vlookup(lower(M109),'File Links'!A:B, 2, FALSE), SUBSTITUTE(lower(M109), "/", "--") &amp;  ".pdf")</f>
        <v>10.3102--0013189x13507104.pdf</v>
      </c>
      <c r="P109" s="48" t="str">
        <f t="array" ref="P109">HYPERLINK(INDEX('File Links'!B:B, MATCH(O109, 'File Links'!C:C, 0)))
</f>
        <v>https://drive.google.com/file/d/1mMbXlq0wHwW3u94B3l_0KZ3_2GsCObmh/view?usp=drivesdk</v>
      </c>
      <c r="Q109" s="40" t="s">
        <v>717</v>
      </c>
      <c r="R109" s="40" t="s">
        <v>718</v>
      </c>
      <c r="S109" s="58"/>
      <c r="T109" s="58"/>
      <c r="U109" s="59" t="str">
        <f> hyperlink(vlookup(lower(R109),'File Links'!E:F, 2, FALSE), SUBSTITUTE(lower(R109), "/", "--") &amp;  ".pdf")</f>
        <v>10.1177--07419325241240067.pdf</v>
      </c>
      <c r="V109" s="58"/>
      <c r="W109" s="45" t="str">
        <f t="array" ref="W109">HYPERLINK(INDEX('File Links'!B:B, MATCH(U109, 'File Links'!C:C, 0)))
</f>
        <v>#N/A</v>
      </c>
      <c r="X109" s="58"/>
      <c r="Y109" s="40" t="s">
        <v>659</v>
      </c>
      <c r="Z109" s="58"/>
      <c r="AA109" s="40" t="s">
        <v>734</v>
      </c>
      <c r="AB109" s="40" t="s">
        <v>720</v>
      </c>
      <c r="AC109" s="40" t="s">
        <v>735</v>
      </c>
      <c r="AD109" s="40">
        <v>429.0</v>
      </c>
      <c r="AE109" s="40">
        <v>79.0</v>
      </c>
      <c r="AF109" s="40">
        <v>3.05</v>
      </c>
      <c r="AG109" s="40" t="s">
        <v>722</v>
      </c>
      <c r="AH109" s="58"/>
      <c r="AI109" s="40" t="s">
        <v>731</v>
      </c>
      <c r="AJ109" s="40" t="s">
        <v>164</v>
      </c>
      <c r="AK109" s="40" t="s">
        <v>179</v>
      </c>
      <c r="AL109" s="25"/>
      <c r="AM109" s="58"/>
      <c r="AN109" s="40">
        <v>40.0</v>
      </c>
      <c r="AO109" s="40">
        <v>1.57</v>
      </c>
      <c r="AP109" s="40" t="s">
        <v>722</v>
      </c>
      <c r="AQ109" s="58"/>
      <c r="AR109" s="40" t="s">
        <v>732</v>
      </c>
      <c r="AS109" s="40" t="s">
        <v>164</v>
      </c>
      <c r="AT109" s="40" t="s">
        <v>179</v>
      </c>
      <c r="AU109" s="25"/>
      <c r="AW109" s="115" t="s">
        <v>318</v>
      </c>
      <c r="AX109" s="58"/>
      <c r="AY109" s="178"/>
    </row>
    <row r="110" ht="20.25" customHeight="1">
      <c r="A110" s="331" t="s">
        <v>520</v>
      </c>
      <c r="B110" s="331" t="s">
        <v>107</v>
      </c>
      <c r="C110" s="334" t="s">
        <v>243</v>
      </c>
      <c r="D110" s="335"/>
      <c r="E110" s="41" t="s">
        <v>713</v>
      </c>
      <c r="F110" s="40" t="s">
        <v>707</v>
      </c>
      <c r="G110" s="40" t="s">
        <v>244</v>
      </c>
      <c r="H110" s="56">
        <v>45427.0</v>
      </c>
      <c r="I110" s="57">
        <v>45626.0</v>
      </c>
      <c r="J110" s="40" t="s">
        <v>736</v>
      </c>
      <c r="K110" s="58"/>
      <c r="L110" s="40" t="s">
        <v>716</v>
      </c>
      <c r="M110" s="40" t="s">
        <v>683</v>
      </c>
      <c r="N110" s="58"/>
      <c r="O110" s="105" t="str">
        <f> hyperlink(vlookup(lower(M110),'File Links'!A:B, 2, FALSE), SUBSTITUTE(lower(M110), "/", "--") &amp;  ".pdf")</f>
        <v>10.3102--0013189x13507104.pdf</v>
      </c>
      <c r="P110" s="48" t="str">
        <f t="array" ref="P110">HYPERLINK(INDEX('File Links'!B:B, MATCH(O110, 'File Links'!C:C, 0)))
</f>
        <v>https://drive.google.com/file/d/1mMbXlq0wHwW3u94B3l_0KZ3_2GsCObmh/view?usp=drivesdk</v>
      </c>
      <c r="Q110" s="40" t="s">
        <v>717</v>
      </c>
      <c r="R110" s="40" t="s">
        <v>718</v>
      </c>
      <c r="S110" s="58"/>
      <c r="T110" s="58"/>
      <c r="U110" s="59" t="str">
        <f> hyperlink(vlookup(lower(R110),'File Links'!E:F, 2, FALSE), SUBSTITUTE(lower(R110), "/", "--") &amp;  ".pdf")</f>
        <v>10.1177--07419325241240067.pdf</v>
      </c>
      <c r="V110" s="58"/>
      <c r="W110" s="45" t="str">
        <f t="array" ref="W110">HYPERLINK(INDEX('File Links'!B:B, MATCH(U110, 'File Links'!C:C, 0)))
</f>
        <v>#N/A</v>
      </c>
      <c r="X110" s="58"/>
      <c r="Y110" s="40" t="s">
        <v>659</v>
      </c>
      <c r="Z110" s="58"/>
      <c r="AA110" s="40" t="s">
        <v>737</v>
      </c>
      <c r="AB110" s="40" t="s">
        <v>720</v>
      </c>
      <c r="AC110" s="40" t="s">
        <v>738</v>
      </c>
      <c r="AD110" s="40">
        <v>429.0</v>
      </c>
      <c r="AE110" s="40">
        <v>79.0</v>
      </c>
      <c r="AF110" s="40">
        <v>2.68</v>
      </c>
      <c r="AG110" s="40" t="s">
        <v>722</v>
      </c>
      <c r="AH110" s="58"/>
      <c r="AI110" s="40" t="s">
        <v>739</v>
      </c>
      <c r="AJ110" s="40" t="s">
        <v>164</v>
      </c>
      <c r="AK110" s="40" t="s">
        <v>179</v>
      </c>
      <c r="AL110" s="25"/>
      <c r="AM110" s="58"/>
      <c r="AN110" s="40">
        <v>40.0</v>
      </c>
      <c r="AO110" s="40">
        <v>1.16</v>
      </c>
      <c r="AP110" s="40" t="s">
        <v>722</v>
      </c>
      <c r="AQ110" s="58"/>
      <c r="AR110" s="40" t="s">
        <v>740</v>
      </c>
      <c r="AS110" s="40" t="s">
        <v>164</v>
      </c>
      <c r="AT110" s="40" t="s">
        <v>179</v>
      </c>
      <c r="AU110" s="25"/>
      <c r="AW110" s="115" t="s">
        <v>318</v>
      </c>
      <c r="AX110" s="58"/>
      <c r="AY110" s="178"/>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c r="BX110" s="64"/>
      <c r="BY110" s="64"/>
      <c r="BZ110" s="64"/>
      <c r="CA110" s="64"/>
      <c r="CB110" s="64"/>
      <c r="CC110" s="64"/>
      <c r="CD110" s="64"/>
      <c r="CE110" s="64"/>
      <c r="CF110" s="64"/>
      <c r="CG110" s="64"/>
      <c r="CH110" s="64"/>
      <c r="CI110" s="64"/>
      <c r="CJ110" s="64"/>
      <c r="CK110" s="64"/>
      <c r="CL110" s="64"/>
      <c r="CM110" s="64"/>
      <c r="CN110" s="64"/>
      <c r="CO110" s="64"/>
      <c r="CP110" s="64"/>
      <c r="CQ110" s="64"/>
      <c r="CR110" s="64"/>
      <c r="CS110" s="64"/>
      <c r="CT110" s="64"/>
      <c r="CU110" s="64"/>
      <c r="CV110" s="64"/>
      <c r="CW110" s="64"/>
      <c r="CX110" s="64"/>
      <c r="CY110" s="64"/>
      <c r="CZ110" s="64"/>
      <c r="DA110" s="64"/>
      <c r="DB110" s="64"/>
      <c r="DC110" s="64"/>
      <c r="DD110" s="64"/>
      <c r="DE110" s="64"/>
      <c r="DF110" s="64"/>
      <c r="DG110" s="64"/>
    </row>
    <row r="111" ht="20.25" customHeight="1">
      <c r="A111" s="331" t="s">
        <v>520</v>
      </c>
      <c r="B111" s="331" t="s">
        <v>107</v>
      </c>
      <c r="C111" s="334" t="s">
        <v>243</v>
      </c>
      <c r="D111" s="335"/>
      <c r="E111" s="41" t="s">
        <v>713</v>
      </c>
      <c r="F111" s="40" t="s">
        <v>741</v>
      </c>
      <c r="G111" s="40" t="s">
        <v>244</v>
      </c>
      <c r="H111" s="56">
        <v>45427.0</v>
      </c>
      <c r="I111" s="57">
        <v>45626.0</v>
      </c>
      <c r="J111" s="40" t="s">
        <v>742</v>
      </c>
      <c r="K111" s="58"/>
      <c r="L111" s="40" t="s">
        <v>716</v>
      </c>
      <c r="M111" s="40" t="s">
        <v>683</v>
      </c>
      <c r="N111" s="58"/>
      <c r="O111" s="105" t="str">
        <f> hyperlink(vlookup(lower(M111),'File Links'!A:B, 2, FALSE), SUBSTITUTE(lower(M111), "/", "--") &amp;  ".pdf")</f>
        <v>10.3102--0013189x13507104.pdf</v>
      </c>
      <c r="P111" s="48" t="str">
        <f t="array" ref="P111">HYPERLINK(INDEX('File Links'!B:B, MATCH(O111, 'File Links'!C:C, 0)))
</f>
        <v>https://drive.google.com/file/d/1mMbXlq0wHwW3u94B3l_0KZ3_2GsCObmh/view?usp=drivesdk</v>
      </c>
      <c r="Q111" s="40" t="s">
        <v>717</v>
      </c>
      <c r="R111" s="40" t="s">
        <v>718</v>
      </c>
      <c r="S111" s="58"/>
      <c r="T111" s="58"/>
      <c r="U111" s="59" t="str">
        <f> hyperlink(vlookup(lower(R111),'File Links'!E:F, 2, FALSE), SUBSTITUTE(lower(R111), "/", "--") &amp;  ".pdf")</f>
        <v>10.1177--07419325241240067.pdf</v>
      </c>
      <c r="V111" s="58"/>
      <c r="W111" s="45" t="str">
        <f t="array" ref="W111">HYPERLINK(INDEX('File Links'!B:B, MATCH(U111, 'File Links'!C:C, 0)))
</f>
        <v>#N/A</v>
      </c>
      <c r="X111" s="58"/>
      <c r="Y111" s="40" t="s">
        <v>659</v>
      </c>
      <c r="Z111" s="58"/>
      <c r="AA111" s="40" t="s">
        <v>743</v>
      </c>
      <c r="AB111" s="40" t="s">
        <v>720</v>
      </c>
      <c r="AC111" s="40" t="s">
        <v>744</v>
      </c>
      <c r="AD111" s="40">
        <v>429.0</v>
      </c>
      <c r="AE111" s="40">
        <v>79.0</v>
      </c>
      <c r="AF111" s="40">
        <v>2.16</v>
      </c>
      <c r="AG111" s="40" t="s">
        <v>722</v>
      </c>
      <c r="AH111" s="58"/>
      <c r="AI111" s="40" t="s">
        <v>739</v>
      </c>
      <c r="AJ111" s="40" t="s">
        <v>164</v>
      </c>
      <c r="AK111" s="40" t="s">
        <v>179</v>
      </c>
      <c r="AL111" s="25"/>
      <c r="AM111" s="58"/>
      <c r="AN111" s="40">
        <v>40.0</v>
      </c>
      <c r="AO111" s="40">
        <v>1.43</v>
      </c>
      <c r="AP111" s="40" t="s">
        <v>722</v>
      </c>
      <c r="AQ111" s="58"/>
      <c r="AR111" s="40" t="s">
        <v>740</v>
      </c>
      <c r="AS111" s="40" t="s">
        <v>164</v>
      </c>
      <c r="AT111" s="40" t="s">
        <v>179</v>
      </c>
      <c r="AU111" s="25"/>
      <c r="AW111" s="115" t="s">
        <v>318</v>
      </c>
      <c r="AX111" s="58"/>
      <c r="BB111" s="64"/>
      <c r="BC111" s="64"/>
      <c r="BD111" s="64"/>
      <c r="BE111" s="64"/>
      <c r="BF111" s="64"/>
      <c r="BG111" s="64"/>
      <c r="BH111" s="64"/>
      <c r="BI111" s="64"/>
      <c r="BJ111" s="64"/>
      <c r="BK111" s="64"/>
      <c r="BL111" s="64"/>
      <c r="BM111" s="64"/>
      <c r="BN111" s="64"/>
      <c r="BO111" s="64"/>
      <c r="BP111" s="64"/>
      <c r="BQ111" s="64"/>
      <c r="BR111" s="64"/>
      <c r="BS111" s="64"/>
      <c r="BT111" s="64"/>
      <c r="BU111" s="64"/>
      <c r="BV111" s="64"/>
      <c r="BW111" s="64"/>
      <c r="BX111" s="64"/>
      <c r="BY111" s="64"/>
      <c r="BZ111" s="64"/>
      <c r="CA111" s="64"/>
      <c r="CB111" s="64"/>
      <c r="CC111" s="64"/>
      <c r="CD111" s="64"/>
      <c r="CE111" s="64"/>
      <c r="CF111" s="64"/>
      <c r="CG111" s="64"/>
      <c r="CH111" s="64"/>
      <c r="CI111" s="64"/>
      <c r="CJ111" s="64"/>
      <c r="CK111" s="64"/>
      <c r="CL111" s="64"/>
      <c r="CM111" s="64"/>
      <c r="CN111" s="64"/>
      <c r="CO111" s="64"/>
      <c r="CP111" s="64"/>
      <c r="CQ111" s="64"/>
      <c r="CR111" s="64"/>
      <c r="CS111" s="64"/>
      <c r="CT111" s="64"/>
      <c r="CU111" s="64"/>
      <c r="CV111" s="64"/>
      <c r="CW111" s="64"/>
      <c r="CX111" s="64"/>
      <c r="CY111" s="64"/>
      <c r="CZ111" s="64"/>
      <c r="DA111" s="64"/>
      <c r="DB111" s="64"/>
      <c r="DC111" s="64"/>
      <c r="DD111" s="64"/>
      <c r="DE111" s="64"/>
      <c r="DF111" s="64"/>
      <c r="DG111" s="64"/>
    </row>
    <row r="112" ht="20.25" customHeight="1">
      <c r="A112" s="331" t="s">
        <v>520</v>
      </c>
      <c r="B112" s="331" t="s">
        <v>107</v>
      </c>
      <c r="C112" s="334" t="s">
        <v>243</v>
      </c>
      <c r="D112" s="335"/>
      <c r="E112" s="41" t="s">
        <v>713</v>
      </c>
      <c r="F112" s="40" t="s">
        <v>745</v>
      </c>
      <c r="G112" s="40" t="s">
        <v>244</v>
      </c>
      <c r="H112" s="56">
        <v>45427.0</v>
      </c>
      <c r="I112" s="57">
        <v>45626.0</v>
      </c>
      <c r="J112" s="40" t="s">
        <v>746</v>
      </c>
      <c r="K112" s="58"/>
      <c r="L112" s="40" t="s">
        <v>716</v>
      </c>
      <c r="M112" s="40" t="s">
        <v>683</v>
      </c>
      <c r="N112" s="58"/>
      <c r="O112" s="105" t="str">
        <f> hyperlink(vlookup(lower(M112),'File Links'!A:B, 2, FALSE), SUBSTITUTE(lower(M112), "/", "--") &amp;  ".pdf")</f>
        <v>10.3102--0013189x13507104.pdf</v>
      </c>
      <c r="P112" s="48" t="str">
        <f t="array" ref="P112">HYPERLINK(INDEX('File Links'!B:B, MATCH(O112, 'File Links'!C:C, 0)))
</f>
        <v>https://drive.google.com/file/d/1mMbXlq0wHwW3u94B3l_0KZ3_2GsCObmh/view?usp=drivesdk</v>
      </c>
      <c r="Q112" s="40" t="s">
        <v>717</v>
      </c>
      <c r="R112" s="40" t="s">
        <v>718</v>
      </c>
      <c r="S112" s="58"/>
      <c r="T112" s="58"/>
      <c r="U112" s="59" t="str">
        <f> hyperlink(vlookup(lower(R112),'File Links'!E:F, 2, FALSE), SUBSTITUTE(lower(R112), "/", "--") &amp;  ".pdf")</f>
        <v>10.1177--07419325241240067.pdf</v>
      </c>
      <c r="V112" s="58"/>
      <c r="W112" s="45" t="str">
        <f t="array" ref="W112">HYPERLINK(INDEX('File Links'!B:B, MATCH(U112, 'File Links'!C:C, 0)))
</f>
        <v>#N/A</v>
      </c>
      <c r="X112" s="58"/>
      <c r="Y112" s="40" t="s">
        <v>659</v>
      </c>
      <c r="Z112" s="58"/>
      <c r="AA112" s="40" t="s">
        <v>747</v>
      </c>
      <c r="AB112" s="40" t="s">
        <v>720</v>
      </c>
      <c r="AC112" s="40" t="s">
        <v>748</v>
      </c>
      <c r="AD112" s="40">
        <v>429.0</v>
      </c>
      <c r="AE112" s="40">
        <v>79.0</v>
      </c>
      <c r="AF112" s="40">
        <v>2.46</v>
      </c>
      <c r="AG112" s="40" t="s">
        <v>722</v>
      </c>
      <c r="AH112" s="58"/>
      <c r="AI112" s="40" t="s">
        <v>749</v>
      </c>
      <c r="AJ112" s="40" t="s">
        <v>164</v>
      </c>
      <c r="AK112" s="40" t="s">
        <v>179</v>
      </c>
      <c r="AL112" s="25"/>
      <c r="AM112" s="58"/>
      <c r="AN112" s="40">
        <v>40.0</v>
      </c>
      <c r="AO112" s="40">
        <v>2.27</v>
      </c>
      <c r="AP112" s="40" t="s">
        <v>722</v>
      </c>
      <c r="AQ112" s="58"/>
      <c r="AR112" s="40" t="s">
        <v>240</v>
      </c>
      <c r="AS112" s="40" t="s">
        <v>127</v>
      </c>
      <c r="AT112" s="40" t="s">
        <v>179</v>
      </c>
      <c r="AU112" s="25"/>
      <c r="AW112" s="115" t="s">
        <v>318</v>
      </c>
      <c r="AX112" s="58"/>
      <c r="BB112" s="64"/>
      <c r="BC112" s="64"/>
      <c r="BD112" s="64"/>
      <c r="BE112" s="64"/>
      <c r="BF112" s="64"/>
      <c r="BG112" s="64"/>
      <c r="BH112" s="64"/>
      <c r="BI112" s="64"/>
      <c r="BJ112" s="64"/>
      <c r="BK112" s="64"/>
      <c r="BL112" s="64"/>
      <c r="BM112" s="64"/>
      <c r="BN112" s="64"/>
      <c r="BO112" s="64"/>
      <c r="BP112" s="64"/>
      <c r="BQ112" s="64"/>
      <c r="BR112" s="64"/>
      <c r="BS112" s="64"/>
      <c r="BT112" s="64"/>
      <c r="BU112" s="64"/>
      <c r="BV112" s="64"/>
      <c r="BW112" s="64"/>
      <c r="BX112" s="64"/>
      <c r="BY112" s="64"/>
      <c r="BZ112" s="64"/>
      <c r="CA112" s="64"/>
      <c r="CB112" s="64"/>
      <c r="CC112" s="64"/>
      <c r="CD112" s="64"/>
      <c r="CE112" s="64"/>
      <c r="CF112" s="64"/>
      <c r="CG112" s="64"/>
      <c r="CH112" s="64"/>
      <c r="CI112" s="64"/>
      <c r="CJ112" s="64"/>
      <c r="CK112" s="64"/>
      <c r="CL112" s="64"/>
      <c r="CM112" s="64"/>
      <c r="CN112" s="64"/>
      <c r="CO112" s="64"/>
      <c r="CP112" s="64"/>
      <c r="CQ112" s="64"/>
      <c r="CR112" s="64"/>
      <c r="CS112" s="64"/>
      <c r="CT112" s="64"/>
      <c r="CU112" s="64"/>
      <c r="CV112" s="64"/>
      <c r="CW112" s="64"/>
      <c r="CX112" s="64"/>
      <c r="CY112" s="64"/>
      <c r="CZ112" s="64"/>
      <c r="DA112" s="64"/>
      <c r="DB112" s="64"/>
      <c r="DC112" s="64"/>
      <c r="DD112" s="64"/>
      <c r="DE112" s="64"/>
      <c r="DF112" s="64"/>
      <c r="DG112" s="64"/>
    </row>
    <row r="113" ht="20.25" customHeight="1">
      <c r="A113" s="331" t="s">
        <v>520</v>
      </c>
      <c r="B113" s="331" t="s">
        <v>107</v>
      </c>
      <c r="C113" s="334" t="s">
        <v>243</v>
      </c>
      <c r="D113" s="335"/>
      <c r="E113" s="41" t="s">
        <v>713</v>
      </c>
      <c r="F113" s="40" t="s">
        <v>750</v>
      </c>
      <c r="G113" s="40" t="s">
        <v>244</v>
      </c>
      <c r="H113" s="56">
        <v>45427.0</v>
      </c>
      <c r="I113" s="57">
        <v>45626.0</v>
      </c>
      <c r="J113" s="40" t="s">
        <v>751</v>
      </c>
      <c r="K113" s="58"/>
      <c r="L113" s="40" t="s">
        <v>716</v>
      </c>
      <c r="M113" s="40" t="s">
        <v>683</v>
      </c>
      <c r="N113" s="58"/>
      <c r="O113" s="105" t="str">
        <f> hyperlink(vlookup(lower(M113),'File Links'!A:B, 2, FALSE), SUBSTITUTE(lower(M113), "/", "--") &amp;  ".pdf")</f>
        <v>10.3102--0013189x13507104.pdf</v>
      </c>
      <c r="P113" s="48" t="str">
        <f t="array" ref="P113">HYPERLINK(INDEX('File Links'!B:B, MATCH(O113, 'File Links'!C:C, 0)))
</f>
        <v>https://drive.google.com/file/d/1mMbXlq0wHwW3u94B3l_0KZ3_2GsCObmh/view?usp=drivesdk</v>
      </c>
      <c r="Q113" s="40" t="s">
        <v>717</v>
      </c>
      <c r="R113" s="40" t="s">
        <v>718</v>
      </c>
      <c r="S113" s="58"/>
      <c r="T113" s="58"/>
      <c r="U113" s="59" t="str">
        <f> hyperlink(vlookup(lower(R113),'File Links'!E:F, 2, FALSE), SUBSTITUTE(lower(R113), "/", "--") &amp;  ".pdf")</f>
        <v>10.1177--07419325241240067.pdf</v>
      </c>
      <c r="V113" s="58"/>
      <c r="W113" s="45" t="str">
        <f t="array" ref="W113">HYPERLINK(INDEX('File Links'!B:B, MATCH(U113, 'File Links'!C:C, 0)))
</f>
        <v>#N/A</v>
      </c>
      <c r="X113" s="58"/>
      <c r="Y113" s="40" t="s">
        <v>659</v>
      </c>
      <c r="Z113" s="58"/>
      <c r="AA113" s="40" t="s">
        <v>752</v>
      </c>
      <c r="AB113" s="40" t="s">
        <v>720</v>
      </c>
      <c r="AC113" s="40" t="s">
        <v>753</v>
      </c>
      <c r="AD113" s="40">
        <v>429.0</v>
      </c>
      <c r="AE113" s="40">
        <v>79.0</v>
      </c>
      <c r="AF113" s="40">
        <v>1.99</v>
      </c>
      <c r="AG113" s="40" t="s">
        <v>722</v>
      </c>
      <c r="AH113" s="58"/>
      <c r="AI113" s="40" t="s">
        <v>749</v>
      </c>
      <c r="AJ113" s="40" t="s">
        <v>164</v>
      </c>
      <c r="AK113" s="40" t="s">
        <v>179</v>
      </c>
      <c r="AL113" s="25"/>
      <c r="AM113" s="58"/>
      <c r="AN113" s="58"/>
      <c r="AO113" s="40">
        <v>0.55</v>
      </c>
      <c r="AP113" s="40" t="s">
        <v>722</v>
      </c>
      <c r="AQ113" s="58"/>
      <c r="AR113" s="40" t="s">
        <v>675</v>
      </c>
      <c r="AS113" s="40" t="s">
        <v>127</v>
      </c>
      <c r="AT113" s="40" t="s">
        <v>179</v>
      </c>
      <c r="AU113" s="25"/>
      <c r="AW113" s="115" t="s">
        <v>318</v>
      </c>
      <c r="AX113" s="58"/>
    </row>
    <row r="114" ht="20.25" customHeight="1">
      <c r="A114" s="331" t="s">
        <v>520</v>
      </c>
      <c r="B114" s="332" t="s">
        <v>107</v>
      </c>
      <c r="C114" s="332" t="s">
        <v>280</v>
      </c>
      <c r="D114" s="333"/>
      <c r="E114" s="143" t="s">
        <v>713</v>
      </c>
      <c r="F114" s="139" t="s">
        <v>680</v>
      </c>
      <c r="G114" s="139" t="s">
        <v>283</v>
      </c>
      <c r="H114" s="141">
        <v>45427.0</v>
      </c>
      <c r="I114" s="141">
        <v>45684.0</v>
      </c>
      <c r="J114" s="115" t="s">
        <v>682</v>
      </c>
      <c r="K114" s="60"/>
      <c r="L114" s="143" t="s">
        <v>716</v>
      </c>
      <c r="M114" s="143" t="s">
        <v>683</v>
      </c>
      <c r="N114" s="144"/>
      <c r="O114" s="302" t="s">
        <v>684</v>
      </c>
      <c r="P114" s="48" t="str">
        <f t="array" ref="P114">HYPERLINK(INDEX('File Links'!B:B, MATCH(O114, 'File Links'!C:C, 0)))
</f>
        <v>https://drive.google.com/file/d/1mMbXlq0wHwW3u94B3l_0KZ3_2GsCObmh/view?usp=drivesdk</v>
      </c>
      <c r="Q114" s="115" t="s">
        <v>717</v>
      </c>
      <c r="R114" s="60"/>
      <c r="S114" s="60"/>
      <c r="T114" s="144"/>
      <c r="U114" s="302" t="s">
        <v>351</v>
      </c>
      <c r="V114" s="115" t="s">
        <v>686</v>
      </c>
      <c r="W114" s="45" t="str">
        <f t="array" ref="W114">HYPERLINK(INDEX('File Links'!B:B, MATCH(U114, 'File Links'!C:C, 0)))
</f>
        <v>#N/A</v>
      </c>
      <c r="Y114" s="139" t="s">
        <v>235</v>
      </c>
      <c r="Z114" s="115" t="s">
        <v>754</v>
      </c>
      <c r="AA114" s="115" t="s">
        <v>688</v>
      </c>
      <c r="AB114" s="115" t="s">
        <v>755</v>
      </c>
      <c r="AC114" s="153" t="s">
        <v>756</v>
      </c>
      <c r="AD114" s="149" t="s">
        <v>757</v>
      </c>
      <c r="AE114" s="149">
        <v>79.0</v>
      </c>
      <c r="AF114" s="149">
        <v>2.41</v>
      </c>
      <c r="AG114" s="139" t="s">
        <v>758</v>
      </c>
      <c r="AH114" s="115" t="s">
        <v>757</v>
      </c>
      <c r="AI114" s="148"/>
      <c r="AJ114" s="52"/>
      <c r="AK114" s="52"/>
      <c r="AL114" s="60"/>
      <c r="AM114" s="55"/>
      <c r="AN114" s="149">
        <v>40.0</v>
      </c>
      <c r="AO114" s="149">
        <v>1.48</v>
      </c>
      <c r="AP114" s="139" t="s">
        <v>758</v>
      </c>
      <c r="AQ114" s="115" t="s">
        <v>125</v>
      </c>
      <c r="AR114" s="150"/>
      <c r="AS114" s="147"/>
      <c r="AT114" s="147"/>
      <c r="AU114" s="60"/>
      <c r="AV114" s="151" t="s">
        <v>694</v>
      </c>
      <c r="AW114" s="115" t="s">
        <v>142</v>
      </c>
    </row>
    <row r="115" ht="20.25" hidden="1" customHeight="1">
      <c r="A115" s="96" t="s">
        <v>586</v>
      </c>
      <c r="B115" s="96" t="s">
        <v>107</v>
      </c>
      <c r="C115" s="103" t="s">
        <v>759</v>
      </c>
      <c r="D115" s="97"/>
      <c r="E115" s="136" t="s">
        <v>760</v>
      </c>
      <c r="F115" s="96" t="s">
        <v>761</v>
      </c>
      <c r="G115" s="96" t="s">
        <v>759</v>
      </c>
      <c r="H115" s="131">
        <v>45427.0</v>
      </c>
      <c r="I115" s="131">
        <v>45663.0</v>
      </c>
      <c r="J115" s="96" t="s">
        <v>762</v>
      </c>
      <c r="K115" s="336" t="s">
        <v>763</v>
      </c>
      <c r="L115" s="96" t="s">
        <v>764</v>
      </c>
      <c r="M115" s="96" t="s">
        <v>765</v>
      </c>
      <c r="N115" s="96">
        <v>1.0</v>
      </c>
      <c r="O115" s="133" t="str">
        <f> hyperlink(vlookup(lower(M115),'File Links'!A:B, 2, FALSE), SUBSTITUTE(lower(M115), "/", "--") &amp;  ".pdf")</f>
        <v>10.1017--s0272263114000126.pdf</v>
      </c>
      <c r="P115" s="48" t="str">
        <f t="array" ref="P115">HYPERLINK(INDEX('File Links'!B:B, MATCH(O115, 'File Links'!C:C, 0)))
</f>
        <v>https://drive.google.com/file/d/1rAL0rmM0jbf9S7uX5DiL77r3bNeTGrOY/view?usp=drivesdk</v>
      </c>
      <c r="Q115" s="96" t="s">
        <v>766</v>
      </c>
      <c r="R115" s="96" t="s">
        <v>767</v>
      </c>
      <c r="S115" s="97"/>
      <c r="T115" s="96">
        <v>1.0</v>
      </c>
      <c r="U115" s="96" t="str">
        <f> hyperlink(vlookup(lower(R115),'File Links'!E:F, 2, FALSE), SUBSTITUTE(lower(R115), "/", "--") &amp;  ".pdf")</f>
        <v>10.1017--s027226312400010x.pdf</v>
      </c>
      <c r="V115" s="96" t="s">
        <v>314</v>
      </c>
      <c r="W115" s="45" t="str">
        <f t="array" ref="W115">HYPERLINK(INDEX('File Links'!B:B, MATCH(U115, 'File Links'!C:C, 0)))
</f>
        <v>#N/A</v>
      </c>
      <c r="X115" s="96" t="s">
        <v>768</v>
      </c>
      <c r="Y115" s="337" t="s">
        <v>287</v>
      </c>
      <c r="Z115" s="96" t="s">
        <v>769</v>
      </c>
      <c r="AA115" s="338" t="s">
        <v>770</v>
      </c>
      <c r="AB115" s="96" t="s">
        <v>771</v>
      </c>
      <c r="AC115" s="96" t="s">
        <v>772</v>
      </c>
      <c r="AD115" s="97"/>
      <c r="AE115" s="96">
        <v>97.0</v>
      </c>
      <c r="AF115" s="96" t="s">
        <v>773</v>
      </c>
      <c r="AG115" s="339" t="s">
        <v>166</v>
      </c>
      <c r="AH115" s="339" t="s">
        <v>774</v>
      </c>
      <c r="AI115" s="339" t="s">
        <v>775</v>
      </c>
      <c r="AJ115" s="339" t="s">
        <v>127</v>
      </c>
      <c r="AK115" s="339" t="s">
        <v>128</v>
      </c>
      <c r="AL115" s="340"/>
      <c r="AM115" s="341"/>
      <c r="AN115" s="339">
        <v>119.0</v>
      </c>
      <c r="AO115" s="339">
        <v>0.74</v>
      </c>
      <c r="AP115" s="339" t="s">
        <v>166</v>
      </c>
      <c r="AQ115" s="135">
        <v>6.0</v>
      </c>
      <c r="AR115" s="135" t="s">
        <v>252</v>
      </c>
      <c r="AS115" s="96" t="s">
        <v>127</v>
      </c>
      <c r="AT115" s="96" t="s">
        <v>179</v>
      </c>
      <c r="AU115" s="64"/>
      <c r="AV115" s="64"/>
      <c r="AW115" s="134" t="s">
        <v>267</v>
      </c>
      <c r="AX115" s="40"/>
    </row>
    <row r="116" ht="20.25" hidden="1" customHeight="1">
      <c r="A116" s="96" t="s">
        <v>586</v>
      </c>
      <c r="B116" s="96" t="s">
        <v>107</v>
      </c>
      <c r="C116" s="103" t="s">
        <v>759</v>
      </c>
      <c r="D116" s="97"/>
      <c r="E116" s="136" t="s">
        <v>760</v>
      </c>
      <c r="F116" s="96" t="s">
        <v>761</v>
      </c>
      <c r="G116" s="96" t="s">
        <v>759</v>
      </c>
      <c r="H116" s="131">
        <v>45427.0</v>
      </c>
      <c r="I116" s="131">
        <v>45663.0</v>
      </c>
      <c r="J116" s="96" t="s">
        <v>762</v>
      </c>
      <c r="K116" s="336" t="s">
        <v>763</v>
      </c>
      <c r="L116" s="96" t="s">
        <v>764</v>
      </c>
      <c r="M116" s="96" t="s">
        <v>765</v>
      </c>
      <c r="N116" s="96">
        <v>1.0</v>
      </c>
      <c r="O116" s="133" t="str">
        <f> hyperlink(vlookup(lower(M116),'File Links'!A:B, 2, FALSE), SUBSTITUTE(lower(M116), "/", "--") &amp;  ".pdf")</f>
        <v>10.1017--s0272263114000126.pdf</v>
      </c>
      <c r="P116" s="48" t="str">
        <f t="array" ref="P116">HYPERLINK(INDEX('File Links'!B:B, MATCH(O116, 'File Links'!C:C, 0)))
</f>
        <v>https://drive.google.com/file/d/1rAL0rmM0jbf9S7uX5DiL77r3bNeTGrOY/view?usp=drivesdk</v>
      </c>
      <c r="Q116" s="96" t="s">
        <v>766</v>
      </c>
      <c r="R116" s="96" t="s">
        <v>767</v>
      </c>
      <c r="S116" s="97"/>
      <c r="T116" s="96">
        <v>1.0</v>
      </c>
      <c r="U116" s="96" t="str">
        <f> hyperlink(vlookup(lower(R116),'File Links'!E:F, 2, FALSE), SUBSTITUTE(lower(R116), "/", "--") &amp;  ".pdf")</f>
        <v>10.1017--s027226312400010x.pdf</v>
      </c>
      <c r="V116" s="96" t="s">
        <v>314</v>
      </c>
      <c r="W116" s="45" t="str">
        <f t="array" ref="W116">HYPERLINK(INDEX('File Links'!B:B, MATCH(U116, 'File Links'!C:C, 0)))
</f>
        <v>#N/A</v>
      </c>
      <c r="X116" s="96" t="s">
        <v>768</v>
      </c>
      <c r="Y116" s="337" t="s">
        <v>287</v>
      </c>
      <c r="Z116" s="96" t="s">
        <v>769</v>
      </c>
      <c r="AA116" s="338" t="s">
        <v>770</v>
      </c>
      <c r="AB116" s="96" t="s">
        <v>771</v>
      </c>
      <c r="AC116" s="96" t="s">
        <v>772</v>
      </c>
      <c r="AD116" s="97"/>
      <c r="AE116" s="96">
        <v>97.0</v>
      </c>
      <c r="AF116" s="96" t="s">
        <v>773</v>
      </c>
      <c r="AG116" s="339" t="s">
        <v>166</v>
      </c>
      <c r="AH116" s="339" t="s">
        <v>774</v>
      </c>
      <c r="AI116" s="339" t="s">
        <v>775</v>
      </c>
      <c r="AJ116" s="339" t="s">
        <v>127</v>
      </c>
      <c r="AK116" s="339" t="s">
        <v>128</v>
      </c>
      <c r="AL116" s="340"/>
      <c r="AM116" s="341"/>
      <c r="AN116" s="339">
        <v>119.0</v>
      </c>
      <c r="AO116" s="339">
        <v>-0.37</v>
      </c>
      <c r="AP116" s="339" t="s">
        <v>166</v>
      </c>
      <c r="AQ116" s="135">
        <v>6.0</v>
      </c>
      <c r="AR116" s="135" t="s">
        <v>252</v>
      </c>
      <c r="AS116" s="96" t="s">
        <v>127</v>
      </c>
      <c r="AT116" s="96" t="s">
        <v>179</v>
      </c>
      <c r="AU116" s="64"/>
      <c r="AV116" s="64"/>
      <c r="AW116" s="134" t="s">
        <v>267</v>
      </c>
      <c r="AX116" s="40"/>
      <c r="AY116" s="215"/>
    </row>
    <row r="117" ht="20.25" hidden="1" customHeight="1">
      <c r="A117" s="96" t="s">
        <v>586</v>
      </c>
      <c r="B117" s="96" t="s">
        <v>107</v>
      </c>
      <c r="C117" s="103" t="s">
        <v>759</v>
      </c>
      <c r="D117" s="97"/>
      <c r="E117" s="103" t="s">
        <v>760</v>
      </c>
      <c r="F117" s="96" t="s">
        <v>761</v>
      </c>
      <c r="G117" s="96" t="s">
        <v>759</v>
      </c>
      <c r="H117" s="131">
        <v>45427.0</v>
      </c>
      <c r="I117" s="131">
        <v>45663.0</v>
      </c>
      <c r="J117" s="96" t="s">
        <v>762</v>
      </c>
      <c r="K117" s="336" t="s">
        <v>763</v>
      </c>
      <c r="L117" s="96" t="s">
        <v>764</v>
      </c>
      <c r="M117" s="96" t="s">
        <v>765</v>
      </c>
      <c r="N117" s="96">
        <v>1.0</v>
      </c>
      <c r="O117" s="133" t="str">
        <f> hyperlink(vlookup(lower(M117),'File Links'!A:B, 2, FALSE), SUBSTITUTE(lower(M117), "/", "--") &amp;  ".pdf")</f>
        <v>10.1017--s0272263114000126.pdf</v>
      </c>
      <c r="P117" s="48" t="str">
        <f t="array" ref="P117">HYPERLINK(INDEX('File Links'!B:B, MATCH(O117, 'File Links'!C:C, 0)))
</f>
        <v>https://drive.google.com/file/d/1rAL0rmM0jbf9S7uX5DiL77r3bNeTGrOY/view?usp=drivesdk</v>
      </c>
      <c r="Q117" s="96" t="s">
        <v>766</v>
      </c>
      <c r="R117" s="96" t="s">
        <v>767</v>
      </c>
      <c r="S117" s="97"/>
      <c r="T117" s="96">
        <v>1.0</v>
      </c>
      <c r="U117" s="96" t="str">
        <f> hyperlink(vlookup(lower(R117),'File Links'!E:F, 2, FALSE), SUBSTITUTE(lower(R117), "/", "--") &amp;  ".pdf")</f>
        <v>10.1017--s027226312400010x.pdf</v>
      </c>
      <c r="V117" s="96" t="s">
        <v>314</v>
      </c>
      <c r="W117" s="45" t="str">
        <f t="array" ref="W117">HYPERLINK(INDEX('File Links'!B:B, MATCH(U117, 'File Links'!C:C, 0)))
</f>
        <v>#N/A</v>
      </c>
      <c r="X117" s="96" t="s">
        <v>768</v>
      </c>
      <c r="Y117" s="337" t="s">
        <v>287</v>
      </c>
      <c r="Z117" s="96" t="s">
        <v>769</v>
      </c>
      <c r="AA117" s="338" t="s">
        <v>770</v>
      </c>
      <c r="AB117" s="96" t="s">
        <v>771</v>
      </c>
      <c r="AC117" s="96" t="s">
        <v>776</v>
      </c>
      <c r="AD117" s="97"/>
      <c r="AE117" s="96">
        <v>97.0</v>
      </c>
      <c r="AF117" s="96" t="s">
        <v>773</v>
      </c>
      <c r="AG117" s="339" t="s">
        <v>166</v>
      </c>
      <c r="AH117" s="339" t="s">
        <v>774</v>
      </c>
      <c r="AI117" s="339" t="s">
        <v>775</v>
      </c>
      <c r="AJ117" s="339" t="s">
        <v>127</v>
      </c>
      <c r="AK117" s="339" t="s">
        <v>128</v>
      </c>
      <c r="AL117" s="340"/>
      <c r="AM117" s="341"/>
      <c r="AN117" s="339">
        <v>119.0</v>
      </c>
      <c r="AO117" s="339">
        <v>0.29</v>
      </c>
      <c r="AP117" s="339" t="s">
        <v>166</v>
      </c>
      <c r="AQ117" s="135">
        <v>6.0</v>
      </c>
      <c r="AR117" s="135" t="s">
        <v>240</v>
      </c>
      <c r="AS117" s="96" t="s">
        <v>127</v>
      </c>
      <c r="AT117" s="96" t="s">
        <v>179</v>
      </c>
      <c r="AU117" s="64"/>
      <c r="AV117" s="64"/>
      <c r="AW117" s="134" t="s">
        <v>267</v>
      </c>
      <c r="AX117" s="40"/>
      <c r="AY117" s="215"/>
    </row>
    <row r="118" ht="20.25" hidden="1" customHeight="1">
      <c r="A118" s="96" t="s">
        <v>586</v>
      </c>
      <c r="B118" s="96" t="s">
        <v>107</v>
      </c>
      <c r="C118" s="103" t="s">
        <v>759</v>
      </c>
      <c r="D118" s="97"/>
      <c r="E118" s="103" t="s">
        <v>760</v>
      </c>
      <c r="F118" s="96" t="s">
        <v>761</v>
      </c>
      <c r="G118" s="96" t="s">
        <v>759</v>
      </c>
      <c r="H118" s="131">
        <v>45427.0</v>
      </c>
      <c r="I118" s="131">
        <v>45663.0</v>
      </c>
      <c r="J118" s="96" t="s">
        <v>762</v>
      </c>
      <c r="K118" s="336" t="s">
        <v>763</v>
      </c>
      <c r="L118" s="96" t="s">
        <v>764</v>
      </c>
      <c r="M118" s="96" t="s">
        <v>765</v>
      </c>
      <c r="N118" s="96">
        <v>1.0</v>
      </c>
      <c r="O118" s="133" t="str">
        <f> hyperlink(vlookup(lower(M118),'File Links'!A:B, 2, FALSE), SUBSTITUTE(lower(M118), "/", "--") &amp;  ".pdf")</f>
        <v>10.1017--s0272263114000126.pdf</v>
      </c>
      <c r="P118" s="48" t="str">
        <f t="array" ref="P118">HYPERLINK(INDEX('File Links'!B:B, MATCH(O118, 'File Links'!C:C, 0)))
</f>
        <v>https://drive.google.com/file/d/1rAL0rmM0jbf9S7uX5DiL77r3bNeTGrOY/view?usp=drivesdk</v>
      </c>
      <c r="Q118" s="96" t="s">
        <v>766</v>
      </c>
      <c r="R118" s="96" t="s">
        <v>767</v>
      </c>
      <c r="S118" s="97"/>
      <c r="T118" s="96">
        <v>1.0</v>
      </c>
      <c r="U118" s="96" t="str">
        <f> hyperlink(vlookup(lower(R118),'File Links'!E:F, 2, FALSE), SUBSTITUTE(lower(R118), "/", "--") &amp;  ".pdf")</f>
        <v>10.1017--s027226312400010x.pdf</v>
      </c>
      <c r="V118" s="96" t="s">
        <v>314</v>
      </c>
      <c r="W118" s="45" t="str">
        <f t="array" ref="W118">HYPERLINK(INDEX('File Links'!B:B, MATCH(U118, 'File Links'!C:C, 0)))
</f>
        <v>#N/A</v>
      </c>
      <c r="X118" s="96" t="s">
        <v>768</v>
      </c>
      <c r="Y118" s="337" t="s">
        <v>287</v>
      </c>
      <c r="Z118" s="96" t="s">
        <v>769</v>
      </c>
      <c r="AA118" s="338" t="s">
        <v>770</v>
      </c>
      <c r="AB118" s="96" t="s">
        <v>771</v>
      </c>
      <c r="AC118" s="96" t="s">
        <v>777</v>
      </c>
      <c r="AD118" s="97"/>
      <c r="AE118" s="96">
        <v>97.0</v>
      </c>
      <c r="AF118" s="96" t="s">
        <v>773</v>
      </c>
      <c r="AG118" s="339" t="s">
        <v>166</v>
      </c>
      <c r="AH118" s="339" t="s">
        <v>774</v>
      </c>
      <c r="AI118" s="339" t="s">
        <v>775</v>
      </c>
      <c r="AJ118" s="339" t="s">
        <v>127</v>
      </c>
      <c r="AK118" s="339" t="s">
        <v>128</v>
      </c>
      <c r="AL118" s="340"/>
      <c r="AM118" s="341"/>
      <c r="AN118" s="339">
        <v>119.0</v>
      </c>
      <c r="AO118" s="339">
        <v>-0.24</v>
      </c>
      <c r="AP118" s="339" t="s">
        <v>166</v>
      </c>
      <c r="AQ118" s="135">
        <v>6.0</v>
      </c>
      <c r="AR118" s="135" t="s">
        <v>252</v>
      </c>
      <c r="AS118" s="96" t="s">
        <v>127</v>
      </c>
      <c r="AT118" s="96" t="s">
        <v>179</v>
      </c>
      <c r="AU118" s="64"/>
      <c r="AV118" s="64"/>
      <c r="AW118" s="134" t="s">
        <v>267</v>
      </c>
      <c r="AX118" s="40"/>
      <c r="AY118" s="215"/>
    </row>
    <row r="119" ht="20.25" customHeight="1">
      <c r="A119" s="96" t="s">
        <v>586</v>
      </c>
      <c r="B119" s="96" t="s">
        <v>107</v>
      </c>
      <c r="C119" s="96" t="s">
        <v>226</v>
      </c>
      <c r="D119" s="97"/>
      <c r="E119" s="106" t="s">
        <v>760</v>
      </c>
      <c r="F119" s="107" t="s">
        <v>761</v>
      </c>
      <c r="G119" s="107" t="s">
        <v>229</v>
      </c>
      <c r="H119" s="100">
        <v>45626.0</v>
      </c>
      <c r="I119" s="131">
        <v>45663.0</v>
      </c>
      <c r="J119" s="97"/>
      <c r="K119" s="336" t="s">
        <v>763</v>
      </c>
      <c r="L119" s="107" t="s">
        <v>764</v>
      </c>
      <c r="M119" s="107" t="s">
        <v>765</v>
      </c>
      <c r="N119" s="342">
        <v>1.0</v>
      </c>
      <c r="O119" s="343" t="str">
        <f> hyperlink(vlookup(lower(M119),'File Links'!E:F, 2, FALSE), SUBSTITUTE(lower(M119), "/", "--") &amp;  ".pdf")</f>
        <v>10.1017--s0272263114000126.pdf</v>
      </c>
      <c r="P119" s="48" t="str">
        <f t="array" ref="P119">HYPERLINK(INDEX('File Links'!B:B, MATCH(O119, 'File Links'!C:C, 0)))
</f>
        <v>https://drive.google.com/file/d/1rAL0rmM0jbf9S7uX5DiL77r3bNeTGrOY/view?usp=drivesdk</v>
      </c>
      <c r="Q119" s="107" t="s">
        <v>766</v>
      </c>
      <c r="R119" s="107" t="s">
        <v>767</v>
      </c>
      <c r="S119" s="101"/>
      <c r="T119" s="342">
        <v>1.0</v>
      </c>
      <c r="U119" s="107" t="str">
        <f> hyperlink(vlookup(lower(R119),'File Links'!I:J, 2, FALSE), SUBSTITUTE(lower(R119), "/", "--") &amp;  ".pdf")</f>
        <v>10.1017--s027226312400010x.pdf</v>
      </c>
      <c r="V119" s="96" t="s">
        <v>314</v>
      </c>
      <c r="W119" s="45" t="str">
        <f t="array" ref="W119">HYPERLINK(INDEX('File Links'!B:B, MATCH(U119, 'File Links'!C:C, 0)))
</f>
        <v>#N/A</v>
      </c>
      <c r="X119" s="101"/>
      <c r="Y119" s="337" t="s">
        <v>287</v>
      </c>
      <c r="Z119" s="107" t="s">
        <v>778</v>
      </c>
      <c r="AA119" s="103" t="s">
        <v>770</v>
      </c>
      <c r="AB119" s="107" t="s">
        <v>779</v>
      </c>
      <c r="AC119" s="101"/>
      <c r="AD119" s="101"/>
      <c r="AE119" s="342">
        <v>97.0</v>
      </c>
      <c r="AF119" s="97"/>
      <c r="AG119" s="137"/>
      <c r="AH119" s="137"/>
      <c r="AI119" s="135"/>
      <c r="AJ119" s="137"/>
      <c r="AK119" s="137"/>
      <c r="AL119" s="340"/>
      <c r="AM119" s="137"/>
      <c r="AN119" s="137"/>
      <c r="AO119" s="137"/>
      <c r="AP119" s="137"/>
      <c r="AQ119" s="137"/>
      <c r="AR119" s="137"/>
      <c r="AS119" s="97"/>
      <c r="AT119" s="97"/>
      <c r="AU119" s="64"/>
      <c r="AV119" s="64"/>
      <c r="AW119" s="98"/>
      <c r="AX119" s="40"/>
      <c r="AY119" s="215"/>
    </row>
    <row r="120" ht="20.25" hidden="1" customHeight="1">
      <c r="A120" s="344" t="s">
        <v>106</v>
      </c>
      <c r="B120" s="344" t="s">
        <v>107</v>
      </c>
      <c r="C120" s="177" t="s">
        <v>438</v>
      </c>
      <c r="D120" s="178"/>
      <c r="E120" s="345" t="s">
        <v>780</v>
      </c>
      <c r="F120" s="182" t="s">
        <v>781</v>
      </c>
      <c r="G120" s="182" t="s">
        <v>441</v>
      </c>
      <c r="H120" s="346">
        <v>45634.0</v>
      </c>
      <c r="I120" s="183"/>
      <c r="J120" s="182" t="s">
        <v>782</v>
      </c>
      <c r="K120" s="347" t="s">
        <v>783</v>
      </c>
      <c r="L120" s="182" t="s">
        <v>784</v>
      </c>
      <c r="M120" s="182" t="s">
        <v>785</v>
      </c>
      <c r="N120" s="183"/>
      <c r="O120" s="348" t="s">
        <v>786</v>
      </c>
      <c r="P120" s="48" t="str">
        <f t="array" ref="P120">HYPERLINK(INDEX('File Links'!B:B, MATCH(O120, 'File Links'!C:C, 0)))
</f>
        <v>https://drive.google.com/file/d/1S1BDaMkHx3KW3osHCgZU9COckw9P0yzi/view?usp=drivesdk</v>
      </c>
      <c r="Q120" s="349" t="s">
        <v>787</v>
      </c>
      <c r="R120" s="349" t="s">
        <v>788</v>
      </c>
      <c r="S120" s="183"/>
      <c r="T120" s="185"/>
      <c r="U120" s="182" t="s">
        <v>789</v>
      </c>
      <c r="V120" s="182" t="s">
        <v>155</v>
      </c>
      <c r="W120" s="50" t="str">
        <f t="array" ref="W120">HYPERLINK(INDEX('File Links'!B:B, MATCH(U120, 'File Links'!C:C, 0)))
</f>
        <v>https://drive.google.com/file/d/1VSCtSsv8HPQ12k-JKTjSEPJB-QhdOcwt/view?usp=drivesdk</v>
      </c>
      <c r="X120" s="350" t="s">
        <v>790</v>
      </c>
      <c r="Y120" s="183"/>
      <c r="Z120" s="183"/>
      <c r="AA120" s="183"/>
      <c r="AB120" s="183"/>
      <c r="AC120" s="183"/>
      <c r="AD120" s="183"/>
      <c r="AE120" s="183"/>
      <c r="AF120" s="183"/>
      <c r="AG120" s="185"/>
      <c r="AH120" s="183"/>
      <c r="AI120" s="183"/>
      <c r="AJ120" s="179"/>
      <c r="AK120" s="183"/>
      <c r="AL120" s="183"/>
      <c r="AM120" s="183"/>
      <c r="AN120" s="183"/>
      <c r="AO120" s="183"/>
      <c r="AP120" s="183"/>
      <c r="AQ120" s="183"/>
      <c r="AR120" s="183"/>
      <c r="AS120" s="179"/>
      <c r="AT120" s="179"/>
      <c r="AU120" s="179"/>
      <c r="AV120" s="179"/>
      <c r="AW120" s="345" t="s">
        <v>134</v>
      </c>
      <c r="AX120" s="115" t="s">
        <v>783</v>
      </c>
      <c r="AY120" s="215"/>
    </row>
    <row r="121" ht="20.25" hidden="1" customHeight="1">
      <c r="A121" s="344" t="s">
        <v>106</v>
      </c>
      <c r="B121" s="177" t="s">
        <v>107</v>
      </c>
      <c r="C121" s="177" t="s">
        <v>341</v>
      </c>
      <c r="D121" s="178"/>
      <c r="E121" s="179" t="s">
        <v>780</v>
      </c>
      <c r="F121" s="180" t="s">
        <v>781</v>
      </c>
      <c r="G121" s="180" t="s">
        <v>344</v>
      </c>
      <c r="H121" s="181">
        <v>45427.0</v>
      </c>
      <c r="I121" s="181">
        <v>45639.0</v>
      </c>
      <c r="J121" s="182" t="s">
        <v>791</v>
      </c>
      <c r="K121" s="347" t="s">
        <v>783</v>
      </c>
      <c r="L121" s="180" t="s">
        <v>784</v>
      </c>
      <c r="M121" s="182" t="s">
        <v>785</v>
      </c>
      <c r="N121" s="183"/>
      <c r="O121" s="184" t="s">
        <v>786</v>
      </c>
      <c r="P121" s="48" t="str">
        <f t="array" ref="P121">HYPERLINK(INDEX('File Links'!B:B, MATCH(O121, 'File Links'!C:C, 0)))
</f>
        <v>https://drive.google.com/file/d/1S1BDaMkHx3KW3osHCgZU9COckw9P0yzi/view?usp=drivesdk</v>
      </c>
      <c r="Q121" s="351" t="s">
        <v>792</v>
      </c>
      <c r="R121" s="351" t="s">
        <v>788</v>
      </c>
      <c r="S121" s="183"/>
      <c r="T121" s="185"/>
      <c r="U121" s="180" t="s">
        <v>351</v>
      </c>
      <c r="V121" s="180" t="s">
        <v>793</v>
      </c>
      <c r="W121" s="45" t="str">
        <f t="array" ref="W121">HYPERLINK(INDEX('File Links'!B:B, MATCH(U121, 'File Links'!C:C, 0)))
</f>
        <v>#N/A</v>
      </c>
      <c r="X121" s="350" t="s">
        <v>790</v>
      </c>
      <c r="Y121" s="180" t="s">
        <v>794</v>
      </c>
      <c r="Z121" s="183"/>
      <c r="AA121" s="182" t="s">
        <v>795</v>
      </c>
      <c r="AB121" s="182" t="s">
        <v>796</v>
      </c>
      <c r="AC121" s="182" t="s">
        <v>797</v>
      </c>
      <c r="AD121" s="183"/>
      <c r="AE121" s="183"/>
      <c r="AF121" s="187">
        <v>-0.48</v>
      </c>
      <c r="AG121" s="184" t="s">
        <v>798</v>
      </c>
      <c r="AH121" s="180" t="s">
        <v>799</v>
      </c>
      <c r="AI121" s="183"/>
      <c r="AJ121" s="179"/>
      <c r="AK121" s="183"/>
      <c r="AL121" s="183"/>
      <c r="AM121" s="180" t="s">
        <v>165</v>
      </c>
      <c r="AN121" s="183"/>
      <c r="AO121" s="187">
        <v>0.12</v>
      </c>
      <c r="AP121" s="180" t="s">
        <v>798</v>
      </c>
      <c r="AQ121" s="180" t="s">
        <v>125</v>
      </c>
      <c r="AR121" s="183"/>
      <c r="AS121" s="179"/>
      <c r="AT121" s="179"/>
      <c r="AU121" s="179"/>
      <c r="AV121" s="179" t="s">
        <v>165</v>
      </c>
      <c r="AW121" s="179" t="s">
        <v>134</v>
      </c>
      <c r="AX121" s="115" t="s">
        <v>783</v>
      </c>
      <c r="AY121" s="215"/>
    </row>
    <row r="122" ht="20.25" hidden="1" customHeight="1">
      <c r="A122" s="344" t="s">
        <v>106</v>
      </c>
      <c r="B122" s="177" t="s">
        <v>107</v>
      </c>
      <c r="C122" s="177" t="s">
        <v>341</v>
      </c>
      <c r="D122" s="178"/>
      <c r="E122" s="179" t="s">
        <v>780</v>
      </c>
      <c r="F122" s="180" t="s">
        <v>800</v>
      </c>
      <c r="G122" s="180" t="s">
        <v>344</v>
      </c>
      <c r="H122" s="181">
        <v>45427.0</v>
      </c>
      <c r="I122" s="181">
        <v>45639.0</v>
      </c>
      <c r="J122" s="182" t="s">
        <v>791</v>
      </c>
      <c r="K122" s="347" t="s">
        <v>783</v>
      </c>
      <c r="L122" s="180" t="s">
        <v>784</v>
      </c>
      <c r="M122" s="182" t="s">
        <v>785</v>
      </c>
      <c r="N122" s="183"/>
      <c r="O122" s="184" t="s">
        <v>786</v>
      </c>
      <c r="P122" s="48" t="str">
        <f t="array" ref="P122">HYPERLINK(INDEX('File Links'!B:B, MATCH(O122, 'File Links'!C:C, 0)))
</f>
        <v>https://drive.google.com/file/d/1S1BDaMkHx3KW3osHCgZU9COckw9P0yzi/view?usp=drivesdk</v>
      </c>
      <c r="Q122" s="351" t="s">
        <v>801</v>
      </c>
      <c r="R122" s="351" t="s">
        <v>788</v>
      </c>
      <c r="S122" s="183"/>
      <c r="T122" s="185"/>
      <c r="U122" s="180" t="s">
        <v>351</v>
      </c>
      <c r="V122" s="180" t="s">
        <v>793</v>
      </c>
      <c r="W122" s="45" t="str">
        <f t="array" ref="W122">HYPERLINK(INDEX('File Links'!B:B, MATCH(U122, 'File Links'!C:C, 0)))
</f>
        <v>#N/A</v>
      </c>
      <c r="X122" s="350" t="s">
        <v>790</v>
      </c>
      <c r="Y122" s="180" t="s">
        <v>794</v>
      </c>
      <c r="Z122" s="183"/>
      <c r="AA122" s="182" t="s">
        <v>795</v>
      </c>
      <c r="AB122" s="182" t="s">
        <v>802</v>
      </c>
      <c r="AC122" s="182" t="s">
        <v>797</v>
      </c>
      <c r="AD122" s="183"/>
      <c r="AE122" s="183"/>
      <c r="AF122" s="187">
        <v>-0.82</v>
      </c>
      <c r="AG122" s="184" t="s">
        <v>798</v>
      </c>
      <c r="AH122" s="180" t="s">
        <v>799</v>
      </c>
      <c r="AI122" s="183"/>
      <c r="AJ122" s="179"/>
      <c r="AK122" s="183"/>
      <c r="AL122" s="183"/>
      <c r="AM122" s="180" t="s">
        <v>165</v>
      </c>
      <c r="AN122" s="183"/>
      <c r="AO122" s="187">
        <v>0.12</v>
      </c>
      <c r="AP122" s="180" t="s">
        <v>798</v>
      </c>
      <c r="AQ122" s="180" t="s">
        <v>125</v>
      </c>
      <c r="AR122" s="183"/>
      <c r="AS122" s="179"/>
      <c r="AT122" s="179"/>
      <c r="AU122" s="179"/>
      <c r="AV122" s="179" t="s">
        <v>165</v>
      </c>
      <c r="AW122" s="179" t="s">
        <v>134</v>
      </c>
      <c r="AX122" s="115" t="s">
        <v>783</v>
      </c>
      <c r="AY122" s="215"/>
    </row>
    <row r="123" ht="20.25" hidden="1" customHeight="1">
      <c r="A123" s="344" t="s">
        <v>106</v>
      </c>
      <c r="B123" s="177" t="s">
        <v>107</v>
      </c>
      <c r="C123" s="177" t="s">
        <v>341</v>
      </c>
      <c r="D123" s="178"/>
      <c r="E123" s="179" t="s">
        <v>780</v>
      </c>
      <c r="F123" s="180" t="s">
        <v>803</v>
      </c>
      <c r="G123" s="180" t="s">
        <v>344</v>
      </c>
      <c r="H123" s="181">
        <v>45427.0</v>
      </c>
      <c r="I123" s="181">
        <v>45639.0</v>
      </c>
      <c r="J123" s="182" t="s">
        <v>804</v>
      </c>
      <c r="K123" s="347" t="s">
        <v>783</v>
      </c>
      <c r="L123" s="180" t="s">
        <v>784</v>
      </c>
      <c r="M123" s="182" t="s">
        <v>785</v>
      </c>
      <c r="N123" s="183"/>
      <c r="O123" s="184" t="s">
        <v>786</v>
      </c>
      <c r="P123" s="48" t="str">
        <f t="array" ref="P123">HYPERLINK(INDEX('File Links'!B:B, MATCH(O123, 'File Links'!C:C, 0)))
</f>
        <v>https://drive.google.com/file/d/1S1BDaMkHx3KW3osHCgZU9COckw9P0yzi/view?usp=drivesdk</v>
      </c>
      <c r="Q123" s="351" t="s">
        <v>805</v>
      </c>
      <c r="R123" s="351" t="s">
        <v>788</v>
      </c>
      <c r="S123" s="183"/>
      <c r="T123" s="185"/>
      <c r="U123" s="180" t="s">
        <v>351</v>
      </c>
      <c r="V123" s="180" t="s">
        <v>793</v>
      </c>
      <c r="W123" s="45" t="str">
        <f t="array" ref="W123">HYPERLINK(INDEX('File Links'!B:B, MATCH(U123, 'File Links'!C:C, 0)))
</f>
        <v>#N/A</v>
      </c>
      <c r="X123" s="350" t="s">
        <v>790</v>
      </c>
      <c r="Y123" s="180" t="s">
        <v>794</v>
      </c>
      <c r="Z123" s="183"/>
      <c r="AA123" s="182" t="s">
        <v>795</v>
      </c>
      <c r="AB123" s="182" t="s">
        <v>806</v>
      </c>
      <c r="AC123" s="182" t="s">
        <v>797</v>
      </c>
      <c r="AD123" s="183"/>
      <c r="AE123" s="183"/>
      <c r="AF123" s="187">
        <v>-0.52</v>
      </c>
      <c r="AG123" s="184" t="s">
        <v>798</v>
      </c>
      <c r="AH123" s="180" t="s">
        <v>799</v>
      </c>
      <c r="AI123" s="183"/>
      <c r="AJ123" s="179"/>
      <c r="AK123" s="183"/>
      <c r="AL123" s="183"/>
      <c r="AM123" s="180" t="s">
        <v>165</v>
      </c>
      <c r="AN123" s="183"/>
      <c r="AO123" s="187">
        <v>0.06</v>
      </c>
      <c r="AP123" s="180" t="s">
        <v>798</v>
      </c>
      <c r="AQ123" s="180" t="s">
        <v>125</v>
      </c>
      <c r="AR123" s="183"/>
      <c r="AS123" s="179"/>
      <c r="AT123" s="179"/>
      <c r="AU123" s="179"/>
      <c r="AV123" s="179" t="s">
        <v>165</v>
      </c>
      <c r="AW123" s="179" t="s">
        <v>134</v>
      </c>
      <c r="AX123" s="115" t="s">
        <v>783</v>
      </c>
      <c r="AY123" s="215"/>
    </row>
    <row r="124" ht="20.25" customHeight="1">
      <c r="A124" s="157" t="s">
        <v>520</v>
      </c>
      <c r="B124" s="157" t="s">
        <v>107</v>
      </c>
      <c r="C124" s="157" t="s">
        <v>341</v>
      </c>
      <c r="D124" s="152"/>
      <c r="E124" s="147" t="s">
        <v>807</v>
      </c>
      <c r="F124" s="52" t="s">
        <v>808</v>
      </c>
      <c r="G124" s="52" t="s">
        <v>344</v>
      </c>
      <c r="H124" s="140">
        <v>45427.0</v>
      </c>
      <c r="I124" s="140">
        <v>45635.0</v>
      </c>
      <c r="J124" s="352" t="s">
        <v>809</v>
      </c>
      <c r="K124" s="52" t="s">
        <v>810</v>
      </c>
      <c r="L124" s="52" t="s">
        <v>811</v>
      </c>
      <c r="M124" s="352" t="s">
        <v>812</v>
      </c>
      <c r="N124" s="55"/>
      <c r="O124" s="353" t="s">
        <v>813</v>
      </c>
      <c r="P124" s="48" t="str">
        <f t="array" ref="P124">HYPERLINK(INDEX('File Links'!B:B, MATCH(O124, 'File Links'!C:C, 0)))
</f>
        <v>https://drive.google.com/file/d/1n-j6Aip_Ueqh39JoVXmnujoaVUR_DnRz/view?usp=drivesdk</v>
      </c>
      <c r="Q124" s="52" t="s">
        <v>814</v>
      </c>
      <c r="R124" s="52" t="s">
        <v>815</v>
      </c>
      <c r="S124" s="55"/>
      <c r="T124" s="329"/>
      <c r="U124" s="354" t="s">
        <v>351</v>
      </c>
      <c r="V124" s="52" t="s">
        <v>604</v>
      </c>
      <c r="W124" s="45" t="str">
        <f t="array" ref="W124">HYPERLINK(INDEX('File Links'!B:B, MATCH(U124, 'File Links'!C:C, 0)))
</f>
        <v>#N/A</v>
      </c>
      <c r="X124" s="55"/>
      <c r="Y124" s="52" t="s">
        <v>501</v>
      </c>
      <c r="Z124" s="52" t="s">
        <v>816</v>
      </c>
      <c r="AA124" s="352" t="s">
        <v>817</v>
      </c>
      <c r="AB124" s="352" t="s">
        <v>818</v>
      </c>
      <c r="AC124" s="352" t="s">
        <v>819</v>
      </c>
      <c r="AD124" s="355">
        <v>883.0</v>
      </c>
      <c r="AE124" s="355">
        <v>2212.0</v>
      </c>
      <c r="AF124" s="355">
        <v>1.04</v>
      </c>
      <c r="AG124" s="330" t="s">
        <v>722</v>
      </c>
      <c r="AH124" s="52" t="s">
        <v>820</v>
      </c>
      <c r="AI124" s="355">
        <v>0.05</v>
      </c>
      <c r="AJ124" s="147" t="s">
        <v>329</v>
      </c>
      <c r="AK124" s="52" t="s">
        <v>179</v>
      </c>
      <c r="AL124" s="55" t="s">
        <v>821</v>
      </c>
      <c r="AM124" s="52" t="s">
        <v>165</v>
      </c>
      <c r="AN124" s="355">
        <v>7743.0</v>
      </c>
      <c r="AO124" s="355">
        <v>1.2</v>
      </c>
      <c r="AP124" s="52" t="s">
        <v>722</v>
      </c>
      <c r="AQ124" s="52" t="s">
        <v>822</v>
      </c>
      <c r="AR124" s="355">
        <v>0.05</v>
      </c>
      <c r="AS124" s="147" t="s">
        <v>329</v>
      </c>
      <c r="AT124" s="147" t="s">
        <v>179</v>
      </c>
      <c r="AU124" s="60" t="s">
        <v>821</v>
      </c>
      <c r="AV124" s="147" t="s">
        <v>165</v>
      </c>
      <c r="AW124" s="60" t="s">
        <v>434</v>
      </c>
      <c r="AX124" s="52"/>
      <c r="AY124" s="215"/>
    </row>
    <row r="125" ht="20.25" customHeight="1">
      <c r="A125" s="157" t="s">
        <v>520</v>
      </c>
      <c r="B125" s="157" t="s">
        <v>107</v>
      </c>
      <c r="C125" s="157" t="s">
        <v>341</v>
      </c>
      <c r="D125" s="152"/>
      <c r="E125" s="147" t="s">
        <v>807</v>
      </c>
      <c r="F125" s="52" t="s">
        <v>823</v>
      </c>
      <c r="G125" s="52" t="s">
        <v>344</v>
      </c>
      <c r="H125" s="140">
        <v>45427.0</v>
      </c>
      <c r="I125" s="140">
        <v>45635.0</v>
      </c>
      <c r="J125" s="352" t="s">
        <v>809</v>
      </c>
      <c r="K125" s="52" t="s">
        <v>810</v>
      </c>
      <c r="L125" s="52" t="s">
        <v>811</v>
      </c>
      <c r="M125" s="352" t="s">
        <v>812</v>
      </c>
      <c r="N125" s="55"/>
      <c r="O125" s="353" t="s">
        <v>813</v>
      </c>
      <c r="P125" s="48" t="str">
        <f t="array" ref="P125">HYPERLINK(INDEX('File Links'!B:B, MATCH(O125, 'File Links'!C:C, 0)))
</f>
        <v>https://drive.google.com/file/d/1n-j6Aip_Ueqh39JoVXmnujoaVUR_DnRz/view?usp=drivesdk</v>
      </c>
      <c r="Q125" s="52" t="s">
        <v>814</v>
      </c>
      <c r="R125" s="52" t="s">
        <v>815</v>
      </c>
      <c r="S125" s="55"/>
      <c r="T125" s="329"/>
      <c r="U125" s="354" t="s">
        <v>351</v>
      </c>
      <c r="V125" s="52" t="s">
        <v>604</v>
      </c>
      <c r="W125" s="45" t="str">
        <f t="array" ref="W125">HYPERLINK(INDEX('File Links'!B:B, MATCH(U125, 'File Links'!C:C, 0)))
</f>
        <v>#N/A</v>
      </c>
      <c r="X125" s="55"/>
      <c r="Y125" s="52" t="s">
        <v>501</v>
      </c>
      <c r="Z125" s="52" t="s">
        <v>816</v>
      </c>
      <c r="AA125" s="352" t="s">
        <v>817</v>
      </c>
      <c r="AB125" s="352" t="s">
        <v>818</v>
      </c>
      <c r="AC125" s="352" t="s">
        <v>824</v>
      </c>
      <c r="AD125" s="355">
        <v>883.0</v>
      </c>
      <c r="AE125" s="355">
        <v>5509.0</v>
      </c>
      <c r="AF125" s="355">
        <v>1.56</v>
      </c>
      <c r="AG125" s="330" t="s">
        <v>722</v>
      </c>
      <c r="AH125" s="52" t="s">
        <v>820</v>
      </c>
      <c r="AI125" s="355">
        <v>0.001</v>
      </c>
      <c r="AJ125" s="147" t="s">
        <v>127</v>
      </c>
      <c r="AK125" s="52" t="s">
        <v>179</v>
      </c>
      <c r="AL125" s="55" t="s">
        <v>821</v>
      </c>
      <c r="AM125" s="52" t="s">
        <v>165</v>
      </c>
      <c r="AN125" s="355">
        <v>8131.0</v>
      </c>
      <c r="AO125" s="355">
        <v>1.47</v>
      </c>
      <c r="AP125" s="52" t="s">
        <v>722</v>
      </c>
      <c r="AQ125" s="52" t="s">
        <v>822</v>
      </c>
      <c r="AR125" s="355">
        <v>0.001</v>
      </c>
      <c r="AS125" s="147" t="s">
        <v>127</v>
      </c>
      <c r="AT125" s="147" t="s">
        <v>179</v>
      </c>
      <c r="AU125" s="60" t="s">
        <v>821</v>
      </c>
      <c r="AV125" s="147" t="s">
        <v>165</v>
      </c>
      <c r="AW125" s="60" t="s">
        <v>434</v>
      </c>
      <c r="AX125" s="52"/>
    </row>
    <row r="126" ht="20.25" customHeight="1">
      <c r="A126" s="157" t="s">
        <v>520</v>
      </c>
      <c r="B126" s="157" t="s">
        <v>107</v>
      </c>
      <c r="C126" s="157" t="s">
        <v>341</v>
      </c>
      <c r="D126" s="152"/>
      <c r="E126" s="147" t="s">
        <v>807</v>
      </c>
      <c r="F126" s="52" t="s">
        <v>825</v>
      </c>
      <c r="G126" s="52" t="s">
        <v>344</v>
      </c>
      <c r="H126" s="140">
        <v>45427.0</v>
      </c>
      <c r="I126" s="140">
        <v>45635.0</v>
      </c>
      <c r="J126" s="352" t="s">
        <v>809</v>
      </c>
      <c r="K126" s="52" t="s">
        <v>810</v>
      </c>
      <c r="L126" s="52" t="s">
        <v>811</v>
      </c>
      <c r="M126" s="352" t="s">
        <v>812</v>
      </c>
      <c r="N126" s="55"/>
      <c r="O126" s="353" t="s">
        <v>813</v>
      </c>
      <c r="P126" s="48" t="str">
        <f t="array" ref="P126">HYPERLINK(INDEX('File Links'!B:B, MATCH(O126, 'File Links'!C:C, 0)))
</f>
        <v>https://drive.google.com/file/d/1n-j6Aip_Ueqh39JoVXmnujoaVUR_DnRz/view?usp=drivesdk</v>
      </c>
      <c r="Q126" s="52" t="s">
        <v>814</v>
      </c>
      <c r="R126" s="52" t="s">
        <v>815</v>
      </c>
      <c r="S126" s="55"/>
      <c r="T126" s="329"/>
      <c r="U126" s="354" t="s">
        <v>351</v>
      </c>
      <c r="V126" s="52" t="s">
        <v>604</v>
      </c>
      <c r="W126" s="45" t="str">
        <f t="array" ref="W126">HYPERLINK(INDEX('File Links'!B:B, MATCH(U126, 'File Links'!C:C, 0)))
</f>
        <v>#N/A</v>
      </c>
      <c r="X126" s="55"/>
      <c r="Y126" s="52" t="s">
        <v>501</v>
      </c>
      <c r="Z126" s="52" t="s">
        <v>826</v>
      </c>
      <c r="AA126" s="352" t="s">
        <v>817</v>
      </c>
      <c r="AB126" s="352" t="s">
        <v>818</v>
      </c>
      <c r="AC126" s="352" t="s">
        <v>827</v>
      </c>
      <c r="AD126" s="355">
        <v>883.0</v>
      </c>
      <c r="AE126" s="355">
        <v>5883.0</v>
      </c>
      <c r="AF126" s="355">
        <v>0.95</v>
      </c>
      <c r="AG126" s="330" t="s">
        <v>722</v>
      </c>
      <c r="AH126" s="52" t="s">
        <v>820</v>
      </c>
      <c r="AI126" s="355">
        <v>0.05</v>
      </c>
      <c r="AJ126" s="147" t="s">
        <v>329</v>
      </c>
      <c r="AK126" s="52" t="s">
        <v>179</v>
      </c>
      <c r="AL126" s="55" t="s">
        <v>821</v>
      </c>
      <c r="AM126" s="52" t="s">
        <v>165</v>
      </c>
      <c r="AN126" s="355">
        <v>9241.0</v>
      </c>
      <c r="AO126" s="355">
        <v>1.17</v>
      </c>
      <c r="AP126" s="52" t="s">
        <v>722</v>
      </c>
      <c r="AQ126" s="52" t="s">
        <v>822</v>
      </c>
      <c r="AR126" s="355">
        <v>0.05</v>
      </c>
      <c r="AS126" s="147" t="s">
        <v>329</v>
      </c>
      <c r="AT126" s="147" t="s">
        <v>179</v>
      </c>
      <c r="AU126" s="60" t="s">
        <v>821</v>
      </c>
      <c r="AV126" s="147" t="s">
        <v>165</v>
      </c>
      <c r="AW126" s="60" t="s">
        <v>434</v>
      </c>
      <c r="AX126" s="52"/>
    </row>
    <row r="127" ht="20.25" customHeight="1">
      <c r="A127" s="157" t="s">
        <v>520</v>
      </c>
      <c r="B127" s="157" t="s">
        <v>107</v>
      </c>
      <c r="C127" s="157" t="s">
        <v>341</v>
      </c>
      <c r="D127" s="152"/>
      <c r="E127" s="147" t="s">
        <v>807</v>
      </c>
      <c r="F127" s="52" t="s">
        <v>828</v>
      </c>
      <c r="G127" s="52" t="s">
        <v>344</v>
      </c>
      <c r="H127" s="140">
        <v>45427.0</v>
      </c>
      <c r="I127" s="140">
        <v>45635.0</v>
      </c>
      <c r="J127" s="352" t="s">
        <v>809</v>
      </c>
      <c r="K127" s="52" t="s">
        <v>810</v>
      </c>
      <c r="L127" s="52" t="s">
        <v>811</v>
      </c>
      <c r="M127" s="352" t="s">
        <v>812</v>
      </c>
      <c r="N127" s="55"/>
      <c r="O127" s="353" t="s">
        <v>813</v>
      </c>
      <c r="P127" s="48" t="str">
        <f t="array" ref="P127">HYPERLINK(INDEX('File Links'!B:B, MATCH(O127, 'File Links'!C:C, 0)))
</f>
        <v>https://drive.google.com/file/d/1n-j6Aip_Ueqh39JoVXmnujoaVUR_DnRz/view?usp=drivesdk</v>
      </c>
      <c r="Q127" s="52" t="s">
        <v>814</v>
      </c>
      <c r="R127" s="52" t="s">
        <v>815</v>
      </c>
      <c r="S127" s="55"/>
      <c r="T127" s="329"/>
      <c r="U127" s="354" t="s">
        <v>351</v>
      </c>
      <c r="V127" s="52" t="s">
        <v>604</v>
      </c>
      <c r="W127" s="45" t="str">
        <f t="array" ref="W127">HYPERLINK(INDEX('File Links'!B:B, MATCH(U127, 'File Links'!C:C, 0)))
</f>
        <v>#N/A</v>
      </c>
      <c r="X127" s="55"/>
      <c r="Y127" s="52" t="s">
        <v>501</v>
      </c>
      <c r="Z127" s="52" t="s">
        <v>826</v>
      </c>
      <c r="AA127" s="352" t="s">
        <v>817</v>
      </c>
      <c r="AB127" s="352" t="s">
        <v>818</v>
      </c>
      <c r="AC127" s="352" t="s">
        <v>829</v>
      </c>
      <c r="AD127" s="355">
        <v>883.0</v>
      </c>
      <c r="AE127" s="355">
        <v>5953.0</v>
      </c>
      <c r="AF127" s="355">
        <v>1.19</v>
      </c>
      <c r="AG127" s="330" t="s">
        <v>722</v>
      </c>
      <c r="AH127" s="52" t="s">
        <v>820</v>
      </c>
      <c r="AI127" s="355">
        <v>0.05</v>
      </c>
      <c r="AJ127" s="147" t="s">
        <v>329</v>
      </c>
      <c r="AK127" s="52" t="s">
        <v>179</v>
      </c>
      <c r="AL127" s="55" t="s">
        <v>821</v>
      </c>
      <c r="AM127" s="52" t="s">
        <v>165</v>
      </c>
      <c r="AN127" s="355">
        <v>8916.0</v>
      </c>
      <c r="AO127" s="355">
        <v>0.99</v>
      </c>
      <c r="AP127" s="52" t="s">
        <v>722</v>
      </c>
      <c r="AQ127" s="52" t="s">
        <v>822</v>
      </c>
      <c r="AR127" s="355">
        <v>0.05</v>
      </c>
      <c r="AS127" s="147" t="s">
        <v>329</v>
      </c>
      <c r="AT127" s="147" t="s">
        <v>179</v>
      </c>
      <c r="AU127" s="60" t="s">
        <v>821</v>
      </c>
      <c r="AV127" s="147" t="s">
        <v>165</v>
      </c>
      <c r="AW127" s="60" t="s">
        <v>434</v>
      </c>
      <c r="AX127" s="52"/>
      <c r="AY127" s="64"/>
    </row>
    <row r="128" ht="20.25" customHeight="1">
      <c r="A128" s="157" t="s">
        <v>520</v>
      </c>
      <c r="B128" s="157" t="s">
        <v>107</v>
      </c>
      <c r="C128" s="157" t="s">
        <v>214</v>
      </c>
      <c r="D128" s="152"/>
      <c r="E128" s="255" t="s">
        <v>807</v>
      </c>
      <c r="F128" s="43" t="s">
        <v>830</v>
      </c>
      <c r="G128" s="356" t="s">
        <v>214</v>
      </c>
      <c r="H128" s="357">
        <v>45684.0</v>
      </c>
      <c r="I128" s="357">
        <v>45684.0</v>
      </c>
      <c r="J128" s="356" t="s">
        <v>831</v>
      </c>
      <c r="K128" s="42"/>
      <c r="L128" s="356" t="s">
        <v>811</v>
      </c>
      <c r="M128" s="356" t="s">
        <v>812</v>
      </c>
      <c r="N128" s="42"/>
      <c r="O128" s="145" t="s">
        <v>813</v>
      </c>
      <c r="P128" s="48" t="str">
        <f t="array" ref="P128">HYPERLINK(INDEX('File Links'!B:B, MATCH(O128, 'File Links'!C:C, 0)))
</f>
        <v>https://drive.google.com/file/d/1n-j6Aip_Ueqh39JoVXmnujoaVUR_DnRz/view?usp=drivesdk</v>
      </c>
      <c r="Q128" s="356" t="s">
        <v>814</v>
      </c>
      <c r="R128" s="42"/>
      <c r="S128" s="42"/>
      <c r="T128" s="42"/>
      <c r="U128" s="145" t="s">
        <v>832</v>
      </c>
      <c r="V128" s="356" t="s">
        <v>155</v>
      </c>
      <c r="W128" s="45" t="str">
        <f t="array" ref="W128">HYPERLINK(INDEX('File Links'!B:B, MATCH(U128, 'File Links'!C:C, 0)))
</f>
        <v>#N/A</v>
      </c>
      <c r="X128" s="42"/>
      <c r="Y128" s="356" t="s">
        <v>501</v>
      </c>
      <c r="Z128" s="42" t="s">
        <v>833</v>
      </c>
      <c r="AA128" s="356" t="s">
        <v>834</v>
      </c>
      <c r="AB128" s="42" t="s">
        <v>835</v>
      </c>
      <c r="AC128" s="356" t="s">
        <v>836</v>
      </c>
      <c r="AD128" s="358">
        <v>883.0</v>
      </c>
      <c r="AE128" s="358">
        <v>1069.0</v>
      </c>
      <c r="AF128" s="358">
        <v>1.56</v>
      </c>
      <c r="AG128" s="356" t="s">
        <v>722</v>
      </c>
      <c r="AH128" s="356" t="s">
        <v>820</v>
      </c>
      <c r="AI128" s="359">
        <v>1.0E-4</v>
      </c>
      <c r="AJ128" s="43" t="s">
        <v>127</v>
      </c>
      <c r="AK128" s="43" t="s">
        <v>128</v>
      </c>
      <c r="AL128" s="356" t="s">
        <v>132</v>
      </c>
      <c r="AM128" s="43" t="s">
        <v>165</v>
      </c>
      <c r="AN128" s="358">
        <v>2240.0</v>
      </c>
      <c r="AO128" s="358">
        <v>1.47</v>
      </c>
      <c r="AP128" s="356" t="s">
        <v>722</v>
      </c>
      <c r="AQ128" s="356" t="s">
        <v>837</v>
      </c>
      <c r="AR128" s="360">
        <v>0.05</v>
      </c>
      <c r="AS128" s="356" t="s">
        <v>127</v>
      </c>
      <c r="AT128" s="356" t="s">
        <v>128</v>
      </c>
      <c r="AU128" s="356" t="s">
        <v>132</v>
      </c>
      <c r="AV128" s="356" t="s">
        <v>165</v>
      </c>
      <c r="AW128" s="356" t="s">
        <v>434</v>
      </c>
    </row>
    <row r="129" ht="20.25" customHeight="1">
      <c r="A129" s="157" t="s">
        <v>520</v>
      </c>
      <c r="B129" s="157" t="s">
        <v>107</v>
      </c>
      <c r="C129" s="157" t="s">
        <v>214</v>
      </c>
      <c r="D129" s="152"/>
      <c r="E129" s="255" t="s">
        <v>807</v>
      </c>
      <c r="F129" s="43" t="s">
        <v>823</v>
      </c>
      <c r="G129" s="356" t="s">
        <v>214</v>
      </c>
      <c r="H129" s="357">
        <v>45684.0</v>
      </c>
      <c r="I129" s="357">
        <v>45684.0</v>
      </c>
      <c r="J129" s="356" t="s">
        <v>831</v>
      </c>
      <c r="K129" s="42"/>
      <c r="L129" s="356" t="s">
        <v>811</v>
      </c>
      <c r="M129" s="356" t="s">
        <v>812</v>
      </c>
      <c r="N129" s="42"/>
      <c r="O129" s="145" t="s">
        <v>813</v>
      </c>
      <c r="P129" s="48" t="str">
        <f t="array" ref="P129">HYPERLINK(INDEX('File Links'!B:B, MATCH(O129, 'File Links'!C:C, 0)))
</f>
        <v>https://drive.google.com/file/d/1n-j6Aip_Ueqh39JoVXmnujoaVUR_DnRz/view?usp=drivesdk</v>
      </c>
      <c r="Q129" s="356" t="s">
        <v>814</v>
      </c>
      <c r="R129" s="42"/>
      <c r="S129" s="42"/>
      <c r="T129" s="42"/>
      <c r="U129" s="145" t="s">
        <v>832</v>
      </c>
      <c r="V129" s="356" t="s">
        <v>155</v>
      </c>
      <c r="W129" s="45" t="str">
        <f t="array" ref="W129">HYPERLINK(INDEX('File Links'!B:B, MATCH(U129, 'File Links'!C:C, 0)))
</f>
        <v>#N/A</v>
      </c>
      <c r="X129" s="42"/>
      <c r="Y129" s="356" t="s">
        <v>501</v>
      </c>
      <c r="Z129" s="42" t="s">
        <v>833</v>
      </c>
      <c r="AA129" s="356" t="s">
        <v>834</v>
      </c>
      <c r="AB129" s="356" t="s">
        <v>838</v>
      </c>
      <c r="AC129" s="356" t="s">
        <v>839</v>
      </c>
      <c r="AD129" s="358">
        <v>883.0</v>
      </c>
      <c r="AE129" s="358">
        <v>1069.0</v>
      </c>
      <c r="AF129" s="358">
        <v>1.04</v>
      </c>
      <c r="AG129" s="356" t="s">
        <v>722</v>
      </c>
      <c r="AH129" s="356" t="s">
        <v>820</v>
      </c>
      <c r="AI129" s="359">
        <v>0.05</v>
      </c>
      <c r="AJ129" s="43" t="s">
        <v>329</v>
      </c>
      <c r="AK129" s="43" t="s">
        <v>128</v>
      </c>
      <c r="AL129" s="356" t="s">
        <v>132</v>
      </c>
      <c r="AM129" s="43" t="s">
        <v>165</v>
      </c>
      <c r="AN129" s="358">
        <v>2240.0</v>
      </c>
      <c r="AO129" s="358">
        <v>1.2</v>
      </c>
      <c r="AP129" s="356" t="s">
        <v>722</v>
      </c>
      <c r="AQ129" s="356" t="s">
        <v>837</v>
      </c>
      <c r="AR129" s="360">
        <v>0.05</v>
      </c>
      <c r="AS129" s="356" t="s">
        <v>127</v>
      </c>
      <c r="AT129" s="356" t="s">
        <v>128</v>
      </c>
      <c r="AU129" s="356" t="s">
        <v>132</v>
      </c>
      <c r="AV129" s="356" t="s">
        <v>165</v>
      </c>
      <c r="AW129" s="356" t="s">
        <v>434</v>
      </c>
    </row>
    <row r="130" ht="20.25" customHeight="1">
      <c r="A130" s="314" t="s">
        <v>143</v>
      </c>
      <c r="B130" s="314" t="s">
        <v>107</v>
      </c>
      <c r="C130" s="316" t="s">
        <v>438</v>
      </c>
      <c r="D130" s="215"/>
      <c r="E130" s="361" t="s">
        <v>840</v>
      </c>
      <c r="F130" s="362" t="s">
        <v>841</v>
      </c>
      <c r="G130" s="362" t="s">
        <v>441</v>
      </c>
      <c r="H130" s="363">
        <v>45634.0</v>
      </c>
      <c r="I130" s="304">
        <v>45663.0</v>
      </c>
      <c r="J130" s="362" t="s">
        <v>842</v>
      </c>
      <c r="K130" s="364"/>
      <c r="L130" s="362" t="s">
        <v>843</v>
      </c>
      <c r="M130" s="362" t="s">
        <v>844</v>
      </c>
      <c r="N130" s="321">
        <v>1.0</v>
      </c>
      <c r="O130" s="365" t="s">
        <v>845</v>
      </c>
      <c r="P130" s="48" t="str">
        <f t="array" ref="P130">HYPERLINK(INDEX('File Links'!B:B, MATCH(O130, 'File Links'!C:C, 0)))
</f>
        <v>https://drive.google.com/file/d/15kKUsqyFArf82r6bAlXLuUVgHc1vD9sW/view?usp=drivesdk</v>
      </c>
      <c r="Q130" s="362" t="s">
        <v>846</v>
      </c>
      <c r="R130" s="362" t="s">
        <v>847</v>
      </c>
      <c r="S130" s="364"/>
      <c r="T130" s="120">
        <v>1.0</v>
      </c>
      <c r="U130" s="362" t="s">
        <v>848</v>
      </c>
      <c r="V130" s="362" t="s">
        <v>155</v>
      </c>
      <c r="W130" s="50" t="str">
        <f t="array" ref="W130">HYPERLINK(INDEX('File Links'!B:B, MATCH(U130, 'File Links'!C:C, 0)))
</f>
        <v>https://drive.google.com/file/d/1TJ6nnv7-YYGU9DUh1ApFGirYy6BbChHy/view?usp=drivesdk</v>
      </c>
      <c r="X130" s="364"/>
      <c r="Y130" s="362" t="s">
        <v>849</v>
      </c>
      <c r="Z130" s="362" t="s">
        <v>850</v>
      </c>
      <c r="AA130" s="362" t="s">
        <v>851</v>
      </c>
      <c r="AB130" s="362" t="s">
        <v>852</v>
      </c>
      <c r="AC130" s="366" t="s">
        <v>853</v>
      </c>
      <c r="AD130" s="367">
        <v>3.0</v>
      </c>
      <c r="AE130" s="367">
        <v>35.0</v>
      </c>
      <c r="AF130" s="368">
        <v>-0.13</v>
      </c>
      <c r="AG130" s="365" t="s">
        <v>357</v>
      </c>
      <c r="AH130" s="366" t="s">
        <v>210</v>
      </c>
      <c r="AI130" s="367">
        <v>3.0E-4</v>
      </c>
      <c r="AJ130" s="361" t="s">
        <v>164</v>
      </c>
      <c r="AK130" s="362" t="s">
        <v>179</v>
      </c>
      <c r="AL130" s="362" t="s">
        <v>129</v>
      </c>
      <c r="AM130" s="128" t="s">
        <v>165</v>
      </c>
      <c r="AN130" s="367">
        <v>46.0</v>
      </c>
      <c r="AO130" s="368">
        <v>0.03</v>
      </c>
      <c r="AP130" s="362" t="s">
        <v>357</v>
      </c>
      <c r="AQ130" s="362" t="s">
        <v>494</v>
      </c>
      <c r="AR130" s="368">
        <v>0.407</v>
      </c>
      <c r="AS130" s="361" t="s">
        <v>164</v>
      </c>
      <c r="AT130" s="361" t="s">
        <v>179</v>
      </c>
      <c r="AU130" s="361" t="s">
        <v>129</v>
      </c>
      <c r="AV130" s="369" t="s">
        <v>854</v>
      </c>
      <c r="AW130" s="370" t="s">
        <v>434</v>
      </c>
      <c r="AX130" s="55"/>
      <c r="AY130" s="136" t="s">
        <v>135</v>
      </c>
    </row>
    <row r="131" ht="20.25" customHeight="1">
      <c r="A131" s="371" t="s">
        <v>106</v>
      </c>
      <c r="B131" s="371" t="s">
        <v>107</v>
      </c>
      <c r="C131" s="371" t="s">
        <v>341</v>
      </c>
      <c r="D131" s="209"/>
      <c r="E131" s="372" t="s">
        <v>840</v>
      </c>
      <c r="F131" s="373" t="s">
        <v>841</v>
      </c>
      <c r="G131" s="373" t="s">
        <v>344</v>
      </c>
      <c r="H131" s="374">
        <v>45639.0</v>
      </c>
      <c r="I131" s="304">
        <v>45663.0</v>
      </c>
      <c r="J131" s="375" t="s">
        <v>855</v>
      </c>
      <c r="K131" s="202" t="s">
        <v>856</v>
      </c>
      <c r="L131" s="373" t="s">
        <v>843</v>
      </c>
      <c r="M131" s="375" t="s">
        <v>844</v>
      </c>
      <c r="N131" s="376"/>
      <c r="O131" s="377" t="s">
        <v>845</v>
      </c>
      <c r="P131" s="48" t="str">
        <f t="array" ref="P131">HYPERLINK(INDEX('File Links'!B:B, MATCH(O131, 'File Links'!C:C, 0)))
</f>
        <v>https://drive.google.com/file/d/15kKUsqyFArf82r6bAlXLuUVgHc1vD9sW/view?usp=drivesdk</v>
      </c>
      <c r="Q131" s="378" t="s">
        <v>857</v>
      </c>
      <c r="R131" s="378" t="s">
        <v>847</v>
      </c>
      <c r="S131" s="376"/>
      <c r="T131" s="379"/>
      <c r="U131" s="373" t="s">
        <v>351</v>
      </c>
      <c r="V131" s="362" t="s">
        <v>155</v>
      </c>
      <c r="W131" s="45" t="str">
        <f t="array" ref="W131">HYPERLINK(INDEX('File Links'!B:B, MATCH(U131, 'File Links'!C:C, 0)))
</f>
        <v>#N/A</v>
      </c>
      <c r="X131" s="376"/>
      <c r="Y131" s="373" t="s">
        <v>849</v>
      </c>
      <c r="Z131" s="373" t="s">
        <v>858</v>
      </c>
      <c r="AA131" s="376"/>
      <c r="AB131" s="375" t="s">
        <v>859</v>
      </c>
      <c r="AC131" s="375" t="s">
        <v>860</v>
      </c>
      <c r="AD131" s="380">
        <v>3.0</v>
      </c>
      <c r="AE131" s="380">
        <v>35.0</v>
      </c>
      <c r="AF131" s="380">
        <v>-0.13</v>
      </c>
      <c r="AG131" s="377" t="s">
        <v>356</v>
      </c>
      <c r="AH131" s="373" t="s">
        <v>210</v>
      </c>
      <c r="AI131" s="380">
        <v>3.0E-4</v>
      </c>
      <c r="AJ131" s="381" t="s">
        <v>164</v>
      </c>
      <c r="AK131" s="373" t="s">
        <v>179</v>
      </c>
      <c r="AL131" s="376"/>
      <c r="AM131" s="373" t="s">
        <v>165</v>
      </c>
      <c r="AN131" s="380">
        <v>70.0</v>
      </c>
      <c r="AO131" s="382">
        <v>0.03</v>
      </c>
      <c r="AP131" s="373" t="s">
        <v>357</v>
      </c>
      <c r="AQ131" s="373" t="s">
        <v>861</v>
      </c>
      <c r="AR131" s="382">
        <v>0.407</v>
      </c>
      <c r="AS131" s="381" t="s">
        <v>164</v>
      </c>
      <c r="AT131" s="381" t="s">
        <v>179</v>
      </c>
      <c r="AU131" s="372"/>
      <c r="AV131" s="383" t="s">
        <v>862</v>
      </c>
      <c r="AW131" s="384" t="s">
        <v>434</v>
      </c>
      <c r="AX131" s="115" t="s">
        <v>856</v>
      </c>
      <c r="AY131" s="136" t="s">
        <v>135</v>
      </c>
    </row>
    <row r="132" ht="20.25" customHeight="1">
      <c r="A132" s="371" t="s">
        <v>106</v>
      </c>
      <c r="B132" s="371" t="s">
        <v>107</v>
      </c>
      <c r="C132" s="371" t="s">
        <v>341</v>
      </c>
      <c r="D132" s="209"/>
      <c r="E132" s="372" t="s">
        <v>840</v>
      </c>
      <c r="F132" s="373" t="s">
        <v>841</v>
      </c>
      <c r="G132" s="373" t="s">
        <v>344</v>
      </c>
      <c r="H132" s="374">
        <v>45639.0</v>
      </c>
      <c r="I132" s="304">
        <v>45663.0</v>
      </c>
      <c r="J132" s="375" t="s">
        <v>863</v>
      </c>
      <c r="K132" s="376"/>
      <c r="L132" s="373" t="s">
        <v>843</v>
      </c>
      <c r="M132" s="375" t="s">
        <v>844</v>
      </c>
      <c r="N132" s="376"/>
      <c r="O132" s="377" t="s">
        <v>845</v>
      </c>
      <c r="P132" s="48" t="str">
        <f t="array" ref="P132">HYPERLINK(INDEX('File Links'!B:B, MATCH(O132, 'File Links'!C:C, 0)))
</f>
        <v>https://drive.google.com/file/d/15kKUsqyFArf82r6bAlXLuUVgHc1vD9sW/view?usp=drivesdk</v>
      </c>
      <c r="Q132" s="378" t="s">
        <v>864</v>
      </c>
      <c r="R132" s="378" t="s">
        <v>847</v>
      </c>
      <c r="S132" s="376"/>
      <c r="T132" s="379"/>
      <c r="U132" s="373" t="s">
        <v>351</v>
      </c>
      <c r="V132" s="362" t="s">
        <v>155</v>
      </c>
      <c r="W132" s="45" t="str">
        <f t="array" ref="W132">HYPERLINK(INDEX('File Links'!B:B, MATCH(U132, 'File Links'!C:C, 0)))
</f>
        <v>#N/A</v>
      </c>
      <c r="X132" s="376"/>
      <c r="Y132" s="373" t="s">
        <v>849</v>
      </c>
      <c r="Z132" s="373" t="s">
        <v>858</v>
      </c>
      <c r="AA132" s="376"/>
      <c r="AB132" s="375" t="s">
        <v>865</v>
      </c>
      <c r="AC132" s="375" t="s">
        <v>866</v>
      </c>
      <c r="AD132" s="380">
        <v>3.0</v>
      </c>
      <c r="AE132" s="380">
        <v>35.0</v>
      </c>
      <c r="AF132" s="380">
        <v>0.06</v>
      </c>
      <c r="AG132" s="377" t="s">
        <v>356</v>
      </c>
      <c r="AH132" s="373" t="s">
        <v>210</v>
      </c>
      <c r="AI132" s="380">
        <v>0.1</v>
      </c>
      <c r="AJ132" s="381" t="s">
        <v>164</v>
      </c>
      <c r="AK132" s="373" t="s">
        <v>179</v>
      </c>
      <c r="AL132" s="376"/>
      <c r="AM132" s="373" t="s">
        <v>165</v>
      </c>
      <c r="AN132" s="380">
        <v>70.0</v>
      </c>
      <c r="AO132" s="380">
        <v>-0.1</v>
      </c>
      <c r="AP132" s="373" t="s">
        <v>357</v>
      </c>
      <c r="AQ132" s="373" t="s">
        <v>861</v>
      </c>
      <c r="AR132" s="380">
        <v>0.003</v>
      </c>
      <c r="AS132" s="381" t="s">
        <v>164</v>
      </c>
      <c r="AT132" s="381" t="s">
        <v>179</v>
      </c>
      <c r="AU132" s="372"/>
      <c r="AV132" s="383" t="s">
        <v>862</v>
      </c>
      <c r="AW132" s="384" t="s">
        <v>434</v>
      </c>
      <c r="AX132" s="55"/>
      <c r="AY132" s="136" t="s">
        <v>135</v>
      </c>
    </row>
    <row r="133" ht="20.25" customHeight="1">
      <c r="A133" s="371" t="s">
        <v>106</v>
      </c>
      <c r="B133" s="371" t="s">
        <v>107</v>
      </c>
      <c r="C133" s="371" t="s">
        <v>341</v>
      </c>
      <c r="D133" s="209"/>
      <c r="E133" s="372" t="s">
        <v>840</v>
      </c>
      <c r="F133" s="373" t="s">
        <v>841</v>
      </c>
      <c r="G133" s="373" t="s">
        <v>344</v>
      </c>
      <c r="H133" s="374">
        <v>45639.0</v>
      </c>
      <c r="I133" s="304">
        <v>45663.0</v>
      </c>
      <c r="J133" s="375" t="s">
        <v>855</v>
      </c>
      <c r="K133" s="376"/>
      <c r="L133" s="373" t="s">
        <v>843</v>
      </c>
      <c r="M133" s="375" t="s">
        <v>844</v>
      </c>
      <c r="N133" s="376"/>
      <c r="O133" s="377" t="s">
        <v>845</v>
      </c>
      <c r="P133" s="48" t="str">
        <f t="array" ref="P133">HYPERLINK(INDEX('File Links'!B:B, MATCH(O133, 'File Links'!C:C, 0)))
</f>
        <v>https://drive.google.com/file/d/15kKUsqyFArf82r6bAlXLuUVgHc1vD9sW/view?usp=drivesdk</v>
      </c>
      <c r="Q133" s="378" t="s">
        <v>867</v>
      </c>
      <c r="R133" s="378" t="s">
        <v>847</v>
      </c>
      <c r="S133" s="376"/>
      <c r="T133" s="379"/>
      <c r="U133" s="373" t="s">
        <v>351</v>
      </c>
      <c r="V133" s="362" t="s">
        <v>155</v>
      </c>
      <c r="W133" s="45" t="str">
        <f t="array" ref="W133">HYPERLINK(INDEX('File Links'!B:B, MATCH(U133, 'File Links'!C:C, 0)))
</f>
        <v>#N/A</v>
      </c>
      <c r="X133" s="376"/>
      <c r="Y133" s="373" t="s">
        <v>849</v>
      </c>
      <c r="Z133" s="373" t="s">
        <v>858</v>
      </c>
      <c r="AA133" s="376"/>
      <c r="AB133" s="375" t="s">
        <v>868</v>
      </c>
      <c r="AC133" s="375" t="s">
        <v>868</v>
      </c>
      <c r="AD133" s="376"/>
      <c r="AE133" s="380">
        <v>35.0</v>
      </c>
      <c r="AF133" s="376"/>
      <c r="AG133" s="377" t="s">
        <v>356</v>
      </c>
      <c r="AH133" s="376"/>
      <c r="AI133" s="376"/>
      <c r="AJ133" s="372"/>
      <c r="AK133" s="376"/>
      <c r="AL133" s="376"/>
      <c r="AM133" s="373" t="s">
        <v>165</v>
      </c>
      <c r="AN133" s="380">
        <v>70.0</v>
      </c>
      <c r="AO133" s="376"/>
      <c r="AP133" s="376"/>
      <c r="AQ133" s="376"/>
      <c r="AR133" s="376"/>
      <c r="AS133" s="372"/>
      <c r="AT133" s="372"/>
      <c r="AU133" s="372"/>
      <c r="AV133" s="383" t="s">
        <v>862</v>
      </c>
      <c r="AW133" s="384" t="s">
        <v>434</v>
      </c>
      <c r="AX133" s="55"/>
      <c r="AY133" s="136" t="s">
        <v>135</v>
      </c>
      <c r="BB133" s="340"/>
      <c r="BC133" s="340"/>
      <c r="BD133" s="340"/>
      <c r="BE133" s="340"/>
      <c r="BF133" s="340"/>
      <c r="BG133" s="340"/>
      <c r="BH133" s="340"/>
      <c r="BI133" s="340"/>
      <c r="BJ133" s="340"/>
      <c r="BK133" s="340"/>
      <c r="BL133" s="340"/>
      <c r="BM133" s="340"/>
      <c r="BN133" s="340"/>
      <c r="BO133" s="340"/>
      <c r="BP133" s="340"/>
      <c r="BQ133" s="340"/>
      <c r="BR133" s="340"/>
      <c r="BS133" s="340"/>
      <c r="BT133" s="340"/>
      <c r="BU133" s="340"/>
      <c r="BV133" s="340"/>
      <c r="BW133" s="340"/>
      <c r="BX133" s="340"/>
      <c r="BY133" s="340"/>
      <c r="BZ133" s="340"/>
      <c r="CA133" s="340"/>
      <c r="CB133" s="340"/>
      <c r="CC133" s="340"/>
      <c r="CD133" s="340"/>
      <c r="CE133" s="340"/>
      <c r="CF133" s="340"/>
      <c r="CG133" s="340"/>
      <c r="CH133" s="340"/>
      <c r="CI133" s="340"/>
      <c r="CJ133" s="340"/>
      <c r="CK133" s="340"/>
      <c r="CL133" s="340"/>
      <c r="CM133" s="340"/>
      <c r="CN133" s="340"/>
      <c r="CO133" s="340"/>
      <c r="CP133" s="340"/>
      <c r="CQ133" s="340"/>
      <c r="CR133" s="340"/>
      <c r="CS133" s="340"/>
      <c r="CT133" s="340"/>
      <c r="CU133" s="340"/>
      <c r="CV133" s="340"/>
      <c r="CW133" s="340"/>
      <c r="CX133" s="340"/>
      <c r="CY133" s="340"/>
      <c r="CZ133" s="340"/>
      <c r="DA133" s="340"/>
      <c r="DB133" s="340"/>
      <c r="DC133" s="340"/>
      <c r="DD133" s="340"/>
      <c r="DE133" s="340"/>
      <c r="DF133" s="340"/>
      <c r="DG133" s="340"/>
    </row>
    <row r="134" ht="20.25" customHeight="1">
      <c r="A134" s="371" t="s">
        <v>106</v>
      </c>
      <c r="B134" s="371" t="s">
        <v>107</v>
      </c>
      <c r="C134" s="371" t="s">
        <v>341</v>
      </c>
      <c r="D134" s="209"/>
      <c r="E134" s="372" t="s">
        <v>840</v>
      </c>
      <c r="F134" s="373" t="s">
        <v>841</v>
      </c>
      <c r="G134" s="373" t="s">
        <v>344</v>
      </c>
      <c r="H134" s="374">
        <v>45639.0</v>
      </c>
      <c r="I134" s="304">
        <v>45663.0</v>
      </c>
      <c r="J134" s="375" t="s">
        <v>855</v>
      </c>
      <c r="K134" s="376"/>
      <c r="L134" s="373" t="s">
        <v>843</v>
      </c>
      <c r="M134" s="375" t="s">
        <v>844</v>
      </c>
      <c r="N134" s="376"/>
      <c r="O134" s="377" t="s">
        <v>845</v>
      </c>
      <c r="P134" s="48" t="str">
        <f t="array" ref="P134">HYPERLINK(INDEX('File Links'!B:B, MATCH(O134, 'File Links'!C:C, 0)))
</f>
        <v>https://drive.google.com/file/d/15kKUsqyFArf82r6bAlXLuUVgHc1vD9sW/view?usp=drivesdk</v>
      </c>
      <c r="Q134" s="378" t="s">
        <v>869</v>
      </c>
      <c r="R134" s="378" t="s">
        <v>847</v>
      </c>
      <c r="S134" s="376"/>
      <c r="T134" s="379"/>
      <c r="U134" s="373" t="s">
        <v>351</v>
      </c>
      <c r="V134" s="362" t="s">
        <v>155</v>
      </c>
      <c r="W134" s="45" t="str">
        <f t="array" ref="W134">HYPERLINK(INDEX('File Links'!B:B, MATCH(U134, 'File Links'!C:C, 0)))
</f>
        <v>#N/A</v>
      </c>
      <c r="X134" s="376"/>
      <c r="Y134" s="373" t="s">
        <v>849</v>
      </c>
      <c r="Z134" s="373" t="s">
        <v>858</v>
      </c>
      <c r="AA134" s="376"/>
      <c r="AB134" s="375" t="s">
        <v>870</v>
      </c>
      <c r="AC134" s="375" t="s">
        <v>870</v>
      </c>
      <c r="AD134" s="376"/>
      <c r="AE134" s="380">
        <v>35.0</v>
      </c>
      <c r="AF134" s="376"/>
      <c r="AG134" s="377" t="s">
        <v>356</v>
      </c>
      <c r="AH134" s="376"/>
      <c r="AI134" s="376"/>
      <c r="AJ134" s="372"/>
      <c r="AK134" s="376"/>
      <c r="AL134" s="376"/>
      <c r="AM134" s="373" t="s">
        <v>165</v>
      </c>
      <c r="AN134" s="380">
        <v>70.0</v>
      </c>
      <c r="AO134" s="376"/>
      <c r="AP134" s="376"/>
      <c r="AQ134" s="376"/>
      <c r="AR134" s="376"/>
      <c r="AS134" s="372"/>
      <c r="AT134" s="372"/>
      <c r="AU134" s="372"/>
      <c r="AV134" s="383" t="s">
        <v>862</v>
      </c>
      <c r="AW134" s="384" t="s">
        <v>434</v>
      </c>
      <c r="AX134" s="55"/>
      <c r="AY134" s="136" t="s">
        <v>135</v>
      </c>
      <c r="BB134" s="340"/>
      <c r="BC134" s="340"/>
      <c r="BD134" s="340"/>
      <c r="BE134" s="340"/>
      <c r="BF134" s="340"/>
      <c r="BG134" s="340"/>
      <c r="BH134" s="340"/>
      <c r="BI134" s="340"/>
      <c r="BJ134" s="340"/>
      <c r="BK134" s="340"/>
      <c r="BL134" s="340"/>
      <c r="BM134" s="340"/>
      <c r="BN134" s="340"/>
      <c r="BO134" s="340"/>
      <c r="BP134" s="340"/>
      <c r="BQ134" s="340"/>
      <c r="BR134" s="340"/>
      <c r="BS134" s="340"/>
      <c r="BT134" s="340"/>
      <c r="BU134" s="340"/>
      <c r="BV134" s="340"/>
      <c r="BW134" s="340"/>
      <c r="BX134" s="340"/>
      <c r="BY134" s="340"/>
      <c r="BZ134" s="340"/>
      <c r="CA134" s="340"/>
      <c r="CB134" s="340"/>
      <c r="CC134" s="340"/>
      <c r="CD134" s="340"/>
      <c r="CE134" s="340"/>
      <c r="CF134" s="340"/>
      <c r="CG134" s="340"/>
      <c r="CH134" s="340"/>
      <c r="CI134" s="340"/>
      <c r="CJ134" s="340"/>
      <c r="CK134" s="340"/>
      <c r="CL134" s="340"/>
      <c r="CM134" s="340"/>
      <c r="CN134" s="340"/>
      <c r="CO134" s="340"/>
      <c r="CP134" s="340"/>
      <c r="CQ134" s="340"/>
      <c r="CR134" s="340"/>
      <c r="CS134" s="340"/>
      <c r="CT134" s="340"/>
      <c r="CU134" s="340"/>
      <c r="CV134" s="340"/>
      <c r="CW134" s="340"/>
      <c r="CX134" s="340"/>
      <c r="CY134" s="340"/>
      <c r="CZ134" s="340"/>
      <c r="DA134" s="340"/>
      <c r="DB134" s="340"/>
      <c r="DC134" s="340"/>
      <c r="DD134" s="340"/>
      <c r="DE134" s="340"/>
      <c r="DF134" s="340"/>
      <c r="DG134" s="340"/>
    </row>
    <row r="135" ht="20.25" customHeight="1">
      <c r="A135" s="314" t="s">
        <v>143</v>
      </c>
      <c r="B135" s="314" t="s">
        <v>107</v>
      </c>
      <c r="C135" s="316" t="s">
        <v>438</v>
      </c>
      <c r="D135" s="215"/>
      <c r="E135" s="372" t="s">
        <v>840</v>
      </c>
      <c r="F135" s="362" t="s">
        <v>871</v>
      </c>
      <c r="G135" s="362" t="s">
        <v>441</v>
      </c>
      <c r="H135" s="363">
        <v>45634.0</v>
      </c>
      <c r="I135" s="304">
        <v>45663.0</v>
      </c>
      <c r="J135" s="362" t="s">
        <v>842</v>
      </c>
      <c r="K135" s="202" t="s">
        <v>872</v>
      </c>
      <c r="L135" s="362" t="s">
        <v>843</v>
      </c>
      <c r="M135" s="362" t="s">
        <v>844</v>
      </c>
      <c r="N135" s="321">
        <v>1.0</v>
      </c>
      <c r="O135" s="365" t="s">
        <v>845</v>
      </c>
      <c r="P135" s="48" t="str">
        <f t="array" ref="P135">HYPERLINK(INDEX('File Links'!B:B, MATCH(O135, 'File Links'!C:C, 0)))
</f>
        <v>https://drive.google.com/file/d/15kKUsqyFArf82r6bAlXLuUVgHc1vD9sW/view?usp=drivesdk</v>
      </c>
      <c r="Q135" s="362" t="s">
        <v>846</v>
      </c>
      <c r="R135" s="362" t="s">
        <v>847</v>
      </c>
      <c r="S135" s="364"/>
      <c r="T135" s="120">
        <v>1.0</v>
      </c>
      <c r="U135" s="362" t="s">
        <v>848</v>
      </c>
      <c r="V135" s="362" t="s">
        <v>155</v>
      </c>
      <c r="W135" s="50" t="str">
        <f t="array" ref="W135">HYPERLINK(INDEX('File Links'!B:B, MATCH(U135, 'File Links'!C:C, 0)))
</f>
        <v>https://drive.google.com/file/d/1TJ6nnv7-YYGU9DUh1ApFGirYy6BbChHy/view?usp=drivesdk</v>
      </c>
      <c r="X135" s="364"/>
      <c r="Y135" s="362" t="s">
        <v>849</v>
      </c>
      <c r="Z135" s="362" t="s">
        <v>850</v>
      </c>
      <c r="AA135" s="362" t="s">
        <v>851</v>
      </c>
      <c r="AB135" s="362" t="s">
        <v>852</v>
      </c>
      <c r="AC135" s="366" t="s">
        <v>873</v>
      </c>
      <c r="AD135" s="367">
        <v>3.0</v>
      </c>
      <c r="AE135" s="367">
        <v>35.0</v>
      </c>
      <c r="AF135" s="368">
        <v>-0.01</v>
      </c>
      <c r="AG135" s="365" t="s">
        <v>357</v>
      </c>
      <c r="AH135" s="366" t="s">
        <v>210</v>
      </c>
      <c r="AI135" s="367">
        <v>0.86</v>
      </c>
      <c r="AJ135" s="361" t="s">
        <v>164</v>
      </c>
      <c r="AK135" s="362" t="s">
        <v>179</v>
      </c>
      <c r="AL135" s="362" t="s">
        <v>129</v>
      </c>
      <c r="AM135" s="128" t="s">
        <v>165</v>
      </c>
      <c r="AN135" s="367">
        <v>46.0</v>
      </c>
      <c r="AO135" s="368">
        <v>0.02</v>
      </c>
      <c r="AP135" s="362" t="s">
        <v>357</v>
      </c>
      <c r="AQ135" s="362" t="s">
        <v>494</v>
      </c>
      <c r="AR135" s="368">
        <v>0.548</v>
      </c>
      <c r="AS135" s="361" t="s">
        <v>164</v>
      </c>
      <c r="AT135" s="361" t="s">
        <v>179</v>
      </c>
      <c r="AU135" s="361" t="s">
        <v>129</v>
      </c>
      <c r="AV135" s="385" t="s">
        <v>874</v>
      </c>
      <c r="AW135" s="370" t="s">
        <v>434</v>
      </c>
      <c r="AX135" s="115" t="s">
        <v>875</v>
      </c>
      <c r="AY135" s="136" t="s">
        <v>135</v>
      </c>
      <c r="BB135" s="340"/>
      <c r="BC135" s="340"/>
      <c r="BD135" s="340"/>
      <c r="BE135" s="340"/>
      <c r="BF135" s="340"/>
      <c r="BG135" s="340"/>
      <c r="BH135" s="340"/>
      <c r="BI135" s="340"/>
      <c r="BJ135" s="340"/>
      <c r="BK135" s="340"/>
      <c r="BL135" s="340"/>
      <c r="BM135" s="340"/>
      <c r="BN135" s="340"/>
      <c r="BO135" s="340"/>
      <c r="BP135" s="340"/>
      <c r="BQ135" s="340"/>
      <c r="BR135" s="340"/>
      <c r="BS135" s="340"/>
      <c r="BT135" s="340"/>
      <c r="BU135" s="340"/>
      <c r="BV135" s="340"/>
      <c r="BW135" s="340"/>
      <c r="BX135" s="340"/>
      <c r="BY135" s="340"/>
      <c r="BZ135" s="340"/>
      <c r="CA135" s="340"/>
      <c r="CB135" s="340"/>
      <c r="CC135" s="340"/>
      <c r="CD135" s="340"/>
      <c r="CE135" s="340"/>
      <c r="CF135" s="340"/>
      <c r="CG135" s="340"/>
      <c r="CH135" s="340"/>
      <c r="CI135" s="340"/>
      <c r="CJ135" s="340"/>
      <c r="CK135" s="340"/>
      <c r="CL135" s="340"/>
      <c r="CM135" s="340"/>
      <c r="CN135" s="340"/>
      <c r="CO135" s="340"/>
      <c r="CP135" s="340"/>
      <c r="CQ135" s="340"/>
      <c r="CR135" s="340"/>
      <c r="CS135" s="340"/>
      <c r="CT135" s="340"/>
      <c r="CU135" s="340"/>
      <c r="CV135" s="340"/>
      <c r="CW135" s="340"/>
      <c r="CX135" s="340"/>
      <c r="CY135" s="340"/>
      <c r="CZ135" s="340"/>
      <c r="DA135" s="340"/>
      <c r="DB135" s="340"/>
      <c r="DC135" s="340"/>
      <c r="DD135" s="340"/>
      <c r="DE135" s="340"/>
      <c r="DF135" s="340"/>
      <c r="DG135" s="340"/>
    </row>
    <row r="136" ht="20.25" customHeight="1">
      <c r="A136" s="314" t="s">
        <v>143</v>
      </c>
      <c r="B136" s="314" t="s">
        <v>107</v>
      </c>
      <c r="C136" s="316" t="s">
        <v>438</v>
      </c>
      <c r="D136" s="215"/>
      <c r="E136" s="372" t="s">
        <v>840</v>
      </c>
      <c r="F136" s="362" t="s">
        <v>876</v>
      </c>
      <c r="G136" s="362" t="s">
        <v>441</v>
      </c>
      <c r="H136" s="363">
        <v>45634.0</v>
      </c>
      <c r="I136" s="304">
        <v>45663.0</v>
      </c>
      <c r="J136" s="362" t="s">
        <v>842</v>
      </c>
      <c r="K136" s="321" t="s">
        <v>877</v>
      </c>
      <c r="L136" s="362" t="s">
        <v>843</v>
      </c>
      <c r="M136" s="362" t="s">
        <v>844</v>
      </c>
      <c r="N136" s="321">
        <v>1.0</v>
      </c>
      <c r="O136" s="365" t="s">
        <v>845</v>
      </c>
      <c r="P136" s="48" t="str">
        <f t="array" ref="P136">HYPERLINK(INDEX('File Links'!B:B, MATCH(O136, 'File Links'!C:C, 0)))
</f>
        <v>https://drive.google.com/file/d/15kKUsqyFArf82r6bAlXLuUVgHc1vD9sW/view?usp=drivesdk</v>
      </c>
      <c r="Q136" s="362" t="s">
        <v>846</v>
      </c>
      <c r="R136" s="362" t="s">
        <v>847</v>
      </c>
      <c r="S136" s="364"/>
      <c r="T136" s="120">
        <v>1.0</v>
      </c>
      <c r="U136" s="362" t="s">
        <v>848</v>
      </c>
      <c r="V136" s="362" t="s">
        <v>155</v>
      </c>
      <c r="W136" s="50" t="str">
        <f t="array" ref="W136">HYPERLINK(INDEX('File Links'!B:B, MATCH(U136, 'File Links'!C:C, 0)))
</f>
        <v>https://drive.google.com/file/d/1TJ6nnv7-YYGU9DUh1ApFGirYy6BbChHy/view?usp=drivesdk</v>
      </c>
      <c r="X136" s="364"/>
      <c r="Y136" s="362" t="s">
        <v>849</v>
      </c>
      <c r="Z136" s="362" t="s">
        <v>850</v>
      </c>
      <c r="AA136" s="362" t="s">
        <v>851</v>
      </c>
      <c r="AB136" s="362" t="s">
        <v>852</v>
      </c>
      <c r="AC136" s="366" t="s">
        <v>878</v>
      </c>
      <c r="AD136" s="367">
        <v>3.0</v>
      </c>
      <c r="AE136" s="367">
        <v>35.0</v>
      </c>
      <c r="AF136" s="368">
        <v>0.06</v>
      </c>
      <c r="AG136" s="365" t="s">
        <v>357</v>
      </c>
      <c r="AH136" s="366" t="s">
        <v>210</v>
      </c>
      <c r="AI136" s="368">
        <v>0.1</v>
      </c>
      <c r="AJ136" s="361" t="s">
        <v>164</v>
      </c>
      <c r="AK136" s="362" t="s">
        <v>179</v>
      </c>
      <c r="AL136" s="362" t="s">
        <v>129</v>
      </c>
      <c r="AM136" s="128" t="s">
        <v>165</v>
      </c>
      <c r="AN136" s="367">
        <v>46.0</v>
      </c>
      <c r="AO136" s="368" t="s">
        <v>879</v>
      </c>
      <c r="AP136" s="362" t="s">
        <v>357</v>
      </c>
      <c r="AQ136" s="362" t="s">
        <v>494</v>
      </c>
      <c r="AR136" s="368">
        <v>0.003</v>
      </c>
      <c r="AS136" s="361" t="s">
        <v>164</v>
      </c>
      <c r="AT136" s="361" t="s">
        <v>179</v>
      </c>
      <c r="AU136" s="361" t="s">
        <v>129</v>
      </c>
      <c r="AV136" s="385" t="s">
        <v>874</v>
      </c>
      <c r="AW136" s="370" t="s">
        <v>434</v>
      </c>
      <c r="AX136" s="115"/>
      <c r="AY136" s="136" t="s">
        <v>135</v>
      </c>
    </row>
    <row r="137" ht="20.25" customHeight="1">
      <c r="A137" s="314" t="s">
        <v>143</v>
      </c>
      <c r="B137" s="314" t="s">
        <v>107</v>
      </c>
      <c r="C137" s="316" t="s">
        <v>438</v>
      </c>
      <c r="D137" s="215"/>
      <c r="E137" s="372" t="s">
        <v>840</v>
      </c>
      <c r="F137" s="362" t="s">
        <v>880</v>
      </c>
      <c r="G137" s="362" t="s">
        <v>441</v>
      </c>
      <c r="H137" s="363">
        <v>45634.0</v>
      </c>
      <c r="I137" s="304">
        <v>45663.0</v>
      </c>
      <c r="J137" s="362" t="s">
        <v>881</v>
      </c>
      <c r="K137" s="321" t="s">
        <v>882</v>
      </c>
      <c r="L137" s="362" t="s">
        <v>843</v>
      </c>
      <c r="M137" s="362" t="s">
        <v>844</v>
      </c>
      <c r="N137" s="321">
        <v>1.0</v>
      </c>
      <c r="O137" s="365" t="s">
        <v>845</v>
      </c>
      <c r="P137" s="48" t="str">
        <f t="array" ref="P137">HYPERLINK(INDEX('File Links'!B:B, MATCH(O137, 'File Links'!C:C, 0)))
</f>
        <v>https://drive.google.com/file/d/15kKUsqyFArf82r6bAlXLuUVgHc1vD9sW/view?usp=drivesdk</v>
      </c>
      <c r="Q137" s="362" t="s">
        <v>846</v>
      </c>
      <c r="R137" s="362" t="s">
        <v>847</v>
      </c>
      <c r="S137" s="364"/>
      <c r="T137" s="120">
        <v>1.0</v>
      </c>
      <c r="U137" s="362" t="s">
        <v>848</v>
      </c>
      <c r="V137" s="362" t="s">
        <v>155</v>
      </c>
      <c r="W137" s="50" t="str">
        <f t="array" ref="W137">HYPERLINK(INDEX('File Links'!B:B, MATCH(U137, 'File Links'!C:C, 0)))
</f>
        <v>https://drive.google.com/file/d/1TJ6nnv7-YYGU9DUh1ApFGirYy6BbChHy/view?usp=drivesdk</v>
      </c>
      <c r="X137" s="364"/>
      <c r="Y137" s="362" t="s">
        <v>849</v>
      </c>
      <c r="Z137" s="362" t="s">
        <v>850</v>
      </c>
      <c r="AA137" s="362" t="s">
        <v>851</v>
      </c>
      <c r="AB137" s="362" t="s">
        <v>883</v>
      </c>
      <c r="AC137" s="362" t="s">
        <v>884</v>
      </c>
      <c r="AD137" s="367">
        <v>2.0</v>
      </c>
      <c r="AE137" s="367">
        <v>35.0</v>
      </c>
      <c r="AF137" s="386">
        <v>0.17</v>
      </c>
      <c r="AG137" s="365" t="s">
        <v>885</v>
      </c>
      <c r="AH137" s="366" t="s">
        <v>886</v>
      </c>
      <c r="AI137" s="367">
        <v>0.02</v>
      </c>
      <c r="AJ137" s="361" t="s">
        <v>164</v>
      </c>
      <c r="AK137" s="362" t="s">
        <v>179</v>
      </c>
      <c r="AL137" s="362" t="s">
        <v>129</v>
      </c>
      <c r="AM137" s="128" t="s">
        <v>165</v>
      </c>
      <c r="AN137" s="367">
        <v>55.0</v>
      </c>
      <c r="AO137" s="367" t="s">
        <v>887</v>
      </c>
      <c r="AP137" s="362" t="s">
        <v>162</v>
      </c>
      <c r="AQ137" s="362" t="s">
        <v>494</v>
      </c>
      <c r="AR137" s="367">
        <v>0.887</v>
      </c>
      <c r="AS137" s="361" t="s">
        <v>164</v>
      </c>
      <c r="AT137" s="361" t="s">
        <v>179</v>
      </c>
      <c r="AU137" s="361" t="s">
        <v>129</v>
      </c>
      <c r="AV137" s="385" t="s">
        <v>874</v>
      </c>
      <c r="AW137" s="370" t="s">
        <v>434</v>
      </c>
      <c r="AX137" s="115"/>
      <c r="AY137" s="136" t="s">
        <v>135</v>
      </c>
    </row>
    <row r="138" ht="20.25" customHeight="1">
      <c r="A138" s="314" t="s">
        <v>143</v>
      </c>
      <c r="B138" s="314" t="s">
        <v>107</v>
      </c>
      <c r="C138" s="316" t="s">
        <v>438</v>
      </c>
      <c r="D138" s="215"/>
      <c r="E138" s="372" t="s">
        <v>840</v>
      </c>
      <c r="F138" s="362" t="s">
        <v>888</v>
      </c>
      <c r="G138" s="362" t="s">
        <v>441</v>
      </c>
      <c r="H138" s="363">
        <v>45634.0</v>
      </c>
      <c r="I138" s="304">
        <v>45663.0</v>
      </c>
      <c r="J138" s="362" t="s">
        <v>889</v>
      </c>
      <c r="K138" s="321" t="s">
        <v>877</v>
      </c>
      <c r="L138" s="362" t="s">
        <v>843</v>
      </c>
      <c r="M138" s="362" t="s">
        <v>844</v>
      </c>
      <c r="N138" s="321">
        <v>1.0</v>
      </c>
      <c r="O138" s="365" t="s">
        <v>845</v>
      </c>
      <c r="P138" s="48" t="str">
        <f t="array" ref="P138">HYPERLINK(INDEX('File Links'!B:B, MATCH(O138, 'File Links'!C:C, 0)))
</f>
        <v>https://drive.google.com/file/d/15kKUsqyFArf82r6bAlXLuUVgHc1vD9sW/view?usp=drivesdk</v>
      </c>
      <c r="Q138" s="362" t="s">
        <v>846</v>
      </c>
      <c r="R138" s="362" t="s">
        <v>847</v>
      </c>
      <c r="S138" s="364"/>
      <c r="T138" s="120">
        <v>1.0</v>
      </c>
      <c r="U138" s="362" t="s">
        <v>848</v>
      </c>
      <c r="V138" s="362" t="s">
        <v>155</v>
      </c>
      <c r="W138" s="50" t="str">
        <f t="array" ref="W138">HYPERLINK(INDEX('File Links'!B:B, MATCH(U138, 'File Links'!C:C, 0)))
</f>
        <v>https://drive.google.com/file/d/1TJ6nnv7-YYGU9DUh1ApFGirYy6BbChHy/view?usp=drivesdk</v>
      </c>
      <c r="X138" s="364"/>
      <c r="Y138" s="362" t="s">
        <v>849</v>
      </c>
      <c r="Z138" s="362" t="s">
        <v>850</v>
      </c>
      <c r="AA138" s="362" t="s">
        <v>851</v>
      </c>
      <c r="AB138" s="362" t="s">
        <v>890</v>
      </c>
      <c r="AC138" s="366" t="s">
        <v>891</v>
      </c>
      <c r="AD138" s="367">
        <v>5.0</v>
      </c>
      <c r="AE138" s="367">
        <v>40.0</v>
      </c>
      <c r="AF138" s="386">
        <v>0.09</v>
      </c>
      <c r="AG138" s="365" t="s">
        <v>885</v>
      </c>
      <c r="AH138" s="366" t="s">
        <v>892</v>
      </c>
      <c r="AI138" s="367">
        <v>0.02</v>
      </c>
      <c r="AJ138" s="361" t="s">
        <v>164</v>
      </c>
      <c r="AK138" s="362" t="s">
        <v>179</v>
      </c>
      <c r="AL138" s="362" t="s">
        <v>129</v>
      </c>
      <c r="AM138" s="128" t="s">
        <v>165</v>
      </c>
      <c r="AN138" s="367">
        <v>46.0</v>
      </c>
      <c r="AO138" s="367" t="s">
        <v>893</v>
      </c>
      <c r="AP138" s="362" t="s">
        <v>162</v>
      </c>
      <c r="AQ138" s="362" t="s">
        <v>894</v>
      </c>
      <c r="AR138" s="367">
        <v>0.7</v>
      </c>
      <c r="AS138" s="361" t="s">
        <v>164</v>
      </c>
      <c r="AT138" s="361" t="s">
        <v>179</v>
      </c>
      <c r="AU138" s="361" t="s">
        <v>129</v>
      </c>
      <c r="AV138" s="385" t="s">
        <v>874</v>
      </c>
      <c r="AW138" s="370" t="s">
        <v>434</v>
      </c>
      <c r="AX138" s="115"/>
      <c r="AY138" s="136" t="s">
        <v>135</v>
      </c>
      <c r="BB138" s="340"/>
      <c r="BC138" s="340"/>
      <c r="BD138" s="340"/>
      <c r="BE138" s="340"/>
      <c r="BF138" s="340"/>
      <c r="BG138" s="340"/>
      <c r="BH138" s="340"/>
      <c r="BI138" s="340"/>
      <c r="BJ138" s="340"/>
      <c r="BK138" s="340"/>
      <c r="BL138" s="340"/>
      <c r="BM138" s="340"/>
      <c r="BN138" s="340"/>
      <c r="BO138" s="340"/>
      <c r="BP138" s="340"/>
      <c r="BQ138" s="340"/>
      <c r="BR138" s="340"/>
      <c r="BS138" s="340"/>
      <c r="BT138" s="340"/>
      <c r="BU138" s="340"/>
      <c r="BV138" s="340"/>
      <c r="BW138" s="340"/>
      <c r="BX138" s="340"/>
      <c r="BY138" s="340"/>
      <c r="BZ138" s="340"/>
      <c r="CA138" s="340"/>
      <c r="CB138" s="340"/>
      <c r="CC138" s="340"/>
      <c r="CD138" s="340"/>
      <c r="CE138" s="340"/>
      <c r="CF138" s="340"/>
      <c r="CG138" s="340"/>
      <c r="CH138" s="340"/>
      <c r="CI138" s="340"/>
      <c r="CJ138" s="340"/>
      <c r="CK138" s="340"/>
      <c r="CL138" s="340"/>
      <c r="CM138" s="340"/>
      <c r="CN138" s="340"/>
      <c r="CO138" s="340"/>
      <c r="CP138" s="340"/>
      <c r="CQ138" s="340"/>
      <c r="CR138" s="340"/>
      <c r="CS138" s="340"/>
      <c r="CT138" s="340"/>
      <c r="CU138" s="340"/>
      <c r="CV138" s="340"/>
      <c r="CW138" s="340"/>
      <c r="CX138" s="340"/>
      <c r="CY138" s="340"/>
      <c r="CZ138" s="340"/>
      <c r="DA138" s="340"/>
      <c r="DB138" s="340"/>
      <c r="DC138" s="340"/>
      <c r="DD138" s="340"/>
      <c r="DE138" s="340"/>
      <c r="DF138" s="340"/>
      <c r="DG138" s="340"/>
    </row>
    <row r="139" ht="20.25" hidden="1" customHeight="1">
      <c r="A139" s="40" t="s">
        <v>279</v>
      </c>
      <c r="B139" s="40" t="s">
        <v>107</v>
      </c>
      <c r="C139" s="40" t="s">
        <v>759</v>
      </c>
      <c r="D139" s="58"/>
      <c r="E139" s="387" t="s">
        <v>895</v>
      </c>
      <c r="F139" s="40" t="s">
        <v>896</v>
      </c>
      <c r="G139" s="40" t="s">
        <v>759</v>
      </c>
      <c r="H139" s="56">
        <v>45427.0</v>
      </c>
      <c r="I139" s="58"/>
      <c r="J139" s="40" t="s">
        <v>897</v>
      </c>
      <c r="K139" s="58"/>
      <c r="L139" s="40" t="s">
        <v>898</v>
      </c>
      <c r="M139" s="40" t="s">
        <v>899</v>
      </c>
      <c r="N139" s="40">
        <v>1.0</v>
      </c>
      <c r="O139" s="105" t="str">
        <f> hyperlink(vlookup(lower(M139),'File Links'!A:B, 2, FALSE), SUBSTITUTE(lower(M139), "/", "--") &amp;  ".pdf")</f>
        <v>10.1016--j.ijinfomgt.2018.03.001.pdf</v>
      </c>
      <c r="P139" s="48" t="str">
        <f t="array" ref="P139">HYPERLINK(INDEX('File Links'!B:B, MATCH(O139, 'File Links'!C:C, 0)))
</f>
        <v>https://drive.google.com/file/d/1o9LFgnQOxOWMbLhy5xq59Vl4kwI6felM/view?usp=drivesdk</v>
      </c>
      <c r="Q139" s="40" t="s">
        <v>900</v>
      </c>
      <c r="R139" s="40" t="s">
        <v>901</v>
      </c>
      <c r="S139" s="58"/>
      <c r="T139" s="40">
        <v>1.0</v>
      </c>
      <c r="U139" s="59" t="str">
        <f> hyperlink(vlookup(lower(R139),'File Links'!E:F, 2, FALSE), SUBSTITUTE(lower(R139), "/", "--") &amp;  ".pdf")</f>
        <v>10.17645--mac.7666.pdf</v>
      </c>
      <c r="V139" s="40" t="s">
        <v>902</v>
      </c>
      <c r="W139" s="45" t="str">
        <f t="array" ref="W139">HYPERLINK(INDEX('File Links'!B:B, MATCH(U139, 'File Links'!C:C, 0)))
</f>
        <v>#N/A</v>
      </c>
      <c r="X139" s="40" t="s">
        <v>768</v>
      </c>
      <c r="Y139" s="40" t="s">
        <v>582</v>
      </c>
      <c r="Z139" s="40" t="s">
        <v>903</v>
      </c>
      <c r="AA139" s="40" t="s">
        <v>904</v>
      </c>
      <c r="AB139" s="40" t="s">
        <v>905</v>
      </c>
      <c r="AC139" s="40" t="s">
        <v>906</v>
      </c>
      <c r="AD139" s="40">
        <v>28.0</v>
      </c>
      <c r="AE139" s="40">
        <v>341.0</v>
      </c>
      <c r="AF139" s="388">
        <v>415.0</v>
      </c>
      <c r="AG139" s="40" t="s">
        <v>357</v>
      </c>
      <c r="AH139" s="40">
        <v>28.0</v>
      </c>
      <c r="AI139" s="40" t="s">
        <v>775</v>
      </c>
      <c r="AJ139" s="40" t="s">
        <v>127</v>
      </c>
      <c r="AK139" s="40" t="s">
        <v>128</v>
      </c>
      <c r="AL139" s="25"/>
      <c r="AM139" s="58"/>
      <c r="AN139" s="40">
        <v>351.0</v>
      </c>
      <c r="AO139" s="388">
        <v>565.0</v>
      </c>
      <c r="AP139" s="40" t="s">
        <v>357</v>
      </c>
      <c r="AQ139" s="40">
        <v>10.0</v>
      </c>
      <c r="AR139" s="40" t="s">
        <v>775</v>
      </c>
      <c r="AS139" s="40" t="s">
        <v>127</v>
      </c>
      <c r="AT139" s="40" t="s">
        <v>128</v>
      </c>
      <c r="AU139" s="25"/>
      <c r="AW139" s="115" t="s">
        <v>318</v>
      </c>
      <c r="AX139" s="58"/>
      <c r="AY139" s="136"/>
      <c r="BB139" s="340"/>
      <c r="BC139" s="340"/>
      <c r="BD139" s="340"/>
      <c r="BE139" s="340"/>
      <c r="BF139" s="340"/>
      <c r="BG139" s="340"/>
      <c r="BH139" s="340"/>
      <c r="BI139" s="340"/>
      <c r="BJ139" s="340"/>
      <c r="BK139" s="340"/>
      <c r="BL139" s="340"/>
      <c r="BM139" s="340"/>
      <c r="BN139" s="340"/>
      <c r="BO139" s="340"/>
      <c r="BP139" s="340"/>
      <c r="BQ139" s="340"/>
      <c r="BR139" s="340"/>
      <c r="BS139" s="340"/>
      <c r="BT139" s="340"/>
      <c r="BU139" s="340"/>
      <c r="BV139" s="340"/>
      <c r="BW139" s="340"/>
      <c r="BX139" s="340"/>
      <c r="BY139" s="340"/>
      <c r="BZ139" s="340"/>
      <c r="CA139" s="340"/>
      <c r="CB139" s="340"/>
      <c r="CC139" s="340"/>
      <c r="CD139" s="340"/>
      <c r="CE139" s="340"/>
      <c r="CF139" s="340"/>
      <c r="CG139" s="340"/>
      <c r="CH139" s="340"/>
      <c r="CI139" s="340"/>
      <c r="CJ139" s="340"/>
      <c r="CK139" s="340"/>
      <c r="CL139" s="340"/>
      <c r="CM139" s="340"/>
      <c r="CN139" s="340"/>
      <c r="CO139" s="340"/>
      <c r="CP139" s="340"/>
      <c r="CQ139" s="340"/>
      <c r="CR139" s="340"/>
      <c r="CS139" s="340"/>
      <c r="CT139" s="340"/>
      <c r="CU139" s="340"/>
      <c r="CV139" s="340"/>
      <c r="CW139" s="340"/>
      <c r="CX139" s="340"/>
      <c r="CY139" s="340"/>
      <c r="CZ139" s="340"/>
      <c r="DA139" s="340"/>
      <c r="DB139" s="340"/>
      <c r="DC139" s="340"/>
      <c r="DD139" s="340"/>
      <c r="DE139" s="340"/>
      <c r="DF139" s="340"/>
      <c r="DG139" s="340"/>
    </row>
    <row r="140" ht="20.25" hidden="1" customHeight="1">
      <c r="A140" s="40" t="s">
        <v>279</v>
      </c>
      <c r="B140" s="40" t="s">
        <v>107</v>
      </c>
      <c r="C140" s="40" t="s">
        <v>759</v>
      </c>
      <c r="D140" s="58"/>
      <c r="E140" s="387" t="s">
        <v>907</v>
      </c>
      <c r="F140" s="40" t="s">
        <v>908</v>
      </c>
      <c r="G140" s="40" t="s">
        <v>759</v>
      </c>
      <c r="H140" s="56">
        <v>45428.0</v>
      </c>
      <c r="I140" s="58"/>
      <c r="J140" s="40" t="s">
        <v>897</v>
      </c>
      <c r="K140" s="58"/>
      <c r="L140" s="40" t="s">
        <v>898</v>
      </c>
      <c r="M140" s="40" t="s">
        <v>899</v>
      </c>
      <c r="N140" s="40">
        <v>1.0</v>
      </c>
      <c r="O140" s="105" t="str">
        <f> hyperlink(vlookup(lower(M140),'File Links'!A:B, 2, FALSE), SUBSTITUTE(lower(M140), "/", "--") &amp;  ".pdf")</f>
        <v>10.1016--j.ijinfomgt.2018.03.001.pdf</v>
      </c>
      <c r="P140" s="48" t="str">
        <f t="array" ref="P140">HYPERLINK(INDEX('File Links'!B:B, MATCH(O140, 'File Links'!C:C, 0)))
</f>
        <v>https://drive.google.com/file/d/1o9LFgnQOxOWMbLhy5xq59Vl4kwI6felM/view?usp=drivesdk</v>
      </c>
      <c r="Q140" s="40" t="s">
        <v>900</v>
      </c>
      <c r="R140" s="40" t="s">
        <v>901</v>
      </c>
      <c r="S140" s="58"/>
      <c r="T140" s="40">
        <v>1.0</v>
      </c>
      <c r="U140" s="59" t="str">
        <f> hyperlink(vlookup(lower(R140),'File Links'!E:F, 2, FALSE), SUBSTITUTE(lower(R140), "/", "--") &amp;  ".pdf")</f>
        <v>10.17645--mac.7666.pdf</v>
      </c>
      <c r="V140" s="40" t="s">
        <v>902</v>
      </c>
      <c r="W140" s="45" t="str">
        <f t="array" ref="W140">HYPERLINK(INDEX('File Links'!B:B, MATCH(U140, 'File Links'!C:C, 0)))
</f>
        <v>#N/A</v>
      </c>
      <c r="X140" s="40" t="s">
        <v>768</v>
      </c>
      <c r="Y140" s="40" t="s">
        <v>582</v>
      </c>
      <c r="Z140" s="40" t="s">
        <v>903</v>
      </c>
      <c r="AA140" s="40" t="s">
        <v>904</v>
      </c>
      <c r="AB140" s="40" t="s">
        <v>905</v>
      </c>
      <c r="AC140" s="40" t="s">
        <v>909</v>
      </c>
      <c r="AD140" s="40">
        <v>28.0</v>
      </c>
      <c r="AE140" s="40">
        <v>341.0</v>
      </c>
      <c r="AF140" s="388">
        <v>201.0</v>
      </c>
      <c r="AG140" s="40" t="s">
        <v>357</v>
      </c>
      <c r="AH140" s="40">
        <v>28.0</v>
      </c>
      <c r="AI140" s="40" t="s">
        <v>775</v>
      </c>
      <c r="AJ140" s="40" t="s">
        <v>127</v>
      </c>
      <c r="AK140" s="40" t="s">
        <v>128</v>
      </c>
      <c r="AL140" s="25"/>
      <c r="AM140" s="58"/>
      <c r="AN140" s="40">
        <v>351.0</v>
      </c>
      <c r="AO140" s="388">
        <v>-159.0</v>
      </c>
      <c r="AP140" s="40" t="s">
        <v>357</v>
      </c>
      <c r="AQ140" s="40">
        <v>10.0</v>
      </c>
      <c r="AR140" s="40" t="s">
        <v>775</v>
      </c>
      <c r="AS140" s="40" t="s">
        <v>127</v>
      </c>
      <c r="AT140" s="40" t="s">
        <v>128</v>
      </c>
      <c r="AU140" s="25"/>
      <c r="AW140" s="115" t="s">
        <v>318</v>
      </c>
      <c r="AX140" s="58"/>
      <c r="AY140" s="136"/>
      <c r="BB140" s="340"/>
      <c r="BC140" s="340"/>
      <c r="BD140" s="340"/>
      <c r="BE140" s="340"/>
      <c r="BF140" s="340"/>
      <c r="BG140" s="340"/>
      <c r="BH140" s="340"/>
      <c r="BI140" s="340"/>
      <c r="BJ140" s="340"/>
      <c r="BK140" s="340"/>
      <c r="BL140" s="340"/>
      <c r="BM140" s="340"/>
      <c r="BN140" s="340"/>
      <c r="BO140" s="340"/>
      <c r="BP140" s="340"/>
      <c r="BQ140" s="340"/>
      <c r="BR140" s="340"/>
      <c r="BS140" s="340"/>
      <c r="BT140" s="340"/>
      <c r="BU140" s="340"/>
      <c r="BV140" s="340"/>
      <c r="BW140" s="340"/>
      <c r="BX140" s="340"/>
      <c r="BY140" s="340"/>
      <c r="BZ140" s="340"/>
      <c r="CA140" s="340"/>
      <c r="CB140" s="340"/>
      <c r="CC140" s="340"/>
      <c r="CD140" s="340"/>
      <c r="CE140" s="340"/>
      <c r="CF140" s="340"/>
      <c r="CG140" s="340"/>
      <c r="CH140" s="340"/>
      <c r="CI140" s="340"/>
      <c r="CJ140" s="340"/>
      <c r="CK140" s="340"/>
      <c r="CL140" s="340"/>
      <c r="CM140" s="340"/>
      <c r="CN140" s="340"/>
      <c r="CO140" s="340"/>
      <c r="CP140" s="340"/>
      <c r="CQ140" s="340"/>
      <c r="CR140" s="340"/>
      <c r="CS140" s="340"/>
      <c r="CT140" s="340"/>
      <c r="CU140" s="340"/>
      <c r="CV140" s="340"/>
      <c r="CW140" s="340"/>
      <c r="CX140" s="340"/>
      <c r="CY140" s="340"/>
      <c r="CZ140" s="340"/>
      <c r="DA140" s="340"/>
      <c r="DB140" s="340"/>
      <c r="DC140" s="340"/>
      <c r="DD140" s="340"/>
      <c r="DE140" s="340"/>
      <c r="DF140" s="340"/>
      <c r="DG140" s="340"/>
    </row>
    <row r="141" ht="20.25" hidden="1" customHeight="1">
      <c r="A141" s="40" t="s">
        <v>279</v>
      </c>
      <c r="B141" s="40" t="s">
        <v>107</v>
      </c>
      <c r="C141" s="40" t="s">
        <v>759</v>
      </c>
      <c r="D141" s="58"/>
      <c r="E141" s="387" t="s">
        <v>910</v>
      </c>
      <c r="F141" s="40" t="s">
        <v>911</v>
      </c>
      <c r="G141" s="40" t="s">
        <v>759</v>
      </c>
      <c r="H141" s="56">
        <v>45429.0</v>
      </c>
      <c r="I141" s="58"/>
      <c r="J141" s="40" t="s">
        <v>897</v>
      </c>
      <c r="K141" s="58"/>
      <c r="L141" s="40" t="s">
        <v>912</v>
      </c>
      <c r="M141" s="40" t="s">
        <v>899</v>
      </c>
      <c r="N141" s="40">
        <v>1.0</v>
      </c>
      <c r="O141" s="105" t="str">
        <f> hyperlink(vlookup(lower(M141),'File Links'!A:B, 2, FALSE), SUBSTITUTE(lower(M141), "/", "--") &amp;  ".pdf")</f>
        <v>10.1016--j.ijinfomgt.2018.03.001.pdf</v>
      </c>
      <c r="P141" s="48" t="str">
        <f t="array" ref="P141">HYPERLINK(INDEX('File Links'!B:B, MATCH(O141, 'File Links'!C:C, 0)))
</f>
        <v>https://drive.google.com/file/d/1o9LFgnQOxOWMbLhy5xq59Vl4kwI6felM/view?usp=drivesdk</v>
      </c>
      <c r="Q141" s="40" t="s">
        <v>913</v>
      </c>
      <c r="R141" s="40" t="s">
        <v>914</v>
      </c>
      <c r="S141" s="58"/>
      <c r="T141" s="40">
        <v>1.0</v>
      </c>
      <c r="U141" s="59" t="str">
        <f> hyperlink(vlookup(lower(R141),'File Links'!E:F, 2, FALSE), SUBSTITUTE(lower(R141), "/", "--") &amp;  ".pdf")</f>
        <v>10.17645--mac.7667.pdf</v>
      </c>
      <c r="V141" s="40" t="s">
        <v>902</v>
      </c>
      <c r="W141" s="45" t="str">
        <f t="array" ref="W141">HYPERLINK(INDEX('File Links'!B:B, MATCH(U141, 'File Links'!C:C, 0)))
</f>
        <v>#N/A</v>
      </c>
      <c r="X141" s="40" t="s">
        <v>768</v>
      </c>
      <c r="Y141" s="40" t="s">
        <v>582</v>
      </c>
      <c r="Z141" s="40" t="s">
        <v>903</v>
      </c>
      <c r="AA141" s="40" t="s">
        <v>904</v>
      </c>
      <c r="AB141" s="40" t="s">
        <v>905</v>
      </c>
      <c r="AC141" s="40" t="s">
        <v>915</v>
      </c>
      <c r="AD141" s="40">
        <v>28.0</v>
      </c>
      <c r="AE141" s="40">
        <v>341.0</v>
      </c>
      <c r="AF141" s="388">
        <v>-226.0</v>
      </c>
      <c r="AG141" s="40" t="s">
        <v>357</v>
      </c>
      <c r="AH141" s="40">
        <v>28.0</v>
      </c>
      <c r="AI141" s="40" t="s">
        <v>775</v>
      </c>
      <c r="AJ141" s="40" t="s">
        <v>127</v>
      </c>
      <c r="AK141" s="40" t="s">
        <v>128</v>
      </c>
      <c r="AL141" s="25"/>
      <c r="AM141" s="58"/>
      <c r="AN141" s="40">
        <v>351.0</v>
      </c>
      <c r="AO141" s="388">
        <v>169.0</v>
      </c>
      <c r="AP141" s="40" t="s">
        <v>357</v>
      </c>
      <c r="AQ141" s="40">
        <v>10.0</v>
      </c>
      <c r="AR141" s="40" t="s">
        <v>775</v>
      </c>
      <c r="AS141" s="40" t="s">
        <v>127</v>
      </c>
      <c r="AT141" s="40" t="s">
        <v>128</v>
      </c>
      <c r="AU141" s="25"/>
      <c r="AW141" s="115" t="s">
        <v>318</v>
      </c>
      <c r="AX141" s="58"/>
      <c r="BB141" s="340"/>
      <c r="BC141" s="340"/>
      <c r="BD141" s="340"/>
      <c r="BE141" s="340"/>
      <c r="BF141" s="340"/>
      <c r="BG141" s="340"/>
      <c r="BH141" s="340"/>
      <c r="BI141" s="340"/>
      <c r="BJ141" s="340"/>
      <c r="BK141" s="340"/>
      <c r="BL141" s="340"/>
      <c r="BM141" s="340"/>
      <c r="BN141" s="340"/>
      <c r="BO141" s="340"/>
      <c r="BP141" s="340"/>
      <c r="BQ141" s="340"/>
      <c r="BR141" s="340"/>
      <c r="BS141" s="340"/>
      <c r="BT141" s="340"/>
      <c r="BU141" s="340"/>
      <c r="BV141" s="340"/>
      <c r="BW141" s="340"/>
      <c r="BX141" s="340"/>
      <c r="BY141" s="340"/>
      <c r="BZ141" s="340"/>
      <c r="CA141" s="340"/>
      <c r="CB141" s="340"/>
      <c r="CC141" s="340"/>
      <c r="CD141" s="340"/>
      <c r="CE141" s="340"/>
      <c r="CF141" s="340"/>
      <c r="CG141" s="340"/>
      <c r="CH141" s="340"/>
      <c r="CI141" s="340"/>
      <c r="CJ141" s="340"/>
      <c r="CK141" s="340"/>
      <c r="CL141" s="340"/>
      <c r="CM141" s="340"/>
      <c r="CN141" s="340"/>
      <c r="CO141" s="340"/>
      <c r="CP141" s="340"/>
      <c r="CQ141" s="340"/>
      <c r="CR141" s="340"/>
      <c r="CS141" s="340"/>
      <c r="CT141" s="340"/>
      <c r="CU141" s="340"/>
      <c r="CV141" s="340"/>
      <c r="CW141" s="340"/>
      <c r="CX141" s="340"/>
      <c r="CY141" s="340"/>
      <c r="CZ141" s="340"/>
      <c r="DA141" s="340"/>
      <c r="DB141" s="340"/>
      <c r="DC141" s="340"/>
      <c r="DD141" s="340"/>
      <c r="DE141" s="340"/>
      <c r="DF141" s="340"/>
      <c r="DG141" s="340"/>
    </row>
    <row r="142" ht="20.25" hidden="1" customHeight="1">
      <c r="A142" s="40" t="s">
        <v>279</v>
      </c>
      <c r="B142" s="40" t="s">
        <v>107</v>
      </c>
      <c r="C142" s="40" t="s">
        <v>759</v>
      </c>
      <c r="D142" s="58"/>
      <c r="E142" s="41" t="s">
        <v>916</v>
      </c>
      <c r="F142" s="40" t="s">
        <v>917</v>
      </c>
      <c r="G142" s="40" t="s">
        <v>759</v>
      </c>
      <c r="H142" s="56">
        <v>45430.0</v>
      </c>
      <c r="I142" s="58"/>
      <c r="J142" s="40" t="s">
        <v>897</v>
      </c>
      <c r="K142" s="58"/>
      <c r="L142" s="40" t="s">
        <v>918</v>
      </c>
      <c r="M142" s="40" t="s">
        <v>899</v>
      </c>
      <c r="N142" s="40">
        <v>1.0</v>
      </c>
      <c r="O142" s="105" t="str">
        <f> hyperlink(vlookup(lower(M142),'File Links'!A:B, 2, FALSE), SUBSTITUTE(lower(M142), "/", "--") &amp;  ".pdf")</f>
        <v>10.1016--j.ijinfomgt.2018.03.001.pdf</v>
      </c>
      <c r="P142" s="48" t="str">
        <f t="array" ref="P142">HYPERLINK(INDEX('File Links'!B:B, MATCH(O142, 'File Links'!C:C, 0)))
</f>
        <v>https://drive.google.com/file/d/1o9LFgnQOxOWMbLhy5xq59Vl4kwI6felM/view?usp=drivesdk</v>
      </c>
      <c r="Q142" s="40" t="s">
        <v>919</v>
      </c>
      <c r="R142" s="40" t="s">
        <v>920</v>
      </c>
      <c r="S142" s="58"/>
      <c r="T142" s="40">
        <v>1.0</v>
      </c>
      <c r="U142" s="59" t="str">
        <f> hyperlink(vlookup(lower(R142),'File Links'!E:F, 2, FALSE), SUBSTITUTE(lower(R142), "/", "--") &amp;  ".pdf")</f>
        <v>10.17645--mac.7668.pdf</v>
      </c>
      <c r="V142" s="40" t="s">
        <v>902</v>
      </c>
      <c r="W142" s="45" t="str">
        <f t="array" ref="W142">HYPERLINK(INDEX('File Links'!B:B, MATCH(U142, 'File Links'!C:C, 0)))
</f>
        <v>#N/A</v>
      </c>
      <c r="X142" s="40" t="s">
        <v>768</v>
      </c>
      <c r="Y142" s="40" t="s">
        <v>582</v>
      </c>
      <c r="Z142" s="40" t="s">
        <v>903</v>
      </c>
      <c r="AA142" s="40" t="s">
        <v>904</v>
      </c>
      <c r="AB142" s="40" t="s">
        <v>905</v>
      </c>
      <c r="AC142" s="40" t="s">
        <v>921</v>
      </c>
      <c r="AD142" s="40">
        <v>28.0</v>
      </c>
      <c r="AE142" s="40">
        <v>341.0</v>
      </c>
      <c r="AF142" s="388">
        <v>1.0</v>
      </c>
      <c r="AG142" s="40" t="s">
        <v>357</v>
      </c>
      <c r="AH142" s="40">
        <v>28.0</v>
      </c>
      <c r="AI142" s="40" t="s">
        <v>922</v>
      </c>
      <c r="AJ142" s="40" t="s">
        <v>329</v>
      </c>
      <c r="AK142" s="40" t="s">
        <v>128</v>
      </c>
      <c r="AL142" s="25"/>
      <c r="AM142" s="58"/>
      <c r="AN142" s="40">
        <v>351.0</v>
      </c>
      <c r="AO142" s="388">
        <v>197.0</v>
      </c>
      <c r="AP142" s="40" t="s">
        <v>357</v>
      </c>
      <c r="AQ142" s="40">
        <v>10.0</v>
      </c>
      <c r="AR142" s="40" t="s">
        <v>775</v>
      </c>
      <c r="AS142" s="40" t="s">
        <v>127</v>
      </c>
      <c r="AT142" s="40" t="s">
        <v>128</v>
      </c>
      <c r="AU142" s="25"/>
      <c r="AW142" s="115" t="s">
        <v>318</v>
      </c>
      <c r="AX142" s="58"/>
      <c r="BB142" s="340"/>
      <c r="BC142" s="340"/>
      <c r="BD142" s="340"/>
      <c r="BE142" s="340"/>
      <c r="BF142" s="340"/>
      <c r="BG142" s="340"/>
      <c r="BH142" s="340"/>
      <c r="BI142" s="340"/>
      <c r="BJ142" s="340"/>
      <c r="BK142" s="340"/>
      <c r="BL142" s="340"/>
      <c r="BM142" s="340"/>
      <c r="BN142" s="340"/>
      <c r="BO142" s="340"/>
      <c r="BP142" s="340"/>
      <c r="BQ142" s="340"/>
      <c r="BR142" s="340"/>
      <c r="BS142" s="340"/>
      <c r="BT142" s="340"/>
      <c r="BU142" s="340"/>
      <c r="BV142" s="340"/>
      <c r="BW142" s="340"/>
      <c r="BX142" s="340"/>
      <c r="BY142" s="340"/>
      <c r="BZ142" s="340"/>
      <c r="CA142" s="340"/>
      <c r="CB142" s="340"/>
      <c r="CC142" s="340"/>
      <c r="CD142" s="340"/>
      <c r="CE142" s="340"/>
      <c r="CF142" s="340"/>
      <c r="CG142" s="340"/>
      <c r="CH142" s="340"/>
      <c r="CI142" s="340"/>
      <c r="CJ142" s="340"/>
      <c r="CK142" s="340"/>
      <c r="CL142" s="340"/>
      <c r="CM142" s="340"/>
      <c r="CN142" s="340"/>
      <c r="CO142" s="340"/>
      <c r="CP142" s="340"/>
      <c r="CQ142" s="340"/>
      <c r="CR142" s="340"/>
      <c r="CS142" s="340"/>
      <c r="CT142" s="340"/>
      <c r="CU142" s="340"/>
      <c r="CV142" s="340"/>
      <c r="CW142" s="340"/>
      <c r="CX142" s="340"/>
      <c r="CY142" s="340"/>
      <c r="CZ142" s="340"/>
      <c r="DA142" s="340"/>
      <c r="DB142" s="340"/>
      <c r="DC142" s="340"/>
      <c r="DD142" s="340"/>
      <c r="DE142" s="340"/>
      <c r="DF142" s="340"/>
      <c r="DG142" s="340"/>
    </row>
    <row r="143" ht="20.25" hidden="1" customHeight="1">
      <c r="A143" s="40" t="s">
        <v>279</v>
      </c>
      <c r="B143" s="40" t="s">
        <v>107</v>
      </c>
      <c r="C143" s="40" t="s">
        <v>759</v>
      </c>
      <c r="D143" s="58"/>
      <c r="E143" s="41" t="s">
        <v>923</v>
      </c>
      <c r="F143" s="40" t="s">
        <v>924</v>
      </c>
      <c r="G143" s="40" t="s">
        <v>759</v>
      </c>
      <c r="H143" s="56">
        <v>45431.0</v>
      </c>
      <c r="I143" s="58"/>
      <c r="J143" s="40" t="s">
        <v>897</v>
      </c>
      <c r="K143" s="58"/>
      <c r="L143" s="40" t="s">
        <v>925</v>
      </c>
      <c r="M143" s="40" t="s">
        <v>899</v>
      </c>
      <c r="N143" s="40">
        <v>1.0</v>
      </c>
      <c r="O143" s="105" t="str">
        <f> hyperlink(vlookup(lower(M143),'File Links'!A:B, 2, FALSE), SUBSTITUTE(lower(M143), "/", "--") &amp;  ".pdf")</f>
        <v>10.1016--j.ijinfomgt.2018.03.001.pdf</v>
      </c>
      <c r="P143" s="48" t="str">
        <f t="array" ref="P143">HYPERLINK(INDEX('File Links'!B:B, MATCH(O143, 'File Links'!C:C, 0)))
</f>
        <v>https://drive.google.com/file/d/1o9LFgnQOxOWMbLhy5xq59Vl4kwI6felM/view?usp=drivesdk</v>
      </c>
      <c r="Q143" s="40" t="s">
        <v>926</v>
      </c>
      <c r="R143" s="40" t="s">
        <v>927</v>
      </c>
      <c r="S143" s="58"/>
      <c r="T143" s="40">
        <v>1.0</v>
      </c>
      <c r="U143" s="59" t="str">
        <f> hyperlink(vlookup(lower(R143),'File Links'!E:F, 2, FALSE), SUBSTITUTE(lower(R143), "/", "--") &amp;  ".pdf")</f>
        <v>10.17645--mac.7669.pdf</v>
      </c>
      <c r="V143" s="40" t="s">
        <v>902</v>
      </c>
      <c r="W143" s="45" t="str">
        <f t="array" ref="W143">HYPERLINK(INDEX('File Links'!B:B, MATCH(U143, 'File Links'!C:C, 0)))
</f>
        <v>#N/A</v>
      </c>
      <c r="X143" s="40" t="s">
        <v>768</v>
      </c>
      <c r="Y143" s="40" t="s">
        <v>582</v>
      </c>
      <c r="Z143" s="40" t="s">
        <v>903</v>
      </c>
      <c r="AA143" s="40" t="s">
        <v>904</v>
      </c>
      <c r="AB143" s="40" t="s">
        <v>905</v>
      </c>
      <c r="AC143" s="40" t="s">
        <v>928</v>
      </c>
      <c r="AD143" s="40">
        <v>28.0</v>
      </c>
      <c r="AE143" s="40">
        <v>341.0</v>
      </c>
      <c r="AF143" s="388">
        <v>62.0</v>
      </c>
      <c r="AG143" s="40" t="s">
        <v>357</v>
      </c>
      <c r="AH143" s="40">
        <v>28.0</v>
      </c>
      <c r="AI143" s="40" t="s">
        <v>922</v>
      </c>
      <c r="AJ143" s="40" t="s">
        <v>329</v>
      </c>
      <c r="AK143" s="40" t="s">
        <v>128</v>
      </c>
      <c r="AL143" s="25"/>
      <c r="AM143" s="58"/>
      <c r="AN143" s="40">
        <v>351.0</v>
      </c>
      <c r="AO143" s="388">
        <v>94.0</v>
      </c>
      <c r="AP143" s="40" t="s">
        <v>357</v>
      </c>
      <c r="AQ143" s="40">
        <v>10.0</v>
      </c>
      <c r="AR143" s="40" t="s">
        <v>252</v>
      </c>
      <c r="AS143" s="40" t="s">
        <v>127</v>
      </c>
      <c r="AT143" s="40" t="s">
        <v>128</v>
      </c>
      <c r="AU143" s="25"/>
      <c r="AW143" s="115" t="s">
        <v>318</v>
      </c>
      <c r="AX143" s="58"/>
      <c r="BB143" s="340"/>
      <c r="BC143" s="340"/>
      <c r="BD143" s="340"/>
      <c r="BE143" s="340"/>
      <c r="BF143" s="340"/>
      <c r="BG143" s="340"/>
      <c r="BH143" s="340"/>
      <c r="BI143" s="340"/>
      <c r="BJ143" s="340"/>
      <c r="BK143" s="340"/>
      <c r="BL143" s="340"/>
      <c r="BM143" s="340"/>
      <c r="BN143" s="340"/>
      <c r="BO143" s="340"/>
      <c r="BP143" s="340"/>
      <c r="BQ143" s="340"/>
      <c r="BR143" s="340"/>
      <c r="BS143" s="340"/>
      <c r="BT143" s="340"/>
      <c r="BU143" s="340"/>
      <c r="BV143" s="340"/>
      <c r="BW143" s="340"/>
      <c r="BX143" s="340"/>
      <c r="BY143" s="340"/>
      <c r="BZ143" s="340"/>
      <c r="CA143" s="340"/>
      <c r="CB143" s="340"/>
      <c r="CC143" s="340"/>
      <c r="CD143" s="340"/>
      <c r="CE143" s="340"/>
      <c r="CF143" s="340"/>
      <c r="CG143" s="340"/>
      <c r="CH143" s="340"/>
      <c r="CI143" s="340"/>
      <c r="CJ143" s="340"/>
      <c r="CK143" s="340"/>
      <c r="CL143" s="340"/>
      <c r="CM143" s="340"/>
      <c r="CN143" s="340"/>
      <c r="CO143" s="340"/>
      <c r="CP143" s="340"/>
      <c r="CQ143" s="340"/>
      <c r="CR143" s="340"/>
      <c r="CS143" s="340"/>
      <c r="CT143" s="340"/>
      <c r="CU143" s="340"/>
      <c r="CV143" s="340"/>
      <c r="CW143" s="340"/>
      <c r="CX143" s="340"/>
      <c r="CY143" s="340"/>
      <c r="CZ143" s="340"/>
      <c r="DA143" s="340"/>
      <c r="DB143" s="340"/>
      <c r="DC143" s="340"/>
      <c r="DD143" s="340"/>
      <c r="DE143" s="340"/>
      <c r="DF143" s="340"/>
      <c r="DG143" s="340"/>
    </row>
    <row r="144" ht="20.25" customHeight="1">
      <c r="A144" s="96" t="s">
        <v>106</v>
      </c>
      <c r="B144" s="96" t="s">
        <v>107</v>
      </c>
      <c r="C144" s="136" t="s">
        <v>438</v>
      </c>
      <c r="D144" s="64"/>
      <c r="E144" s="208" t="s">
        <v>929</v>
      </c>
      <c r="F144" s="200" t="s">
        <v>908</v>
      </c>
      <c r="G144" s="200" t="s">
        <v>441</v>
      </c>
      <c r="H144" s="389">
        <v>45638.0</v>
      </c>
      <c r="I144" s="304">
        <v>45663.0</v>
      </c>
      <c r="J144" s="200" t="s">
        <v>930</v>
      </c>
      <c r="K144" s="101"/>
      <c r="L144" s="200" t="s">
        <v>931</v>
      </c>
      <c r="M144" s="200" t="s">
        <v>932</v>
      </c>
      <c r="N144" s="101"/>
      <c r="O144" s="204" t="s">
        <v>933</v>
      </c>
      <c r="P144" s="48" t="str">
        <f t="array" ref="P144">HYPERLINK(INDEX('File Links'!B:B, MATCH(O144, 'File Links'!C:C, 0)))
</f>
        <v>https://drive.google.com/file/d/1bHfJ-3gEyIURBJhF8bZZGAbZGtPK135A/view?usp=drivesdk</v>
      </c>
      <c r="Q144" s="200" t="s">
        <v>934</v>
      </c>
      <c r="R144" s="305" t="s">
        <v>935</v>
      </c>
      <c r="S144" s="101"/>
      <c r="T144" s="106"/>
      <c r="U144" s="200" t="s">
        <v>936</v>
      </c>
      <c r="V144" s="390" t="s">
        <v>937</v>
      </c>
      <c r="W144" s="50" t="str">
        <f t="array" ref="W144">HYPERLINK(INDEX('File Links'!B:B, MATCH(U144, 'File Links'!C:C, 0)))
</f>
        <v>https://drive.google.com/file/d/1LH5FS1-bb7IdYkCgO31BjONeTKWAtRQN/view?usp=drivesdk</v>
      </c>
      <c r="X144" s="101"/>
      <c r="Y144" s="200" t="s">
        <v>235</v>
      </c>
      <c r="Z144" s="101"/>
      <c r="AA144" s="99" t="s">
        <v>938</v>
      </c>
      <c r="AB144" s="99" t="s">
        <v>939</v>
      </c>
      <c r="AC144" s="200" t="s">
        <v>940</v>
      </c>
      <c r="AD144" s="207">
        <v>5.0</v>
      </c>
      <c r="AE144" s="104">
        <v>5.0</v>
      </c>
      <c r="AF144" s="101"/>
      <c r="AG144" s="106"/>
      <c r="AH144" s="101"/>
      <c r="AI144" s="101"/>
      <c r="AJ144" s="98"/>
      <c r="AK144" s="200" t="s">
        <v>179</v>
      </c>
      <c r="AL144" s="200" t="s">
        <v>132</v>
      </c>
      <c r="AM144" s="101"/>
      <c r="AN144" s="207">
        <v>4.0</v>
      </c>
      <c r="AO144" s="101"/>
      <c r="AP144" s="101"/>
      <c r="AQ144" s="101"/>
      <c r="AR144" s="101"/>
      <c r="AS144" s="98"/>
      <c r="AT144" s="208" t="s">
        <v>179</v>
      </c>
      <c r="AU144" s="208" t="s">
        <v>132</v>
      </c>
      <c r="AV144" s="98"/>
      <c r="AW144" s="208" t="s">
        <v>134</v>
      </c>
      <c r="AX144" s="55"/>
      <c r="AY144" s="136" t="s">
        <v>135</v>
      </c>
      <c r="BB144" s="340"/>
      <c r="BC144" s="340"/>
      <c r="BD144" s="340"/>
      <c r="BE144" s="340"/>
      <c r="BF144" s="340"/>
      <c r="BG144" s="340"/>
      <c r="BH144" s="340"/>
      <c r="BI144" s="340"/>
      <c r="BJ144" s="340"/>
      <c r="BK144" s="340"/>
      <c r="BL144" s="340"/>
      <c r="BM144" s="340"/>
      <c r="BN144" s="340"/>
      <c r="BO144" s="340"/>
      <c r="BP144" s="340"/>
      <c r="BQ144" s="340"/>
      <c r="BR144" s="340"/>
      <c r="BS144" s="340"/>
      <c r="BT144" s="340"/>
      <c r="BU144" s="340"/>
      <c r="BV144" s="340"/>
      <c r="BW144" s="340"/>
      <c r="BX144" s="340"/>
      <c r="BY144" s="340"/>
      <c r="BZ144" s="340"/>
      <c r="CA144" s="340"/>
      <c r="CB144" s="340"/>
      <c r="CC144" s="340"/>
      <c r="CD144" s="340"/>
      <c r="CE144" s="340"/>
      <c r="CF144" s="340"/>
      <c r="CG144" s="340"/>
      <c r="CH144" s="340"/>
      <c r="CI144" s="340"/>
      <c r="CJ144" s="340"/>
      <c r="CK144" s="340"/>
      <c r="CL144" s="340"/>
      <c r="CM144" s="340"/>
      <c r="CN144" s="340"/>
      <c r="CO144" s="340"/>
      <c r="CP144" s="340"/>
      <c r="CQ144" s="340"/>
      <c r="CR144" s="340"/>
      <c r="CS144" s="340"/>
      <c r="CT144" s="340"/>
      <c r="CU144" s="340"/>
      <c r="CV144" s="340"/>
      <c r="CW144" s="340"/>
      <c r="CX144" s="340"/>
      <c r="CY144" s="340"/>
      <c r="CZ144" s="340"/>
      <c r="DA144" s="340"/>
      <c r="DB144" s="340"/>
      <c r="DC144" s="340"/>
      <c r="DD144" s="340"/>
      <c r="DE144" s="340"/>
      <c r="DF144" s="340"/>
      <c r="DG144" s="340"/>
    </row>
    <row r="145" ht="20.25" customHeight="1">
      <c r="A145" s="136" t="s">
        <v>520</v>
      </c>
      <c r="B145" s="136" t="s">
        <v>107</v>
      </c>
      <c r="C145" s="136" t="s">
        <v>341</v>
      </c>
      <c r="D145" s="64"/>
      <c r="E145" s="98" t="s">
        <v>929</v>
      </c>
      <c r="F145" s="99" t="s">
        <v>908</v>
      </c>
      <c r="G145" s="99" t="s">
        <v>344</v>
      </c>
      <c r="H145" s="391">
        <v>45641.0</v>
      </c>
      <c r="I145" s="304">
        <v>45663.0</v>
      </c>
      <c r="J145" s="101"/>
      <c r="K145" s="347" t="s">
        <v>941</v>
      </c>
      <c r="L145" s="99" t="s">
        <v>931</v>
      </c>
      <c r="M145" s="200" t="s">
        <v>932</v>
      </c>
      <c r="N145" s="104">
        <v>1.0</v>
      </c>
      <c r="O145" s="107" t="s">
        <v>933</v>
      </c>
      <c r="P145" s="48" t="str">
        <f t="array" ref="P145">HYPERLINK(INDEX('File Links'!B:B, MATCH(O145, 'File Links'!C:C, 0)))
</f>
        <v>https://drive.google.com/file/d/1bHfJ-3gEyIURBJhF8bZZGAbZGtPK135A/view?usp=drivesdk</v>
      </c>
      <c r="Q145" s="392" t="s">
        <v>942</v>
      </c>
      <c r="R145" s="392" t="s">
        <v>935</v>
      </c>
      <c r="S145" s="101"/>
      <c r="T145" s="106"/>
      <c r="U145" s="99" t="s">
        <v>351</v>
      </c>
      <c r="V145" s="390" t="s">
        <v>937</v>
      </c>
      <c r="W145" s="45" t="str">
        <f t="array" ref="W145">HYPERLINK(INDEX('File Links'!B:B, MATCH(U145, 'File Links'!C:C, 0)))
</f>
        <v>#N/A</v>
      </c>
      <c r="X145" s="101"/>
      <c r="Y145" s="99" t="s">
        <v>235</v>
      </c>
      <c r="Z145" s="101"/>
      <c r="AA145" s="200" t="s">
        <v>943</v>
      </c>
      <c r="AB145" s="200" t="s">
        <v>944</v>
      </c>
      <c r="AC145" s="393" t="s">
        <v>945</v>
      </c>
      <c r="AD145" s="104">
        <v>8.0</v>
      </c>
      <c r="AE145" s="104">
        <v>5.0</v>
      </c>
      <c r="AF145" s="104">
        <v>0.98</v>
      </c>
      <c r="AG145" s="107" t="s">
        <v>166</v>
      </c>
      <c r="AH145" s="392" t="s">
        <v>946</v>
      </c>
      <c r="AI145" s="394">
        <v>0.09</v>
      </c>
      <c r="AJ145" s="395" t="s">
        <v>164</v>
      </c>
      <c r="AK145" s="99" t="s">
        <v>128</v>
      </c>
      <c r="AL145" s="101" t="s">
        <v>132</v>
      </c>
      <c r="AM145" s="101" t="s">
        <v>165</v>
      </c>
      <c r="AN145" s="104">
        <v>4.0</v>
      </c>
      <c r="AO145" s="104">
        <v>1.17</v>
      </c>
      <c r="AP145" s="99" t="s">
        <v>166</v>
      </c>
      <c r="AQ145" s="392" t="s">
        <v>947</v>
      </c>
      <c r="AR145" s="394">
        <v>0.101</v>
      </c>
      <c r="AS145" s="395" t="s">
        <v>164</v>
      </c>
      <c r="AT145" s="108" t="s">
        <v>128</v>
      </c>
      <c r="AU145" s="98" t="s">
        <v>132</v>
      </c>
      <c r="AV145" s="98" t="s">
        <v>165</v>
      </c>
      <c r="AW145" s="98" t="s">
        <v>142</v>
      </c>
      <c r="AX145" s="115"/>
      <c r="AY145" s="136" t="s">
        <v>135</v>
      </c>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c r="CY145" s="64"/>
      <c r="CZ145" s="64"/>
      <c r="DA145" s="64"/>
      <c r="DB145" s="64"/>
      <c r="DC145" s="64"/>
      <c r="DD145" s="64"/>
      <c r="DE145" s="64"/>
      <c r="DF145" s="64"/>
      <c r="DG145" s="64"/>
    </row>
    <row r="146" ht="20.25" customHeight="1">
      <c r="A146" s="136" t="s">
        <v>520</v>
      </c>
      <c r="B146" s="136" t="s">
        <v>107</v>
      </c>
      <c r="C146" s="136" t="s">
        <v>341</v>
      </c>
      <c r="D146" s="64"/>
      <c r="E146" s="98" t="s">
        <v>929</v>
      </c>
      <c r="F146" s="99" t="s">
        <v>948</v>
      </c>
      <c r="G146" s="99" t="s">
        <v>344</v>
      </c>
      <c r="H146" s="391">
        <v>45641.0</v>
      </c>
      <c r="I146" s="304">
        <v>45663.0</v>
      </c>
      <c r="J146" s="200" t="s">
        <v>949</v>
      </c>
      <c r="K146" s="347" t="s">
        <v>941</v>
      </c>
      <c r="L146" s="99" t="s">
        <v>931</v>
      </c>
      <c r="M146" s="200" t="s">
        <v>932</v>
      </c>
      <c r="N146" s="104">
        <v>1.0</v>
      </c>
      <c r="O146" s="107" t="s">
        <v>933</v>
      </c>
      <c r="P146" s="48" t="str">
        <f t="array" ref="P146">HYPERLINK(INDEX('File Links'!B:B, MATCH(O146, 'File Links'!C:C, 0)))
</f>
        <v>https://drive.google.com/file/d/1bHfJ-3gEyIURBJhF8bZZGAbZGtPK135A/view?usp=drivesdk</v>
      </c>
      <c r="Q146" s="392" t="s">
        <v>950</v>
      </c>
      <c r="R146" s="392" t="s">
        <v>935</v>
      </c>
      <c r="S146" s="101"/>
      <c r="T146" s="106"/>
      <c r="U146" s="99" t="s">
        <v>351</v>
      </c>
      <c r="V146" s="390" t="s">
        <v>937</v>
      </c>
      <c r="W146" s="45" t="str">
        <f t="array" ref="W146">HYPERLINK(INDEX('File Links'!B:B, MATCH(U146, 'File Links'!C:C, 0)))
</f>
        <v>#N/A</v>
      </c>
      <c r="X146" s="101"/>
      <c r="Y146" s="99" t="s">
        <v>235</v>
      </c>
      <c r="Z146" s="101"/>
      <c r="AA146" s="200" t="s">
        <v>943</v>
      </c>
      <c r="AB146" s="200" t="s">
        <v>951</v>
      </c>
      <c r="AC146" s="393" t="s">
        <v>952</v>
      </c>
      <c r="AD146" s="104">
        <v>1.0</v>
      </c>
      <c r="AE146" s="104">
        <v>5.0</v>
      </c>
      <c r="AF146" s="101"/>
      <c r="AG146" s="107" t="s">
        <v>166</v>
      </c>
      <c r="AH146" s="101"/>
      <c r="AI146" s="101"/>
      <c r="AJ146" s="98"/>
      <c r="AK146" s="101"/>
      <c r="AL146" s="101"/>
      <c r="AM146" s="101" t="s">
        <v>165</v>
      </c>
      <c r="AN146" s="104">
        <v>4.0</v>
      </c>
      <c r="AO146" s="101"/>
      <c r="AP146" s="99" t="s">
        <v>166</v>
      </c>
      <c r="AQ146" s="101"/>
      <c r="AR146" s="101"/>
      <c r="AS146" s="98"/>
      <c r="AT146" s="98"/>
      <c r="AU146" s="98"/>
      <c r="AV146" s="98" t="s">
        <v>165</v>
      </c>
      <c r="AW146" s="98" t="s">
        <v>142</v>
      </c>
      <c r="AX146" s="115"/>
      <c r="AY146" s="136" t="s">
        <v>135</v>
      </c>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c r="CY146" s="64"/>
      <c r="CZ146" s="64"/>
      <c r="DA146" s="64"/>
      <c r="DB146" s="64"/>
      <c r="DC146" s="64"/>
      <c r="DD146" s="64"/>
      <c r="DE146" s="64"/>
      <c r="DF146" s="64"/>
      <c r="DG146" s="64"/>
    </row>
    <row r="147" ht="20.25" hidden="1" customHeight="1">
      <c r="A147" s="40" t="s">
        <v>279</v>
      </c>
      <c r="B147" s="40" t="s">
        <v>107</v>
      </c>
      <c r="C147" s="40" t="s">
        <v>759</v>
      </c>
      <c r="D147" s="58"/>
      <c r="E147" s="41" t="s">
        <v>953</v>
      </c>
      <c r="F147" s="40" t="s">
        <v>911</v>
      </c>
      <c r="G147" s="40" t="s">
        <v>759</v>
      </c>
      <c r="H147" s="56">
        <v>45427.0</v>
      </c>
      <c r="I147" s="58"/>
      <c r="J147" s="40" t="s">
        <v>954</v>
      </c>
      <c r="K147" s="58"/>
      <c r="L147" s="40" t="s">
        <v>955</v>
      </c>
      <c r="M147" s="40" t="s">
        <v>956</v>
      </c>
      <c r="N147" s="40">
        <v>1.0</v>
      </c>
      <c r="O147" s="105" t="str">
        <f> hyperlink(vlookup(lower(M147),'File Links'!A:B, 2, FALSE), SUBSTITUTE(lower(M147), "/", "--") &amp;  ".pdf")</f>
        <v>10.1111--j.1467-9280.2007.01961.x.pdf</v>
      </c>
      <c r="P147" s="48" t="str">
        <f t="array" ref="P147">HYPERLINK(INDEX('File Links'!B:B, MATCH(O147, 'File Links'!C:C, 0)))
</f>
        <v>https://drive.google.com/file/d/1XHPKfkBsPhF-1p8BH_npxrU-1vPB8MEe/view?usp=drivesdk</v>
      </c>
      <c r="Q147" s="40" t="s">
        <v>957</v>
      </c>
      <c r="R147" s="40" t="s">
        <v>958</v>
      </c>
      <c r="S147" s="58"/>
      <c r="T147" s="40">
        <v>2.0</v>
      </c>
      <c r="U147" s="59" t="str">
        <f> hyperlink(vlookup(lower(R147),'File Links'!E:F, 2, FALSE), SUBSTITUTE(lower(R147), "/", "--") &amp;  ".pdf")</f>
        <v>10.1177--09567976241246552.pdf</v>
      </c>
      <c r="V147" s="40" t="s">
        <v>959</v>
      </c>
      <c r="W147" s="45" t="str">
        <f t="array" ref="W147">HYPERLINK(INDEX('File Links'!B:B, MATCH(U147, 'File Links'!C:C, 0)))
</f>
        <v>#N/A</v>
      </c>
      <c r="X147" s="40" t="s">
        <v>768</v>
      </c>
      <c r="Y147" s="40" t="s">
        <v>960</v>
      </c>
      <c r="Z147" s="40" t="s">
        <v>961</v>
      </c>
      <c r="AA147" s="40" t="s">
        <v>962</v>
      </c>
      <c r="AB147" s="40" t="s">
        <v>963</v>
      </c>
      <c r="AC147" s="40" t="s">
        <v>964</v>
      </c>
      <c r="AD147" s="40">
        <v>690.0</v>
      </c>
      <c r="AE147" s="40">
        <v>76.0</v>
      </c>
      <c r="AF147" s="40">
        <v>1.11</v>
      </c>
      <c r="AG147" s="40" t="s">
        <v>166</v>
      </c>
      <c r="AH147" s="40">
        <v>690.0</v>
      </c>
      <c r="AI147" s="40" t="s">
        <v>965</v>
      </c>
      <c r="AJ147" s="40" t="s">
        <v>164</v>
      </c>
      <c r="AK147" s="40" t="s">
        <v>179</v>
      </c>
      <c r="AL147" s="25"/>
      <c r="AM147" s="58"/>
      <c r="AN147" s="40">
        <v>590.0</v>
      </c>
      <c r="AO147" s="388">
        <v>3.0</v>
      </c>
      <c r="AP147" s="40" t="s">
        <v>130</v>
      </c>
      <c r="AQ147" s="40">
        <v>22.0</v>
      </c>
      <c r="AR147" s="40" t="s">
        <v>966</v>
      </c>
      <c r="AS147" s="40" t="s">
        <v>164</v>
      </c>
      <c r="AT147" s="40" t="s">
        <v>179</v>
      </c>
      <c r="AU147" s="25"/>
      <c r="AW147" s="115" t="s">
        <v>318</v>
      </c>
      <c r="AX147" s="58"/>
    </row>
    <row r="148" ht="20.25" hidden="1" customHeight="1">
      <c r="A148" s="40" t="s">
        <v>279</v>
      </c>
      <c r="B148" s="40" t="s">
        <v>107</v>
      </c>
      <c r="C148" s="40" t="s">
        <v>759</v>
      </c>
      <c r="D148" s="58"/>
      <c r="E148" s="41" t="s">
        <v>967</v>
      </c>
      <c r="F148" s="40" t="s">
        <v>917</v>
      </c>
      <c r="G148" s="40" t="s">
        <v>759</v>
      </c>
      <c r="H148" s="56">
        <v>45427.0</v>
      </c>
      <c r="I148" s="58"/>
      <c r="J148" s="40" t="s">
        <v>968</v>
      </c>
      <c r="K148" s="58"/>
      <c r="L148" s="40" t="s">
        <v>969</v>
      </c>
      <c r="M148" s="40" t="s">
        <v>970</v>
      </c>
      <c r="N148" s="40">
        <v>2.0</v>
      </c>
      <c r="O148" s="105" t="str">
        <f> hyperlink(vlookup(lower(M148),'File Links'!A:B, 2, FALSE), SUBSTITUTE(lower(M148), "/", "--") &amp;  ".pdf")</f>
        <v>10.1521--soco.2008.26.2.143.pdf</v>
      </c>
      <c r="P148" s="48" t="str">
        <f t="array" ref="P148">HYPERLINK(INDEX('File Links'!B:B, MATCH(O148, 'File Links'!C:C, 0)))
</f>
        <v>https://drive.google.com/file/d/1ChpFRMejJzL2Sh9so-302icQ-YIJSCTh/view?usp=drivesdk</v>
      </c>
      <c r="Q148" s="40" t="s">
        <v>971</v>
      </c>
      <c r="R148" s="40" t="s">
        <v>972</v>
      </c>
      <c r="S148" s="58"/>
      <c r="T148" s="40">
        <v>2.0</v>
      </c>
      <c r="U148" s="59" t="str">
        <f> hyperlink(vlookup(lower(R148),'File Links'!E:F, 2, FALSE), SUBSTITUTE(lower(R148), "/", "--") &amp;  ".pdf")</f>
        <v>10.1037--cns0000401.pdf</v>
      </c>
      <c r="V148" s="40" t="s">
        <v>959</v>
      </c>
      <c r="W148" s="45" t="str">
        <f t="array" ref="W148">HYPERLINK(INDEX('File Links'!B:B, MATCH(U148, 'File Links'!C:C, 0)))
</f>
        <v>#N/A</v>
      </c>
      <c r="X148" s="40" t="s">
        <v>768</v>
      </c>
      <c r="Y148" s="40" t="s">
        <v>960</v>
      </c>
      <c r="Z148" s="40" t="s">
        <v>973</v>
      </c>
      <c r="AA148" s="40" t="s">
        <v>974</v>
      </c>
      <c r="AB148" s="40" t="s">
        <v>975</v>
      </c>
      <c r="AC148" s="40" t="s">
        <v>976</v>
      </c>
      <c r="AD148" s="40">
        <v>148.0</v>
      </c>
      <c r="AE148" s="40">
        <v>166.0</v>
      </c>
      <c r="AF148" s="40">
        <v>-0.18</v>
      </c>
      <c r="AG148" s="40" t="s">
        <v>208</v>
      </c>
      <c r="AH148" s="40">
        <v>148.0</v>
      </c>
      <c r="AI148" s="40" t="s">
        <v>977</v>
      </c>
      <c r="AJ148" s="40" t="s">
        <v>164</v>
      </c>
      <c r="AK148" s="40" t="s">
        <v>128</v>
      </c>
      <c r="AL148" s="25"/>
      <c r="AM148" s="58"/>
      <c r="AN148" s="40">
        <v>885.0</v>
      </c>
      <c r="AO148" s="40">
        <v>0.02</v>
      </c>
      <c r="AP148" s="40" t="s">
        <v>208</v>
      </c>
      <c r="AQ148" s="40">
        <v>422.0</v>
      </c>
      <c r="AR148" s="40" t="s">
        <v>978</v>
      </c>
      <c r="AS148" s="40" t="s">
        <v>164</v>
      </c>
      <c r="AT148" s="40" t="s">
        <v>211</v>
      </c>
      <c r="AU148" s="25"/>
      <c r="AW148" s="115" t="s">
        <v>318</v>
      </c>
      <c r="AX148" s="58"/>
    </row>
    <row r="149" ht="20.25" customHeight="1">
      <c r="A149" s="40" t="s">
        <v>279</v>
      </c>
      <c r="B149" s="40" t="s">
        <v>107</v>
      </c>
      <c r="C149" s="40" t="s">
        <v>759</v>
      </c>
      <c r="D149" s="58"/>
      <c r="E149" s="41" t="s">
        <v>979</v>
      </c>
      <c r="F149" s="40" t="s">
        <v>924</v>
      </c>
      <c r="G149" s="40" t="s">
        <v>759</v>
      </c>
      <c r="H149" s="56">
        <v>45427.0</v>
      </c>
      <c r="I149" s="58"/>
      <c r="J149" s="40" t="s">
        <v>980</v>
      </c>
      <c r="K149" s="58"/>
      <c r="L149" s="40" t="s">
        <v>981</v>
      </c>
      <c r="M149" s="40" t="s">
        <v>982</v>
      </c>
      <c r="N149" s="40">
        <v>2.0</v>
      </c>
      <c r="O149" s="105" t="str">
        <f> hyperlink(vlookup(lower(M149),'File Links'!A:B, 2, FALSE), SUBSTITUTE(lower(M149), "/", "--") &amp;  ".pdf")</f>
        <v>10.1177--0956797613478614.pdf</v>
      </c>
      <c r="P149" s="48" t="str">
        <f t="array" ref="P149">HYPERLINK(INDEX('File Links'!B:B, MATCH(O149, 'File Links'!C:C, 0)))
</f>
        <v>https://drive.google.com/file/d/145Pa13zh5Prx2VW-au4YJBMHc37TXuej/view?usp=drivesdk</v>
      </c>
      <c r="Q149" s="40" t="s">
        <v>983</v>
      </c>
      <c r="R149" s="40" t="s">
        <v>982</v>
      </c>
      <c r="S149" s="58"/>
      <c r="T149" s="40">
        <v>2.0</v>
      </c>
      <c r="U149" s="59" t="str">
        <f> hyperlink(vlookup(lower(R149),'File Links'!E:F, 2, FALSE), SUBSTITUTE(lower(R149), "/", "--") &amp;  ".pdf")</f>
        <v>10.1177--0956797613478614.pdf</v>
      </c>
      <c r="V149" s="40" t="s">
        <v>959</v>
      </c>
      <c r="W149" s="50" t="str">
        <f t="array" ref="W149">HYPERLINK(INDEX('File Links'!B:B, MATCH(U149, 'File Links'!C:C, 0)))
</f>
        <v>https://drive.google.com/file/d/145Pa13zh5Prx2VW-au4YJBMHc37TXuej/view?usp=drivesdk</v>
      </c>
      <c r="X149" s="58"/>
      <c r="Y149" s="40" t="s">
        <v>960</v>
      </c>
      <c r="Z149" s="40" t="s">
        <v>984</v>
      </c>
      <c r="AA149" s="40" t="s">
        <v>985</v>
      </c>
      <c r="AB149" s="40" t="s">
        <v>986</v>
      </c>
      <c r="AC149" s="40" t="s">
        <v>987</v>
      </c>
      <c r="AD149" s="40">
        <v>2.0</v>
      </c>
      <c r="AE149" s="40">
        <v>24.0</v>
      </c>
      <c r="AF149" s="40" t="s">
        <v>988</v>
      </c>
      <c r="AG149" s="40" t="s">
        <v>130</v>
      </c>
      <c r="AH149" s="40" t="s">
        <v>774</v>
      </c>
      <c r="AI149" s="40" t="s">
        <v>989</v>
      </c>
      <c r="AJ149" s="40" t="s">
        <v>164</v>
      </c>
      <c r="AK149" s="40" t="s">
        <v>179</v>
      </c>
      <c r="AL149" s="25"/>
      <c r="AM149" s="58"/>
      <c r="AN149" s="40">
        <v>50.0</v>
      </c>
      <c r="AO149" s="58"/>
      <c r="AP149" s="58"/>
      <c r="AQ149" s="58"/>
      <c r="AR149" s="58"/>
      <c r="AS149" s="58"/>
      <c r="AT149" s="40" t="s">
        <v>179</v>
      </c>
      <c r="AU149" s="25"/>
      <c r="AW149" s="115" t="s">
        <v>571</v>
      </c>
      <c r="AX149" s="58"/>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c r="CD149" s="64"/>
      <c r="CE149" s="64"/>
      <c r="CF149" s="64"/>
      <c r="CG149" s="64"/>
      <c r="CH149" s="64"/>
      <c r="CI149" s="64"/>
      <c r="CJ149" s="64"/>
      <c r="CK149" s="64"/>
      <c r="CL149" s="64"/>
      <c r="CM149" s="64"/>
      <c r="CN149" s="64"/>
      <c r="CO149" s="64"/>
      <c r="CP149" s="64"/>
      <c r="CQ149" s="64"/>
      <c r="CR149" s="64"/>
      <c r="CS149" s="64"/>
      <c r="CT149" s="64"/>
      <c r="CU149" s="64"/>
      <c r="CV149" s="64"/>
      <c r="CW149" s="64"/>
      <c r="CX149" s="64"/>
      <c r="CY149" s="64"/>
      <c r="CZ149" s="64"/>
      <c r="DA149" s="64"/>
      <c r="DB149" s="64"/>
      <c r="DC149" s="64"/>
      <c r="DD149" s="64"/>
      <c r="DE149" s="64"/>
      <c r="DF149" s="64"/>
      <c r="DG149" s="64"/>
    </row>
    <row r="150" ht="20.25" customHeight="1">
      <c r="A150" s="40" t="s">
        <v>279</v>
      </c>
      <c r="B150" s="40" t="s">
        <v>107</v>
      </c>
      <c r="C150" s="40" t="s">
        <v>759</v>
      </c>
      <c r="D150" s="58"/>
      <c r="E150" s="41" t="s">
        <v>979</v>
      </c>
      <c r="F150" s="40" t="s">
        <v>924</v>
      </c>
      <c r="G150" s="40" t="s">
        <v>759</v>
      </c>
      <c r="H150" s="56">
        <v>45427.0</v>
      </c>
      <c r="I150" s="58"/>
      <c r="J150" s="40" t="s">
        <v>980</v>
      </c>
      <c r="K150" s="58"/>
      <c r="L150" s="40" t="s">
        <v>981</v>
      </c>
      <c r="M150" s="40" t="s">
        <v>982</v>
      </c>
      <c r="N150" s="40">
        <v>2.0</v>
      </c>
      <c r="O150" s="105" t="str">
        <f> hyperlink(vlookup(lower(M150),'File Links'!A:B, 2, FALSE), SUBSTITUTE(lower(M150), "/", "--") &amp;  ".pdf")</f>
        <v>10.1177--0956797613478614.pdf</v>
      </c>
      <c r="P150" s="48" t="str">
        <f t="array" ref="P150">HYPERLINK(INDEX('File Links'!B:B, MATCH(O150, 'File Links'!C:C, 0)))
</f>
        <v>https://drive.google.com/file/d/145Pa13zh5Prx2VW-au4YJBMHc37TXuej/view?usp=drivesdk</v>
      </c>
      <c r="Q150" s="40" t="s">
        <v>983</v>
      </c>
      <c r="R150" s="40" t="s">
        <v>982</v>
      </c>
      <c r="S150" s="58"/>
      <c r="T150" s="40">
        <v>2.0</v>
      </c>
      <c r="U150" s="59" t="str">
        <f> hyperlink(vlookup(lower(R150),'File Links'!E:F, 2, FALSE), SUBSTITUTE(lower(R150), "/", "--") &amp;  ".pdf")</f>
        <v>10.1177--0956797613478614.pdf</v>
      </c>
      <c r="V150" s="40" t="s">
        <v>959</v>
      </c>
      <c r="W150" s="50" t="str">
        <f t="array" ref="W150">HYPERLINK(INDEX('File Links'!B:B, MATCH(U150, 'File Links'!C:C, 0)))
</f>
        <v>https://drive.google.com/file/d/145Pa13zh5Prx2VW-au4YJBMHc37TXuej/view?usp=drivesdk</v>
      </c>
      <c r="X150" s="58"/>
      <c r="Y150" s="40" t="s">
        <v>960</v>
      </c>
      <c r="Z150" s="40" t="s">
        <v>984</v>
      </c>
      <c r="AA150" s="40" t="s">
        <v>985</v>
      </c>
      <c r="AB150" s="40" t="s">
        <v>986</v>
      </c>
      <c r="AC150" s="40" t="s">
        <v>990</v>
      </c>
      <c r="AD150" s="40">
        <v>2.0</v>
      </c>
      <c r="AE150" s="40">
        <v>24.0</v>
      </c>
      <c r="AF150" s="40" t="s">
        <v>988</v>
      </c>
      <c r="AG150" s="40" t="s">
        <v>130</v>
      </c>
      <c r="AH150" s="40" t="s">
        <v>774</v>
      </c>
      <c r="AI150" s="40" t="s">
        <v>991</v>
      </c>
      <c r="AJ150" s="40" t="s">
        <v>127</v>
      </c>
      <c r="AK150" s="40" t="s">
        <v>179</v>
      </c>
      <c r="AL150" s="25"/>
      <c r="AM150" s="58"/>
      <c r="AN150" s="40">
        <v>50.0</v>
      </c>
      <c r="AO150" s="58"/>
      <c r="AP150" s="58"/>
      <c r="AQ150" s="58"/>
      <c r="AR150" s="58"/>
      <c r="AS150" s="58"/>
      <c r="AT150" s="40" t="s">
        <v>179</v>
      </c>
      <c r="AU150" s="25"/>
      <c r="AW150" s="115" t="s">
        <v>571</v>
      </c>
      <c r="AX150" s="58"/>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c r="CY150" s="64"/>
      <c r="CZ150" s="64"/>
      <c r="DA150" s="64"/>
      <c r="DB150" s="64"/>
      <c r="DC150" s="64"/>
      <c r="DD150" s="64"/>
      <c r="DE150" s="64"/>
      <c r="DF150" s="64"/>
      <c r="DG150" s="64"/>
    </row>
    <row r="151" ht="20.25" customHeight="1">
      <c r="A151" s="40" t="s">
        <v>279</v>
      </c>
      <c r="B151" s="40" t="s">
        <v>107</v>
      </c>
      <c r="C151" s="40" t="s">
        <v>759</v>
      </c>
      <c r="D151" s="58"/>
      <c r="E151" s="41" t="s">
        <v>979</v>
      </c>
      <c r="F151" s="40" t="s">
        <v>924</v>
      </c>
      <c r="G151" s="40" t="s">
        <v>759</v>
      </c>
      <c r="H151" s="56">
        <v>45427.0</v>
      </c>
      <c r="I151" s="58"/>
      <c r="J151" s="40" t="s">
        <v>980</v>
      </c>
      <c r="K151" s="58"/>
      <c r="L151" s="40" t="s">
        <v>981</v>
      </c>
      <c r="M151" s="40" t="s">
        <v>982</v>
      </c>
      <c r="N151" s="40">
        <v>2.0</v>
      </c>
      <c r="O151" s="105" t="str">
        <f> hyperlink(vlookup(lower(M151),'File Links'!A:B, 2, FALSE), SUBSTITUTE(lower(M151), "/", "--") &amp;  ".pdf")</f>
        <v>10.1177--0956797613478614.pdf</v>
      </c>
      <c r="P151" s="48" t="str">
        <f t="array" ref="P151">HYPERLINK(INDEX('File Links'!B:B, MATCH(O151, 'File Links'!C:C, 0)))
</f>
        <v>https://drive.google.com/file/d/145Pa13zh5Prx2VW-au4YJBMHc37TXuej/view?usp=drivesdk</v>
      </c>
      <c r="Q151" s="40" t="s">
        <v>983</v>
      </c>
      <c r="R151" s="40" t="s">
        <v>982</v>
      </c>
      <c r="S151" s="58"/>
      <c r="T151" s="40">
        <v>2.0</v>
      </c>
      <c r="U151" s="59" t="str">
        <f> hyperlink(vlookup(lower(R151),'File Links'!E:F, 2, FALSE), SUBSTITUTE(lower(R151), "/", "--") &amp;  ".pdf")</f>
        <v>10.1177--0956797613478614.pdf</v>
      </c>
      <c r="V151" s="40" t="s">
        <v>959</v>
      </c>
      <c r="W151" s="50" t="str">
        <f t="array" ref="W151">HYPERLINK(INDEX('File Links'!B:B, MATCH(U151, 'File Links'!C:C, 0)))
</f>
        <v>https://drive.google.com/file/d/145Pa13zh5Prx2VW-au4YJBMHc37TXuej/view?usp=drivesdk</v>
      </c>
      <c r="X151" s="58"/>
      <c r="Y151" s="40" t="s">
        <v>960</v>
      </c>
      <c r="Z151" s="40" t="s">
        <v>984</v>
      </c>
      <c r="AA151" s="40" t="s">
        <v>985</v>
      </c>
      <c r="AB151" s="40" t="s">
        <v>986</v>
      </c>
      <c r="AC151" s="40" t="s">
        <v>992</v>
      </c>
      <c r="AD151" s="40">
        <v>2.0</v>
      </c>
      <c r="AE151" s="40">
        <v>24.0</v>
      </c>
      <c r="AF151" s="40" t="s">
        <v>988</v>
      </c>
      <c r="AG151" s="40" t="s">
        <v>130</v>
      </c>
      <c r="AH151" s="40" t="s">
        <v>774</v>
      </c>
      <c r="AI151" s="40" t="s">
        <v>993</v>
      </c>
      <c r="AJ151" s="40" t="s">
        <v>127</v>
      </c>
      <c r="AK151" s="40" t="s">
        <v>179</v>
      </c>
      <c r="AL151" s="25"/>
      <c r="AM151" s="58"/>
      <c r="AN151" s="40">
        <v>50.0</v>
      </c>
      <c r="AO151" s="58"/>
      <c r="AP151" s="58"/>
      <c r="AQ151" s="58"/>
      <c r="AR151" s="58"/>
      <c r="AS151" s="58"/>
      <c r="AT151" s="40" t="s">
        <v>179</v>
      </c>
      <c r="AU151" s="25"/>
      <c r="AW151" s="115" t="s">
        <v>571</v>
      </c>
      <c r="AX151" s="58"/>
      <c r="AZ151" s="95"/>
      <c r="BA151" s="95"/>
      <c r="BB151" s="95"/>
      <c r="BC151" s="95"/>
      <c r="BD151" s="95"/>
      <c r="BE151" s="95"/>
      <c r="BF151" s="95"/>
      <c r="BG151" s="95"/>
      <c r="BH151" s="95"/>
      <c r="BI151" s="95"/>
      <c r="BJ151" s="95"/>
      <c r="BK151" s="95"/>
      <c r="BL151" s="95"/>
      <c r="BM151" s="95"/>
      <c r="BN151" s="95"/>
      <c r="BO151" s="95"/>
      <c r="BP151" s="95"/>
      <c r="BQ151" s="95"/>
      <c r="BR151" s="95"/>
      <c r="BS151" s="95"/>
      <c r="BT151" s="95"/>
      <c r="BU151" s="95"/>
      <c r="BV151" s="95"/>
      <c r="BW151" s="95"/>
      <c r="BX151" s="95"/>
      <c r="BY151" s="95"/>
      <c r="BZ151" s="95"/>
      <c r="CA151" s="95"/>
      <c r="CB151" s="95"/>
      <c r="CC151" s="95"/>
      <c r="CD151" s="95"/>
      <c r="CE151" s="95"/>
      <c r="CF151" s="95"/>
      <c r="CG151" s="95"/>
      <c r="CH151" s="95"/>
      <c r="CI151" s="95"/>
      <c r="CJ151" s="95"/>
      <c r="CK151" s="95"/>
      <c r="CL151" s="95"/>
      <c r="CM151" s="95"/>
      <c r="CN151" s="95"/>
      <c r="CO151" s="95"/>
      <c r="CP151" s="95"/>
      <c r="CQ151" s="95"/>
      <c r="CR151" s="95"/>
      <c r="CS151" s="95"/>
      <c r="CT151" s="95"/>
      <c r="CU151" s="95"/>
      <c r="CV151" s="95"/>
      <c r="CW151" s="95"/>
      <c r="CX151" s="95"/>
      <c r="CY151" s="95"/>
      <c r="CZ151" s="95"/>
      <c r="DA151" s="95"/>
      <c r="DB151" s="95"/>
      <c r="DC151" s="95"/>
      <c r="DD151" s="95"/>
      <c r="DE151" s="95"/>
      <c r="DF151" s="95"/>
      <c r="DG151" s="95"/>
    </row>
    <row r="152" ht="20.25" customHeight="1">
      <c r="A152" s="135" t="s">
        <v>279</v>
      </c>
      <c r="B152" s="135" t="s">
        <v>107</v>
      </c>
      <c r="C152" s="396" t="s">
        <v>438</v>
      </c>
      <c r="D152" s="340"/>
      <c r="E152" s="397" t="s">
        <v>994</v>
      </c>
      <c r="F152" s="398" t="s">
        <v>995</v>
      </c>
      <c r="G152" s="398" t="s">
        <v>441</v>
      </c>
      <c r="H152" s="399">
        <v>45634.0</v>
      </c>
      <c r="I152" s="400">
        <v>45670.0</v>
      </c>
      <c r="J152" s="398" t="s">
        <v>996</v>
      </c>
      <c r="K152" s="401"/>
      <c r="L152" s="398" t="s">
        <v>997</v>
      </c>
      <c r="M152" s="398" t="s">
        <v>998</v>
      </c>
      <c r="N152" s="401"/>
      <c r="O152" s="402" t="s">
        <v>999</v>
      </c>
      <c r="P152" s="48" t="str">
        <f t="array" ref="P152">HYPERLINK(INDEX('File Links'!B:B, MATCH(O152, 'File Links'!C:C, 0)))
</f>
        <v>https://drive.google.com/file/d/1PO93PC_ps2XExqA6N_FX_WnXnQAPrB_Q/view?usp=drivesdk</v>
      </c>
      <c r="Q152" s="398" t="s">
        <v>1000</v>
      </c>
      <c r="R152" s="398" t="s">
        <v>1001</v>
      </c>
      <c r="S152" s="401"/>
      <c r="T152" s="403"/>
      <c r="U152" s="398" t="s">
        <v>1002</v>
      </c>
      <c r="V152" s="398" t="s">
        <v>155</v>
      </c>
      <c r="W152" s="50" t="str">
        <f t="array" ref="W152">HYPERLINK(INDEX('File Links'!B:B, MATCH(U152, 'File Links'!C:C, 0)))
</f>
        <v>https://drive.google.com/file/d/1y9Sta1A62b6o1louE7uCjU6m-n4q0e5j/view?usp=drivesdk</v>
      </c>
      <c r="X152" s="401"/>
      <c r="Y152" s="398" t="s">
        <v>220</v>
      </c>
      <c r="Z152" s="401"/>
      <c r="AA152" s="398" t="s">
        <v>1003</v>
      </c>
      <c r="AB152" s="398" t="s">
        <v>1004</v>
      </c>
      <c r="AC152" s="398" t="s">
        <v>1005</v>
      </c>
      <c r="AD152" s="404">
        <v>4.0</v>
      </c>
      <c r="AE152" s="404">
        <v>44387.0</v>
      </c>
      <c r="AF152" s="404">
        <v>0.16</v>
      </c>
      <c r="AG152" s="402" t="s">
        <v>1006</v>
      </c>
      <c r="AH152" s="398" t="s">
        <v>494</v>
      </c>
      <c r="AI152" s="404">
        <v>0.001</v>
      </c>
      <c r="AJ152" s="397" t="s">
        <v>127</v>
      </c>
      <c r="AK152" s="398" t="s">
        <v>179</v>
      </c>
      <c r="AL152" s="398" t="s">
        <v>132</v>
      </c>
      <c r="AM152" s="405" t="s">
        <v>1007</v>
      </c>
      <c r="AN152" s="404">
        <v>40177.0</v>
      </c>
      <c r="AO152" s="406">
        <v>0.18</v>
      </c>
      <c r="AP152" s="398" t="s">
        <v>1006</v>
      </c>
      <c r="AQ152" s="405" t="s">
        <v>505</v>
      </c>
      <c r="AR152" s="406">
        <v>0.001</v>
      </c>
      <c r="AS152" s="397" t="s">
        <v>127</v>
      </c>
      <c r="AT152" s="397" t="s">
        <v>179</v>
      </c>
      <c r="AU152" s="397" t="s">
        <v>132</v>
      </c>
      <c r="AV152" s="407" t="s">
        <v>1008</v>
      </c>
      <c r="AW152" s="408" t="s">
        <v>434</v>
      </c>
      <c r="AX152" s="55"/>
      <c r="AY152" s="340"/>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c r="CD152" s="64"/>
      <c r="CE152" s="64"/>
      <c r="CF152" s="64"/>
      <c r="CG152" s="64"/>
      <c r="CH152" s="64"/>
      <c r="CI152" s="64"/>
      <c r="CJ152" s="64"/>
      <c r="CK152" s="64"/>
      <c r="CL152" s="64"/>
      <c r="CM152" s="64"/>
      <c r="CN152" s="64"/>
      <c r="CO152" s="64"/>
      <c r="CP152" s="64"/>
      <c r="CQ152" s="64"/>
      <c r="CR152" s="64"/>
      <c r="CS152" s="64"/>
      <c r="CT152" s="64"/>
      <c r="CU152" s="64"/>
      <c r="CV152" s="64"/>
      <c r="CW152" s="64"/>
      <c r="CX152" s="64"/>
      <c r="CY152" s="64"/>
      <c r="CZ152" s="64"/>
      <c r="DA152" s="64"/>
      <c r="DB152" s="64"/>
      <c r="DC152" s="64"/>
      <c r="DD152" s="64"/>
      <c r="DE152" s="64"/>
      <c r="DF152" s="64"/>
      <c r="DG152" s="64"/>
    </row>
    <row r="153" ht="20.25" customHeight="1">
      <c r="A153" s="396" t="s">
        <v>586</v>
      </c>
      <c r="B153" s="396" t="s">
        <v>107</v>
      </c>
      <c r="C153" s="396" t="s">
        <v>1009</v>
      </c>
      <c r="D153" s="340"/>
      <c r="E153" s="60" t="s">
        <v>994</v>
      </c>
      <c r="F153" s="52" t="s">
        <v>1010</v>
      </c>
      <c r="G153" s="147" t="s">
        <v>135</v>
      </c>
      <c r="H153" s="140">
        <v>45427.0</v>
      </c>
      <c r="I153" s="409">
        <v>45639.0</v>
      </c>
      <c r="J153" s="60"/>
      <c r="K153" s="329"/>
      <c r="L153" s="147" t="s">
        <v>997</v>
      </c>
      <c r="M153" s="147" t="s">
        <v>998</v>
      </c>
      <c r="N153" s="144">
        <v>1.0</v>
      </c>
      <c r="O153" s="147" t="s">
        <v>999</v>
      </c>
      <c r="P153" s="48" t="str">
        <f t="array" ref="P153">HYPERLINK(INDEX('File Links'!B:B, MATCH(O153, 'File Links'!C:C, 0)))
</f>
        <v>https://drive.google.com/file/d/1PO93PC_ps2XExqA6N_FX_WnXnQAPrB_Q/view?usp=drivesdk</v>
      </c>
      <c r="Q153" s="147" t="s">
        <v>1000</v>
      </c>
      <c r="R153" s="52" t="s">
        <v>1001</v>
      </c>
      <c r="S153" s="60"/>
      <c r="T153" s="60"/>
      <c r="U153" s="52" t="s">
        <v>1011</v>
      </c>
      <c r="V153" s="52" t="s">
        <v>202</v>
      </c>
      <c r="W153" s="45" t="str">
        <f t="array" ref="W153">HYPERLINK(INDEX('File Links'!B:B, MATCH(U153, 'File Links'!C:C, 0)))
</f>
        <v>#N/A</v>
      </c>
      <c r="X153" s="60"/>
      <c r="Y153" s="52" t="s">
        <v>121</v>
      </c>
      <c r="Z153" s="147" t="s">
        <v>1012</v>
      </c>
      <c r="AA153" s="52" t="s">
        <v>1013</v>
      </c>
      <c r="AB153" s="147" t="s">
        <v>1014</v>
      </c>
      <c r="AC153" s="60" t="s">
        <v>1015</v>
      </c>
      <c r="AD153" s="144">
        <v>4.0</v>
      </c>
      <c r="AE153" s="144">
        <v>44387.0</v>
      </c>
      <c r="AF153" s="144">
        <v>0.16</v>
      </c>
      <c r="AG153" s="330" t="s">
        <v>1006</v>
      </c>
      <c r="AH153" s="355">
        <v>4.0</v>
      </c>
      <c r="AI153" s="355">
        <v>0.001</v>
      </c>
      <c r="AJ153" s="147" t="s">
        <v>127</v>
      </c>
      <c r="AK153" s="55"/>
      <c r="AL153" s="60"/>
      <c r="AM153" s="60"/>
      <c r="AN153" s="144">
        <v>40117.0</v>
      </c>
      <c r="AO153" s="144">
        <v>0.19</v>
      </c>
      <c r="AP153" s="147" t="s">
        <v>1006</v>
      </c>
      <c r="AQ153" s="144">
        <v>3.0</v>
      </c>
      <c r="AR153" s="144">
        <v>0.001</v>
      </c>
      <c r="AS153" s="147" t="s">
        <v>127</v>
      </c>
      <c r="AT153" s="147" t="s">
        <v>179</v>
      </c>
      <c r="AU153" s="60" t="s">
        <v>132</v>
      </c>
      <c r="AV153" s="410" t="s">
        <v>1008</v>
      </c>
      <c r="AW153" s="60" t="s">
        <v>434</v>
      </c>
      <c r="AX153" s="115" t="s">
        <v>1016</v>
      </c>
      <c r="AY153" s="340"/>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c r="CD153" s="64"/>
      <c r="CE153" s="64"/>
      <c r="CF153" s="64"/>
      <c r="CG153" s="64"/>
      <c r="CH153" s="64"/>
      <c r="CI153" s="64"/>
      <c r="CJ153" s="64"/>
      <c r="CK153" s="64"/>
      <c r="CL153" s="64"/>
      <c r="CM153" s="64"/>
      <c r="CN153" s="64"/>
      <c r="CO153" s="64"/>
      <c r="CP153" s="64"/>
      <c r="CQ153" s="64"/>
      <c r="CR153" s="64"/>
      <c r="CS153" s="64"/>
      <c r="CT153" s="64"/>
      <c r="CU153" s="64"/>
      <c r="CV153" s="64"/>
      <c r="CW153" s="64"/>
      <c r="CX153" s="64"/>
      <c r="CY153" s="64"/>
      <c r="CZ153" s="64"/>
      <c r="DA153" s="64"/>
      <c r="DB153" s="64"/>
      <c r="DC153" s="64"/>
      <c r="DD153" s="64"/>
      <c r="DE153" s="64"/>
      <c r="DF153" s="64"/>
      <c r="DG153" s="64"/>
    </row>
    <row r="154" ht="20.25" customHeight="1">
      <c r="A154" s="396" t="s">
        <v>279</v>
      </c>
      <c r="B154" s="396" t="s">
        <v>107</v>
      </c>
      <c r="C154" s="396" t="s">
        <v>1009</v>
      </c>
      <c r="D154" s="340"/>
      <c r="E154" s="60" t="s">
        <v>994</v>
      </c>
      <c r="F154" s="52" t="s">
        <v>1017</v>
      </c>
      <c r="G154" s="147" t="s">
        <v>135</v>
      </c>
      <c r="H154" s="140">
        <v>45427.0</v>
      </c>
      <c r="I154" s="409">
        <v>45639.0</v>
      </c>
      <c r="J154" s="60"/>
      <c r="K154" s="329"/>
      <c r="L154" s="147" t="s">
        <v>997</v>
      </c>
      <c r="M154" s="147" t="s">
        <v>998</v>
      </c>
      <c r="N154" s="144">
        <v>1.0</v>
      </c>
      <c r="O154" s="147" t="s">
        <v>999</v>
      </c>
      <c r="P154" s="48" t="str">
        <f t="array" ref="P154">HYPERLINK(INDEX('File Links'!B:B, MATCH(O154, 'File Links'!C:C, 0)))
</f>
        <v>https://drive.google.com/file/d/1PO93PC_ps2XExqA6N_FX_WnXnQAPrB_Q/view?usp=drivesdk</v>
      </c>
      <c r="Q154" s="147" t="s">
        <v>1000</v>
      </c>
      <c r="R154" s="52" t="s">
        <v>1001</v>
      </c>
      <c r="S154" s="60"/>
      <c r="T154" s="60"/>
      <c r="U154" s="52" t="s">
        <v>1011</v>
      </c>
      <c r="V154" s="52" t="s">
        <v>202</v>
      </c>
      <c r="W154" s="45" t="str">
        <f t="array" ref="W154">HYPERLINK(INDEX('File Links'!B:B, MATCH(U154, 'File Links'!C:C, 0)))
</f>
        <v>#N/A</v>
      </c>
      <c r="X154" s="60"/>
      <c r="Y154" s="52" t="s">
        <v>121</v>
      </c>
      <c r="Z154" s="147" t="s">
        <v>1012</v>
      </c>
      <c r="AA154" s="52" t="s">
        <v>1013</v>
      </c>
      <c r="AB154" s="147" t="s">
        <v>1018</v>
      </c>
      <c r="AC154" s="60" t="s">
        <v>1019</v>
      </c>
      <c r="AD154" s="144">
        <v>4.0</v>
      </c>
      <c r="AE154" s="144">
        <v>44387.0</v>
      </c>
      <c r="AF154" s="144">
        <v>0.07</v>
      </c>
      <c r="AG154" s="330" t="s">
        <v>1006</v>
      </c>
      <c r="AH154" s="355">
        <v>4.0</v>
      </c>
      <c r="AI154" s="355">
        <v>0.001</v>
      </c>
      <c r="AJ154" s="147" t="s">
        <v>127</v>
      </c>
      <c r="AK154" s="55"/>
      <c r="AL154" s="60"/>
      <c r="AM154" s="60"/>
      <c r="AN154" s="144">
        <v>40117.0</v>
      </c>
      <c r="AO154" s="144">
        <v>0.09</v>
      </c>
      <c r="AP154" s="147" t="s">
        <v>1006</v>
      </c>
      <c r="AQ154" s="144">
        <v>3.0</v>
      </c>
      <c r="AR154" s="144">
        <v>0.001</v>
      </c>
      <c r="AS154" s="147" t="s">
        <v>127</v>
      </c>
      <c r="AT154" s="147" t="s">
        <v>179</v>
      </c>
      <c r="AU154" s="60" t="s">
        <v>132</v>
      </c>
      <c r="AV154" s="410" t="s">
        <v>1008</v>
      </c>
      <c r="AW154" s="60" t="s">
        <v>434</v>
      </c>
      <c r="AX154" s="115"/>
      <c r="AY154" s="340"/>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c r="CD154" s="64"/>
      <c r="CE154" s="64"/>
      <c r="CF154" s="64"/>
      <c r="CG154" s="64"/>
      <c r="CH154" s="64"/>
      <c r="CI154" s="64"/>
      <c r="CJ154" s="64"/>
      <c r="CK154" s="64"/>
      <c r="CL154" s="64"/>
      <c r="CM154" s="64"/>
      <c r="CN154" s="64"/>
      <c r="CO154" s="64"/>
      <c r="CP154" s="64"/>
      <c r="CQ154" s="64"/>
      <c r="CR154" s="64"/>
      <c r="CS154" s="64"/>
      <c r="CT154" s="64"/>
      <c r="CU154" s="64"/>
      <c r="CV154" s="64"/>
      <c r="CW154" s="64"/>
      <c r="CX154" s="64"/>
      <c r="CY154" s="64"/>
      <c r="CZ154" s="64"/>
      <c r="DA154" s="64"/>
      <c r="DB154" s="64"/>
      <c r="DC154" s="64"/>
      <c r="DD154" s="64"/>
      <c r="DE154" s="64"/>
      <c r="DF154" s="64"/>
      <c r="DG154" s="64"/>
    </row>
    <row r="155" ht="20.25" customHeight="1">
      <c r="A155" s="135" t="s">
        <v>279</v>
      </c>
      <c r="B155" s="135" t="s">
        <v>107</v>
      </c>
      <c r="C155" s="396" t="s">
        <v>438</v>
      </c>
      <c r="D155" s="340"/>
      <c r="E155" s="411" t="s">
        <v>994</v>
      </c>
      <c r="F155" s="398" t="s">
        <v>1017</v>
      </c>
      <c r="G155" s="398" t="s">
        <v>441</v>
      </c>
      <c r="H155" s="399">
        <v>45634.0</v>
      </c>
      <c r="I155" s="400">
        <v>45670.0</v>
      </c>
      <c r="J155" s="398" t="s">
        <v>996</v>
      </c>
      <c r="K155" s="401"/>
      <c r="L155" s="398" t="s">
        <v>997</v>
      </c>
      <c r="M155" s="398" t="s">
        <v>998</v>
      </c>
      <c r="N155" s="401"/>
      <c r="O155" s="402" t="s">
        <v>999</v>
      </c>
      <c r="P155" s="48" t="str">
        <f t="array" ref="P155">HYPERLINK(INDEX('File Links'!B:B, MATCH(O155, 'File Links'!C:C, 0)))
</f>
        <v>https://drive.google.com/file/d/1PO93PC_ps2XExqA6N_FX_WnXnQAPrB_Q/view?usp=drivesdk</v>
      </c>
      <c r="Q155" s="398" t="s">
        <v>1000</v>
      </c>
      <c r="R155" s="398" t="s">
        <v>1001</v>
      </c>
      <c r="S155" s="401"/>
      <c r="T155" s="403"/>
      <c r="U155" s="398" t="s">
        <v>1002</v>
      </c>
      <c r="V155" s="398" t="s">
        <v>155</v>
      </c>
      <c r="W155" s="50" t="str">
        <f t="array" ref="W155">HYPERLINK(INDEX('File Links'!B:B, MATCH(U155, 'File Links'!C:C, 0)))
</f>
        <v>https://drive.google.com/file/d/1y9Sta1A62b6o1louE7uCjU6m-n4q0e5j/view?usp=drivesdk</v>
      </c>
      <c r="X155" s="401"/>
      <c r="Y155" s="398" t="s">
        <v>220</v>
      </c>
      <c r="Z155" s="401"/>
      <c r="AA155" s="398" t="s">
        <v>1003</v>
      </c>
      <c r="AB155" s="398" t="s">
        <v>1004</v>
      </c>
      <c r="AC155" s="398" t="s">
        <v>1020</v>
      </c>
      <c r="AD155" s="404">
        <v>4.0</v>
      </c>
      <c r="AE155" s="404">
        <v>44387.0</v>
      </c>
      <c r="AF155" s="404">
        <v>0.07</v>
      </c>
      <c r="AG155" s="402" t="s">
        <v>1006</v>
      </c>
      <c r="AH155" s="398" t="s">
        <v>494</v>
      </c>
      <c r="AI155" s="404">
        <v>0.001</v>
      </c>
      <c r="AJ155" s="397" t="s">
        <v>127</v>
      </c>
      <c r="AK155" s="398" t="s">
        <v>179</v>
      </c>
      <c r="AL155" s="398" t="s">
        <v>132</v>
      </c>
      <c r="AM155" s="405" t="s">
        <v>1021</v>
      </c>
      <c r="AN155" s="404">
        <v>40177.0</v>
      </c>
      <c r="AO155" s="406">
        <v>0.08</v>
      </c>
      <c r="AP155" s="398" t="s">
        <v>1006</v>
      </c>
      <c r="AQ155" s="405" t="s">
        <v>505</v>
      </c>
      <c r="AR155" s="406">
        <v>0.001</v>
      </c>
      <c r="AS155" s="397" t="s">
        <v>127</v>
      </c>
      <c r="AT155" s="397" t="s">
        <v>179</v>
      </c>
      <c r="AU155" s="397" t="s">
        <v>132</v>
      </c>
      <c r="AV155" s="407" t="s">
        <v>1008</v>
      </c>
      <c r="AW155" s="408" t="s">
        <v>434</v>
      </c>
      <c r="AX155" s="55"/>
      <c r="AY155" s="340"/>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c r="CD155" s="64"/>
      <c r="CE155" s="64"/>
      <c r="CF155" s="64"/>
      <c r="CG155" s="64"/>
      <c r="CH155" s="64"/>
      <c r="CI155" s="64"/>
      <c r="CJ155" s="64"/>
      <c r="CK155" s="64"/>
      <c r="CL155" s="64"/>
      <c r="CM155" s="64"/>
      <c r="CN155" s="64"/>
      <c r="CO155" s="64"/>
      <c r="CP155" s="64"/>
      <c r="CQ155" s="64"/>
      <c r="CR155" s="64"/>
      <c r="CS155" s="64"/>
      <c r="CT155" s="64"/>
      <c r="CU155" s="64"/>
      <c r="CV155" s="64"/>
      <c r="CW155" s="64"/>
      <c r="CX155" s="64"/>
      <c r="CY155" s="64"/>
      <c r="CZ155" s="64"/>
      <c r="DA155" s="64"/>
      <c r="DB155" s="64"/>
      <c r="DC155" s="64"/>
      <c r="DD155" s="64"/>
      <c r="DE155" s="64"/>
      <c r="DF155" s="64"/>
      <c r="DG155" s="64"/>
    </row>
    <row r="156" ht="20.25" customHeight="1">
      <c r="A156" s="40" t="s">
        <v>106</v>
      </c>
      <c r="B156" s="40" t="s">
        <v>107</v>
      </c>
      <c r="C156" s="41" t="s">
        <v>438</v>
      </c>
      <c r="E156" s="412" t="s">
        <v>1022</v>
      </c>
      <c r="F156" s="352" t="s">
        <v>1023</v>
      </c>
      <c r="G156" s="352" t="s">
        <v>441</v>
      </c>
      <c r="H156" s="413">
        <v>45635.0</v>
      </c>
      <c r="I156" s="55"/>
      <c r="J156" s="352" t="s">
        <v>1024</v>
      </c>
      <c r="K156" s="55"/>
      <c r="L156" s="352" t="s">
        <v>1025</v>
      </c>
      <c r="M156" s="352" t="s">
        <v>1026</v>
      </c>
      <c r="N156" s="55"/>
      <c r="O156" s="414" t="s">
        <v>1027</v>
      </c>
      <c r="P156" s="48" t="str">
        <f t="array" ref="P156">HYPERLINK(INDEX('File Links'!B:B, MATCH(O156, 'File Links'!C:C, 0)))
</f>
        <v>https://drive.google.com/file/d/1CxhrkeSaHBzp5T2m5mVKo0v0N9tNA96j/view?usp=drivesdk</v>
      </c>
      <c r="Q156" s="352" t="s">
        <v>1028</v>
      </c>
      <c r="R156" s="55"/>
      <c r="S156" s="55"/>
      <c r="T156" s="329"/>
      <c r="U156" s="415" t="s">
        <v>351</v>
      </c>
      <c r="V156" s="352" t="s">
        <v>155</v>
      </c>
      <c r="W156" s="45" t="str">
        <f t="array" ref="W156">HYPERLINK(INDEX('File Links'!B:B, MATCH(U156, 'File Links'!C:C, 0)))
</f>
        <v>#N/A</v>
      </c>
      <c r="X156" s="55"/>
      <c r="Y156" s="352" t="s">
        <v>1029</v>
      </c>
      <c r="Z156" s="55"/>
      <c r="AA156" s="352" t="s">
        <v>1030</v>
      </c>
      <c r="AB156" s="55"/>
      <c r="AC156" s="55"/>
      <c r="AD156" s="55"/>
      <c r="AE156" s="55"/>
      <c r="AF156" s="55"/>
      <c r="AG156" s="329"/>
      <c r="AH156" s="55"/>
      <c r="AI156" s="55"/>
      <c r="AJ156" s="60"/>
      <c r="AK156" s="55"/>
      <c r="AL156" s="55"/>
      <c r="AM156" s="55"/>
      <c r="AN156" s="55"/>
      <c r="AO156" s="55"/>
      <c r="AP156" s="55"/>
      <c r="AQ156" s="55"/>
      <c r="AR156" s="55"/>
      <c r="AS156" s="60"/>
      <c r="AT156" s="60"/>
      <c r="AU156" s="60"/>
      <c r="AV156" s="60"/>
      <c r="AW156" s="412" t="s">
        <v>142</v>
      </c>
      <c r="AX156" s="55"/>
      <c r="AY156" s="41" t="s">
        <v>135</v>
      </c>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c r="CD156" s="64"/>
      <c r="CE156" s="64"/>
      <c r="CF156" s="64"/>
      <c r="CG156" s="64"/>
      <c r="CH156" s="64"/>
      <c r="CI156" s="64"/>
      <c r="CJ156" s="64"/>
      <c r="CK156" s="64"/>
      <c r="CL156" s="64"/>
      <c r="CM156" s="64"/>
      <c r="CN156" s="64"/>
      <c r="CO156" s="64"/>
      <c r="CP156" s="64"/>
      <c r="CQ156" s="64"/>
      <c r="CR156" s="64"/>
      <c r="CS156" s="64"/>
      <c r="CT156" s="64"/>
      <c r="CU156" s="64"/>
      <c r="CV156" s="64"/>
      <c r="CW156" s="64"/>
      <c r="CX156" s="64"/>
      <c r="CY156" s="64"/>
      <c r="CZ156" s="64"/>
      <c r="DA156" s="64"/>
      <c r="DB156" s="64"/>
      <c r="DC156" s="64"/>
      <c r="DD156" s="64"/>
      <c r="DE156" s="64"/>
      <c r="DF156" s="64"/>
      <c r="DG156" s="64"/>
    </row>
    <row r="157" ht="20.25" hidden="1" customHeight="1">
      <c r="A157" s="41" t="s">
        <v>106</v>
      </c>
      <c r="B157" s="41" t="s">
        <v>107</v>
      </c>
      <c r="C157" s="41" t="s">
        <v>1009</v>
      </c>
      <c r="E157" s="60" t="s">
        <v>1022</v>
      </c>
      <c r="F157" s="52" t="s">
        <v>1023</v>
      </c>
      <c r="G157" s="147" t="s">
        <v>135</v>
      </c>
      <c r="H157" s="140">
        <v>45427.0</v>
      </c>
      <c r="I157" s="409">
        <v>45639.0</v>
      </c>
      <c r="J157" s="60"/>
      <c r="K157" s="60"/>
      <c r="L157" s="147" t="s">
        <v>1025</v>
      </c>
      <c r="M157" s="147" t="s">
        <v>1026</v>
      </c>
      <c r="N157" s="60"/>
      <c r="O157" s="145" t="s">
        <v>1027</v>
      </c>
      <c r="P157" s="48" t="str">
        <f t="array" ref="P157">HYPERLINK(INDEX('File Links'!B:B, MATCH(O157, 'File Links'!C:C, 0)))
</f>
        <v>https://drive.google.com/file/d/1CxhrkeSaHBzp5T2m5mVKo0v0N9tNA96j/view?usp=drivesdk</v>
      </c>
      <c r="Q157" s="147" t="s">
        <v>1028</v>
      </c>
      <c r="R157" s="60"/>
      <c r="S157" s="60"/>
      <c r="T157" s="60"/>
      <c r="U157" s="145" t="s">
        <v>1031</v>
      </c>
      <c r="V157" s="60"/>
      <c r="W157" s="50" t="str">
        <f t="array" ref="W157">HYPERLINK(INDEX('File Links'!B:B, MATCH(U157, 'File Links'!C:C, 0)))
</f>
        <v>https://drive.google.com/file/d/1vapTuoFWQvT1qaSJqcvZzdcKGuZPcOor/view?usp=drivesdk</v>
      </c>
      <c r="X157" s="147" t="s">
        <v>1032</v>
      </c>
      <c r="Y157" s="147" t="s">
        <v>1029</v>
      </c>
      <c r="Z157" s="60"/>
      <c r="AA157" s="60"/>
      <c r="AB157" s="60"/>
      <c r="AC157" s="60"/>
      <c r="AD157" s="60"/>
      <c r="AE157" s="60"/>
      <c r="AF157" s="60"/>
      <c r="AG157" s="329"/>
      <c r="AH157" s="55"/>
      <c r="AI157" s="55"/>
      <c r="AJ157" s="60"/>
      <c r="AK157" s="55"/>
      <c r="AL157" s="60"/>
      <c r="AM157" s="60"/>
      <c r="AN157" s="60"/>
      <c r="AO157" s="60"/>
      <c r="AP157" s="60"/>
      <c r="AQ157" s="60"/>
      <c r="AR157" s="60"/>
      <c r="AS157" s="60"/>
      <c r="AT157" s="60"/>
      <c r="AU157" s="60"/>
      <c r="AV157" s="60"/>
      <c r="AW157" s="60"/>
      <c r="AX157" s="60"/>
      <c r="AY157" s="41" t="s">
        <v>135</v>
      </c>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c r="CD157" s="64"/>
      <c r="CE157" s="64"/>
      <c r="CF157" s="64"/>
      <c r="CG157" s="64"/>
      <c r="CH157" s="64"/>
      <c r="CI157" s="64"/>
      <c r="CJ157" s="64"/>
      <c r="CK157" s="64"/>
      <c r="CL157" s="64"/>
      <c r="CM157" s="64"/>
      <c r="CN157" s="64"/>
      <c r="CO157" s="64"/>
      <c r="CP157" s="64"/>
      <c r="CQ157" s="64"/>
      <c r="CR157" s="64"/>
      <c r="CS157" s="64"/>
      <c r="CT157" s="64"/>
      <c r="CU157" s="64"/>
      <c r="CV157" s="64"/>
      <c r="CW157" s="64"/>
      <c r="CX157" s="64"/>
      <c r="CY157" s="64"/>
      <c r="CZ157" s="64"/>
      <c r="DA157" s="64"/>
      <c r="DB157" s="64"/>
      <c r="DC157" s="64"/>
      <c r="DD157" s="64"/>
      <c r="DE157" s="64"/>
      <c r="DF157" s="64"/>
      <c r="DG157" s="64"/>
    </row>
    <row r="158" ht="20.25" customHeight="1">
      <c r="A158" s="135" t="s">
        <v>279</v>
      </c>
      <c r="B158" s="135" t="s">
        <v>107</v>
      </c>
      <c r="C158" s="396" t="s">
        <v>438</v>
      </c>
      <c r="D158" s="340"/>
      <c r="E158" s="397" t="s">
        <v>1033</v>
      </c>
      <c r="F158" s="398" t="s">
        <v>1034</v>
      </c>
      <c r="G158" s="398" t="s">
        <v>441</v>
      </c>
      <c r="H158" s="399">
        <v>45635.0</v>
      </c>
      <c r="I158" s="401"/>
      <c r="J158" s="401"/>
      <c r="K158" s="401"/>
      <c r="L158" s="398" t="s">
        <v>1035</v>
      </c>
      <c r="M158" s="398" t="s">
        <v>1036</v>
      </c>
      <c r="N158" s="401"/>
      <c r="O158" s="402" t="s">
        <v>1037</v>
      </c>
      <c r="P158" s="48" t="str">
        <f t="array" ref="P158">HYPERLINK(INDEX('File Links'!B:B, MATCH(O158, 'File Links'!C:C, 0)))
</f>
        <v>https://drive.google.com/file/d/1DrC4ktWX9HamK4DWq_tF1P_2alxXHAnN/view?usp=drivesdk</v>
      </c>
      <c r="Q158" s="398" t="s">
        <v>1038</v>
      </c>
      <c r="R158" s="416" t="s">
        <v>1039</v>
      </c>
      <c r="S158" s="401"/>
      <c r="T158" s="403"/>
      <c r="U158" s="398" t="s">
        <v>1040</v>
      </c>
      <c r="V158" s="398" t="s">
        <v>155</v>
      </c>
      <c r="W158" s="45" t="str">
        <f t="array" ref="W158">HYPERLINK(INDEX('File Links'!B:B, MATCH(U158, 'File Links'!C:C, 0)))
</f>
        <v>#N/A</v>
      </c>
      <c r="X158" s="401"/>
      <c r="Y158" s="398" t="s">
        <v>501</v>
      </c>
      <c r="Z158" s="401"/>
      <c r="AA158" s="398" t="s">
        <v>1041</v>
      </c>
      <c r="AB158" s="417" t="s">
        <v>1042</v>
      </c>
      <c r="AC158" s="398" t="s">
        <v>1043</v>
      </c>
      <c r="AD158" s="404">
        <v>1.0</v>
      </c>
      <c r="AE158" s="404">
        <v>97.0</v>
      </c>
      <c r="AF158" s="404">
        <v>0.27</v>
      </c>
      <c r="AG158" s="402" t="s">
        <v>357</v>
      </c>
      <c r="AH158" s="398" t="s">
        <v>894</v>
      </c>
      <c r="AI158" s="404">
        <v>0.02</v>
      </c>
      <c r="AJ158" s="397" t="s">
        <v>164</v>
      </c>
      <c r="AK158" s="398" t="s">
        <v>179</v>
      </c>
      <c r="AL158" s="398" t="s">
        <v>129</v>
      </c>
      <c r="AM158" s="401"/>
      <c r="AN158" s="404">
        <v>123.0</v>
      </c>
      <c r="AO158" s="404">
        <v>0.09</v>
      </c>
      <c r="AP158" s="398" t="s">
        <v>357</v>
      </c>
      <c r="AQ158" s="398" t="s">
        <v>894</v>
      </c>
      <c r="AR158" s="406">
        <v>0.47</v>
      </c>
      <c r="AS158" s="397" t="s">
        <v>164</v>
      </c>
      <c r="AT158" s="397" t="s">
        <v>179</v>
      </c>
      <c r="AU158" s="397" t="s">
        <v>129</v>
      </c>
      <c r="AV158" s="418" t="s">
        <v>1044</v>
      </c>
      <c r="AW158" s="408" t="s">
        <v>434</v>
      </c>
      <c r="AX158" s="55"/>
      <c r="AY158" s="340"/>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c r="CY158" s="64"/>
      <c r="CZ158" s="64"/>
      <c r="DA158" s="64"/>
      <c r="DB158" s="64"/>
      <c r="DC158" s="64"/>
      <c r="DD158" s="64"/>
      <c r="DE158" s="64"/>
      <c r="DF158" s="64"/>
      <c r="DG158" s="64"/>
    </row>
    <row r="159" ht="20.25" customHeight="1">
      <c r="A159" s="396" t="s">
        <v>586</v>
      </c>
      <c r="B159" s="396" t="s">
        <v>107</v>
      </c>
      <c r="C159" s="396" t="s">
        <v>1009</v>
      </c>
      <c r="D159" s="340"/>
      <c r="E159" s="60" t="s">
        <v>1033</v>
      </c>
      <c r="F159" s="52" t="s">
        <v>1045</v>
      </c>
      <c r="G159" s="147" t="s">
        <v>135</v>
      </c>
      <c r="H159" s="140">
        <v>45427.0</v>
      </c>
      <c r="I159" s="409">
        <v>45639.0</v>
      </c>
      <c r="J159" s="60"/>
      <c r="K159" s="60"/>
      <c r="L159" s="147" t="s">
        <v>1035</v>
      </c>
      <c r="M159" s="147" t="s">
        <v>1036</v>
      </c>
      <c r="N159" s="144">
        <v>1.0</v>
      </c>
      <c r="O159" s="147" t="s">
        <v>1037</v>
      </c>
      <c r="P159" s="48" t="str">
        <f t="array" ref="P159">HYPERLINK(INDEX('File Links'!B:B, MATCH(O159, 'File Links'!C:C, 0)))
</f>
        <v>https://drive.google.com/file/d/1DrC4ktWX9HamK4DWq_tF1P_2alxXHAnN/view?usp=drivesdk</v>
      </c>
      <c r="Q159" s="419" t="s">
        <v>1038</v>
      </c>
      <c r="R159" s="147" t="s">
        <v>1039</v>
      </c>
      <c r="S159" s="60"/>
      <c r="T159" s="144">
        <v>1.0</v>
      </c>
      <c r="U159" s="147" t="s">
        <v>1046</v>
      </c>
      <c r="V159" s="52" t="s">
        <v>202</v>
      </c>
      <c r="W159" s="45" t="str">
        <f t="array" ref="W159">HYPERLINK(INDEX('File Links'!B:B, MATCH(U159, 'File Links'!C:C, 0)))
</f>
        <v>#N/A</v>
      </c>
      <c r="X159" s="60"/>
      <c r="Y159" s="147" t="s">
        <v>849</v>
      </c>
      <c r="Z159" s="147" t="s">
        <v>1047</v>
      </c>
      <c r="AA159" s="147" t="s">
        <v>1048</v>
      </c>
      <c r="AB159" s="147" t="s">
        <v>1049</v>
      </c>
      <c r="AC159" s="147" t="s">
        <v>1050</v>
      </c>
      <c r="AD159" s="327">
        <v>5.0</v>
      </c>
      <c r="AE159" s="144">
        <v>97.0</v>
      </c>
      <c r="AF159" s="144">
        <v>10.87</v>
      </c>
      <c r="AG159" s="330" t="s">
        <v>1051</v>
      </c>
      <c r="AH159" s="355">
        <v>5.0</v>
      </c>
      <c r="AI159" s="355">
        <v>0.001</v>
      </c>
      <c r="AJ159" s="147" t="s">
        <v>127</v>
      </c>
      <c r="AK159" s="52" t="s">
        <v>179</v>
      </c>
      <c r="AL159" s="60" t="s">
        <v>129</v>
      </c>
      <c r="AM159" s="60"/>
      <c r="AN159" s="144">
        <v>123.0</v>
      </c>
      <c r="AO159" s="144">
        <v>8.02</v>
      </c>
      <c r="AP159" s="147" t="s">
        <v>1051</v>
      </c>
      <c r="AQ159" s="144">
        <v>5.0</v>
      </c>
      <c r="AR159" s="144">
        <v>0.001</v>
      </c>
      <c r="AS159" s="147" t="s">
        <v>127</v>
      </c>
      <c r="AT159" s="147" t="s">
        <v>179</v>
      </c>
      <c r="AU159" s="60" t="s">
        <v>132</v>
      </c>
      <c r="AV159" s="60"/>
      <c r="AW159" s="60" t="s">
        <v>434</v>
      </c>
      <c r="AX159" s="60"/>
      <c r="AY159" s="340"/>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c r="CD159" s="64"/>
      <c r="CE159" s="64"/>
      <c r="CF159" s="64"/>
      <c r="CG159" s="64"/>
      <c r="CH159" s="64"/>
      <c r="CI159" s="64"/>
      <c r="CJ159" s="64"/>
      <c r="CK159" s="64"/>
      <c r="CL159" s="64"/>
      <c r="CM159" s="64"/>
      <c r="CN159" s="64"/>
      <c r="CO159" s="64"/>
      <c r="CP159" s="64"/>
      <c r="CQ159" s="64"/>
      <c r="CR159" s="64"/>
      <c r="CS159" s="64"/>
      <c r="CT159" s="64"/>
      <c r="CU159" s="64"/>
      <c r="CV159" s="64"/>
      <c r="CW159" s="64"/>
      <c r="CX159" s="64"/>
      <c r="CY159" s="64"/>
      <c r="CZ159" s="64"/>
      <c r="DA159" s="64"/>
      <c r="DB159" s="64"/>
      <c r="DC159" s="64"/>
      <c r="DD159" s="64"/>
      <c r="DE159" s="64"/>
      <c r="DF159" s="64"/>
      <c r="DG159" s="64"/>
    </row>
    <row r="160" ht="20.25" customHeight="1">
      <c r="A160" s="396" t="s">
        <v>586</v>
      </c>
      <c r="B160" s="396"/>
      <c r="C160" s="396"/>
      <c r="D160" s="340"/>
      <c r="E160" s="60" t="s">
        <v>1033</v>
      </c>
      <c r="F160" s="52" t="s">
        <v>1052</v>
      </c>
      <c r="G160" s="147" t="s">
        <v>135</v>
      </c>
      <c r="H160" s="140">
        <v>45427.0</v>
      </c>
      <c r="I160" s="409">
        <v>45639.0</v>
      </c>
      <c r="J160" s="60"/>
      <c r="K160" s="60"/>
      <c r="L160" s="147" t="s">
        <v>1035</v>
      </c>
      <c r="M160" s="147" t="s">
        <v>1036</v>
      </c>
      <c r="N160" s="144">
        <v>1.0</v>
      </c>
      <c r="O160" s="147" t="s">
        <v>1037</v>
      </c>
      <c r="P160" s="48" t="str">
        <f t="array" ref="P160">HYPERLINK(INDEX('File Links'!B:B, MATCH(O160, 'File Links'!C:C, 0)))
</f>
        <v>https://drive.google.com/file/d/1DrC4ktWX9HamK4DWq_tF1P_2alxXHAnN/view?usp=drivesdk</v>
      </c>
      <c r="Q160" s="330" t="s">
        <v>1038</v>
      </c>
      <c r="R160" s="147" t="s">
        <v>1039</v>
      </c>
      <c r="S160" s="60"/>
      <c r="T160" s="144">
        <v>1.0</v>
      </c>
      <c r="U160" s="147" t="s">
        <v>1046</v>
      </c>
      <c r="V160" s="52" t="s">
        <v>202</v>
      </c>
      <c r="W160" s="45" t="str">
        <f t="array" ref="W160">HYPERLINK(INDEX('File Links'!B:B, MATCH(U160, 'File Links'!C:C, 0)))
</f>
        <v>#N/A</v>
      </c>
      <c r="X160" s="60"/>
      <c r="Y160" s="147" t="s">
        <v>849</v>
      </c>
      <c r="Z160" s="147" t="s">
        <v>1047</v>
      </c>
      <c r="AA160" s="147" t="s">
        <v>1048</v>
      </c>
      <c r="AB160" s="147" t="s">
        <v>1053</v>
      </c>
      <c r="AC160" s="147" t="s">
        <v>1054</v>
      </c>
      <c r="AD160" s="327">
        <v>5.0</v>
      </c>
      <c r="AE160" s="144">
        <v>96.0</v>
      </c>
      <c r="AF160" s="144">
        <v>3.08</v>
      </c>
      <c r="AG160" s="330" t="s">
        <v>1051</v>
      </c>
      <c r="AH160" s="355">
        <v>5.0</v>
      </c>
      <c r="AI160" s="355">
        <v>0.01</v>
      </c>
      <c r="AJ160" s="147" t="s">
        <v>127</v>
      </c>
      <c r="AK160" s="52" t="s">
        <v>179</v>
      </c>
      <c r="AL160" s="60" t="s">
        <v>129</v>
      </c>
      <c r="AM160" s="60"/>
      <c r="AN160" s="144">
        <v>119.0</v>
      </c>
      <c r="AO160" s="144">
        <v>1.97</v>
      </c>
      <c r="AP160" s="147" t="s">
        <v>1051</v>
      </c>
      <c r="AQ160" s="144">
        <v>5.0</v>
      </c>
      <c r="AR160" s="144">
        <v>0.06</v>
      </c>
      <c r="AS160" s="147" t="s">
        <v>164</v>
      </c>
      <c r="AT160" s="147" t="s">
        <v>179</v>
      </c>
      <c r="AU160" s="60" t="s">
        <v>132</v>
      </c>
      <c r="AV160" s="60"/>
      <c r="AW160" s="60" t="s">
        <v>434</v>
      </c>
      <c r="AX160" s="60"/>
      <c r="AY160" s="340"/>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c r="CD160" s="64"/>
      <c r="CE160" s="64"/>
      <c r="CF160" s="64"/>
      <c r="CG160" s="64"/>
      <c r="CH160" s="64"/>
      <c r="CI160" s="64"/>
      <c r="CJ160" s="64"/>
      <c r="CK160" s="64"/>
      <c r="CL160" s="64"/>
      <c r="CM160" s="64"/>
      <c r="CN160" s="64"/>
      <c r="CO160" s="64"/>
      <c r="CP160" s="64"/>
      <c r="CQ160" s="64"/>
      <c r="CR160" s="64"/>
      <c r="CS160" s="64"/>
      <c r="CT160" s="64"/>
      <c r="CU160" s="64"/>
      <c r="CV160" s="64"/>
      <c r="CW160" s="64"/>
      <c r="CX160" s="64"/>
      <c r="CY160" s="64"/>
      <c r="CZ160" s="64"/>
      <c r="DA160" s="64"/>
      <c r="DB160" s="64"/>
      <c r="DC160" s="64"/>
      <c r="DD160" s="64"/>
      <c r="DE160" s="64"/>
      <c r="DF160" s="64"/>
      <c r="DG160" s="64"/>
    </row>
    <row r="161" ht="20.25" customHeight="1">
      <c r="A161" s="396" t="s">
        <v>586</v>
      </c>
      <c r="B161" s="396"/>
      <c r="C161" s="396"/>
      <c r="D161" s="340"/>
      <c r="E161" s="60" t="s">
        <v>1033</v>
      </c>
      <c r="F161" s="52" t="s">
        <v>1055</v>
      </c>
      <c r="G161" s="147" t="s">
        <v>135</v>
      </c>
      <c r="H161" s="140">
        <v>45427.0</v>
      </c>
      <c r="I161" s="409">
        <v>45639.0</v>
      </c>
      <c r="J161" s="60"/>
      <c r="K161" s="60"/>
      <c r="L161" s="147" t="s">
        <v>1035</v>
      </c>
      <c r="M161" s="147" t="s">
        <v>1036</v>
      </c>
      <c r="N161" s="144">
        <v>1.0</v>
      </c>
      <c r="O161" s="147" t="s">
        <v>1037</v>
      </c>
      <c r="P161" s="48" t="str">
        <f t="array" ref="P161">HYPERLINK(INDEX('File Links'!B:B, MATCH(O161, 'File Links'!C:C, 0)))
</f>
        <v>https://drive.google.com/file/d/1DrC4ktWX9HamK4DWq_tF1P_2alxXHAnN/view?usp=drivesdk</v>
      </c>
      <c r="Q161" s="330" t="s">
        <v>1038</v>
      </c>
      <c r="R161" s="147" t="s">
        <v>1039</v>
      </c>
      <c r="S161" s="60"/>
      <c r="T161" s="144">
        <v>1.0</v>
      </c>
      <c r="U161" s="147" t="s">
        <v>1046</v>
      </c>
      <c r="V161" s="52" t="s">
        <v>202</v>
      </c>
      <c r="W161" s="45" t="str">
        <f t="array" ref="W161">HYPERLINK(INDEX('File Links'!B:B, MATCH(U161, 'File Links'!C:C, 0)))
</f>
        <v>#N/A</v>
      </c>
      <c r="X161" s="60"/>
      <c r="Y161" s="147" t="s">
        <v>849</v>
      </c>
      <c r="Z161" s="147" t="s">
        <v>1047</v>
      </c>
      <c r="AA161" s="147" t="s">
        <v>1048</v>
      </c>
      <c r="AB161" s="147" t="s">
        <v>1056</v>
      </c>
      <c r="AC161" s="147" t="s">
        <v>1057</v>
      </c>
      <c r="AD161" s="327">
        <v>5.0</v>
      </c>
      <c r="AE161" s="144">
        <v>93.0</v>
      </c>
      <c r="AF161" s="144">
        <v>2.11</v>
      </c>
      <c r="AG161" s="330" t="s">
        <v>1051</v>
      </c>
      <c r="AH161" s="355">
        <v>5.0</v>
      </c>
      <c r="AI161" s="355">
        <v>0.4</v>
      </c>
      <c r="AJ161" s="147" t="s">
        <v>164</v>
      </c>
      <c r="AK161" s="52" t="s">
        <v>179</v>
      </c>
      <c r="AL161" s="60" t="s">
        <v>129</v>
      </c>
      <c r="AM161" s="60"/>
      <c r="AN161" s="144">
        <v>117.0</v>
      </c>
      <c r="AO161" s="144">
        <v>1.51</v>
      </c>
      <c r="AP161" s="147" t="s">
        <v>1051</v>
      </c>
      <c r="AQ161" s="144">
        <v>5.0</v>
      </c>
      <c r="AR161" s="144">
        <v>0.16</v>
      </c>
      <c r="AS161" s="147" t="s">
        <v>164</v>
      </c>
      <c r="AT161" s="147" t="s">
        <v>179</v>
      </c>
      <c r="AU161" s="60" t="s">
        <v>132</v>
      </c>
      <c r="AV161" s="60"/>
      <c r="AW161" s="60" t="s">
        <v>434</v>
      </c>
      <c r="AX161" s="60"/>
      <c r="AY161" s="340"/>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c r="CD161" s="64"/>
      <c r="CE161" s="64"/>
      <c r="CF161" s="64"/>
      <c r="CG161" s="64"/>
      <c r="CH161" s="64"/>
      <c r="CI161" s="64"/>
      <c r="CJ161" s="64"/>
      <c r="CK161" s="64"/>
      <c r="CL161" s="64"/>
      <c r="CM161" s="64"/>
      <c r="CN161" s="64"/>
      <c r="CO161" s="64"/>
      <c r="CP161" s="64"/>
      <c r="CQ161" s="64"/>
      <c r="CR161" s="64"/>
      <c r="CS161" s="64"/>
      <c r="CT161" s="64"/>
      <c r="CU161" s="64"/>
      <c r="CV161" s="64"/>
      <c r="CW161" s="64"/>
      <c r="CX161" s="64"/>
      <c r="CY161" s="64"/>
      <c r="CZ161" s="64"/>
      <c r="DA161" s="64"/>
      <c r="DB161" s="64"/>
      <c r="DC161" s="64"/>
      <c r="DD161" s="64"/>
      <c r="DE161" s="64"/>
      <c r="DF161" s="64"/>
      <c r="DG161" s="64"/>
    </row>
    <row r="162" ht="20.25" customHeight="1">
      <c r="A162" s="135" t="s">
        <v>279</v>
      </c>
      <c r="B162" s="135" t="s">
        <v>107</v>
      </c>
      <c r="C162" s="396" t="s">
        <v>438</v>
      </c>
      <c r="D162" s="340"/>
      <c r="E162" s="411" t="s">
        <v>1033</v>
      </c>
      <c r="F162" s="398" t="s">
        <v>1052</v>
      </c>
      <c r="G162" s="398" t="s">
        <v>441</v>
      </c>
      <c r="H162" s="399">
        <v>45635.0</v>
      </c>
      <c r="I162" s="401"/>
      <c r="J162" s="401"/>
      <c r="K162" s="401"/>
      <c r="L162" s="398" t="s">
        <v>1035</v>
      </c>
      <c r="M162" s="398" t="s">
        <v>1036</v>
      </c>
      <c r="N162" s="401"/>
      <c r="O162" s="402" t="s">
        <v>1037</v>
      </c>
      <c r="P162" s="48" t="str">
        <f t="array" ref="P162">HYPERLINK(INDEX('File Links'!B:B, MATCH(O162, 'File Links'!C:C, 0)))
</f>
        <v>https://drive.google.com/file/d/1DrC4ktWX9HamK4DWq_tF1P_2alxXHAnN/view?usp=drivesdk</v>
      </c>
      <c r="Q162" s="398" t="s">
        <v>1038</v>
      </c>
      <c r="R162" s="416" t="s">
        <v>1039</v>
      </c>
      <c r="S162" s="401"/>
      <c r="T162" s="403"/>
      <c r="U162" s="398" t="s">
        <v>1040</v>
      </c>
      <c r="V162" s="398" t="s">
        <v>155</v>
      </c>
      <c r="W162" s="45" t="str">
        <f t="array" ref="W162">HYPERLINK(INDEX('File Links'!B:B, MATCH(U162, 'File Links'!C:C, 0)))
</f>
        <v>#N/A</v>
      </c>
      <c r="X162" s="401"/>
      <c r="Y162" s="398" t="s">
        <v>501</v>
      </c>
      <c r="Z162" s="401"/>
      <c r="AA162" s="398" t="s">
        <v>1041</v>
      </c>
      <c r="AB162" s="417" t="s">
        <v>1042</v>
      </c>
      <c r="AC162" s="398" t="s">
        <v>1058</v>
      </c>
      <c r="AD162" s="404">
        <v>1.0</v>
      </c>
      <c r="AE162" s="404">
        <v>97.0</v>
      </c>
      <c r="AF162" s="404">
        <v>0.35</v>
      </c>
      <c r="AG162" s="402" t="s">
        <v>357</v>
      </c>
      <c r="AH162" s="398" t="s">
        <v>894</v>
      </c>
      <c r="AI162" s="404">
        <v>0.01</v>
      </c>
      <c r="AJ162" s="397" t="s">
        <v>127</v>
      </c>
      <c r="AK162" s="398" t="s">
        <v>179</v>
      </c>
      <c r="AL162" s="398" t="s">
        <v>129</v>
      </c>
      <c r="AM162" s="401"/>
      <c r="AN162" s="404">
        <v>123.0</v>
      </c>
      <c r="AO162" s="420">
        <v>-0.01</v>
      </c>
      <c r="AP162" s="421" t="s">
        <v>357</v>
      </c>
      <c r="AQ162" s="398" t="s">
        <v>894</v>
      </c>
      <c r="AR162" s="420">
        <v>0.86</v>
      </c>
      <c r="AS162" s="397" t="s">
        <v>164</v>
      </c>
      <c r="AT162" s="397" t="s">
        <v>179</v>
      </c>
      <c r="AU162" s="397" t="s">
        <v>129</v>
      </c>
      <c r="AV162" s="418" t="s">
        <v>1044</v>
      </c>
      <c r="AW162" s="408" t="s">
        <v>434</v>
      </c>
      <c r="AX162" s="55"/>
      <c r="AY162" s="340"/>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c r="CD162" s="64"/>
      <c r="CE162" s="64"/>
      <c r="CF162" s="64"/>
      <c r="CG162" s="64"/>
      <c r="CH162" s="64"/>
      <c r="CI162" s="64"/>
      <c r="CJ162" s="64"/>
      <c r="CK162" s="64"/>
      <c r="CL162" s="64"/>
      <c r="CM162" s="64"/>
      <c r="CN162" s="64"/>
      <c r="CO162" s="64"/>
      <c r="CP162" s="64"/>
      <c r="CQ162" s="64"/>
      <c r="CR162" s="64"/>
      <c r="CS162" s="64"/>
      <c r="CT162" s="64"/>
      <c r="CU162" s="64"/>
      <c r="CV162" s="64"/>
      <c r="CW162" s="64"/>
      <c r="CX162" s="64"/>
      <c r="CY162" s="64"/>
      <c r="CZ162" s="64"/>
      <c r="DA162" s="64"/>
      <c r="DB162" s="64"/>
      <c r="DC162" s="64"/>
      <c r="DD162" s="64"/>
      <c r="DE162" s="64"/>
      <c r="DF162" s="64"/>
      <c r="DG162" s="64"/>
    </row>
    <row r="163" ht="20.25" customHeight="1">
      <c r="A163" s="135" t="s">
        <v>279</v>
      </c>
      <c r="B163" s="135" t="s">
        <v>107</v>
      </c>
      <c r="C163" s="396" t="s">
        <v>438</v>
      </c>
      <c r="D163" s="340"/>
      <c r="E163" s="411" t="s">
        <v>1033</v>
      </c>
      <c r="F163" s="398" t="s">
        <v>1055</v>
      </c>
      <c r="G163" s="398" t="s">
        <v>441</v>
      </c>
      <c r="H163" s="399">
        <v>45635.0</v>
      </c>
      <c r="I163" s="401"/>
      <c r="J163" s="401"/>
      <c r="K163" s="401"/>
      <c r="L163" s="398" t="s">
        <v>1035</v>
      </c>
      <c r="M163" s="398" t="s">
        <v>1036</v>
      </c>
      <c r="N163" s="401"/>
      <c r="O163" s="402" t="s">
        <v>1037</v>
      </c>
      <c r="P163" s="48" t="str">
        <f t="array" ref="P163">HYPERLINK(INDEX('File Links'!B:B, MATCH(O163, 'File Links'!C:C, 0)))
</f>
        <v>https://drive.google.com/file/d/1DrC4ktWX9HamK4DWq_tF1P_2alxXHAnN/view?usp=drivesdk</v>
      </c>
      <c r="Q163" s="398" t="s">
        <v>1038</v>
      </c>
      <c r="R163" s="416" t="s">
        <v>1039</v>
      </c>
      <c r="S163" s="401"/>
      <c r="T163" s="403"/>
      <c r="U163" s="398" t="s">
        <v>1040</v>
      </c>
      <c r="V163" s="398" t="s">
        <v>155</v>
      </c>
      <c r="W163" s="45" t="str">
        <f t="array" ref="W163">HYPERLINK(INDEX('File Links'!B:B, MATCH(U163, 'File Links'!C:C, 0)))
</f>
        <v>#N/A</v>
      </c>
      <c r="X163" s="401"/>
      <c r="Y163" s="398" t="s">
        <v>501</v>
      </c>
      <c r="Z163" s="401"/>
      <c r="AA163" s="398" t="s">
        <v>1041</v>
      </c>
      <c r="AB163" s="417" t="s">
        <v>1042</v>
      </c>
      <c r="AC163" s="398" t="s">
        <v>1059</v>
      </c>
      <c r="AD163" s="404">
        <v>1.0</v>
      </c>
      <c r="AE163" s="404">
        <v>97.0</v>
      </c>
      <c r="AF163" s="404">
        <v>-0.2</v>
      </c>
      <c r="AG163" s="402" t="s">
        <v>357</v>
      </c>
      <c r="AH163" s="398" t="s">
        <v>894</v>
      </c>
      <c r="AI163" s="404">
        <v>0.01</v>
      </c>
      <c r="AJ163" s="397" t="s">
        <v>127</v>
      </c>
      <c r="AK163" s="398" t="s">
        <v>179</v>
      </c>
      <c r="AL163" s="398" t="s">
        <v>129</v>
      </c>
      <c r="AM163" s="401"/>
      <c r="AN163" s="404">
        <v>123.0</v>
      </c>
      <c r="AO163" s="420">
        <v>-0.33</v>
      </c>
      <c r="AP163" s="421" t="s">
        <v>357</v>
      </c>
      <c r="AQ163" s="398" t="s">
        <v>894</v>
      </c>
      <c r="AR163" s="420">
        <v>0.01</v>
      </c>
      <c r="AS163" s="397" t="s">
        <v>127</v>
      </c>
      <c r="AT163" s="397" t="s">
        <v>179</v>
      </c>
      <c r="AU163" s="397" t="s">
        <v>129</v>
      </c>
      <c r="AV163" s="418" t="s">
        <v>1044</v>
      </c>
      <c r="AW163" s="408" t="s">
        <v>434</v>
      </c>
      <c r="AX163" s="55"/>
      <c r="AY163" s="340"/>
    </row>
    <row r="164" ht="20.25" customHeight="1">
      <c r="A164" s="135" t="s">
        <v>279</v>
      </c>
      <c r="B164" s="135" t="s">
        <v>107</v>
      </c>
      <c r="C164" s="396" t="s">
        <v>438</v>
      </c>
      <c r="D164" s="340"/>
      <c r="E164" s="411" t="s">
        <v>1033</v>
      </c>
      <c r="F164" s="398" t="s">
        <v>1060</v>
      </c>
      <c r="G164" s="398" t="s">
        <v>441</v>
      </c>
      <c r="H164" s="399">
        <v>45635.0</v>
      </c>
      <c r="I164" s="401"/>
      <c r="J164" s="398" t="s">
        <v>1061</v>
      </c>
      <c r="K164" s="401"/>
      <c r="L164" s="398" t="s">
        <v>1035</v>
      </c>
      <c r="M164" s="398" t="s">
        <v>1036</v>
      </c>
      <c r="N164" s="401"/>
      <c r="O164" s="402" t="s">
        <v>1037</v>
      </c>
      <c r="P164" s="48" t="str">
        <f t="array" ref="P164">HYPERLINK(INDEX('File Links'!B:B, MATCH(O164, 'File Links'!C:C, 0)))
</f>
        <v>https://drive.google.com/file/d/1DrC4ktWX9HamK4DWq_tF1P_2alxXHAnN/view?usp=drivesdk</v>
      </c>
      <c r="Q164" s="398" t="s">
        <v>1038</v>
      </c>
      <c r="R164" s="416" t="s">
        <v>1039</v>
      </c>
      <c r="S164" s="401"/>
      <c r="T164" s="403"/>
      <c r="U164" s="398" t="s">
        <v>1040</v>
      </c>
      <c r="V164" s="398" t="s">
        <v>155</v>
      </c>
      <c r="W164" s="45" t="str">
        <f t="array" ref="W164">HYPERLINK(INDEX('File Links'!B:B, MATCH(U164, 'File Links'!C:C, 0)))
</f>
        <v>#N/A</v>
      </c>
      <c r="X164" s="401"/>
      <c r="Y164" s="398" t="s">
        <v>501</v>
      </c>
      <c r="Z164" s="401"/>
      <c r="AA164" s="398" t="s">
        <v>1041</v>
      </c>
      <c r="AB164" s="422" t="s">
        <v>1042</v>
      </c>
      <c r="AC164" s="401"/>
      <c r="AD164" s="401"/>
      <c r="AE164" s="404">
        <v>63.0</v>
      </c>
      <c r="AF164" s="420">
        <v>0.22</v>
      </c>
      <c r="AG164" s="402" t="s">
        <v>357</v>
      </c>
      <c r="AH164" s="405" t="s">
        <v>1062</v>
      </c>
      <c r="AI164" s="420">
        <v>0.17</v>
      </c>
      <c r="AJ164" s="397" t="s">
        <v>164</v>
      </c>
      <c r="AK164" s="398" t="s">
        <v>179</v>
      </c>
      <c r="AL164" s="398" t="s">
        <v>129</v>
      </c>
      <c r="AM164" s="401"/>
      <c r="AN164" s="404">
        <v>61.0</v>
      </c>
      <c r="AO164" s="423">
        <v>0.08</v>
      </c>
      <c r="AP164" s="398" t="s">
        <v>357</v>
      </c>
      <c r="AQ164" s="398" t="s">
        <v>1062</v>
      </c>
      <c r="AR164" s="404">
        <v>0.56</v>
      </c>
      <c r="AS164" s="397" t="s">
        <v>164</v>
      </c>
      <c r="AT164" s="397" t="s">
        <v>179</v>
      </c>
      <c r="AU164" s="397" t="s">
        <v>129</v>
      </c>
      <c r="AV164" s="418" t="s">
        <v>1044</v>
      </c>
      <c r="AW164" s="408" t="s">
        <v>434</v>
      </c>
      <c r="AX164" s="55"/>
      <c r="AY164" s="340"/>
    </row>
    <row r="165" ht="20.25" customHeight="1">
      <c r="A165" s="135" t="s">
        <v>279</v>
      </c>
      <c r="B165" s="135" t="s">
        <v>107</v>
      </c>
      <c r="C165" s="396" t="s">
        <v>438</v>
      </c>
      <c r="D165" s="340"/>
      <c r="E165" s="411" t="s">
        <v>1033</v>
      </c>
      <c r="F165" s="398" t="s">
        <v>1063</v>
      </c>
      <c r="G165" s="398" t="s">
        <v>441</v>
      </c>
      <c r="H165" s="399">
        <v>45635.0</v>
      </c>
      <c r="I165" s="401"/>
      <c r="J165" s="398" t="s">
        <v>1064</v>
      </c>
      <c r="K165" s="401"/>
      <c r="L165" s="398" t="s">
        <v>1035</v>
      </c>
      <c r="M165" s="398" t="s">
        <v>1036</v>
      </c>
      <c r="N165" s="401"/>
      <c r="O165" s="402" t="s">
        <v>1037</v>
      </c>
      <c r="P165" s="48" t="str">
        <f t="array" ref="P165">HYPERLINK(INDEX('File Links'!B:B, MATCH(O165, 'File Links'!C:C, 0)))
</f>
        <v>https://drive.google.com/file/d/1DrC4ktWX9HamK4DWq_tF1P_2alxXHAnN/view?usp=drivesdk</v>
      </c>
      <c r="Q165" s="398" t="s">
        <v>1038</v>
      </c>
      <c r="R165" s="416" t="s">
        <v>1039</v>
      </c>
      <c r="S165" s="401"/>
      <c r="T165" s="403"/>
      <c r="U165" s="398" t="s">
        <v>1040</v>
      </c>
      <c r="V165" s="398" t="s">
        <v>155</v>
      </c>
      <c r="W165" s="45" t="str">
        <f t="array" ref="W165">HYPERLINK(INDEX('File Links'!B:B, MATCH(U165, 'File Links'!C:C, 0)))
</f>
        <v>#N/A</v>
      </c>
      <c r="X165" s="401"/>
      <c r="Y165" s="398" t="s">
        <v>501</v>
      </c>
      <c r="Z165" s="401"/>
      <c r="AA165" s="398" t="s">
        <v>1041</v>
      </c>
      <c r="AB165" s="422" t="s">
        <v>1042</v>
      </c>
      <c r="AC165" s="401"/>
      <c r="AD165" s="401"/>
      <c r="AE165" s="404">
        <v>63.0</v>
      </c>
      <c r="AF165" s="420">
        <v>0.19</v>
      </c>
      <c r="AG165" s="402" t="s">
        <v>357</v>
      </c>
      <c r="AH165" s="405" t="s">
        <v>1062</v>
      </c>
      <c r="AI165" s="420">
        <v>0.26</v>
      </c>
      <c r="AJ165" s="397" t="s">
        <v>164</v>
      </c>
      <c r="AK165" s="398" t="s">
        <v>179</v>
      </c>
      <c r="AL165" s="398" t="s">
        <v>129</v>
      </c>
      <c r="AM165" s="401"/>
      <c r="AN165" s="404">
        <v>61.0</v>
      </c>
      <c r="AO165" s="423">
        <v>-0.03</v>
      </c>
      <c r="AP165" s="398" t="s">
        <v>357</v>
      </c>
      <c r="AQ165" s="398" t="s">
        <v>1062</v>
      </c>
      <c r="AR165" s="404">
        <v>0.8</v>
      </c>
      <c r="AS165" s="397" t="s">
        <v>164</v>
      </c>
      <c r="AT165" s="397" t="s">
        <v>179</v>
      </c>
      <c r="AU165" s="397" t="s">
        <v>129</v>
      </c>
      <c r="AV165" s="418" t="s">
        <v>1044</v>
      </c>
      <c r="AW165" s="408" t="s">
        <v>434</v>
      </c>
      <c r="AX165" s="55"/>
      <c r="AY165" s="340"/>
    </row>
    <row r="166" ht="20.25" customHeight="1">
      <c r="A166" s="135" t="s">
        <v>279</v>
      </c>
      <c r="B166" s="135" t="s">
        <v>107</v>
      </c>
      <c r="C166" s="396" t="s">
        <v>438</v>
      </c>
      <c r="D166" s="340"/>
      <c r="E166" s="411" t="s">
        <v>1033</v>
      </c>
      <c r="F166" s="398" t="s">
        <v>1065</v>
      </c>
      <c r="G166" s="398" t="s">
        <v>441</v>
      </c>
      <c r="H166" s="399">
        <v>45635.0</v>
      </c>
      <c r="I166" s="401"/>
      <c r="J166" s="398" t="s">
        <v>1066</v>
      </c>
      <c r="K166" s="401"/>
      <c r="L166" s="398" t="s">
        <v>1035</v>
      </c>
      <c r="M166" s="398" t="s">
        <v>1036</v>
      </c>
      <c r="N166" s="401"/>
      <c r="O166" s="402" t="s">
        <v>1037</v>
      </c>
      <c r="P166" s="48" t="str">
        <f t="array" ref="P166">HYPERLINK(INDEX('File Links'!B:B, MATCH(O166, 'File Links'!C:C, 0)))
</f>
        <v>https://drive.google.com/file/d/1DrC4ktWX9HamK4DWq_tF1P_2alxXHAnN/view?usp=drivesdk</v>
      </c>
      <c r="Q166" s="398" t="s">
        <v>1038</v>
      </c>
      <c r="R166" s="416" t="s">
        <v>1039</v>
      </c>
      <c r="S166" s="401"/>
      <c r="T166" s="403"/>
      <c r="U166" s="398" t="s">
        <v>1040</v>
      </c>
      <c r="V166" s="398" t="s">
        <v>155</v>
      </c>
      <c r="W166" s="45" t="str">
        <f t="array" ref="W166">HYPERLINK(INDEX('File Links'!B:B, MATCH(U166, 'File Links'!C:C, 0)))
</f>
        <v>#N/A</v>
      </c>
      <c r="X166" s="401"/>
      <c r="Y166" s="398" t="s">
        <v>501</v>
      </c>
      <c r="Z166" s="401"/>
      <c r="AA166" s="398" t="s">
        <v>1041</v>
      </c>
      <c r="AB166" s="422" t="s">
        <v>1042</v>
      </c>
      <c r="AC166" s="401"/>
      <c r="AD166" s="401"/>
      <c r="AE166" s="404">
        <v>63.0</v>
      </c>
      <c r="AF166" s="420" t="s">
        <v>1067</v>
      </c>
      <c r="AG166" s="402" t="s">
        <v>357</v>
      </c>
      <c r="AH166" s="405" t="s">
        <v>1062</v>
      </c>
      <c r="AI166" s="420">
        <v>0.83</v>
      </c>
      <c r="AJ166" s="397" t="s">
        <v>164</v>
      </c>
      <c r="AK166" s="398" t="s">
        <v>179</v>
      </c>
      <c r="AL166" s="398" t="s">
        <v>129</v>
      </c>
      <c r="AM166" s="401"/>
      <c r="AN166" s="404">
        <v>61.0</v>
      </c>
      <c r="AO166" s="420">
        <v>0.1</v>
      </c>
      <c r="AP166" s="421" t="s">
        <v>357</v>
      </c>
      <c r="AQ166" s="398" t="s">
        <v>1062</v>
      </c>
      <c r="AR166" s="420">
        <v>0.41</v>
      </c>
      <c r="AS166" s="397" t="s">
        <v>164</v>
      </c>
      <c r="AT166" s="397" t="s">
        <v>179</v>
      </c>
      <c r="AU166" s="397" t="s">
        <v>129</v>
      </c>
      <c r="AV166" s="418" t="s">
        <v>1044</v>
      </c>
      <c r="AW166" s="408" t="s">
        <v>434</v>
      </c>
      <c r="AX166" s="55"/>
      <c r="AY166" s="340"/>
    </row>
    <row r="167" ht="20.25" customHeight="1">
      <c r="A167" s="424" t="s">
        <v>106</v>
      </c>
      <c r="B167" s="424" t="s">
        <v>107</v>
      </c>
      <c r="C167" s="424" t="s">
        <v>759</v>
      </c>
      <c r="D167" s="425"/>
      <c r="E167" s="189" t="s">
        <v>1068</v>
      </c>
      <c r="F167" s="424" t="s">
        <v>1069</v>
      </c>
      <c r="G167" s="424" t="s">
        <v>759</v>
      </c>
      <c r="H167" s="426">
        <v>45427.0</v>
      </c>
      <c r="I167" s="131">
        <v>45670.0</v>
      </c>
      <c r="J167" s="97"/>
      <c r="K167" s="336" t="s">
        <v>1070</v>
      </c>
      <c r="L167" s="96" t="s">
        <v>1071</v>
      </c>
      <c r="M167" s="96" t="s">
        <v>1072</v>
      </c>
      <c r="N167" s="97"/>
      <c r="O167" s="133" t="str">
        <f> hyperlink(vlookup(lower(M167),'File Links'!A:B, 2, FALSE), SUBSTITUTE(lower(M167), "/", "--") &amp;  ".pdf")</f>
        <v>10.1002--jeab.432.pdf</v>
      </c>
      <c r="P167" s="48" t="str">
        <f t="array" ref="P167">HYPERLINK(INDEX('File Links'!B:B, MATCH(O167, 'File Links'!C:C, 0)))
</f>
        <v>https://drive.google.com/file/d/1oqwZUfEfzfjGZaYk1A2E8B-PU-AQ6SKz/view?usp=drivesdk</v>
      </c>
      <c r="Q167" s="427" t="s">
        <v>1073</v>
      </c>
      <c r="R167" s="101" t="s">
        <v>1074</v>
      </c>
      <c r="S167" s="97"/>
      <c r="T167" s="97"/>
      <c r="U167" s="96" t="str">
        <f> hyperlink(vlookup(lower(R167),'File Links'!E:F, 2, FALSE), SUBSTITUTE(lower(R167), "/", "--") &amp;  ".pdf")</f>
        <v>10.1007--s40732-024-00597-x.pdf</v>
      </c>
      <c r="V167" s="101" t="s">
        <v>1075</v>
      </c>
      <c r="W167" s="45" t="str">
        <f t="array" ref="W167">HYPERLINK(INDEX('File Links'!B:B, MATCH(U167, 'File Links'!C:C, 0)))
</f>
        <v>#N/A</v>
      </c>
      <c r="X167" s="97"/>
      <c r="Y167" s="96" t="s">
        <v>960</v>
      </c>
      <c r="Z167" s="97"/>
      <c r="AA167" s="97"/>
      <c r="AB167" s="96" t="s">
        <v>1076</v>
      </c>
      <c r="AC167" s="97"/>
      <c r="AD167" s="97"/>
      <c r="AE167" s="97"/>
      <c r="AF167" s="97"/>
      <c r="AG167" s="97"/>
      <c r="AH167" s="97"/>
      <c r="AI167" s="96"/>
      <c r="AJ167" s="97"/>
      <c r="AK167" s="97"/>
      <c r="AL167" s="64"/>
      <c r="AM167" s="97"/>
      <c r="AN167" s="97"/>
      <c r="AO167" s="97"/>
      <c r="AP167" s="97"/>
      <c r="AQ167" s="97"/>
      <c r="AR167" s="97"/>
      <c r="AS167" s="97"/>
      <c r="AT167" s="97"/>
      <c r="AU167" s="64"/>
      <c r="AV167" s="64"/>
      <c r="AW167" s="98"/>
      <c r="AX167" s="40" t="s">
        <v>1070</v>
      </c>
      <c r="AY167" s="136" t="s">
        <v>135</v>
      </c>
    </row>
    <row r="168" ht="20.25" customHeight="1">
      <c r="A168" s="189" t="s">
        <v>143</v>
      </c>
      <c r="B168" s="189" t="s">
        <v>107</v>
      </c>
      <c r="C168" s="189" t="s">
        <v>243</v>
      </c>
      <c r="D168" s="190"/>
      <c r="E168" s="194" t="s">
        <v>1068</v>
      </c>
      <c r="F168" s="428" t="s">
        <v>1069</v>
      </c>
      <c r="G168" s="428" t="s">
        <v>244</v>
      </c>
      <c r="H168" s="429">
        <v>45644.0</v>
      </c>
      <c r="I168" s="131">
        <v>45670.0</v>
      </c>
      <c r="J168" s="101"/>
      <c r="K168" s="202" t="s">
        <v>1077</v>
      </c>
      <c r="L168" s="183" t="s">
        <v>1071</v>
      </c>
      <c r="M168" s="183" t="s">
        <v>1072</v>
      </c>
      <c r="N168" s="350">
        <v>1.0</v>
      </c>
      <c r="O168" s="430" t="str">
        <f> hyperlink(vlookup(lower(M168),'File Links'!E:F, 2, FALSE), SUBSTITUTE(lower(M168), "/", "--") &amp;  ".pdf")</f>
        <v>10.1002--jeab.432.pdf</v>
      </c>
      <c r="P168" s="48" t="str">
        <f t="array" ref="P168">HYPERLINK(INDEX('File Links'!B:B, MATCH(O168, 'File Links'!C:C, 0)))
</f>
        <v>https://drive.google.com/file/d/1oqwZUfEfzfjGZaYk1A2E8B-PU-AQ6SKz/view?usp=drivesdk</v>
      </c>
      <c r="Q168" s="431" t="s">
        <v>1078</v>
      </c>
      <c r="R168" s="183" t="s">
        <v>1074</v>
      </c>
      <c r="S168" s="183"/>
      <c r="T168" s="120">
        <v>1.0</v>
      </c>
      <c r="U168" s="344" t="str">
        <f> hyperlink(vlookup(lower(R168),'File Links'!E:F, 2, FALSE), SUBSTITUTE(lower(R168), "/", "--") &amp;  ".pdf")</f>
        <v>10.1007--s40732-024-00597-x.pdf</v>
      </c>
      <c r="V168" s="183" t="s">
        <v>1075</v>
      </c>
      <c r="W168" s="45" t="str">
        <f t="array" ref="W168">HYPERLINK(INDEX('File Links'!B:B, MATCH(U168, 'File Links'!C:C, 0)))
</f>
        <v>#N/A</v>
      </c>
      <c r="X168" s="183"/>
      <c r="Y168" s="344" t="s">
        <v>960</v>
      </c>
      <c r="Z168" s="183"/>
      <c r="AA168" s="183" t="s">
        <v>1079</v>
      </c>
      <c r="AB168" s="344" t="s">
        <v>1076</v>
      </c>
      <c r="AC168" s="432" t="s">
        <v>1080</v>
      </c>
      <c r="AD168" s="433">
        <v>8.0</v>
      </c>
      <c r="AE168" s="134">
        <v>34.0</v>
      </c>
      <c r="AF168" s="434" t="s">
        <v>1081</v>
      </c>
      <c r="AG168" s="435" t="s">
        <v>162</v>
      </c>
      <c r="AH168" s="436" t="s">
        <v>1082</v>
      </c>
      <c r="AI168" s="96">
        <v>0.005</v>
      </c>
      <c r="AJ168" s="98" t="s">
        <v>164</v>
      </c>
      <c r="AK168" s="101" t="s">
        <v>179</v>
      </c>
      <c r="AL168" s="183" t="s">
        <v>129</v>
      </c>
      <c r="AM168" s="128" t="s">
        <v>165</v>
      </c>
      <c r="AN168" s="437">
        <v>48.0</v>
      </c>
      <c r="AO168" s="438" t="s">
        <v>1083</v>
      </c>
      <c r="AP168" s="439" t="s">
        <v>162</v>
      </c>
      <c r="AQ168" s="436" t="s">
        <v>1084</v>
      </c>
      <c r="AR168" s="440">
        <v>0.04</v>
      </c>
      <c r="AS168" s="194" t="s">
        <v>164</v>
      </c>
      <c r="AT168" s="194" t="s">
        <v>179</v>
      </c>
      <c r="AU168" s="194" t="s">
        <v>129</v>
      </c>
      <c r="AV168" s="194" t="s">
        <v>165</v>
      </c>
      <c r="AW168" s="194" t="s">
        <v>142</v>
      </c>
      <c r="AX168" s="115" t="s">
        <v>1085</v>
      </c>
      <c r="AY168" s="136" t="s">
        <v>135</v>
      </c>
    </row>
    <row r="169" ht="20.25" customHeight="1">
      <c r="A169" s="41" t="s">
        <v>279</v>
      </c>
      <c r="B169" s="41" t="s">
        <v>107</v>
      </c>
      <c r="C169" s="41" t="s">
        <v>280</v>
      </c>
      <c r="E169" s="143" t="s">
        <v>1068</v>
      </c>
      <c r="F169" s="139" t="s">
        <v>1069</v>
      </c>
      <c r="G169" s="139" t="s">
        <v>283</v>
      </c>
      <c r="H169" s="141">
        <v>45427.0</v>
      </c>
      <c r="I169" s="141">
        <v>45684.0</v>
      </c>
      <c r="J169" s="115" t="s">
        <v>1086</v>
      </c>
      <c r="K169" s="60"/>
      <c r="L169" s="143" t="s">
        <v>1071</v>
      </c>
      <c r="M169" s="143" t="s">
        <v>1072</v>
      </c>
      <c r="N169" s="144"/>
      <c r="O169" s="302" t="s">
        <v>1087</v>
      </c>
      <c r="P169" s="48" t="str">
        <f t="array" ref="P169">HYPERLINK(INDEX('File Links'!B:B, MATCH(O169, 'File Links'!C:C, 0)))
</f>
        <v>https://drive.google.com/file/d/1oqwZUfEfzfjGZaYk1A2E8B-PU-AQ6SKz/view?usp=drivesdk</v>
      </c>
      <c r="Q169" s="115" t="s">
        <v>1088</v>
      </c>
      <c r="R169" s="60"/>
      <c r="S169" s="60"/>
      <c r="T169" s="144"/>
      <c r="U169" s="302" t="s">
        <v>351</v>
      </c>
      <c r="V169" s="115" t="s">
        <v>1089</v>
      </c>
      <c r="W169" s="45" t="str">
        <f t="array" ref="W169">HYPERLINK(INDEX('File Links'!B:B, MATCH(U169, 'File Links'!C:C, 0)))
</f>
        <v>#N/A</v>
      </c>
      <c r="Y169" s="139" t="s">
        <v>849</v>
      </c>
      <c r="Z169" s="60"/>
      <c r="AA169" s="60"/>
      <c r="AB169" s="60"/>
      <c r="AC169" s="146"/>
      <c r="AD169" s="144"/>
      <c r="AE169" s="144"/>
      <c r="AF169" s="144"/>
      <c r="AG169" s="147"/>
      <c r="AH169" s="60"/>
      <c r="AI169" s="148"/>
      <c r="AJ169" s="52"/>
      <c r="AK169" s="52"/>
      <c r="AL169" s="60"/>
      <c r="AM169" s="55"/>
      <c r="AN169" s="144"/>
      <c r="AO169" s="144"/>
      <c r="AP169" s="147"/>
      <c r="AQ169" s="60"/>
      <c r="AR169" s="150"/>
      <c r="AS169" s="147"/>
      <c r="AT169" s="147"/>
      <c r="AU169" s="60"/>
      <c r="AV169" s="303"/>
      <c r="AW169" s="60"/>
    </row>
    <row r="170" ht="20.25" customHeight="1">
      <c r="A170" s="371" t="s">
        <v>520</v>
      </c>
      <c r="B170" s="371" t="s">
        <v>107</v>
      </c>
      <c r="C170" s="371" t="s">
        <v>341</v>
      </c>
      <c r="D170" s="209"/>
      <c r="E170" s="147" t="s">
        <v>1090</v>
      </c>
      <c r="F170" s="52" t="s">
        <v>1091</v>
      </c>
      <c r="G170" s="52" t="s">
        <v>344</v>
      </c>
      <c r="H170" s="140">
        <v>45427.0</v>
      </c>
      <c r="I170" s="140">
        <v>45636.0</v>
      </c>
      <c r="J170" s="352" t="s">
        <v>1092</v>
      </c>
      <c r="K170" s="55"/>
      <c r="L170" s="52" t="s">
        <v>1093</v>
      </c>
      <c r="M170" s="352" t="s">
        <v>1094</v>
      </c>
      <c r="N170" s="55"/>
      <c r="O170" s="353" t="s">
        <v>1095</v>
      </c>
      <c r="P170" s="48" t="str">
        <f t="array" ref="P170">HYPERLINK(INDEX('File Links'!B:B, MATCH(O170, 'File Links'!C:C, 0)))
</f>
        <v>https://drive.google.com/file/d/1GCYFeLrlGpCBF1GyjSAAd1YFst71bifH/view?usp=drivesdk</v>
      </c>
      <c r="Q170" s="52" t="s">
        <v>1096</v>
      </c>
      <c r="R170" s="52" t="s">
        <v>1097</v>
      </c>
      <c r="S170" s="55"/>
      <c r="T170" s="329"/>
      <c r="U170" s="354" t="s">
        <v>351</v>
      </c>
      <c r="V170" s="52" t="s">
        <v>604</v>
      </c>
      <c r="W170" s="45" t="str">
        <f t="array" ref="W170">HYPERLINK(INDEX('File Links'!B:B, MATCH(U170, 'File Links'!C:C, 0)))
</f>
        <v>#N/A</v>
      </c>
      <c r="X170" s="55"/>
      <c r="Y170" s="52" t="s">
        <v>1098</v>
      </c>
      <c r="Z170" s="52" t="s">
        <v>1099</v>
      </c>
      <c r="AA170" s="352" t="s">
        <v>1100</v>
      </c>
      <c r="AB170" s="352" t="s">
        <v>1101</v>
      </c>
      <c r="AC170" s="352" t="s">
        <v>1102</v>
      </c>
      <c r="AD170" s="355">
        <v>5.0</v>
      </c>
      <c r="AE170" s="355">
        <v>2428.0</v>
      </c>
      <c r="AF170" s="52" t="s">
        <v>1103</v>
      </c>
      <c r="AG170" s="330" t="s">
        <v>162</v>
      </c>
      <c r="AH170" s="52" t="s">
        <v>892</v>
      </c>
      <c r="AI170" s="355">
        <v>0.001</v>
      </c>
      <c r="AJ170" s="147" t="s">
        <v>127</v>
      </c>
      <c r="AK170" s="52" t="s">
        <v>179</v>
      </c>
      <c r="AL170" s="55"/>
      <c r="AM170" s="52" t="s">
        <v>165</v>
      </c>
      <c r="AN170" s="355">
        <v>3906.0</v>
      </c>
      <c r="AO170" s="52" t="s">
        <v>1104</v>
      </c>
      <c r="AP170" s="52" t="s">
        <v>162</v>
      </c>
      <c r="AQ170" s="52" t="s">
        <v>1105</v>
      </c>
      <c r="AR170" s="355">
        <v>0.001</v>
      </c>
      <c r="AS170" s="147" t="s">
        <v>127</v>
      </c>
      <c r="AT170" s="147" t="s">
        <v>179</v>
      </c>
      <c r="AU170" s="60"/>
      <c r="AV170" s="147" t="s">
        <v>165</v>
      </c>
      <c r="AW170" s="60" t="s">
        <v>134</v>
      </c>
      <c r="AX170" s="55"/>
    </row>
    <row r="171" ht="20.25" customHeight="1">
      <c r="A171" s="371" t="s">
        <v>520</v>
      </c>
      <c r="B171" s="371" t="s">
        <v>107</v>
      </c>
      <c r="C171" s="371" t="s">
        <v>341</v>
      </c>
      <c r="D171" s="209"/>
      <c r="E171" s="147" t="s">
        <v>1090</v>
      </c>
      <c r="F171" s="52" t="s">
        <v>1106</v>
      </c>
      <c r="G171" s="52" t="s">
        <v>344</v>
      </c>
      <c r="H171" s="140">
        <v>45427.0</v>
      </c>
      <c r="I171" s="140">
        <v>45636.0</v>
      </c>
      <c r="J171" s="352" t="s">
        <v>1092</v>
      </c>
      <c r="K171" s="55"/>
      <c r="L171" s="52" t="s">
        <v>1093</v>
      </c>
      <c r="M171" s="352" t="s">
        <v>1094</v>
      </c>
      <c r="N171" s="55"/>
      <c r="O171" s="353" t="s">
        <v>1095</v>
      </c>
      <c r="P171" s="48" t="str">
        <f t="array" ref="P171">HYPERLINK(INDEX('File Links'!B:B, MATCH(O171, 'File Links'!C:C, 0)))
</f>
        <v>https://drive.google.com/file/d/1GCYFeLrlGpCBF1GyjSAAd1YFst71bifH/view?usp=drivesdk</v>
      </c>
      <c r="Q171" s="52" t="s">
        <v>1096</v>
      </c>
      <c r="R171" s="52" t="s">
        <v>1097</v>
      </c>
      <c r="S171" s="55"/>
      <c r="T171" s="329"/>
      <c r="U171" s="354" t="s">
        <v>351</v>
      </c>
      <c r="V171" s="52" t="s">
        <v>604</v>
      </c>
      <c r="W171" s="45" t="str">
        <f t="array" ref="W171">HYPERLINK(INDEX('File Links'!B:B, MATCH(U171, 'File Links'!C:C, 0)))
</f>
        <v>#N/A</v>
      </c>
      <c r="X171" s="55"/>
      <c r="Y171" s="52" t="s">
        <v>1098</v>
      </c>
      <c r="Z171" s="52" t="s">
        <v>1099</v>
      </c>
      <c r="AA171" s="352" t="s">
        <v>1100</v>
      </c>
      <c r="AB171" s="352" t="s">
        <v>1101</v>
      </c>
      <c r="AC171" s="352" t="s">
        <v>1107</v>
      </c>
      <c r="AD171" s="355">
        <v>5.0</v>
      </c>
      <c r="AE171" s="355">
        <v>2428.0</v>
      </c>
      <c r="AF171" s="52" t="s">
        <v>1103</v>
      </c>
      <c r="AG171" s="330" t="s">
        <v>162</v>
      </c>
      <c r="AH171" s="52" t="s">
        <v>892</v>
      </c>
      <c r="AI171" s="355">
        <v>0.001</v>
      </c>
      <c r="AJ171" s="147" t="s">
        <v>127</v>
      </c>
      <c r="AK171" s="52" t="s">
        <v>179</v>
      </c>
      <c r="AL171" s="55"/>
      <c r="AM171" s="52" t="s">
        <v>165</v>
      </c>
      <c r="AN171" s="355">
        <v>3906.0</v>
      </c>
      <c r="AO171" s="52" t="s">
        <v>1108</v>
      </c>
      <c r="AP171" s="52" t="s">
        <v>162</v>
      </c>
      <c r="AQ171" s="52" t="s">
        <v>1105</v>
      </c>
      <c r="AR171" s="355">
        <v>0.001</v>
      </c>
      <c r="AS171" s="147" t="s">
        <v>127</v>
      </c>
      <c r="AT171" s="147" t="s">
        <v>179</v>
      </c>
      <c r="AU171" s="60"/>
      <c r="AV171" s="147" t="s">
        <v>165</v>
      </c>
      <c r="AW171" s="60" t="s">
        <v>134</v>
      </c>
      <c r="AX171" s="55"/>
    </row>
    <row r="172" ht="20.25" customHeight="1">
      <c r="A172" s="371" t="s">
        <v>520</v>
      </c>
      <c r="B172" s="371" t="s">
        <v>107</v>
      </c>
      <c r="C172" s="371" t="s">
        <v>341</v>
      </c>
      <c r="D172" s="209"/>
      <c r="E172" s="147" t="s">
        <v>1090</v>
      </c>
      <c r="F172" s="52" t="s">
        <v>1109</v>
      </c>
      <c r="G172" s="52" t="s">
        <v>344</v>
      </c>
      <c r="H172" s="140">
        <v>45427.0</v>
      </c>
      <c r="I172" s="140">
        <v>45636.0</v>
      </c>
      <c r="J172" s="352" t="s">
        <v>1092</v>
      </c>
      <c r="K172" s="55"/>
      <c r="L172" s="52" t="s">
        <v>1093</v>
      </c>
      <c r="M172" s="352" t="s">
        <v>1094</v>
      </c>
      <c r="N172" s="55"/>
      <c r="O172" s="353" t="s">
        <v>1095</v>
      </c>
      <c r="P172" s="48" t="str">
        <f t="array" ref="P172">HYPERLINK(INDEX('File Links'!B:B, MATCH(O172, 'File Links'!C:C, 0)))
</f>
        <v>https://drive.google.com/file/d/1GCYFeLrlGpCBF1GyjSAAd1YFst71bifH/view?usp=drivesdk</v>
      </c>
      <c r="Q172" s="52" t="s">
        <v>1096</v>
      </c>
      <c r="R172" s="52" t="s">
        <v>1097</v>
      </c>
      <c r="S172" s="55"/>
      <c r="T172" s="329"/>
      <c r="U172" s="354" t="s">
        <v>351</v>
      </c>
      <c r="V172" s="52" t="s">
        <v>604</v>
      </c>
      <c r="W172" s="45" t="str">
        <f t="array" ref="W172">HYPERLINK(INDEX('File Links'!B:B, MATCH(U172, 'File Links'!C:C, 0)))
</f>
        <v>#N/A</v>
      </c>
      <c r="X172" s="55"/>
      <c r="Y172" s="52" t="s">
        <v>1098</v>
      </c>
      <c r="Z172" s="52" t="s">
        <v>1099</v>
      </c>
      <c r="AA172" s="352" t="s">
        <v>1100</v>
      </c>
      <c r="AB172" s="352" t="s">
        <v>1101</v>
      </c>
      <c r="AC172" s="352" t="s">
        <v>1110</v>
      </c>
      <c r="AD172" s="355">
        <v>5.0</v>
      </c>
      <c r="AE172" s="355">
        <v>2428.0</v>
      </c>
      <c r="AF172" s="52" t="s">
        <v>1103</v>
      </c>
      <c r="AG172" s="330" t="s">
        <v>162</v>
      </c>
      <c r="AH172" s="52" t="s">
        <v>892</v>
      </c>
      <c r="AI172" s="355">
        <v>0.001</v>
      </c>
      <c r="AJ172" s="147" t="s">
        <v>127</v>
      </c>
      <c r="AK172" s="52" t="s">
        <v>179</v>
      </c>
      <c r="AL172" s="55"/>
      <c r="AM172" s="52" t="s">
        <v>165</v>
      </c>
      <c r="AN172" s="355">
        <v>3906.0</v>
      </c>
      <c r="AO172" s="52" t="s">
        <v>1104</v>
      </c>
      <c r="AP172" s="52" t="s">
        <v>162</v>
      </c>
      <c r="AQ172" s="52" t="s">
        <v>1105</v>
      </c>
      <c r="AR172" s="355">
        <v>0.001</v>
      </c>
      <c r="AS172" s="147" t="s">
        <v>127</v>
      </c>
      <c r="AT172" s="147" t="s">
        <v>179</v>
      </c>
      <c r="AU172" s="60"/>
      <c r="AV172" s="147" t="s">
        <v>165</v>
      </c>
      <c r="AW172" s="60" t="s">
        <v>134</v>
      </c>
      <c r="AX172" s="55"/>
      <c r="AY172" s="64"/>
    </row>
    <row r="173" ht="20.25" customHeight="1">
      <c r="A173" s="371" t="s">
        <v>520</v>
      </c>
      <c r="B173" s="371" t="s">
        <v>107</v>
      </c>
      <c r="C173" s="371" t="s">
        <v>341</v>
      </c>
      <c r="D173" s="209"/>
      <c r="E173" s="147" t="s">
        <v>1090</v>
      </c>
      <c r="F173" s="52" t="s">
        <v>1111</v>
      </c>
      <c r="G173" s="52" t="s">
        <v>344</v>
      </c>
      <c r="H173" s="140">
        <v>45427.0</v>
      </c>
      <c r="I173" s="140">
        <v>45636.0</v>
      </c>
      <c r="J173" s="352" t="s">
        <v>1092</v>
      </c>
      <c r="K173" s="55"/>
      <c r="L173" s="52" t="s">
        <v>1093</v>
      </c>
      <c r="M173" s="352" t="s">
        <v>1094</v>
      </c>
      <c r="N173" s="55"/>
      <c r="O173" s="353" t="s">
        <v>1095</v>
      </c>
      <c r="P173" s="48" t="str">
        <f t="array" ref="P173">HYPERLINK(INDEX('File Links'!B:B, MATCH(O173, 'File Links'!C:C, 0)))
</f>
        <v>https://drive.google.com/file/d/1GCYFeLrlGpCBF1GyjSAAd1YFst71bifH/view?usp=drivesdk</v>
      </c>
      <c r="Q173" s="52" t="s">
        <v>1096</v>
      </c>
      <c r="R173" s="52" t="s">
        <v>1097</v>
      </c>
      <c r="S173" s="55"/>
      <c r="T173" s="329"/>
      <c r="U173" s="354" t="s">
        <v>351</v>
      </c>
      <c r="V173" s="52" t="s">
        <v>604</v>
      </c>
      <c r="W173" s="45" t="str">
        <f t="array" ref="W173">HYPERLINK(INDEX('File Links'!B:B, MATCH(U173, 'File Links'!C:C, 0)))
</f>
        <v>#N/A</v>
      </c>
      <c r="X173" s="55"/>
      <c r="Y173" s="52" t="s">
        <v>1098</v>
      </c>
      <c r="Z173" s="52" t="s">
        <v>1099</v>
      </c>
      <c r="AA173" s="352" t="s">
        <v>1100</v>
      </c>
      <c r="AB173" s="352" t="s">
        <v>1101</v>
      </c>
      <c r="AC173" s="352" t="s">
        <v>1112</v>
      </c>
      <c r="AD173" s="355">
        <v>5.0</v>
      </c>
      <c r="AE173" s="355">
        <v>2428.0</v>
      </c>
      <c r="AF173" s="52" t="s">
        <v>1113</v>
      </c>
      <c r="AG173" s="330" t="s">
        <v>162</v>
      </c>
      <c r="AH173" s="52" t="s">
        <v>892</v>
      </c>
      <c r="AI173" s="355">
        <v>0.001</v>
      </c>
      <c r="AJ173" s="147" t="s">
        <v>127</v>
      </c>
      <c r="AK173" s="52" t="s">
        <v>179</v>
      </c>
      <c r="AL173" s="55"/>
      <c r="AM173" s="52" t="s">
        <v>165</v>
      </c>
      <c r="AN173" s="355">
        <v>3906.0</v>
      </c>
      <c r="AO173" s="52" t="s">
        <v>1114</v>
      </c>
      <c r="AP173" s="52" t="s">
        <v>162</v>
      </c>
      <c r="AQ173" s="52" t="s">
        <v>1105</v>
      </c>
      <c r="AR173" s="355">
        <v>0.001</v>
      </c>
      <c r="AS173" s="147" t="s">
        <v>127</v>
      </c>
      <c r="AT173" s="147" t="s">
        <v>179</v>
      </c>
      <c r="AU173" s="60"/>
      <c r="AV173" s="147" t="s">
        <v>165</v>
      </c>
      <c r="AW173" s="60" t="s">
        <v>134</v>
      </c>
      <c r="AX173" s="55"/>
      <c r="AY173" s="64"/>
    </row>
    <row r="174" ht="20.25" customHeight="1">
      <c r="A174" s="371" t="s">
        <v>520</v>
      </c>
      <c r="B174" s="371" t="s">
        <v>107</v>
      </c>
      <c r="C174" s="371" t="s">
        <v>214</v>
      </c>
      <c r="D174" s="209"/>
      <c r="E174" s="255" t="s">
        <v>1090</v>
      </c>
      <c r="F174" s="43" t="s">
        <v>1115</v>
      </c>
      <c r="G174" s="356" t="s">
        <v>214</v>
      </c>
      <c r="H174" s="357">
        <v>45686.0</v>
      </c>
      <c r="I174" s="357">
        <v>45686.0</v>
      </c>
      <c r="J174" s="356" t="s">
        <v>1116</v>
      </c>
      <c r="K174" s="42"/>
      <c r="L174" s="356" t="s">
        <v>1093</v>
      </c>
      <c r="M174" s="356" t="s">
        <v>1094</v>
      </c>
      <c r="N174" s="42"/>
      <c r="O174" s="145" t="s">
        <v>1095</v>
      </c>
      <c r="P174" s="48" t="str">
        <f t="array" ref="P174">HYPERLINK(INDEX('File Links'!B:B, MATCH(O174, 'File Links'!C:C, 0)))
</f>
        <v>https://drive.google.com/file/d/1GCYFeLrlGpCBF1GyjSAAd1YFst71bifH/view?usp=drivesdk</v>
      </c>
      <c r="Q174" s="356" t="s">
        <v>1096</v>
      </c>
      <c r="R174" s="42"/>
      <c r="S174" s="42"/>
      <c r="T174" s="42"/>
      <c r="U174" s="145" t="s">
        <v>351</v>
      </c>
      <c r="V174" s="356" t="s">
        <v>1117</v>
      </c>
      <c r="W174" s="45" t="str">
        <f t="array" ref="W174">HYPERLINK(INDEX('File Links'!B:B, MATCH(U174, 'File Links'!C:C, 0)))
</f>
        <v>#N/A</v>
      </c>
      <c r="X174" s="42"/>
      <c r="Y174" s="356" t="s">
        <v>1098</v>
      </c>
      <c r="Z174" s="356" t="s">
        <v>1118</v>
      </c>
      <c r="AA174" s="356" t="s">
        <v>1119</v>
      </c>
      <c r="AB174" s="356" t="s">
        <v>1120</v>
      </c>
      <c r="AC174" s="356" t="s">
        <v>1121</v>
      </c>
      <c r="AD174" s="360">
        <v>7.0</v>
      </c>
      <c r="AE174" s="360">
        <v>4711.0</v>
      </c>
      <c r="AF174" s="360">
        <v>0.64</v>
      </c>
      <c r="AG174" s="356" t="s">
        <v>130</v>
      </c>
      <c r="AH174" s="356" t="s">
        <v>131</v>
      </c>
      <c r="AI174" s="359">
        <v>0.001</v>
      </c>
      <c r="AJ174" s="43" t="s">
        <v>127</v>
      </c>
      <c r="AK174" s="43" t="s">
        <v>128</v>
      </c>
      <c r="AL174" s="356" t="s">
        <v>132</v>
      </c>
      <c r="AM174" s="43" t="s">
        <v>165</v>
      </c>
      <c r="AN174" s="360">
        <v>3906.0</v>
      </c>
      <c r="AO174" s="360">
        <v>0.65</v>
      </c>
      <c r="AP174" s="356" t="s">
        <v>130</v>
      </c>
      <c r="AQ174" s="356" t="s">
        <v>210</v>
      </c>
      <c r="AR174" s="360">
        <v>0.001</v>
      </c>
      <c r="AS174" s="356" t="s">
        <v>127</v>
      </c>
      <c r="AT174" s="356" t="s">
        <v>128</v>
      </c>
      <c r="AU174" s="356" t="s">
        <v>132</v>
      </c>
      <c r="AV174" s="356" t="s">
        <v>165</v>
      </c>
      <c r="AW174" s="356" t="s">
        <v>134</v>
      </c>
    </row>
    <row r="175" ht="20.25" customHeight="1">
      <c r="A175" s="371" t="s">
        <v>520</v>
      </c>
      <c r="B175" s="371" t="s">
        <v>107</v>
      </c>
      <c r="C175" s="371" t="s">
        <v>214</v>
      </c>
      <c r="D175" s="209"/>
      <c r="E175" s="255" t="s">
        <v>1090</v>
      </c>
      <c r="F175" s="43" t="s">
        <v>1106</v>
      </c>
      <c r="G175" s="356" t="s">
        <v>214</v>
      </c>
      <c r="H175" s="357">
        <v>45686.0</v>
      </c>
      <c r="I175" s="357">
        <v>45686.0</v>
      </c>
      <c r="J175" s="356" t="s">
        <v>1116</v>
      </c>
      <c r="K175" s="42"/>
      <c r="L175" s="356" t="s">
        <v>1093</v>
      </c>
      <c r="M175" s="356" t="s">
        <v>1094</v>
      </c>
      <c r="N175" s="42"/>
      <c r="O175" s="145" t="s">
        <v>1095</v>
      </c>
      <c r="P175" s="48" t="str">
        <f t="array" ref="P175">HYPERLINK(INDEX('File Links'!B:B, MATCH(O175, 'File Links'!C:C, 0)))
</f>
        <v>https://drive.google.com/file/d/1GCYFeLrlGpCBF1GyjSAAd1YFst71bifH/view?usp=drivesdk</v>
      </c>
      <c r="Q175" s="356" t="s">
        <v>1096</v>
      </c>
      <c r="R175" s="42"/>
      <c r="S175" s="42"/>
      <c r="T175" s="42"/>
      <c r="U175" s="145" t="s">
        <v>351</v>
      </c>
      <c r="V175" s="356" t="s">
        <v>1117</v>
      </c>
      <c r="W175" s="45" t="str">
        <f t="array" ref="W175">HYPERLINK(INDEX('File Links'!B:B, MATCH(U175, 'File Links'!C:C, 0)))
</f>
        <v>#N/A</v>
      </c>
      <c r="X175" s="42"/>
      <c r="Y175" s="356" t="s">
        <v>1098</v>
      </c>
      <c r="Z175" s="356" t="s">
        <v>1118</v>
      </c>
      <c r="AA175" s="356" t="s">
        <v>1119</v>
      </c>
      <c r="AB175" s="356" t="s">
        <v>1122</v>
      </c>
      <c r="AC175" s="356" t="s">
        <v>1123</v>
      </c>
      <c r="AD175" s="360">
        <v>10.0</v>
      </c>
      <c r="AE175" s="360">
        <v>4711.0</v>
      </c>
      <c r="AF175" s="360">
        <v>0.32</v>
      </c>
      <c r="AG175" s="356" t="s">
        <v>130</v>
      </c>
      <c r="AH175" s="356" t="s">
        <v>131</v>
      </c>
      <c r="AI175" s="359">
        <v>0.001</v>
      </c>
      <c r="AJ175" s="43" t="s">
        <v>127</v>
      </c>
      <c r="AK175" s="43" t="s">
        <v>128</v>
      </c>
      <c r="AL175" s="356" t="s">
        <v>132</v>
      </c>
      <c r="AM175" s="43" t="s">
        <v>165</v>
      </c>
      <c r="AN175" s="360">
        <v>3906.0</v>
      </c>
      <c r="AO175" s="360">
        <v>0.51</v>
      </c>
      <c r="AP175" s="356" t="s">
        <v>130</v>
      </c>
      <c r="AQ175" s="356" t="s">
        <v>210</v>
      </c>
      <c r="AR175" s="360">
        <v>0.001</v>
      </c>
      <c r="AS175" s="356" t="s">
        <v>127</v>
      </c>
      <c r="AT175" s="356" t="s">
        <v>128</v>
      </c>
      <c r="AU175" s="356" t="s">
        <v>132</v>
      </c>
      <c r="AV175" s="356" t="s">
        <v>165</v>
      </c>
      <c r="AW175" s="356" t="s">
        <v>134</v>
      </c>
    </row>
    <row r="176" ht="20.25" customHeight="1">
      <c r="A176" s="371" t="s">
        <v>520</v>
      </c>
      <c r="B176" s="371" t="s">
        <v>107</v>
      </c>
      <c r="C176" s="371" t="s">
        <v>214</v>
      </c>
      <c r="D176" s="209"/>
      <c r="E176" s="255" t="s">
        <v>1090</v>
      </c>
      <c r="F176" s="43" t="s">
        <v>1109</v>
      </c>
      <c r="G176" s="356" t="s">
        <v>214</v>
      </c>
      <c r="H176" s="357">
        <v>45686.0</v>
      </c>
      <c r="I176" s="357">
        <v>45686.0</v>
      </c>
      <c r="J176" s="356" t="s">
        <v>1116</v>
      </c>
      <c r="K176" s="42"/>
      <c r="L176" s="356" t="s">
        <v>1093</v>
      </c>
      <c r="M176" s="356" t="s">
        <v>1094</v>
      </c>
      <c r="N176" s="42"/>
      <c r="O176" s="145" t="s">
        <v>1095</v>
      </c>
      <c r="P176" s="48" t="str">
        <f t="array" ref="P176">HYPERLINK(INDEX('File Links'!B:B, MATCH(O176, 'File Links'!C:C, 0)))
</f>
        <v>https://drive.google.com/file/d/1GCYFeLrlGpCBF1GyjSAAd1YFst71bifH/view?usp=drivesdk</v>
      </c>
      <c r="Q176" s="356" t="s">
        <v>1096</v>
      </c>
      <c r="R176" s="42"/>
      <c r="S176" s="42"/>
      <c r="T176" s="42"/>
      <c r="U176" s="145" t="s">
        <v>351</v>
      </c>
      <c r="V176" s="356" t="s">
        <v>1117</v>
      </c>
      <c r="W176" s="45" t="str">
        <f t="array" ref="W176">HYPERLINK(INDEX('File Links'!B:B, MATCH(U176, 'File Links'!C:C, 0)))
</f>
        <v>#N/A</v>
      </c>
      <c r="X176" s="42"/>
      <c r="Y176" s="356" t="s">
        <v>1098</v>
      </c>
      <c r="Z176" s="356" t="s">
        <v>1118</v>
      </c>
      <c r="AA176" s="356" t="s">
        <v>1119</v>
      </c>
      <c r="AB176" s="356" t="s">
        <v>1124</v>
      </c>
      <c r="AC176" s="356" t="s">
        <v>1125</v>
      </c>
      <c r="AD176" s="360">
        <v>11.0</v>
      </c>
      <c r="AE176" s="360">
        <v>4711.0</v>
      </c>
      <c r="AF176" s="360">
        <v>0.1</v>
      </c>
      <c r="AG176" s="356" t="s">
        <v>130</v>
      </c>
      <c r="AH176" s="356" t="s">
        <v>131</v>
      </c>
      <c r="AI176" s="359">
        <v>0.001</v>
      </c>
      <c r="AJ176" s="43" t="s">
        <v>127</v>
      </c>
      <c r="AK176" s="43" t="s">
        <v>128</v>
      </c>
      <c r="AL176" s="356" t="s">
        <v>132</v>
      </c>
      <c r="AM176" s="43" t="s">
        <v>165</v>
      </c>
      <c r="AN176" s="360">
        <v>3906.0</v>
      </c>
      <c r="AO176" s="360">
        <v>0.18</v>
      </c>
      <c r="AP176" s="356" t="s">
        <v>130</v>
      </c>
      <c r="AQ176" s="356" t="s">
        <v>210</v>
      </c>
      <c r="AR176" s="360">
        <v>0.001</v>
      </c>
      <c r="AS176" s="356" t="s">
        <v>127</v>
      </c>
      <c r="AT176" s="356" t="s">
        <v>128</v>
      </c>
      <c r="AU176" s="356" t="s">
        <v>132</v>
      </c>
      <c r="AV176" s="356" t="s">
        <v>165</v>
      </c>
      <c r="AW176" s="356" t="s">
        <v>134</v>
      </c>
    </row>
    <row r="177" ht="20.25" customHeight="1">
      <c r="A177" s="371" t="s">
        <v>520</v>
      </c>
      <c r="B177" s="371" t="s">
        <v>107</v>
      </c>
      <c r="C177" s="371" t="s">
        <v>214</v>
      </c>
      <c r="D177" s="209"/>
      <c r="E177" s="255" t="s">
        <v>1090</v>
      </c>
      <c r="F177" s="43" t="s">
        <v>1111</v>
      </c>
      <c r="G177" s="356" t="s">
        <v>214</v>
      </c>
      <c r="H177" s="357">
        <v>45686.0</v>
      </c>
      <c r="I177" s="357">
        <v>45686.0</v>
      </c>
      <c r="J177" s="356" t="s">
        <v>1116</v>
      </c>
      <c r="K177" s="42"/>
      <c r="L177" s="356" t="s">
        <v>1093</v>
      </c>
      <c r="M177" s="356" t="s">
        <v>1094</v>
      </c>
      <c r="N177" s="42"/>
      <c r="O177" s="145" t="s">
        <v>1095</v>
      </c>
      <c r="P177" s="48" t="str">
        <f t="array" ref="P177">HYPERLINK(INDEX('File Links'!B:B, MATCH(O177, 'File Links'!C:C, 0)))
</f>
        <v>https://drive.google.com/file/d/1GCYFeLrlGpCBF1GyjSAAd1YFst71bifH/view?usp=drivesdk</v>
      </c>
      <c r="Q177" s="356" t="s">
        <v>1096</v>
      </c>
      <c r="R177" s="42"/>
      <c r="S177" s="42"/>
      <c r="T177" s="42"/>
      <c r="U177" s="145" t="s">
        <v>351</v>
      </c>
      <c r="V177" s="356" t="s">
        <v>1117</v>
      </c>
      <c r="W177" s="45" t="str">
        <f t="array" ref="W177">HYPERLINK(INDEX('File Links'!B:B, MATCH(U177, 'File Links'!C:C, 0)))
</f>
        <v>#N/A</v>
      </c>
      <c r="X177" s="42"/>
      <c r="Y177" s="356" t="s">
        <v>1098</v>
      </c>
      <c r="Z177" s="356" t="s">
        <v>1118</v>
      </c>
      <c r="AA177" s="356" t="s">
        <v>1119</v>
      </c>
      <c r="AB177" s="356" t="s">
        <v>1126</v>
      </c>
      <c r="AC177" s="356" t="s">
        <v>1127</v>
      </c>
      <c r="AD177" s="360">
        <v>16.0</v>
      </c>
      <c r="AE177" s="360">
        <v>4711.0</v>
      </c>
      <c r="AF177" s="360">
        <v>0.4</v>
      </c>
      <c r="AG177" s="356" t="s">
        <v>130</v>
      </c>
      <c r="AH177" s="356" t="s">
        <v>131</v>
      </c>
      <c r="AI177" s="359">
        <v>0.001</v>
      </c>
      <c r="AJ177" s="43" t="s">
        <v>127</v>
      </c>
      <c r="AK177" s="43" t="s">
        <v>128</v>
      </c>
      <c r="AL177" s="356" t="s">
        <v>132</v>
      </c>
      <c r="AM177" s="43" t="s">
        <v>165</v>
      </c>
      <c r="AN177" s="360">
        <v>3906.0</v>
      </c>
      <c r="AO177" s="360">
        <v>0.36</v>
      </c>
      <c r="AP177" s="356" t="s">
        <v>130</v>
      </c>
      <c r="AQ177" s="356" t="s">
        <v>210</v>
      </c>
      <c r="AR177" s="360">
        <v>0.001</v>
      </c>
      <c r="AS177" s="356" t="s">
        <v>127</v>
      </c>
      <c r="AT177" s="356" t="s">
        <v>128</v>
      </c>
      <c r="AU177" s="356" t="s">
        <v>132</v>
      </c>
      <c r="AV177" s="356" t="s">
        <v>165</v>
      </c>
      <c r="AW177" s="356" t="s">
        <v>134</v>
      </c>
    </row>
    <row r="178" ht="20.25" customHeight="1">
      <c r="A178" s="441" t="s">
        <v>586</v>
      </c>
      <c r="B178" s="441" t="s">
        <v>107</v>
      </c>
      <c r="C178" s="441" t="s">
        <v>759</v>
      </c>
      <c r="D178" s="442"/>
      <c r="E178" s="110" t="s">
        <v>1128</v>
      </c>
      <c r="F178" s="441" t="s">
        <v>1129</v>
      </c>
      <c r="G178" s="441" t="s">
        <v>759</v>
      </c>
      <c r="H178" s="443">
        <v>45427.0</v>
      </c>
      <c r="I178" s="442"/>
      <c r="J178" s="442"/>
      <c r="K178" s="442"/>
      <c r="L178" s="441" t="s">
        <v>1130</v>
      </c>
      <c r="M178" s="441" t="s">
        <v>1131</v>
      </c>
      <c r="N178" s="442"/>
      <c r="O178" s="444" t="str">
        <f> hyperlink(vlookup(lower(M178),'File Links'!A:B, 2, FALSE), SUBSTITUTE(lower(M178), "/", "--") &amp;  ".pdf")</f>
        <v>10.1016--j.learninstruc.2018.04.006.pdf</v>
      </c>
      <c r="P178" s="48" t="str">
        <f t="array" ref="P178">HYPERLINK(INDEX('File Links'!B:B, MATCH(O178, 'File Links'!C:C, 0)))
</f>
        <v>https://drive.google.com/file/d/1woJDHccS6Df_7DkKmeLElCzqxpjoRtns/view?usp=drivesdk</v>
      </c>
      <c r="Q178" s="441" t="s">
        <v>1132</v>
      </c>
      <c r="R178" s="445" t="s">
        <v>1133</v>
      </c>
      <c r="S178" s="442"/>
      <c r="T178" s="442"/>
      <c r="U178" s="441" t="str">
        <f> hyperlink(vlookup(lower(R178),'File Links'!E:F, 2, FALSE), SUBSTITUTE(lower(R178), "/", "--") &amp;  ".pdf")</f>
        <v>10.1080--0163853x.2024.2339738.pdf</v>
      </c>
      <c r="V178" s="442"/>
      <c r="W178" s="45" t="str">
        <f t="array" ref="W178">HYPERLINK(INDEX('File Links'!B:B, MATCH(U178, 'File Links'!C:C, 0)))
</f>
        <v>#N/A</v>
      </c>
      <c r="X178" s="442"/>
      <c r="Y178" s="441" t="s">
        <v>1134</v>
      </c>
      <c r="Z178" s="442"/>
      <c r="AA178" s="445" t="s">
        <v>1135</v>
      </c>
      <c r="AB178" s="441" t="s">
        <v>1136</v>
      </c>
      <c r="AC178" s="442"/>
      <c r="AD178" s="442"/>
      <c r="AE178" s="442"/>
      <c r="AF178" s="442"/>
      <c r="AG178" s="442"/>
      <c r="AH178" s="442"/>
      <c r="AI178" s="441"/>
      <c r="AJ178" s="442"/>
      <c r="AK178" s="442"/>
      <c r="AL178" s="95"/>
      <c r="AM178" s="442"/>
      <c r="AN178" s="442"/>
      <c r="AO178" s="442"/>
      <c r="AP178" s="442"/>
      <c r="AQ178" s="442"/>
      <c r="AR178" s="442"/>
      <c r="AS178" s="442"/>
      <c r="AT178" s="442"/>
      <c r="AU178" s="95"/>
      <c r="AV178" s="95"/>
      <c r="AW178" s="111"/>
      <c r="AX178" s="442"/>
      <c r="AY178" s="95"/>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row>
    <row r="179" ht="20.25" customHeight="1">
      <c r="A179" s="136" t="s">
        <v>279</v>
      </c>
      <c r="B179" s="136" t="s">
        <v>107</v>
      </c>
      <c r="C179" s="136" t="s">
        <v>243</v>
      </c>
      <c r="D179" s="64"/>
      <c r="E179" s="98" t="s">
        <v>1128</v>
      </c>
      <c r="F179" s="101" t="s">
        <v>1129</v>
      </c>
      <c r="G179" s="101" t="s">
        <v>244</v>
      </c>
      <c r="H179" s="446">
        <v>45644.0</v>
      </c>
      <c r="I179" s="25"/>
      <c r="J179" s="101"/>
      <c r="K179" s="101"/>
      <c r="L179" s="101" t="s">
        <v>1130</v>
      </c>
      <c r="M179" s="101" t="s">
        <v>1131</v>
      </c>
      <c r="N179" s="101"/>
      <c r="O179" s="447" t="str">
        <f> hyperlink(vlookup(lower(M179),'File Links'!E:F, 2, FALSE), SUBSTITUTE(lower(M179), "/", "--") &amp;  ".pdf")</f>
        <v>10.1016--j.learninstruc.2018.04.006.pdf</v>
      </c>
      <c r="P179" s="48" t="str">
        <f t="array" ref="P179">HYPERLINK(INDEX('File Links'!B:B, MATCH(O179, 'File Links'!C:C, 0)))
</f>
        <v>https://drive.google.com/file/d/1woJDHccS6Df_7DkKmeLElCzqxpjoRtns/view?usp=drivesdk</v>
      </c>
      <c r="Q179" s="448" t="s">
        <v>1137</v>
      </c>
      <c r="R179" s="101" t="s">
        <v>1133</v>
      </c>
      <c r="S179" s="101"/>
      <c r="T179" s="106"/>
      <c r="U179" s="449" t="str">
        <f> hyperlink(vlookup(lower(R179),'File Links'!E:F, 2, FALSE), SUBSTITUTE(lower(R179), "/", "--") &amp;  ".pdf")</f>
        <v>10.1080--0163853x.2024.2339738.pdf</v>
      </c>
      <c r="V179" s="101" t="s">
        <v>1138</v>
      </c>
      <c r="W179" s="45" t="str">
        <f t="array" ref="W179">HYPERLINK(INDEX('File Links'!B:B, MATCH(U179, 'File Links'!C:C, 0)))
</f>
        <v>#N/A</v>
      </c>
      <c r="X179" s="101"/>
      <c r="Y179" s="101" t="s">
        <v>235</v>
      </c>
      <c r="Z179" s="101"/>
      <c r="AA179" s="101" t="s">
        <v>1135</v>
      </c>
      <c r="AB179" s="101"/>
      <c r="AC179" s="101" t="s">
        <v>1139</v>
      </c>
      <c r="AD179" s="101"/>
      <c r="AE179" s="433">
        <v>137.0</v>
      </c>
      <c r="AF179" s="433">
        <v>0.09</v>
      </c>
      <c r="AG179" s="106" t="s">
        <v>1140</v>
      </c>
      <c r="AH179" s="101" t="s">
        <v>1141</v>
      </c>
      <c r="AI179" s="433">
        <v>0.05</v>
      </c>
      <c r="AJ179" s="98" t="s">
        <v>127</v>
      </c>
      <c r="AK179" s="101" t="s">
        <v>179</v>
      </c>
      <c r="AL179" s="101" t="s">
        <v>132</v>
      </c>
      <c r="AM179" s="101" t="s">
        <v>165</v>
      </c>
      <c r="AN179" s="433">
        <v>229.0</v>
      </c>
      <c r="AO179" s="433">
        <v>0.29</v>
      </c>
      <c r="AP179" s="101" t="s">
        <v>357</v>
      </c>
      <c r="AQ179" s="101" t="s">
        <v>1142</v>
      </c>
      <c r="AR179" s="433">
        <v>0.01</v>
      </c>
      <c r="AS179" s="98" t="s">
        <v>127</v>
      </c>
      <c r="AT179" s="98" t="s">
        <v>179</v>
      </c>
      <c r="AU179" s="98" t="s">
        <v>132</v>
      </c>
      <c r="AV179" s="450" t="s">
        <v>1143</v>
      </c>
      <c r="AW179" s="450" t="s">
        <v>142</v>
      </c>
      <c r="AX179" s="101"/>
      <c r="AY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c r="CY179" s="64"/>
      <c r="CZ179" s="64"/>
      <c r="DA179" s="64"/>
      <c r="DB179" s="64"/>
      <c r="DC179" s="64"/>
      <c r="DD179" s="64"/>
      <c r="DE179" s="64"/>
      <c r="DF179" s="64"/>
      <c r="DG179" s="64"/>
    </row>
    <row r="180" ht="20.25" customHeight="1">
      <c r="A180" s="136" t="s">
        <v>279</v>
      </c>
      <c r="B180" s="136" t="s">
        <v>107</v>
      </c>
      <c r="C180" s="136" t="s">
        <v>243</v>
      </c>
      <c r="D180" s="64"/>
      <c r="E180" s="98" t="s">
        <v>1128</v>
      </c>
      <c r="F180" s="101" t="s">
        <v>1144</v>
      </c>
      <c r="G180" s="101" t="s">
        <v>244</v>
      </c>
      <c r="H180" s="446">
        <v>45644.0</v>
      </c>
      <c r="I180" s="25"/>
      <c r="J180" s="101"/>
      <c r="K180" s="101"/>
      <c r="L180" s="101" t="s">
        <v>1130</v>
      </c>
      <c r="M180" s="101" t="s">
        <v>1131</v>
      </c>
      <c r="N180" s="101"/>
      <c r="O180" s="447" t="str">
        <f> hyperlink(vlookup(lower(M180),'File Links'!E:F, 2, FALSE), SUBSTITUTE(lower(M180), "/", "--") &amp;  ".pdf")</f>
        <v>10.1016--j.learninstruc.2018.04.006.pdf</v>
      </c>
      <c r="P180" s="48" t="str">
        <f t="array" ref="P180">HYPERLINK(INDEX('File Links'!B:B, MATCH(O180, 'File Links'!C:C, 0)))
</f>
        <v>https://drive.google.com/file/d/1woJDHccS6Df_7DkKmeLElCzqxpjoRtns/view?usp=drivesdk</v>
      </c>
      <c r="Q180" s="448" t="s">
        <v>1137</v>
      </c>
      <c r="R180" s="101" t="s">
        <v>1133</v>
      </c>
      <c r="S180" s="101"/>
      <c r="T180" s="106"/>
      <c r="U180" s="449" t="str">
        <f> hyperlink(vlookup(lower(R180),'File Links'!E:F, 2, FALSE), SUBSTITUTE(lower(R180), "/", "--") &amp;  ".pdf")</f>
        <v>10.1080--0163853x.2024.2339738.pdf</v>
      </c>
      <c r="V180" s="101" t="s">
        <v>1138</v>
      </c>
      <c r="W180" s="45" t="str">
        <f t="array" ref="W180">HYPERLINK(INDEX('File Links'!B:B, MATCH(U180, 'File Links'!C:C, 0)))
</f>
        <v>#N/A</v>
      </c>
      <c r="X180" s="101"/>
      <c r="Y180" s="101" t="s">
        <v>235</v>
      </c>
      <c r="Z180" s="101"/>
      <c r="AA180" s="101" t="s">
        <v>1145</v>
      </c>
      <c r="AB180" s="101"/>
      <c r="AC180" s="101" t="s">
        <v>1146</v>
      </c>
      <c r="AD180" s="101"/>
      <c r="AE180" s="433">
        <v>137.0</v>
      </c>
      <c r="AF180" s="433">
        <v>0.08</v>
      </c>
      <c r="AG180" s="106" t="s">
        <v>1140</v>
      </c>
      <c r="AH180" s="101" t="s">
        <v>1141</v>
      </c>
      <c r="AI180" s="433">
        <v>0.05</v>
      </c>
      <c r="AJ180" s="98" t="s">
        <v>127</v>
      </c>
      <c r="AK180" s="101" t="s">
        <v>179</v>
      </c>
      <c r="AL180" s="101" t="s">
        <v>132</v>
      </c>
      <c r="AM180" s="101" t="s">
        <v>165</v>
      </c>
      <c r="AN180" s="433">
        <v>229.0</v>
      </c>
      <c r="AO180" s="433" t="s">
        <v>1147</v>
      </c>
      <c r="AP180" s="101" t="s">
        <v>357</v>
      </c>
      <c r="AQ180" s="101" t="s">
        <v>1142</v>
      </c>
      <c r="AR180" s="433">
        <v>0.01</v>
      </c>
      <c r="AS180" s="98" t="s">
        <v>127</v>
      </c>
      <c r="AT180" s="98" t="s">
        <v>179</v>
      </c>
      <c r="AU180" s="98" t="s">
        <v>132</v>
      </c>
      <c r="AV180" s="450" t="s">
        <v>1143</v>
      </c>
      <c r="AW180" s="450" t="s">
        <v>142</v>
      </c>
      <c r="AX180" s="101"/>
      <c r="AY180" s="64"/>
    </row>
    <row r="181" ht="20.25" customHeight="1">
      <c r="A181" s="136" t="s">
        <v>279</v>
      </c>
      <c r="B181" s="136" t="s">
        <v>107</v>
      </c>
      <c r="C181" s="136" t="s">
        <v>243</v>
      </c>
      <c r="D181" s="64"/>
      <c r="E181" s="98" t="s">
        <v>1128</v>
      </c>
      <c r="F181" s="101" t="s">
        <v>1148</v>
      </c>
      <c r="G181" s="101" t="s">
        <v>244</v>
      </c>
      <c r="H181" s="446">
        <v>45644.0</v>
      </c>
      <c r="I181" s="25"/>
      <c r="J181" s="101"/>
      <c r="K181" s="101"/>
      <c r="L181" s="101" t="s">
        <v>1130</v>
      </c>
      <c r="M181" s="101" t="s">
        <v>1131</v>
      </c>
      <c r="N181" s="101"/>
      <c r="O181" s="447" t="str">
        <f> hyperlink(vlookup(lower(M181),'File Links'!E:F, 2, FALSE), SUBSTITUTE(lower(M181), "/", "--") &amp;  ".pdf")</f>
        <v>10.1016--j.learninstruc.2018.04.006.pdf</v>
      </c>
      <c r="P181" s="48" t="str">
        <f t="array" ref="P181">HYPERLINK(INDEX('File Links'!B:B, MATCH(O181, 'File Links'!C:C, 0)))
</f>
        <v>https://drive.google.com/file/d/1woJDHccS6Df_7DkKmeLElCzqxpjoRtns/view?usp=drivesdk</v>
      </c>
      <c r="Q181" s="448" t="s">
        <v>1137</v>
      </c>
      <c r="R181" s="101" t="s">
        <v>1133</v>
      </c>
      <c r="S181" s="101"/>
      <c r="T181" s="106"/>
      <c r="U181" s="449" t="str">
        <f> hyperlink(vlookup(lower(R181),'File Links'!E:F, 2, FALSE), SUBSTITUTE(lower(R181), "/", "--") &amp;  ".pdf")</f>
        <v>10.1080--0163853x.2024.2339738.pdf</v>
      </c>
      <c r="V181" s="101" t="s">
        <v>1138</v>
      </c>
      <c r="W181" s="45" t="str">
        <f t="array" ref="W181">HYPERLINK(INDEX('File Links'!B:B, MATCH(U181, 'File Links'!C:C, 0)))
</f>
        <v>#N/A</v>
      </c>
      <c r="X181" s="101"/>
      <c r="Y181" s="101" t="s">
        <v>235</v>
      </c>
      <c r="Z181" s="101"/>
      <c r="AA181" s="101" t="s">
        <v>1149</v>
      </c>
      <c r="AB181" s="101"/>
      <c r="AC181" s="101" t="s">
        <v>1150</v>
      </c>
      <c r="AD181" s="101"/>
      <c r="AE181" s="433">
        <v>137.0</v>
      </c>
      <c r="AF181" s="433">
        <v>0.37</v>
      </c>
      <c r="AG181" s="106" t="s">
        <v>1140</v>
      </c>
      <c r="AH181" s="101" t="s">
        <v>1141</v>
      </c>
      <c r="AI181" s="433">
        <v>0.001</v>
      </c>
      <c r="AJ181" s="98" t="s">
        <v>127</v>
      </c>
      <c r="AK181" s="101" t="s">
        <v>179</v>
      </c>
      <c r="AL181" s="101" t="s">
        <v>132</v>
      </c>
      <c r="AM181" s="101" t="s">
        <v>165</v>
      </c>
      <c r="AN181" s="433">
        <v>229.0</v>
      </c>
      <c r="AO181" s="433">
        <v>1.57</v>
      </c>
      <c r="AP181" s="101" t="s">
        <v>357</v>
      </c>
      <c r="AQ181" s="101" t="s">
        <v>1142</v>
      </c>
      <c r="AR181" s="433">
        <v>0.001</v>
      </c>
      <c r="AS181" s="98" t="s">
        <v>127</v>
      </c>
      <c r="AT181" s="98" t="s">
        <v>179</v>
      </c>
      <c r="AU181" s="98" t="s">
        <v>132</v>
      </c>
      <c r="AV181" s="450" t="s">
        <v>1143</v>
      </c>
      <c r="AW181" s="450" t="s">
        <v>142</v>
      </c>
      <c r="AX181" s="101"/>
      <c r="AY181" s="64"/>
    </row>
    <row r="182" ht="20.25" customHeight="1">
      <c r="A182" s="136" t="s">
        <v>279</v>
      </c>
      <c r="B182" s="136" t="s">
        <v>107</v>
      </c>
      <c r="C182" s="136" t="s">
        <v>243</v>
      </c>
      <c r="D182" s="64"/>
      <c r="E182" s="98" t="s">
        <v>1128</v>
      </c>
      <c r="F182" s="101" t="s">
        <v>1151</v>
      </c>
      <c r="G182" s="101" t="s">
        <v>244</v>
      </c>
      <c r="H182" s="446">
        <v>45644.0</v>
      </c>
      <c r="I182" s="25"/>
      <c r="J182" s="101"/>
      <c r="K182" s="101"/>
      <c r="L182" s="101" t="s">
        <v>1130</v>
      </c>
      <c r="M182" s="101" t="s">
        <v>1131</v>
      </c>
      <c r="N182" s="101"/>
      <c r="O182" s="447" t="str">
        <f> hyperlink(vlookup(lower(M182),'File Links'!E:F, 2, FALSE), SUBSTITUTE(lower(M182), "/", "--") &amp;  ".pdf")</f>
        <v>10.1016--j.learninstruc.2018.04.006.pdf</v>
      </c>
      <c r="P182" s="48" t="str">
        <f t="array" ref="P182">HYPERLINK(INDEX('File Links'!B:B, MATCH(O182, 'File Links'!C:C, 0)))
</f>
        <v>https://drive.google.com/file/d/1woJDHccS6Df_7DkKmeLElCzqxpjoRtns/view?usp=drivesdk</v>
      </c>
      <c r="Q182" s="448" t="s">
        <v>1137</v>
      </c>
      <c r="R182" s="101" t="s">
        <v>1133</v>
      </c>
      <c r="S182" s="101"/>
      <c r="T182" s="106"/>
      <c r="U182" s="449" t="str">
        <f> hyperlink(vlookup(lower(R182),'File Links'!E:F, 2, FALSE), SUBSTITUTE(lower(R182), "/", "--") &amp;  ".pdf")</f>
        <v>10.1080--0163853x.2024.2339738.pdf</v>
      </c>
      <c r="V182" s="101" t="s">
        <v>1138</v>
      </c>
      <c r="W182" s="45" t="str">
        <f t="array" ref="W182">HYPERLINK(INDEX('File Links'!B:B, MATCH(U182, 'File Links'!C:C, 0)))
</f>
        <v>#N/A</v>
      </c>
      <c r="X182" s="101"/>
      <c r="Y182" s="101" t="s">
        <v>235</v>
      </c>
      <c r="Z182" s="101"/>
      <c r="AA182" s="101" t="s">
        <v>1152</v>
      </c>
      <c r="AB182" s="101"/>
      <c r="AC182" s="101" t="s">
        <v>1153</v>
      </c>
      <c r="AD182" s="433">
        <v>60.0</v>
      </c>
      <c r="AE182" s="433">
        <v>137.0</v>
      </c>
      <c r="AF182" s="433">
        <v>0.04</v>
      </c>
      <c r="AG182" s="106" t="s">
        <v>1140</v>
      </c>
      <c r="AH182" s="101" t="s">
        <v>1141</v>
      </c>
      <c r="AI182" s="433">
        <v>0.05</v>
      </c>
      <c r="AJ182" s="98" t="s">
        <v>127</v>
      </c>
      <c r="AK182" s="101" t="s">
        <v>179</v>
      </c>
      <c r="AL182" s="101" t="s">
        <v>132</v>
      </c>
      <c r="AM182" s="101" t="s">
        <v>165</v>
      </c>
      <c r="AN182" s="433">
        <v>229.0</v>
      </c>
      <c r="AO182" s="433">
        <v>1.16</v>
      </c>
      <c r="AP182" s="101" t="s">
        <v>357</v>
      </c>
      <c r="AQ182" s="101" t="s">
        <v>1142</v>
      </c>
      <c r="AR182" s="433">
        <v>0.001</v>
      </c>
      <c r="AS182" s="98" t="s">
        <v>127</v>
      </c>
      <c r="AT182" s="98" t="s">
        <v>179</v>
      </c>
      <c r="AU182" s="98" t="s">
        <v>132</v>
      </c>
      <c r="AV182" s="450" t="s">
        <v>1143</v>
      </c>
      <c r="AW182" s="450" t="s">
        <v>142</v>
      </c>
      <c r="AX182" s="101"/>
      <c r="AY182" s="64"/>
    </row>
    <row r="183" ht="20.25" customHeight="1">
      <c r="A183" s="136" t="s">
        <v>279</v>
      </c>
      <c r="B183" s="136" t="s">
        <v>107</v>
      </c>
      <c r="C183" s="136" t="s">
        <v>243</v>
      </c>
      <c r="D183" s="64"/>
      <c r="E183" s="98" t="s">
        <v>1128</v>
      </c>
      <c r="F183" s="101" t="s">
        <v>1154</v>
      </c>
      <c r="G183" s="101" t="s">
        <v>244</v>
      </c>
      <c r="H183" s="446">
        <v>45644.0</v>
      </c>
      <c r="I183" s="25"/>
      <c r="J183" s="101"/>
      <c r="K183" s="101"/>
      <c r="L183" s="101" t="s">
        <v>1130</v>
      </c>
      <c r="M183" s="101" t="s">
        <v>1131</v>
      </c>
      <c r="N183" s="101"/>
      <c r="O183" s="447" t="str">
        <f> hyperlink(vlookup(lower(M183),'File Links'!E:F, 2, FALSE), SUBSTITUTE(lower(M183), "/", "--") &amp;  ".pdf")</f>
        <v>10.1016--j.learninstruc.2018.04.006.pdf</v>
      </c>
      <c r="P183" s="48" t="str">
        <f t="array" ref="P183">HYPERLINK(INDEX('File Links'!B:B, MATCH(O183, 'File Links'!C:C, 0)))
</f>
        <v>https://drive.google.com/file/d/1woJDHccS6Df_7DkKmeLElCzqxpjoRtns/view?usp=drivesdk</v>
      </c>
      <c r="Q183" s="448" t="s">
        <v>1137</v>
      </c>
      <c r="R183" s="101" t="s">
        <v>1133</v>
      </c>
      <c r="S183" s="101"/>
      <c r="T183" s="106"/>
      <c r="U183" s="449" t="str">
        <f> hyperlink(vlookup(lower(R183),'File Links'!E:F, 2, FALSE), SUBSTITUTE(lower(R183), "/", "--") &amp;  ".pdf")</f>
        <v>10.1080--0163853x.2024.2339738.pdf</v>
      </c>
      <c r="V183" s="101" t="s">
        <v>1138</v>
      </c>
      <c r="W183" s="45" t="str">
        <f t="array" ref="W183">HYPERLINK(INDEX('File Links'!B:B, MATCH(U183, 'File Links'!C:C, 0)))
</f>
        <v>#N/A</v>
      </c>
      <c r="X183" s="101"/>
      <c r="Y183" s="101" t="s">
        <v>235</v>
      </c>
      <c r="Z183" s="101"/>
      <c r="AA183" s="101" t="s">
        <v>1155</v>
      </c>
      <c r="AB183" s="101"/>
      <c r="AC183" s="101" t="s">
        <v>1156</v>
      </c>
      <c r="AD183" s="433">
        <v>60.0</v>
      </c>
      <c r="AE183" s="433">
        <v>137.0</v>
      </c>
      <c r="AF183" s="433">
        <v>0.39</v>
      </c>
      <c r="AG183" s="106" t="s">
        <v>1157</v>
      </c>
      <c r="AH183" s="101" t="s">
        <v>1158</v>
      </c>
      <c r="AI183" s="433">
        <v>0.01</v>
      </c>
      <c r="AJ183" s="98" t="s">
        <v>127</v>
      </c>
      <c r="AK183" s="101" t="s">
        <v>179</v>
      </c>
      <c r="AL183" s="101" t="s">
        <v>132</v>
      </c>
      <c r="AM183" s="101" t="s">
        <v>165</v>
      </c>
      <c r="AN183" s="433">
        <v>229.0</v>
      </c>
      <c r="AO183" s="433">
        <v>1.17</v>
      </c>
      <c r="AP183" s="101" t="s">
        <v>722</v>
      </c>
      <c r="AQ183" s="101" t="s">
        <v>1159</v>
      </c>
      <c r="AR183" s="433">
        <v>0.686</v>
      </c>
      <c r="AS183" s="98" t="s">
        <v>164</v>
      </c>
      <c r="AT183" s="98" t="s">
        <v>179</v>
      </c>
      <c r="AU183" s="98" t="s">
        <v>132</v>
      </c>
      <c r="AV183" s="450" t="s">
        <v>1143</v>
      </c>
      <c r="AW183" s="450" t="s">
        <v>142</v>
      </c>
      <c r="AX183" s="101"/>
      <c r="AY183" s="64"/>
    </row>
    <row r="184" ht="20.25" customHeight="1">
      <c r="A184" s="136" t="s">
        <v>279</v>
      </c>
      <c r="B184" s="136" t="s">
        <v>107</v>
      </c>
      <c r="C184" s="136" t="s">
        <v>243</v>
      </c>
      <c r="D184" s="64"/>
      <c r="E184" s="98" t="s">
        <v>1128</v>
      </c>
      <c r="F184" s="101" t="s">
        <v>1160</v>
      </c>
      <c r="G184" s="101" t="s">
        <v>244</v>
      </c>
      <c r="H184" s="446">
        <v>45644.0</v>
      </c>
      <c r="I184" s="25"/>
      <c r="J184" s="101"/>
      <c r="K184" s="101"/>
      <c r="L184" s="101" t="s">
        <v>1130</v>
      </c>
      <c r="M184" s="101" t="s">
        <v>1131</v>
      </c>
      <c r="N184" s="101"/>
      <c r="O184" s="447" t="str">
        <f> hyperlink(vlookup(lower(M184),'File Links'!E:F, 2, FALSE), SUBSTITUTE(lower(M184), "/", "--") &amp;  ".pdf")</f>
        <v>10.1016--j.learninstruc.2018.04.006.pdf</v>
      </c>
      <c r="P184" s="48" t="str">
        <f t="array" ref="P184">HYPERLINK(INDEX('File Links'!B:B, MATCH(O184, 'File Links'!C:C, 0)))
</f>
        <v>https://drive.google.com/file/d/1woJDHccS6Df_7DkKmeLElCzqxpjoRtns/view?usp=drivesdk</v>
      </c>
      <c r="Q184" s="448" t="s">
        <v>1137</v>
      </c>
      <c r="R184" s="101" t="s">
        <v>1133</v>
      </c>
      <c r="S184" s="101"/>
      <c r="T184" s="106"/>
      <c r="U184" s="449" t="str">
        <f> hyperlink(vlookup(lower(R184),'File Links'!E:F, 2, FALSE), SUBSTITUTE(lower(R184), "/", "--") &amp;  ".pdf")</f>
        <v>10.1080--0163853x.2024.2339738.pdf</v>
      </c>
      <c r="V184" s="101" t="s">
        <v>1138</v>
      </c>
      <c r="W184" s="45" t="str">
        <f t="array" ref="W184">HYPERLINK(INDEX('File Links'!B:B, MATCH(U184, 'File Links'!C:C, 0)))
</f>
        <v>#N/A</v>
      </c>
      <c r="X184" s="101"/>
      <c r="Y184" s="101" t="s">
        <v>235</v>
      </c>
      <c r="Z184" s="101"/>
      <c r="AA184" s="101" t="s">
        <v>1161</v>
      </c>
      <c r="AB184" s="101"/>
      <c r="AC184" s="101" t="s">
        <v>1162</v>
      </c>
      <c r="AD184" s="433">
        <v>60.0</v>
      </c>
      <c r="AE184" s="433">
        <v>137.0</v>
      </c>
      <c r="AF184" s="433">
        <v>0.42</v>
      </c>
      <c r="AG184" s="106" t="s">
        <v>722</v>
      </c>
      <c r="AH184" s="101" t="s">
        <v>1158</v>
      </c>
      <c r="AI184" s="433">
        <v>0.05</v>
      </c>
      <c r="AJ184" s="98" t="s">
        <v>127</v>
      </c>
      <c r="AK184" s="101" t="s">
        <v>179</v>
      </c>
      <c r="AL184" s="101" t="s">
        <v>132</v>
      </c>
      <c r="AM184" s="101" t="s">
        <v>165</v>
      </c>
      <c r="AN184" s="433">
        <v>229.0</v>
      </c>
      <c r="AO184" s="433">
        <v>3.38</v>
      </c>
      <c r="AP184" s="101" t="s">
        <v>722</v>
      </c>
      <c r="AQ184" s="101" t="s">
        <v>1159</v>
      </c>
      <c r="AR184" s="433">
        <v>0.001</v>
      </c>
      <c r="AS184" s="98" t="s">
        <v>127</v>
      </c>
      <c r="AT184" s="98" t="s">
        <v>179</v>
      </c>
      <c r="AU184" s="98" t="s">
        <v>132</v>
      </c>
      <c r="AV184" s="450" t="s">
        <v>1143</v>
      </c>
      <c r="AW184" s="450" t="s">
        <v>142</v>
      </c>
      <c r="AX184" s="101"/>
      <c r="AY184" s="64"/>
    </row>
    <row r="185" ht="20.25" customHeight="1">
      <c r="A185" s="136" t="s">
        <v>279</v>
      </c>
      <c r="B185" s="136" t="s">
        <v>107</v>
      </c>
      <c r="C185" s="136" t="s">
        <v>243</v>
      </c>
      <c r="D185" s="64"/>
      <c r="E185" s="98" t="s">
        <v>1128</v>
      </c>
      <c r="F185" s="101" t="s">
        <v>1163</v>
      </c>
      <c r="G185" s="101" t="s">
        <v>244</v>
      </c>
      <c r="H185" s="446">
        <v>45644.0</v>
      </c>
      <c r="I185" s="25"/>
      <c r="J185" s="101"/>
      <c r="K185" s="101"/>
      <c r="L185" s="101" t="s">
        <v>1130</v>
      </c>
      <c r="M185" s="101" t="s">
        <v>1131</v>
      </c>
      <c r="N185" s="101"/>
      <c r="O185" s="447" t="str">
        <f> hyperlink(vlookup(lower(M185),'File Links'!E:F, 2, FALSE), SUBSTITUTE(lower(M185), "/", "--") &amp;  ".pdf")</f>
        <v>10.1016--j.learninstruc.2018.04.006.pdf</v>
      </c>
      <c r="P185" s="48" t="str">
        <f t="array" ref="P185">HYPERLINK(INDEX('File Links'!B:B, MATCH(O185, 'File Links'!C:C, 0)))
</f>
        <v>https://drive.google.com/file/d/1woJDHccS6Df_7DkKmeLElCzqxpjoRtns/view?usp=drivesdk</v>
      </c>
      <c r="Q185" s="448" t="s">
        <v>1137</v>
      </c>
      <c r="R185" s="101" t="s">
        <v>1133</v>
      </c>
      <c r="S185" s="101"/>
      <c r="T185" s="106"/>
      <c r="U185" s="449" t="str">
        <f> hyperlink(vlookup(lower(R185),'File Links'!E:F, 2, FALSE), SUBSTITUTE(lower(R185), "/", "--") &amp;  ".pdf")</f>
        <v>10.1080--0163853x.2024.2339738.pdf</v>
      </c>
      <c r="V185" s="101" t="s">
        <v>1138</v>
      </c>
      <c r="W185" s="45" t="str">
        <f t="array" ref="W185">HYPERLINK(INDEX('File Links'!B:B, MATCH(U185, 'File Links'!C:C, 0)))
</f>
        <v>#N/A</v>
      </c>
      <c r="X185" s="101"/>
      <c r="Y185" s="101" t="s">
        <v>235</v>
      </c>
      <c r="Z185" s="101"/>
      <c r="AA185" s="101" t="s">
        <v>1164</v>
      </c>
      <c r="AB185" s="101"/>
      <c r="AC185" s="101" t="s">
        <v>1165</v>
      </c>
      <c r="AD185" s="101"/>
      <c r="AE185" s="433">
        <v>137.0</v>
      </c>
      <c r="AF185" s="433">
        <v>0.19</v>
      </c>
      <c r="AG185" s="106" t="s">
        <v>722</v>
      </c>
      <c r="AH185" s="101" t="s">
        <v>1158</v>
      </c>
      <c r="AI185" s="433">
        <v>0.01</v>
      </c>
      <c r="AJ185" s="98" t="s">
        <v>127</v>
      </c>
      <c r="AK185" s="101" t="s">
        <v>179</v>
      </c>
      <c r="AL185" s="101" t="s">
        <v>132</v>
      </c>
      <c r="AM185" s="101" t="s">
        <v>165</v>
      </c>
      <c r="AN185" s="433">
        <v>229.0</v>
      </c>
      <c r="AO185" s="433">
        <v>0.0588</v>
      </c>
      <c r="AP185" s="101" t="s">
        <v>722</v>
      </c>
      <c r="AQ185" s="101" t="s">
        <v>1166</v>
      </c>
      <c r="AR185" s="433">
        <v>1.0E-4</v>
      </c>
      <c r="AS185" s="98" t="s">
        <v>127</v>
      </c>
      <c r="AT185" s="98" t="s">
        <v>179</v>
      </c>
      <c r="AU185" s="98" t="s">
        <v>132</v>
      </c>
      <c r="AV185" s="450" t="s">
        <v>1143</v>
      </c>
      <c r="AW185" s="450" t="s">
        <v>142</v>
      </c>
      <c r="AX185" s="101"/>
      <c r="AY185" s="64"/>
    </row>
    <row r="186" ht="20.25" customHeight="1">
      <c r="A186" s="136" t="s">
        <v>279</v>
      </c>
      <c r="B186" s="136" t="s">
        <v>107</v>
      </c>
      <c r="C186" s="136" t="s">
        <v>243</v>
      </c>
      <c r="D186" s="64"/>
      <c r="E186" s="98" t="s">
        <v>1128</v>
      </c>
      <c r="F186" s="101" t="s">
        <v>1167</v>
      </c>
      <c r="G186" s="101" t="s">
        <v>244</v>
      </c>
      <c r="H186" s="446">
        <v>45644.0</v>
      </c>
      <c r="I186" s="25"/>
      <c r="J186" s="101"/>
      <c r="K186" s="101"/>
      <c r="L186" s="101" t="s">
        <v>1130</v>
      </c>
      <c r="M186" s="101" t="s">
        <v>1131</v>
      </c>
      <c r="N186" s="101"/>
      <c r="O186" s="447" t="str">
        <f> hyperlink(vlookup(lower(M186),'File Links'!E:F, 2, FALSE), SUBSTITUTE(lower(M186), "/", "--") &amp;  ".pdf")</f>
        <v>10.1016--j.learninstruc.2018.04.006.pdf</v>
      </c>
      <c r="P186" s="48" t="str">
        <f t="array" ref="P186">HYPERLINK(INDEX('File Links'!B:B, MATCH(O186, 'File Links'!C:C, 0)))
</f>
        <v>https://drive.google.com/file/d/1woJDHccS6Df_7DkKmeLElCzqxpjoRtns/view?usp=drivesdk</v>
      </c>
      <c r="Q186" s="448" t="s">
        <v>1137</v>
      </c>
      <c r="R186" s="101" t="s">
        <v>1133</v>
      </c>
      <c r="S186" s="101"/>
      <c r="T186" s="106"/>
      <c r="U186" s="449" t="str">
        <f> hyperlink(vlookup(lower(R186),'File Links'!E:F, 2, FALSE), SUBSTITUTE(lower(R186), "/", "--") &amp;  ".pdf")</f>
        <v>10.1080--0163853x.2024.2339738.pdf</v>
      </c>
      <c r="V186" s="101" t="s">
        <v>1138</v>
      </c>
      <c r="W186" s="45" t="str">
        <f t="array" ref="W186">HYPERLINK(INDEX('File Links'!B:B, MATCH(U186, 'File Links'!C:C, 0)))
</f>
        <v>#N/A</v>
      </c>
      <c r="X186" s="101"/>
      <c r="Y186" s="101" t="s">
        <v>235</v>
      </c>
      <c r="Z186" s="101"/>
      <c r="AA186" s="101" t="s">
        <v>1168</v>
      </c>
      <c r="AB186" s="101"/>
      <c r="AC186" s="101" t="s">
        <v>1169</v>
      </c>
      <c r="AD186" s="101"/>
      <c r="AE186" s="433">
        <v>137.0</v>
      </c>
      <c r="AF186" s="433">
        <v>0.31</v>
      </c>
      <c r="AG186" s="106" t="s">
        <v>722</v>
      </c>
      <c r="AH186" s="101" t="s">
        <v>1158</v>
      </c>
      <c r="AI186" s="433">
        <v>0.05</v>
      </c>
      <c r="AJ186" s="98" t="s">
        <v>127</v>
      </c>
      <c r="AK186" s="101" t="s">
        <v>179</v>
      </c>
      <c r="AL186" s="101" t="s">
        <v>132</v>
      </c>
      <c r="AM186" s="101" t="s">
        <v>165</v>
      </c>
      <c r="AN186" s="433">
        <v>229.0</v>
      </c>
      <c r="AO186" s="433">
        <v>0.1601</v>
      </c>
      <c r="AP186" s="101" t="s">
        <v>722</v>
      </c>
      <c r="AQ186" s="101" t="s">
        <v>1166</v>
      </c>
      <c r="AR186" s="433">
        <v>1.0E-4</v>
      </c>
      <c r="AS186" s="98" t="s">
        <v>164</v>
      </c>
      <c r="AT186" s="98" t="s">
        <v>179</v>
      </c>
      <c r="AU186" s="98" t="s">
        <v>132</v>
      </c>
      <c r="AV186" s="450" t="s">
        <v>1143</v>
      </c>
      <c r="AW186" s="450" t="s">
        <v>142</v>
      </c>
      <c r="AX186" s="101"/>
      <c r="AY186" s="64"/>
    </row>
    <row r="187" ht="20.25" customHeight="1">
      <c r="A187" s="41" t="s">
        <v>279</v>
      </c>
      <c r="B187" s="41" t="s">
        <v>107</v>
      </c>
      <c r="C187" s="41" t="s">
        <v>280</v>
      </c>
      <c r="E187" s="143" t="s">
        <v>1128</v>
      </c>
      <c r="F187" s="139" t="s">
        <v>1129</v>
      </c>
      <c r="G187" s="139" t="s">
        <v>283</v>
      </c>
      <c r="H187" s="141">
        <v>45427.0</v>
      </c>
      <c r="I187" s="140"/>
      <c r="J187" s="115" t="s">
        <v>1170</v>
      </c>
      <c r="K187" s="60"/>
      <c r="L187" s="143" t="s">
        <v>1130</v>
      </c>
      <c r="M187" s="143" t="s">
        <v>1131</v>
      </c>
      <c r="N187" s="144"/>
      <c r="O187" s="302" t="s">
        <v>1171</v>
      </c>
      <c r="P187" s="48" t="str">
        <f t="array" ref="P187">HYPERLINK(INDEX('File Links'!B:B, MATCH(O187, 'File Links'!C:C, 0)))
</f>
        <v>https://drive.google.com/file/d/1woJDHccS6Df_7DkKmeLElCzqxpjoRtns/view?usp=drivesdk</v>
      </c>
      <c r="Q187" s="115" t="s">
        <v>1132</v>
      </c>
      <c r="R187" s="60"/>
      <c r="S187" s="60"/>
      <c r="T187" s="144"/>
      <c r="U187" s="302" t="s">
        <v>351</v>
      </c>
      <c r="V187" s="60"/>
      <c r="W187" s="45" t="str">
        <f t="array" ref="W187">HYPERLINK(INDEX('File Links'!B:B, MATCH(U187, 'File Links'!C:C, 0)))
</f>
        <v>#N/A</v>
      </c>
      <c r="Y187" s="147"/>
      <c r="Z187" s="60"/>
      <c r="AA187" s="60"/>
      <c r="AB187" s="60"/>
      <c r="AC187" s="146"/>
      <c r="AD187" s="144"/>
      <c r="AE187" s="144"/>
      <c r="AF187" s="144"/>
      <c r="AG187" s="147"/>
      <c r="AH187" s="60"/>
      <c r="AI187" s="148"/>
      <c r="AJ187" s="52"/>
      <c r="AK187" s="52"/>
      <c r="AL187" s="60"/>
      <c r="AM187" s="55"/>
      <c r="AN187" s="144"/>
      <c r="AO187" s="144"/>
      <c r="AP187" s="147"/>
      <c r="AQ187" s="60"/>
      <c r="AR187" s="150"/>
      <c r="AS187" s="147"/>
      <c r="AT187" s="147"/>
      <c r="AU187" s="60"/>
      <c r="AV187" s="151" t="s">
        <v>1172</v>
      </c>
      <c r="AW187" s="115" t="s">
        <v>134</v>
      </c>
    </row>
    <row r="188" ht="20.25" customHeight="1">
      <c r="A188" s="40" t="s">
        <v>279</v>
      </c>
      <c r="B188" s="40" t="s">
        <v>107</v>
      </c>
      <c r="C188" s="41" t="s">
        <v>438</v>
      </c>
      <c r="E188" s="412" t="s">
        <v>1173</v>
      </c>
      <c r="F188" s="352" t="s">
        <v>1174</v>
      </c>
      <c r="G188" s="352" t="s">
        <v>441</v>
      </c>
      <c r="H188" s="413">
        <v>45635.0</v>
      </c>
      <c r="I188" s="55"/>
      <c r="J188" s="352" t="s">
        <v>1175</v>
      </c>
      <c r="K188" s="55"/>
      <c r="L188" s="352" t="s">
        <v>1176</v>
      </c>
      <c r="M188" s="352" t="s">
        <v>1177</v>
      </c>
      <c r="N188" s="55"/>
      <c r="O188" s="414" t="s">
        <v>1178</v>
      </c>
      <c r="P188" s="48" t="str">
        <f t="array" ref="P188">HYPERLINK(INDEX('File Links'!B:B, MATCH(O188, 'File Links'!C:C, 0)))
</f>
        <v>https://drive.google.com/file/d/11FrEIq8nBGRjHM8n6665RHudNtasAq_q/view?usp=drivesdk</v>
      </c>
      <c r="Q188" s="352" t="s">
        <v>1179</v>
      </c>
      <c r="R188" s="52" t="s">
        <v>1180</v>
      </c>
      <c r="S188" s="55"/>
      <c r="T188" s="329"/>
      <c r="U188" s="415" t="s">
        <v>1181</v>
      </c>
      <c r="V188" s="352" t="s">
        <v>155</v>
      </c>
      <c r="W188" s="50" t="str">
        <f t="array" ref="W188">HYPERLINK(INDEX('File Links'!B:B, MATCH(U188, 'File Links'!C:C, 0)))
</f>
        <v>https://drive.google.com/file/d/1GpMdw7ZFDWpDIdg1IjCcxRYXmuDta-6_/view?usp=drivesdk</v>
      </c>
      <c r="X188" s="55"/>
      <c r="Y188" s="352" t="s">
        <v>139</v>
      </c>
      <c r="Z188" s="52" t="s">
        <v>1182</v>
      </c>
      <c r="AA188" s="352" t="s">
        <v>1183</v>
      </c>
      <c r="AB188" s="352" t="s">
        <v>1184</v>
      </c>
      <c r="AC188" s="352" t="s">
        <v>1185</v>
      </c>
      <c r="AD188" s="451">
        <v>30.0</v>
      </c>
      <c r="AE188" s="451">
        <v>198.0</v>
      </c>
      <c r="AF188" s="355">
        <v>-0.69</v>
      </c>
      <c r="AG188" s="452" t="s">
        <v>208</v>
      </c>
      <c r="AH188" s="352" t="s">
        <v>1186</v>
      </c>
      <c r="AI188" s="451">
        <v>0.001</v>
      </c>
      <c r="AJ188" s="412" t="s">
        <v>127</v>
      </c>
      <c r="AK188" s="352" t="s">
        <v>211</v>
      </c>
      <c r="AL188" s="352" t="s">
        <v>132</v>
      </c>
      <c r="AM188" s="55"/>
      <c r="AN188" s="451">
        <v>229.0</v>
      </c>
      <c r="AO188" s="451">
        <v>-0.385</v>
      </c>
      <c r="AP188" s="352" t="s">
        <v>208</v>
      </c>
      <c r="AQ188" s="352" t="s">
        <v>1187</v>
      </c>
      <c r="AR188" s="451">
        <v>0.07</v>
      </c>
      <c r="AS188" s="412" t="s">
        <v>164</v>
      </c>
      <c r="AT188" s="412" t="s">
        <v>211</v>
      </c>
      <c r="AU188" s="412" t="s">
        <v>132</v>
      </c>
      <c r="AV188" s="453" t="s">
        <v>1188</v>
      </c>
      <c r="AW188" s="454" t="s">
        <v>142</v>
      </c>
      <c r="AX188" s="55"/>
    </row>
    <row r="189" ht="20.25" customHeight="1">
      <c r="A189" s="41" t="s">
        <v>279</v>
      </c>
      <c r="B189" s="41" t="s">
        <v>107</v>
      </c>
      <c r="C189" s="41" t="s">
        <v>1009</v>
      </c>
      <c r="E189" s="60" t="s">
        <v>1173</v>
      </c>
      <c r="F189" s="52" t="s">
        <v>1189</v>
      </c>
      <c r="G189" s="147" t="s">
        <v>135</v>
      </c>
      <c r="H189" s="140">
        <v>45427.0</v>
      </c>
      <c r="I189" s="409">
        <v>45639.0</v>
      </c>
      <c r="J189" s="60"/>
      <c r="K189" s="60"/>
      <c r="L189" s="147" t="s">
        <v>1176</v>
      </c>
      <c r="M189" s="147" t="s">
        <v>1177</v>
      </c>
      <c r="N189" s="144">
        <v>1.0</v>
      </c>
      <c r="O189" s="147" t="s">
        <v>1178</v>
      </c>
      <c r="P189" s="48" t="str">
        <f t="array" ref="P189">HYPERLINK(INDEX('File Links'!B:B, MATCH(O189, 'File Links'!C:C, 0)))
</f>
        <v>https://drive.google.com/file/d/11FrEIq8nBGRjHM8n6665RHudNtasAq_q/view?usp=drivesdk</v>
      </c>
      <c r="Q189" s="147" t="s">
        <v>1179</v>
      </c>
      <c r="R189" s="60" t="s">
        <v>1180</v>
      </c>
      <c r="S189" s="60"/>
      <c r="T189" s="144">
        <v>1.0</v>
      </c>
      <c r="U189" s="147" t="s">
        <v>1190</v>
      </c>
      <c r="V189" s="52" t="s">
        <v>202</v>
      </c>
      <c r="W189" s="45" t="str">
        <f t="array" ref="W189">HYPERLINK(INDEX('File Links'!B:B, MATCH(U189, 'File Links'!C:C, 0)))
</f>
        <v>#N/A</v>
      </c>
      <c r="X189" s="60"/>
      <c r="Y189" s="147" t="s">
        <v>139</v>
      </c>
      <c r="Z189" s="60" t="s">
        <v>1191</v>
      </c>
      <c r="AA189" s="60" t="s">
        <v>1192</v>
      </c>
      <c r="AB189" s="147" t="s">
        <v>1193</v>
      </c>
      <c r="AC189" s="60" t="s">
        <v>1194</v>
      </c>
      <c r="AD189" s="144">
        <v>16.0</v>
      </c>
      <c r="AE189" s="144">
        <v>96.0</v>
      </c>
      <c r="AF189" s="144">
        <v>-0.69</v>
      </c>
      <c r="AG189" s="330" t="s">
        <v>208</v>
      </c>
      <c r="AH189" s="355">
        <v>16.0</v>
      </c>
      <c r="AI189" s="355">
        <v>0.001</v>
      </c>
      <c r="AJ189" s="147" t="s">
        <v>127</v>
      </c>
      <c r="AK189" s="52" t="s">
        <v>211</v>
      </c>
      <c r="AL189" s="60" t="s">
        <v>129</v>
      </c>
      <c r="AM189" s="60"/>
      <c r="AN189" s="144">
        <v>229.0</v>
      </c>
      <c r="AO189" s="144">
        <v>-0.385</v>
      </c>
      <c r="AP189" s="147" t="s">
        <v>208</v>
      </c>
      <c r="AQ189" s="144">
        <v>11.0</v>
      </c>
      <c r="AR189" s="327">
        <v>0.07</v>
      </c>
      <c r="AS189" s="147" t="s">
        <v>164</v>
      </c>
      <c r="AT189" s="147" t="s">
        <v>179</v>
      </c>
      <c r="AU189" s="60" t="s">
        <v>129</v>
      </c>
      <c r="AV189" s="410" t="s">
        <v>1188</v>
      </c>
      <c r="AW189" s="60" t="s">
        <v>434</v>
      </c>
      <c r="AX189" s="60"/>
    </row>
    <row r="190" ht="20.25" customHeight="1">
      <c r="A190" s="41" t="s">
        <v>279</v>
      </c>
      <c r="B190" s="41" t="s">
        <v>107</v>
      </c>
      <c r="C190" s="41" t="s">
        <v>1009</v>
      </c>
      <c r="E190" s="60" t="s">
        <v>1173</v>
      </c>
      <c r="F190" s="52" t="s">
        <v>1195</v>
      </c>
      <c r="G190" s="147" t="s">
        <v>135</v>
      </c>
      <c r="H190" s="140">
        <v>45427.0</v>
      </c>
      <c r="I190" s="409">
        <v>45639.0</v>
      </c>
      <c r="J190" s="60"/>
      <c r="K190" s="60"/>
      <c r="L190" s="147" t="s">
        <v>1176</v>
      </c>
      <c r="M190" s="147" t="s">
        <v>1177</v>
      </c>
      <c r="N190" s="144">
        <v>1.0</v>
      </c>
      <c r="O190" s="147" t="s">
        <v>1178</v>
      </c>
      <c r="P190" s="48" t="str">
        <f t="array" ref="P190">HYPERLINK(INDEX('File Links'!B:B, MATCH(O190, 'File Links'!C:C, 0)))
</f>
        <v>https://drive.google.com/file/d/11FrEIq8nBGRjHM8n6665RHudNtasAq_q/view?usp=drivesdk</v>
      </c>
      <c r="Q190" s="147" t="s">
        <v>1179</v>
      </c>
      <c r="R190" s="60" t="s">
        <v>1180</v>
      </c>
      <c r="S190" s="60"/>
      <c r="T190" s="144">
        <v>1.0</v>
      </c>
      <c r="U190" s="147" t="s">
        <v>1190</v>
      </c>
      <c r="V190" s="52" t="s">
        <v>202</v>
      </c>
      <c r="W190" s="45" t="str">
        <f t="array" ref="W190">HYPERLINK(INDEX('File Links'!B:B, MATCH(U190, 'File Links'!C:C, 0)))
</f>
        <v>#N/A</v>
      </c>
      <c r="X190" s="60"/>
      <c r="Y190" s="147" t="s">
        <v>139</v>
      </c>
      <c r="Z190" s="60" t="s">
        <v>1191</v>
      </c>
      <c r="AA190" s="60" t="s">
        <v>1192</v>
      </c>
      <c r="AB190" s="147" t="s">
        <v>1196</v>
      </c>
      <c r="AC190" s="60" t="s">
        <v>1194</v>
      </c>
      <c r="AD190" s="144">
        <v>16.0</v>
      </c>
      <c r="AE190" s="144">
        <v>96.0</v>
      </c>
      <c r="AF190" s="144">
        <v>-0.7</v>
      </c>
      <c r="AG190" s="330" t="s">
        <v>208</v>
      </c>
      <c r="AH190" s="355">
        <v>16.0</v>
      </c>
      <c r="AI190" s="355">
        <v>0.001</v>
      </c>
      <c r="AJ190" s="147" t="s">
        <v>127</v>
      </c>
      <c r="AK190" s="52" t="s">
        <v>211</v>
      </c>
      <c r="AL190" s="60" t="s">
        <v>129</v>
      </c>
      <c r="AM190" s="60"/>
      <c r="AN190" s="144">
        <v>229.0</v>
      </c>
      <c r="AO190" s="144">
        <v>-0.57</v>
      </c>
      <c r="AP190" s="147" t="s">
        <v>208</v>
      </c>
      <c r="AQ190" s="144">
        <v>11.0</v>
      </c>
      <c r="AR190" s="327">
        <v>0.01</v>
      </c>
      <c r="AS190" s="147" t="s">
        <v>164</v>
      </c>
      <c r="AT190" s="147" t="s">
        <v>211</v>
      </c>
      <c r="AU190" s="60" t="s">
        <v>129</v>
      </c>
      <c r="AV190" s="410" t="s">
        <v>1188</v>
      </c>
      <c r="AW190" s="60" t="s">
        <v>434</v>
      </c>
      <c r="AX190" s="60"/>
    </row>
    <row r="191" ht="20.25" customHeight="1">
      <c r="A191" s="40" t="s">
        <v>279</v>
      </c>
      <c r="B191" s="40" t="s">
        <v>107</v>
      </c>
      <c r="C191" s="41" t="s">
        <v>438</v>
      </c>
      <c r="E191" s="60" t="s">
        <v>1173</v>
      </c>
      <c r="F191" s="352" t="s">
        <v>1195</v>
      </c>
      <c r="G191" s="352" t="s">
        <v>441</v>
      </c>
      <c r="H191" s="413">
        <v>45635.0</v>
      </c>
      <c r="I191" s="55"/>
      <c r="J191" s="352" t="s">
        <v>1175</v>
      </c>
      <c r="K191" s="55"/>
      <c r="L191" s="352" t="s">
        <v>1176</v>
      </c>
      <c r="M191" s="352" t="s">
        <v>1177</v>
      </c>
      <c r="N191" s="55"/>
      <c r="O191" s="414" t="s">
        <v>1178</v>
      </c>
      <c r="P191" s="48" t="str">
        <f t="array" ref="P191">HYPERLINK(INDEX('File Links'!B:B, MATCH(O191, 'File Links'!C:C, 0)))
</f>
        <v>https://drive.google.com/file/d/11FrEIq8nBGRjHM8n6665RHudNtasAq_q/view?usp=drivesdk</v>
      </c>
      <c r="Q191" s="352" t="s">
        <v>1179</v>
      </c>
      <c r="R191" s="52" t="s">
        <v>1180</v>
      </c>
      <c r="S191" s="55"/>
      <c r="T191" s="329"/>
      <c r="U191" s="415" t="s">
        <v>1181</v>
      </c>
      <c r="V191" s="352" t="s">
        <v>155</v>
      </c>
      <c r="W191" s="50" t="str">
        <f t="array" ref="W191">HYPERLINK(INDEX('File Links'!B:B, MATCH(U191, 'File Links'!C:C, 0)))
</f>
        <v>https://drive.google.com/file/d/1GpMdw7ZFDWpDIdg1IjCcxRYXmuDta-6_/view?usp=drivesdk</v>
      </c>
      <c r="X191" s="55"/>
      <c r="Y191" s="352" t="s">
        <v>139</v>
      </c>
      <c r="Z191" s="52" t="s">
        <v>1182</v>
      </c>
      <c r="AA191" s="352" t="s">
        <v>1183</v>
      </c>
      <c r="AB191" s="352" t="s">
        <v>1184</v>
      </c>
      <c r="AC191" s="352" t="s">
        <v>1197</v>
      </c>
      <c r="AD191" s="451">
        <v>30.0</v>
      </c>
      <c r="AE191" s="451">
        <v>198.0</v>
      </c>
      <c r="AF191" s="355">
        <v>-0.7</v>
      </c>
      <c r="AG191" s="452" t="s">
        <v>208</v>
      </c>
      <c r="AH191" s="352" t="s">
        <v>1186</v>
      </c>
      <c r="AI191" s="451">
        <v>0.001</v>
      </c>
      <c r="AJ191" s="412" t="s">
        <v>127</v>
      </c>
      <c r="AK191" s="352" t="s">
        <v>211</v>
      </c>
      <c r="AL191" s="352" t="s">
        <v>132</v>
      </c>
      <c r="AM191" s="55"/>
      <c r="AN191" s="451">
        <v>229.0</v>
      </c>
      <c r="AO191" s="451">
        <v>-0.57</v>
      </c>
      <c r="AP191" s="352" t="s">
        <v>208</v>
      </c>
      <c r="AQ191" s="352" t="s">
        <v>1187</v>
      </c>
      <c r="AR191" s="451">
        <v>0.01</v>
      </c>
      <c r="AS191" s="412" t="s">
        <v>164</v>
      </c>
      <c r="AT191" s="412" t="s">
        <v>211</v>
      </c>
      <c r="AU191" s="412" t="s">
        <v>132</v>
      </c>
      <c r="AV191" s="453" t="s">
        <v>1188</v>
      </c>
      <c r="AW191" s="454" t="s">
        <v>142</v>
      </c>
      <c r="AX191" s="55"/>
    </row>
    <row r="192" ht="20.25" customHeight="1">
      <c r="A192" s="40" t="s">
        <v>279</v>
      </c>
      <c r="B192" s="40" t="s">
        <v>107</v>
      </c>
      <c r="C192" s="41" t="s">
        <v>438</v>
      </c>
      <c r="E192" s="412" t="s">
        <v>1198</v>
      </c>
      <c r="F192" s="352" t="s">
        <v>1199</v>
      </c>
      <c r="G192" s="352" t="s">
        <v>441</v>
      </c>
      <c r="H192" s="455">
        <v>45637.0</v>
      </c>
      <c r="I192" s="55"/>
      <c r="J192" s="352" t="s">
        <v>1200</v>
      </c>
      <c r="K192" s="55"/>
      <c r="L192" s="352" t="s">
        <v>1201</v>
      </c>
      <c r="M192" s="352" t="s">
        <v>1202</v>
      </c>
      <c r="N192" s="55"/>
      <c r="O192" s="456" t="s">
        <v>1203</v>
      </c>
      <c r="P192" s="48" t="str">
        <f t="array" ref="P192">HYPERLINK(INDEX('File Links'!B:B, MATCH(O192, 'File Links'!C:C, 0)))
</f>
        <v>https://drive.google.com/file/d/11NrpozUj6QEvSuPcqdy2reV2ZmG62r_Z/view?usp=drivesdk</v>
      </c>
      <c r="Q192" s="352" t="s">
        <v>1204</v>
      </c>
      <c r="R192" s="352" t="s">
        <v>1205</v>
      </c>
      <c r="S192" s="55"/>
      <c r="T192" s="329"/>
      <c r="U192" s="457" t="s">
        <v>1206</v>
      </c>
      <c r="V192" s="352" t="s">
        <v>155</v>
      </c>
      <c r="W192" s="50" t="str">
        <f t="array" ref="W192">HYPERLINK(INDEX('File Links'!B:B, MATCH(U192, 'File Links'!C:C, 0)))
</f>
        <v>https://drive.google.com/file/d/1Aes0K1gD14f_6QAHkD9IPsvD4OgnIJ9K/view?usp=drivesdk</v>
      </c>
      <c r="X192" s="55"/>
      <c r="Y192" s="352" t="s">
        <v>139</v>
      </c>
      <c r="Z192" s="352" t="s">
        <v>1207</v>
      </c>
      <c r="AA192" s="352" t="s">
        <v>1208</v>
      </c>
      <c r="AB192" s="352" t="s">
        <v>1209</v>
      </c>
      <c r="AC192" s="352" t="s">
        <v>1210</v>
      </c>
      <c r="AD192" s="451">
        <v>4.0</v>
      </c>
      <c r="AE192" s="451">
        <v>30.0</v>
      </c>
      <c r="AF192" s="451">
        <v>-33.42</v>
      </c>
      <c r="AG192" s="452" t="s">
        <v>1006</v>
      </c>
      <c r="AH192" s="352" t="s">
        <v>494</v>
      </c>
      <c r="AI192" s="352" t="s">
        <v>1211</v>
      </c>
      <c r="AJ192" s="60"/>
      <c r="AK192" s="352" t="s">
        <v>179</v>
      </c>
      <c r="AL192" s="352" t="s">
        <v>132</v>
      </c>
      <c r="AM192" s="55"/>
      <c r="AN192" s="451">
        <v>100.0</v>
      </c>
      <c r="AO192" s="451" t="s">
        <v>1212</v>
      </c>
      <c r="AP192" s="352" t="s">
        <v>162</v>
      </c>
      <c r="AQ192" s="55" t="s">
        <v>494</v>
      </c>
      <c r="AR192" s="451">
        <v>0.001</v>
      </c>
      <c r="AS192" s="412" t="s">
        <v>127</v>
      </c>
      <c r="AT192" s="412" t="s">
        <v>179</v>
      </c>
      <c r="AU192" s="412" t="s">
        <v>132</v>
      </c>
      <c r="AV192" s="458" t="s">
        <v>1213</v>
      </c>
      <c r="AW192" s="454" t="s">
        <v>434</v>
      </c>
      <c r="AX192" s="55"/>
    </row>
    <row r="193" ht="20.25" customHeight="1">
      <c r="A193" s="41" t="s">
        <v>279</v>
      </c>
      <c r="B193" s="41" t="s">
        <v>107</v>
      </c>
      <c r="C193" s="41" t="s">
        <v>1009</v>
      </c>
      <c r="E193" s="60" t="s">
        <v>1198</v>
      </c>
      <c r="F193" s="52" t="s">
        <v>1199</v>
      </c>
      <c r="G193" s="147" t="s">
        <v>135</v>
      </c>
      <c r="H193" s="140">
        <v>45427.0</v>
      </c>
      <c r="I193" s="409">
        <v>45639.0</v>
      </c>
      <c r="J193" s="147" t="s">
        <v>1214</v>
      </c>
      <c r="K193" s="60"/>
      <c r="L193" s="147" t="s">
        <v>1201</v>
      </c>
      <c r="M193" s="147" t="s">
        <v>1202</v>
      </c>
      <c r="N193" s="60"/>
      <c r="O193" s="459" t="s">
        <v>1203</v>
      </c>
      <c r="P193" s="48" t="str">
        <f t="array" ref="P193">HYPERLINK(INDEX('File Links'!B:B, MATCH(O193, 'File Links'!C:C, 0)))
</f>
        <v>https://drive.google.com/file/d/11NrpozUj6QEvSuPcqdy2reV2ZmG62r_Z/view?usp=drivesdk</v>
      </c>
      <c r="Q193" s="147" t="s">
        <v>1204</v>
      </c>
      <c r="R193" s="60"/>
      <c r="S193" s="60"/>
      <c r="T193" s="60"/>
      <c r="U193" s="459" t="s">
        <v>351</v>
      </c>
      <c r="V193" s="60"/>
      <c r="W193" s="45" t="str">
        <f t="array" ref="W193">HYPERLINK(INDEX('File Links'!B:B, MATCH(U193, 'File Links'!C:C, 0)))
</f>
        <v>#N/A</v>
      </c>
      <c r="X193" s="60"/>
      <c r="Y193" s="60"/>
      <c r="Z193" s="60"/>
      <c r="AA193" s="60"/>
      <c r="AB193" s="60"/>
      <c r="AC193" s="60"/>
      <c r="AD193" s="60"/>
      <c r="AE193" s="60"/>
      <c r="AF193" s="60"/>
      <c r="AG193" s="329"/>
      <c r="AH193" s="55"/>
      <c r="AI193" s="55"/>
      <c r="AJ193" s="60"/>
      <c r="AK193" s="55"/>
      <c r="AL193" s="60"/>
      <c r="AM193" s="60"/>
      <c r="AN193" s="60"/>
      <c r="AO193" s="60"/>
      <c r="AP193" s="60"/>
      <c r="AQ193" s="60"/>
      <c r="AR193" s="60"/>
      <c r="AS193" s="60"/>
      <c r="AT193" s="60"/>
      <c r="AU193" s="60"/>
      <c r="AV193" s="60"/>
      <c r="AW193" s="60"/>
      <c r="AX193" s="60"/>
    </row>
    <row r="194" ht="20.25" customHeight="1">
      <c r="A194" s="40" t="s">
        <v>279</v>
      </c>
      <c r="B194" s="40" t="s">
        <v>107</v>
      </c>
      <c r="C194" s="41" t="s">
        <v>438</v>
      </c>
      <c r="E194" s="60" t="s">
        <v>1198</v>
      </c>
      <c r="F194" s="352" t="s">
        <v>1215</v>
      </c>
      <c r="G194" s="352" t="s">
        <v>441</v>
      </c>
      <c r="H194" s="455">
        <v>45637.0</v>
      </c>
      <c r="I194" s="55"/>
      <c r="J194" s="352" t="s">
        <v>1200</v>
      </c>
      <c r="K194" s="55"/>
      <c r="L194" s="352" t="s">
        <v>1201</v>
      </c>
      <c r="M194" s="352" t="s">
        <v>1202</v>
      </c>
      <c r="N194" s="55"/>
      <c r="O194" s="456" t="s">
        <v>1203</v>
      </c>
      <c r="P194" s="48" t="str">
        <f t="array" ref="P194">HYPERLINK(INDEX('File Links'!B:B, MATCH(O194, 'File Links'!C:C, 0)))
</f>
        <v>https://drive.google.com/file/d/11NrpozUj6QEvSuPcqdy2reV2ZmG62r_Z/view?usp=drivesdk</v>
      </c>
      <c r="Q194" s="352" t="s">
        <v>1204</v>
      </c>
      <c r="R194" s="352" t="s">
        <v>1205</v>
      </c>
      <c r="S194" s="55"/>
      <c r="T194" s="329"/>
      <c r="U194" s="457" t="s">
        <v>1206</v>
      </c>
      <c r="V194" s="352" t="s">
        <v>155</v>
      </c>
      <c r="W194" s="50" t="str">
        <f t="array" ref="W194">HYPERLINK(INDEX('File Links'!B:B, MATCH(U194, 'File Links'!C:C, 0)))
</f>
        <v>https://drive.google.com/file/d/1Aes0K1gD14f_6QAHkD9IPsvD4OgnIJ9K/view?usp=drivesdk</v>
      </c>
      <c r="X194" s="55"/>
      <c r="Y194" s="352" t="s">
        <v>139</v>
      </c>
      <c r="Z194" s="352" t="s">
        <v>1207</v>
      </c>
      <c r="AA194" s="352" t="s">
        <v>1208</v>
      </c>
      <c r="AB194" s="352" t="s">
        <v>1209</v>
      </c>
      <c r="AC194" s="352" t="s">
        <v>1216</v>
      </c>
      <c r="AD194" s="451">
        <v>4.0</v>
      </c>
      <c r="AE194" s="451">
        <v>30.0</v>
      </c>
      <c r="AF194" s="451">
        <v>29.71</v>
      </c>
      <c r="AG194" s="452" t="s">
        <v>1006</v>
      </c>
      <c r="AH194" s="352" t="s">
        <v>494</v>
      </c>
      <c r="AI194" s="352" t="s">
        <v>1211</v>
      </c>
      <c r="AJ194" s="60"/>
      <c r="AK194" s="352" t="s">
        <v>179</v>
      </c>
      <c r="AL194" s="352" t="s">
        <v>132</v>
      </c>
      <c r="AM194" s="55"/>
      <c r="AN194" s="451">
        <v>100.0</v>
      </c>
      <c r="AO194" s="451">
        <v>3.033</v>
      </c>
      <c r="AP194" s="352" t="s">
        <v>166</v>
      </c>
      <c r="AQ194" s="55" t="s">
        <v>494</v>
      </c>
      <c r="AR194" s="451">
        <v>0.002</v>
      </c>
      <c r="AS194" s="412" t="s">
        <v>164</v>
      </c>
      <c r="AT194" s="412" t="s">
        <v>179</v>
      </c>
      <c r="AU194" s="412" t="s">
        <v>132</v>
      </c>
      <c r="AV194" s="458" t="s">
        <v>1213</v>
      </c>
      <c r="AW194" s="454" t="s">
        <v>434</v>
      </c>
      <c r="AX194" s="55"/>
    </row>
    <row r="195" ht="20.25" customHeight="1">
      <c r="A195" s="40" t="s">
        <v>279</v>
      </c>
      <c r="B195" s="40" t="s">
        <v>107</v>
      </c>
      <c r="C195" s="41" t="s">
        <v>438</v>
      </c>
      <c r="E195" s="60" t="s">
        <v>1198</v>
      </c>
      <c r="F195" s="352" t="s">
        <v>1217</v>
      </c>
      <c r="G195" s="352" t="s">
        <v>441</v>
      </c>
      <c r="H195" s="455">
        <v>45637.0</v>
      </c>
      <c r="I195" s="55"/>
      <c r="J195" s="352" t="s">
        <v>1200</v>
      </c>
      <c r="K195" s="55"/>
      <c r="L195" s="352" t="s">
        <v>1201</v>
      </c>
      <c r="M195" s="352" t="s">
        <v>1202</v>
      </c>
      <c r="N195" s="55"/>
      <c r="O195" s="456" t="s">
        <v>1203</v>
      </c>
      <c r="P195" s="48" t="str">
        <f t="array" ref="P195">HYPERLINK(INDEX('File Links'!B:B, MATCH(O195, 'File Links'!C:C, 0)))
</f>
        <v>https://drive.google.com/file/d/11NrpozUj6QEvSuPcqdy2reV2ZmG62r_Z/view?usp=drivesdk</v>
      </c>
      <c r="Q195" s="352" t="s">
        <v>1204</v>
      </c>
      <c r="R195" s="352" t="s">
        <v>1205</v>
      </c>
      <c r="S195" s="55"/>
      <c r="T195" s="329"/>
      <c r="U195" s="457" t="s">
        <v>1206</v>
      </c>
      <c r="V195" s="352" t="s">
        <v>155</v>
      </c>
      <c r="W195" s="50" t="str">
        <f t="array" ref="W195">HYPERLINK(INDEX('File Links'!B:B, MATCH(U195, 'File Links'!C:C, 0)))
</f>
        <v>https://drive.google.com/file/d/1Aes0K1gD14f_6QAHkD9IPsvD4OgnIJ9K/view?usp=drivesdk</v>
      </c>
      <c r="X195" s="55"/>
      <c r="Y195" s="352" t="s">
        <v>139</v>
      </c>
      <c r="Z195" s="352" t="s">
        <v>1207</v>
      </c>
      <c r="AA195" s="352" t="s">
        <v>1208</v>
      </c>
      <c r="AB195" s="352" t="s">
        <v>1209</v>
      </c>
      <c r="AC195" s="352" t="s">
        <v>1218</v>
      </c>
      <c r="AD195" s="451">
        <v>4.0</v>
      </c>
      <c r="AE195" s="451">
        <v>30.0</v>
      </c>
      <c r="AF195" s="451">
        <v>28.31</v>
      </c>
      <c r="AG195" s="452" t="s">
        <v>1006</v>
      </c>
      <c r="AH195" s="352" t="s">
        <v>494</v>
      </c>
      <c r="AI195" s="352" t="s">
        <v>1211</v>
      </c>
      <c r="AJ195" s="60"/>
      <c r="AK195" s="352" t="s">
        <v>179</v>
      </c>
      <c r="AL195" s="352" t="s">
        <v>132</v>
      </c>
      <c r="AM195" s="55"/>
      <c r="AN195" s="451">
        <v>100.0</v>
      </c>
      <c r="AO195" s="451" t="s">
        <v>1219</v>
      </c>
      <c r="AP195" s="352" t="s">
        <v>166</v>
      </c>
      <c r="AQ195" s="55" t="s">
        <v>494</v>
      </c>
      <c r="AR195" s="451">
        <v>0.007</v>
      </c>
      <c r="AS195" s="412" t="s">
        <v>164</v>
      </c>
      <c r="AT195" s="412" t="s">
        <v>179</v>
      </c>
      <c r="AU195" s="412" t="s">
        <v>132</v>
      </c>
      <c r="AV195" s="458" t="s">
        <v>1213</v>
      </c>
      <c r="AW195" s="454" t="s">
        <v>434</v>
      </c>
      <c r="AX195" s="55"/>
      <c r="BB195" s="95"/>
      <c r="BC195" s="95"/>
      <c r="BD195" s="95"/>
      <c r="BE195" s="95"/>
      <c r="BF195" s="95"/>
      <c r="BG195" s="95"/>
      <c r="BH195" s="95"/>
      <c r="BI195" s="95"/>
      <c r="BJ195" s="95"/>
      <c r="BK195" s="95"/>
      <c r="BL195" s="95"/>
      <c r="BM195" s="95"/>
      <c r="BN195" s="95"/>
      <c r="BO195" s="95"/>
      <c r="BP195" s="95"/>
      <c r="BQ195" s="95"/>
      <c r="BR195" s="95"/>
      <c r="BS195" s="95"/>
      <c r="BT195" s="95"/>
      <c r="BU195" s="95"/>
      <c r="BV195" s="95"/>
      <c r="BW195" s="95"/>
      <c r="BX195" s="95"/>
      <c r="BY195" s="95"/>
      <c r="BZ195" s="95"/>
      <c r="CA195" s="95"/>
      <c r="CB195" s="95"/>
      <c r="CC195" s="95"/>
      <c r="CD195" s="95"/>
      <c r="CE195" s="95"/>
      <c r="CF195" s="95"/>
      <c r="CG195" s="95"/>
      <c r="CH195" s="95"/>
      <c r="CI195" s="95"/>
      <c r="CJ195" s="95"/>
      <c r="CK195" s="95"/>
      <c r="CL195" s="95"/>
      <c r="CM195" s="95"/>
      <c r="CN195" s="95"/>
      <c r="CO195" s="95"/>
      <c r="CP195" s="95"/>
      <c r="CQ195" s="95"/>
      <c r="CR195" s="95"/>
      <c r="CS195" s="95"/>
      <c r="CT195" s="95"/>
      <c r="CU195" s="95"/>
      <c r="CV195" s="95"/>
      <c r="CW195" s="95"/>
      <c r="CX195" s="95"/>
      <c r="CY195" s="95"/>
      <c r="CZ195" s="95"/>
      <c r="DA195" s="95"/>
      <c r="DB195" s="95"/>
      <c r="DC195" s="95"/>
      <c r="DD195" s="95"/>
      <c r="DE195" s="95"/>
      <c r="DF195" s="95"/>
      <c r="DG195" s="95"/>
    </row>
    <row r="196" ht="20.25" customHeight="1">
      <c r="A196" s="40" t="s">
        <v>279</v>
      </c>
      <c r="B196" s="40" t="s">
        <v>107</v>
      </c>
      <c r="C196" s="41" t="s">
        <v>438</v>
      </c>
      <c r="E196" s="60" t="s">
        <v>1198</v>
      </c>
      <c r="F196" s="352" t="s">
        <v>1220</v>
      </c>
      <c r="G196" s="352" t="s">
        <v>441</v>
      </c>
      <c r="H196" s="455">
        <v>45637.0</v>
      </c>
      <c r="I196" s="55"/>
      <c r="J196" s="352" t="s">
        <v>1200</v>
      </c>
      <c r="K196" s="55"/>
      <c r="L196" s="352" t="s">
        <v>1201</v>
      </c>
      <c r="M196" s="352" t="s">
        <v>1202</v>
      </c>
      <c r="N196" s="55"/>
      <c r="O196" s="456" t="s">
        <v>1203</v>
      </c>
      <c r="P196" s="48" t="str">
        <f t="array" ref="P196">HYPERLINK(INDEX('File Links'!B:B, MATCH(O196, 'File Links'!C:C, 0)))
</f>
        <v>https://drive.google.com/file/d/11NrpozUj6QEvSuPcqdy2reV2ZmG62r_Z/view?usp=drivesdk</v>
      </c>
      <c r="Q196" s="352" t="s">
        <v>1204</v>
      </c>
      <c r="R196" s="352" t="s">
        <v>1205</v>
      </c>
      <c r="S196" s="55"/>
      <c r="T196" s="329"/>
      <c r="U196" s="457" t="s">
        <v>1206</v>
      </c>
      <c r="V196" s="352" t="s">
        <v>155</v>
      </c>
      <c r="W196" s="50" t="str">
        <f t="array" ref="W196">HYPERLINK(INDEX('File Links'!B:B, MATCH(U196, 'File Links'!C:C, 0)))
</f>
        <v>https://drive.google.com/file/d/1Aes0K1gD14f_6QAHkD9IPsvD4OgnIJ9K/view?usp=drivesdk</v>
      </c>
      <c r="X196" s="55"/>
      <c r="Y196" s="352" t="s">
        <v>139</v>
      </c>
      <c r="Z196" s="352" t="s">
        <v>1207</v>
      </c>
      <c r="AA196" s="352" t="s">
        <v>1208</v>
      </c>
      <c r="AB196" s="352" t="s">
        <v>1209</v>
      </c>
      <c r="AC196" s="352" t="s">
        <v>1221</v>
      </c>
      <c r="AD196" s="451">
        <v>4.0</v>
      </c>
      <c r="AE196" s="451">
        <v>30.0</v>
      </c>
      <c r="AF196" s="451">
        <v>-1.4</v>
      </c>
      <c r="AG196" s="452" t="s">
        <v>1006</v>
      </c>
      <c r="AH196" s="352" t="s">
        <v>494</v>
      </c>
      <c r="AI196" s="352" t="s">
        <v>1211</v>
      </c>
      <c r="AJ196" s="60"/>
      <c r="AK196" s="352" t="s">
        <v>179</v>
      </c>
      <c r="AL196" s="352" t="s">
        <v>132</v>
      </c>
      <c r="AM196" s="55"/>
      <c r="AN196" s="451">
        <v>100.0</v>
      </c>
      <c r="AO196" s="451">
        <v>0.329</v>
      </c>
      <c r="AP196" s="352" t="s">
        <v>166</v>
      </c>
      <c r="AQ196" s="55" t="s">
        <v>494</v>
      </c>
      <c r="AR196" s="451">
        <v>0.742</v>
      </c>
      <c r="AS196" s="412" t="s">
        <v>164</v>
      </c>
      <c r="AT196" s="412" t="s">
        <v>179</v>
      </c>
      <c r="AU196" s="412" t="s">
        <v>132</v>
      </c>
      <c r="AV196" s="458" t="s">
        <v>1213</v>
      </c>
      <c r="AW196" s="454" t="s">
        <v>434</v>
      </c>
      <c r="AX196" s="55"/>
    </row>
    <row r="197" ht="20.25" customHeight="1">
      <c r="A197" s="40" t="s">
        <v>279</v>
      </c>
      <c r="B197" s="40" t="s">
        <v>107</v>
      </c>
      <c r="C197" s="41" t="s">
        <v>438</v>
      </c>
      <c r="E197" s="60" t="s">
        <v>1198</v>
      </c>
      <c r="F197" s="352" t="s">
        <v>1222</v>
      </c>
      <c r="G197" s="352" t="s">
        <v>441</v>
      </c>
      <c r="H197" s="455">
        <v>45637.0</v>
      </c>
      <c r="I197" s="55"/>
      <c r="J197" s="352" t="s">
        <v>1223</v>
      </c>
      <c r="K197" s="55"/>
      <c r="L197" s="352" t="s">
        <v>1201</v>
      </c>
      <c r="M197" s="352" t="s">
        <v>1202</v>
      </c>
      <c r="N197" s="55"/>
      <c r="O197" s="456" t="s">
        <v>1203</v>
      </c>
      <c r="P197" s="48" t="str">
        <f t="array" ref="P197">HYPERLINK(INDEX('File Links'!B:B, MATCH(O197, 'File Links'!C:C, 0)))
</f>
        <v>https://drive.google.com/file/d/11NrpozUj6QEvSuPcqdy2reV2ZmG62r_Z/view?usp=drivesdk</v>
      </c>
      <c r="Q197" s="352" t="s">
        <v>1204</v>
      </c>
      <c r="R197" s="352" t="s">
        <v>1205</v>
      </c>
      <c r="S197" s="55"/>
      <c r="T197" s="329"/>
      <c r="U197" s="457" t="s">
        <v>1206</v>
      </c>
      <c r="V197" s="352" t="s">
        <v>155</v>
      </c>
      <c r="W197" s="50" t="str">
        <f t="array" ref="W197">HYPERLINK(INDEX('File Links'!B:B, MATCH(U197, 'File Links'!C:C, 0)))
</f>
        <v>https://drive.google.com/file/d/1Aes0K1gD14f_6QAHkD9IPsvD4OgnIJ9K/view?usp=drivesdk</v>
      </c>
      <c r="X197" s="55"/>
      <c r="Y197" s="352" t="s">
        <v>139</v>
      </c>
      <c r="Z197" s="352" t="s">
        <v>1207</v>
      </c>
      <c r="AA197" s="352" t="s">
        <v>1208</v>
      </c>
      <c r="AB197" s="352" t="s">
        <v>1209</v>
      </c>
      <c r="AC197" s="352" t="s">
        <v>1224</v>
      </c>
      <c r="AD197" s="451">
        <v>4.0</v>
      </c>
      <c r="AE197" s="451">
        <v>30.0</v>
      </c>
      <c r="AF197" s="460">
        <v>-0.63</v>
      </c>
      <c r="AG197" s="452" t="s">
        <v>1006</v>
      </c>
      <c r="AH197" s="352" t="s">
        <v>494</v>
      </c>
      <c r="AI197" s="352" t="s">
        <v>1211</v>
      </c>
      <c r="AJ197" s="60"/>
      <c r="AK197" s="352" t="s">
        <v>179</v>
      </c>
      <c r="AL197" s="352" t="s">
        <v>132</v>
      </c>
      <c r="AM197" s="55"/>
      <c r="AN197" s="451">
        <v>100.0</v>
      </c>
      <c r="AO197" s="451" t="s">
        <v>1225</v>
      </c>
      <c r="AP197" s="352" t="s">
        <v>166</v>
      </c>
      <c r="AQ197" s="55" t="s">
        <v>494</v>
      </c>
      <c r="AR197" s="451">
        <v>0.023</v>
      </c>
      <c r="AS197" s="412" t="s">
        <v>164</v>
      </c>
      <c r="AT197" s="412" t="s">
        <v>179</v>
      </c>
      <c r="AU197" s="412" t="s">
        <v>132</v>
      </c>
      <c r="AV197" s="458" t="s">
        <v>1213</v>
      </c>
      <c r="AW197" s="454" t="s">
        <v>434</v>
      </c>
      <c r="AX197" s="55"/>
      <c r="BB197" s="95"/>
      <c r="BC197" s="95"/>
      <c r="BD197" s="95"/>
      <c r="BE197" s="95"/>
      <c r="BF197" s="95"/>
      <c r="BG197" s="95"/>
      <c r="BH197" s="95"/>
      <c r="BI197" s="95"/>
      <c r="BJ197" s="95"/>
      <c r="BK197" s="95"/>
      <c r="BL197" s="95"/>
      <c r="BM197" s="95"/>
      <c r="BN197" s="95"/>
      <c r="BO197" s="95"/>
      <c r="BP197" s="95"/>
      <c r="BQ197" s="95"/>
      <c r="BR197" s="95"/>
      <c r="BS197" s="95"/>
      <c r="BT197" s="95"/>
      <c r="BU197" s="95"/>
      <c r="BV197" s="95"/>
      <c r="BW197" s="95"/>
      <c r="BX197" s="95"/>
      <c r="BY197" s="95"/>
      <c r="BZ197" s="95"/>
      <c r="CA197" s="95"/>
      <c r="CB197" s="95"/>
      <c r="CC197" s="95"/>
      <c r="CD197" s="95"/>
      <c r="CE197" s="95"/>
      <c r="CF197" s="95"/>
      <c r="CG197" s="95"/>
      <c r="CH197" s="95"/>
      <c r="CI197" s="95"/>
      <c r="CJ197" s="95"/>
      <c r="CK197" s="95"/>
      <c r="CL197" s="95"/>
      <c r="CM197" s="95"/>
      <c r="CN197" s="95"/>
      <c r="CO197" s="95"/>
      <c r="CP197" s="95"/>
      <c r="CQ197" s="95"/>
      <c r="CR197" s="95"/>
      <c r="CS197" s="95"/>
      <c r="CT197" s="95"/>
      <c r="CU197" s="95"/>
      <c r="CV197" s="95"/>
      <c r="CW197" s="95"/>
      <c r="CX197" s="95"/>
      <c r="CY197" s="95"/>
      <c r="CZ197" s="95"/>
      <c r="DA197" s="95"/>
      <c r="DB197" s="95"/>
      <c r="DC197" s="95"/>
      <c r="DD197" s="95"/>
      <c r="DE197" s="95"/>
      <c r="DF197" s="95"/>
      <c r="DG197" s="95"/>
    </row>
    <row r="198" ht="20.25" customHeight="1">
      <c r="A198" s="40" t="s">
        <v>279</v>
      </c>
      <c r="B198" s="40" t="s">
        <v>107</v>
      </c>
      <c r="C198" s="41" t="s">
        <v>438</v>
      </c>
      <c r="E198" s="60" t="s">
        <v>1198</v>
      </c>
      <c r="F198" s="352" t="s">
        <v>1226</v>
      </c>
      <c r="G198" s="352" t="s">
        <v>441</v>
      </c>
      <c r="H198" s="455">
        <v>45637.0</v>
      </c>
      <c r="I198" s="55"/>
      <c r="J198" s="352" t="s">
        <v>1223</v>
      </c>
      <c r="K198" s="55"/>
      <c r="L198" s="352" t="s">
        <v>1201</v>
      </c>
      <c r="M198" s="352" t="s">
        <v>1202</v>
      </c>
      <c r="N198" s="55"/>
      <c r="O198" s="456" t="s">
        <v>1203</v>
      </c>
      <c r="P198" s="48" t="str">
        <f t="array" ref="P198">HYPERLINK(INDEX('File Links'!B:B, MATCH(O198, 'File Links'!C:C, 0)))
</f>
        <v>https://drive.google.com/file/d/11NrpozUj6QEvSuPcqdy2reV2ZmG62r_Z/view?usp=drivesdk</v>
      </c>
      <c r="Q198" s="352" t="s">
        <v>1204</v>
      </c>
      <c r="R198" s="352" t="s">
        <v>1205</v>
      </c>
      <c r="S198" s="55"/>
      <c r="T198" s="329"/>
      <c r="U198" s="457" t="s">
        <v>1206</v>
      </c>
      <c r="V198" s="352" t="s">
        <v>155</v>
      </c>
      <c r="W198" s="50" t="str">
        <f t="array" ref="W198">HYPERLINK(INDEX('File Links'!B:B, MATCH(U198, 'File Links'!C:C, 0)))
</f>
        <v>https://drive.google.com/file/d/1Aes0K1gD14f_6QAHkD9IPsvD4OgnIJ9K/view?usp=drivesdk</v>
      </c>
      <c r="X198" s="55"/>
      <c r="Y198" s="352" t="s">
        <v>139</v>
      </c>
      <c r="Z198" s="352" t="s">
        <v>1207</v>
      </c>
      <c r="AA198" s="352" t="s">
        <v>1208</v>
      </c>
      <c r="AB198" s="352" t="s">
        <v>1209</v>
      </c>
      <c r="AC198" s="352" t="s">
        <v>1227</v>
      </c>
      <c r="AD198" s="451">
        <v>4.0</v>
      </c>
      <c r="AE198" s="451">
        <v>30.0</v>
      </c>
      <c r="AF198" s="461" t="s">
        <v>1228</v>
      </c>
      <c r="AG198" s="452" t="s">
        <v>1006</v>
      </c>
      <c r="AH198" s="352" t="s">
        <v>494</v>
      </c>
      <c r="AI198" s="352" t="s">
        <v>1211</v>
      </c>
      <c r="AJ198" s="60"/>
      <c r="AK198" s="352" t="s">
        <v>179</v>
      </c>
      <c r="AL198" s="352" t="s">
        <v>132</v>
      </c>
      <c r="AM198" s="55"/>
      <c r="AN198" s="451">
        <v>100.0</v>
      </c>
      <c r="AO198" s="451">
        <v>3.731</v>
      </c>
      <c r="AP198" s="352" t="s">
        <v>166</v>
      </c>
      <c r="AQ198" s="55" t="s">
        <v>494</v>
      </c>
      <c r="AR198" s="451">
        <v>0.001</v>
      </c>
      <c r="AS198" s="412" t="s">
        <v>127</v>
      </c>
      <c r="AT198" s="412" t="s">
        <v>179</v>
      </c>
      <c r="AU198" s="412" t="s">
        <v>132</v>
      </c>
      <c r="AV198" s="458" t="s">
        <v>1213</v>
      </c>
      <c r="AW198" s="454" t="s">
        <v>434</v>
      </c>
      <c r="AX198" s="55"/>
    </row>
    <row r="199" ht="20.25" customHeight="1">
      <c r="A199" s="40" t="s">
        <v>279</v>
      </c>
      <c r="B199" s="40" t="s">
        <v>107</v>
      </c>
      <c r="C199" s="41" t="s">
        <v>438</v>
      </c>
      <c r="E199" s="60" t="s">
        <v>1198</v>
      </c>
      <c r="F199" s="352" t="s">
        <v>1229</v>
      </c>
      <c r="G199" s="352" t="s">
        <v>441</v>
      </c>
      <c r="H199" s="455">
        <v>45637.0</v>
      </c>
      <c r="I199" s="55"/>
      <c r="J199" s="352" t="s">
        <v>1223</v>
      </c>
      <c r="K199" s="55"/>
      <c r="L199" s="352" t="s">
        <v>1201</v>
      </c>
      <c r="M199" s="352" t="s">
        <v>1202</v>
      </c>
      <c r="N199" s="55"/>
      <c r="O199" s="456" t="s">
        <v>1203</v>
      </c>
      <c r="P199" s="48" t="str">
        <f t="array" ref="P199">HYPERLINK(INDEX('File Links'!B:B, MATCH(O199, 'File Links'!C:C, 0)))
</f>
        <v>https://drive.google.com/file/d/11NrpozUj6QEvSuPcqdy2reV2ZmG62r_Z/view?usp=drivesdk</v>
      </c>
      <c r="Q199" s="352" t="s">
        <v>1204</v>
      </c>
      <c r="R199" s="352" t="s">
        <v>1205</v>
      </c>
      <c r="S199" s="55"/>
      <c r="T199" s="329"/>
      <c r="U199" s="457" t="s">
        <v>1206</v>
      </c>
      <c r="V199" s="352" t="s">
        <v>155</v>
      </c>
      <c r="W199" s="50" t="str">
        <f t="array" ref="W199">HYPERLINK(INDEX('File Links'!B:B, MATCH(U199, 'File Links'!C:C, 0)))
</f>
        <v>https://drive.google.com/file/d/1Aes0K1gD14f_6QAHkD9IPsvD4OgnIJ9K/view?usp=drivesdk</v>
      </c>
      <c r="X199" s="55"/>
      <c r="Y199" s="352" t="s">
        <v>139</v>
      </c>
      <c r="Z199" s="352" t="s">
        <v>1207</v>
      </c>
      <c r="AA199" s="352" t="s">
        <v>1208</v>
      </c>
      <c r="AB199" s="352" t="s">
        <v>1209</v>
      </c>
      <c r="AC199" s="352" t="s">
        <v>1230</v>
      </c>
      <c r="AD199" s="451">
        <v>4.0</v>
      </c>
      <c r="AE199" s="451">
        <v>30.0</v>
      </c>
      <c r="AF199" s="352" t="s">
        <v>1231</v>
      </c>
      <c r="AG199" s="452" t="s">
        <v>1006</v>
      </c>
      <c r="AH199" s="352" t="s">
        <v>494</v>
      </c>
      <c r="AI199" s="352" t="s">
        <v>1211</v>
      </c>
      <c r="AJ199" s="60"/>
      <c r="AK199" s="352" t="s">
        <v>179</v>
      </c>
      <c r="AL199" s="352" t="s">
        <v>132</v>
      </c>
      <c r="AM199" s="55"/>
      <c r="AN199" s="451">
        <v>100.0</v>
      </c>
      <c r="AO199" s="451">
        <v>1.923</v>
      </c>
      <c r="AP199" s="352" t="s">
        <v>166</v>
      </c>
      <c r="AQ199" s="55" t="s">
        <v>494</v>
      </c>
      <c r="AR199" s="451">
        <v>0.054</v>
      </c>
      <c r="AS199" s="412" t="s">
        <v>164</v>
      </c>
      <c r="AT199" s="412" t="s">
        <v>179</v>
      </c>
      <c r="AU199" s="412" t="s">
        <v>132</v>
      </c>
      <c r="AV199" s="458" t="s">
        <v>1213</v>
      </c>
      <c r="AW199" s="454" t="s">
        <v>434</v>
      </c>
      <c r="AX199" s="55"/>
      <c r="BB199" s="95"/>
      <c r="BC199" s="95"/>
      <c r="BD199" s="95"/>
      <c r="BE199" s="95"/>
      <c r="BF199" s="95"/>
      <c r="BG199" s="95"/>
      <c r="BH199" s="95"/>
      <c r="BI199" s="95"/>
      <c r="BJ199" s="95"/>
      <c r="BK199" s="95"/>
      <c r="BL199" s="95"/>
      <c r="BM199" s="95"/>
      <c r="BN199" s="95"/>
      <c r="BO199" s="95"/>
      <c r="BP199" s="95"/>
      <c r="BQ199" s="95"/>
      <c r="BR199" s="95"/>
      <c r="BS199" s="95"/>
      <c r="BT199" s="95"/>
      <c r="BU199" s="95"/>
      <c r="BV199" s="95"/>
      <c r="BW199" s="95"/>
      <c r="BX199" s="95"/>
      <c r="BY199" s="95"/>
      <c r="BZ199" s="95"/>
      <c r="CA199" s="95"/>
      <c r="CB199" s="95"/>
      <c r="CC199" s="95"/>
      <c r="CD199" s="95"/>
      <c r="CE199" s="95"/>
      <c r="CF199" s="95"/>
      <c r="CG199" s="95"/>
      <c r="CH199" s="95"/>
      <c r="CI199" s="95"/>
      <c r="CJ199" s="95"/>
      <c r="CK199" s="95"/>
      <c r="CL199" s="95"/>
      <c r="CM199" s="95"/>
      <c r="CN199" s="95"/>
      <c r="CO199" s="95"/>
      <c r="CP199" s="95"/>
      <c r="CQ199" s="95"/>
      <c r="CR199" s="95"/>
      <c r="CS199" s="95"/>
      <c r="CT199" s="95"/>
      <c r="CU199" s="95"/>
      <c r="CV199" s="95"/>
      <c r="CW199" s="95"/>
      <c r="CX199" s="95"/>
      <c r="CY199" s="95"/>
      <c r="CZ199" s="95"/>
      <c r="DA199" s="95"/>
      <c r="DB199" s="95"/>
      <c r="DC199" s="95"/>
      <c r="DD199" s="95"/>
      <c r="DE199" s="95"/>
      <c r="DF199" s="95"/>
      <c r="DG199" s="95"/>
    </row>
    <row r="200" ht="20.25" customHeight="1">
      <c r="A200" s="40" t="s">
        <v>106</v>
      </c>
      <c r="B200" s="40" t="s">
        <v>107</v>
      </c>
      <c r="C200" s="40" t="s">
        <v>759</v>
      </c>
      <c r="D200" s="58"/>
      <c r="E200" s="41" t="s">
        <v>1232</v>
      </c>
      <c r="F200" s="40" t="s">
        <v>1233</v>
      </c>
      <c r="G200" s="40" t="s">
        <v>759</v>
      </c>
      <c r="H200" s="56">
        <v>45427.0</v>
      </c>
      <c r="I200" s="58"/>
      <c r="J200" s="58"/>
      <c r="K200" s="58"/>
      <c r="L200" s="40" t="s">
        <v>1234</v>
      </c>
      <c r="M200" s="40" t="s">
        <v>1235</v>
      </c>
      <c r="N200" s="58"/>
      <c r="O200" s="462" t="str">
        <f> hyperlink(vlookup(lower(M200),'File Links'!A:B, 2, FALSE), SUBSTITUTE(lower(M200), "/", "--") &amp;  ".pdf")</f>
        <v>10.1016--j.system.2004.01.001.pdf</v>
      </c>
      <c r="P200" s="48" t="str">
        <f t="array" ref="P200">HYPERLINK(INDEX('File Links'!B:B, MATCH(O200, 'File Links'!C:C, 0)))
</f>
        <v>https://drive.google.com/file/d/1c0WTQTFC6wVjO3perznTR_rfzhpTPGnJ/view?usp=drivesdk</v>
      </c>
      <c r="Q200" s="40" t="s">
        <v>1236</v>
      </c>
      <c r="R200" s="58"/>
      <c r="S200" s="58"/>
      <c r="T200" s="58"/>
      <c r="U200" s="463" t="str">
        <f> hyperlink(vlookup(lower(R200),'File Links'!E:F, 2, FALSE), SUBSTITUTE(lower(R200), "/", "--") &amp;  ".pdf")</f>
        <v>.pdf</v>
      </c>
      <c r="V200" s="58"/>
      <c r="W200" s="45" t="str">
        <f t="array" ref="W200">HYPERLINK(INDEX('File Links'!B:B, MATCH(U200, 'File Links'!C:C, 0)))
</f>
        <v>#N/A</v>
      </c>
      <c r="X200" s="58"/>
      <c r="Y200" s="40" t="s">
        <v>960</v>
      </c>
      <c r="Z200" s="58"/>
      <c r="AA200" s="58"/>
      <c r="AB200" s="40" t="s">
        <v>1237</v>
      </c>
      <c r="AC200" s="58"/>
      <c r="AD200" s="58"/>
      <c r="AE200" s="58"/>
      <c r="AF200" s="58"/>
      <c r="AG200" s="58"/>
      <c r="AH200" s="58"/>
      <c r="AI200" s="40"/>
      <c r="AJ200" s="58"/>
      <c r="AK200" s="58"/>
      <c r="AL200" s="25"/>
      <c r="AM200" s="58"/>
      <c r="AN200" s="58"/>
      <c r="AO200" s="58"/>
      <c r="AP200" s="58"/>
      <c r="AQ200" s="58"/>
      <c r="AR200" s="58"/>
      <c r="AS200" s="58"/>
      <c r="AT200" s="58"/>
      <c r="AU200" s="25"/>
      <c r="AW200" s="60"/>
      <c r="AX200" s="58"/>
      <c r="AY200" s="41" t="s">
        <v>135</v>
      </c>
    </row>
    <row r="201" ht="20.25" hidden="1" customHeight="1">
      <c r="A201" s="41" t="s">
        <v>106</v>
      </c>
      <c r="B201" s="41" t="s">
        <v>107</v>
      </c>
      <c r="C201" s="41" t="s">
        <v>243</v>
      </c>
      <c r="E201" s="60" t="s">
        <v>1232</v>
      </c>
      <c r="F201" s="464" t="s">
        <v>1233</v>
      </c>
      <c r="G201" s="464" t="s">
        <v>244</v>
      </c>
      <c r="H201" s="465">
        <v>45427.0</v>
      </c>
      <c r="I201" s="466">
        <v>45644.0</v>
      </c>
      <c r="J201" s="464"/>
      <c r="K201" s="464"/>
      <c r="L201" s="464" t="s">
        <v>1234</v>
      </c>
      <c r="M201" s="464" t="s">
        <v>1235</v>
      </c>
      <c r="N201" s="464"/>
      <c r="O201" s="467" t="str">
        <f> hyperlink(vlookup(lower(M201),'File Links'!E:F, 2, FALSE), SUBSTITUTE(lower(M201), "/", "--") &amp;  ".pdf")</f>
        <v>10.1016--j.system.2004.01.001.pdf</v>
      </c>
      <c r="P201" s="48" t="str">
        <f t="array" ref="P201">HYPERLINK(INDEX('File Links'!B:B, MATCH(O201, 'File Links'!C:C, 0)))
</f>
        <v>https://drive.google.com/file/d/1c0WTQTFC6wVjO3perznTR_rfzhpTPGnJ/view?usp=drivesdk</v>
      </c>
      <c r="Q201" s="468" t="s">
        <v>1238</v>
      </c>
      <c r="R201" s="464" t="s">
        <v>1239</v>
      </c>
      <c r="S201" s="464"/>
      <c r="T201" s="469"/>
      <c r="U201" s="464"/>
      <c r="V201" s="464"/>
      <c r="W201" s="45" t="str">
        <f t="array" ref="W201">HYPERLINK(INDEX('File Links'!B:B, MATCH(U201, 'File Links'!C:C, 0)))
</f>
        <v>#N/A</v>
      </c>
      <c r="X201" s="464" t="s">
        <v>1240</v>
      </c>
      <c r="Y201" s="464" t="s">
        <v>235</v>
      </c>
      <c r="Z201" s="464"/>
      <c r="AA201" s="464"/>
      <c r="AB201" s="464"/>
      <c r="AC201" s="464"/>
      <c r="AD201" s="464"/>
      <c r="AE201" s="464"/>
      <c r="AF201" s="464"/>
      <c r="AG201" s="469"/>
      <c r="AH201" s="464"/>
      <c r="AI201" s="464"/>
      <c r="AJ201" s="470"/>
      <c r="AK201" s="464"/>
      <c r="AL201" s="464"/>
      <c r="AM201" s="464"/>
      <c r="AN201" s="464"/>
      <c r="AO201" s="464"/>
      <c r="AP201" s="464"/>
      <c r="AQ201" s="464"/>
      <c r="AR201" s="464"/>
      <c r="AS201" s="470"/>
      <c r="AT201" s="470"/>
      <c r="AU201" s="470"/>
      <c r="AV201" s="470"/>
      <c r="AW201" s="470"/>
      <c r="AX201" s="464"/>
      <c r="AY201" s="41" t="s">
        <v>135</v>
      </c>
      <c r="BB201" s="95"/>
      <c r="BC201" s="95"/>
      <c r="BD201" s="95"/>
      <c r="BE201" s="95"/>
      <c r="BF201" s="95"/>
      <c r="BG201" s="95"/>
      <c r="BH201" s="95"/>
      <c r="BI201" s="95"/>
      <c r="BJ201" s="95"/>
      <c r="BK201" s="95"/>
      <c r="BL201" s="95"/>
      <c r="BM201" s="95"/>
      <c r="BN201" s="95"/>
      <c r="BO201" s="95"/>
      <c r="BP201" s="95"/>
      <c r="BQ201" s="95"/>
      <c r="BR201" s="95"/>
      <c r="BS201" s="95"/>
      <c r="BT201" s="95"/>
      <c r="BU201" s="95"/>
      <c r="BV201" s="95"/>
      <c r="BW201" s="95"/>
      <c r="BX201" s="95"/>
      <c r="BY201" s="95"/>
      <c r="BZ201" s="95"/>
      <c r="CA201" s="95"/>
      <c r="CB201" s="95"/>
      <c r="CC201" s="95"/>
      <c r="CD201" s="95"/>
      <c r="CE201" s="95"/>
      <c r="CF201" s="95"/>
      <c r="CG201" s="95"/>
      <c r="CH201" s="95"/>
      <c r="CI201" s="95"/>
      <c r="CJ201" s="95"/>
      <c r="CK201" s="95"/>
      <c r="CL201" s="95"/>
      <c r="CM201" s="95"/>
      <c r="CN201" s="95"/>
      <c r="CO201" s="95"/>
      <c r="CP201" s="95"/>
      <c r="CQ201" s="95"/>
      <c r="CR201" s="95"/>
      <c r="CS201" s="95"/>
      <c r="CT201" s="95"/>
      <c r="CU201" s="95"/>
      <c r="CV201" s="95"/>
      <c r="CW201" s="95"/>
      <c r="CX201" s="95"/>
      <c r="CY201" s="95"/>
      <c r="CZ201" s="95"/>
      <c r="DA201" s="95"/>
      <c r="DB201" s="95"/>
      <c r="DC201" s="95"/>
      <c r="DD201" s="95"/>
      <c r="DE201" s="95"/>
      <c r="DF201" s="95"/>
      <c r="DG201" s="95"/>
    </row>
    <row r="202" ht="20.25" customHeight="1">
      <c r="A202" s="41" t="s">
        <v>279</v>
      </c>
      <c r="B202" s="41" t="s">
        <v>107</v>
      </c>
      <c r="C202" s="41" t="s">
        <v>280</v>
      </c>
      <c r="E202" s="143" t="s">
        <v>1232</v>
      </c>
      <c r="F202" s="139" t="s">
        <v>1233</v>
      </c>
      <c r="G202" s="139" t="s">
        <v>283</v>
      </c>
      <c r="H202" s="141">
        <v>45427.0</v>
      </c>
      <c r="I202" s="141">
        <v>45685.0</v>
      </c>
      <c r="J202" s="115" t="s">
        <v>1241</v>
      </c>
      <c r="K202" s="60"/>
      <c r="L202" s="143" t="s">
        <v>1234</v>
      </c>
      <c r="M202" s="143" t="s">
        <v>1235</v>
      </c>
      <c r="N202" s="144"/>
      <c r="O202" s="471" t="s">
        <v>1242</v>
      </c>
      <c r="P202" s="48" t="str">
        <f t="array" ref="P202">HYPERLINK(INDEX('File Links'!B:B, MATCH(O202, 'File Links'!C:C, 0)))
</f>
        <v>https://drive.google.com/file/d/1c0WTQTFC6wVjO3perznTR_rfzhpTPGnJ/view?usp=drivesdk</v>
      </c>
      <c r="Q202" s="115" t="s">
        <v>1236</v>
      </c>
      <c r="R202" s="60"/>
      <c r="S202" s="60"/>
      <c r="T202" s="144"/>
      <c r="U202" s="471" t="s">
        <v>351</v>
      </c>
      <c r="V202" s="115" t="s">
        <v>1243</v>
      </c>
      <c r="W202" s="45" t="str">
        <f t="array" ref="W202">HYPERLINK(INDEX('File Links'!B:B, MATCH(U202, 'File Links'!C:C, 0)))
</f>
        <v>#N/A</v>
      </c>
      <c r="Y202" s="139" t="s">
        <v>287</v>
      </c>
      <c r="Z202" s="60"/>
      <c r="AA202" s="60"/>
      <c r="AB202" s="60"/>
      <c r="AC202" s="146"/>
      <c r="AD202" s="144"/>
      <c r="AE202" s="144"/>
      <c r="AF202" s="144"/>
      <c r="AG202" s="147"/>
      <c r="AH202" s="60"/>
      <c r="AI202" s="148"/>
      <c r="AJ202" s="52"/>
      <c r="AK202" s="52"/>
      <c r="AL202" s="60"/>
      <c r="AM202" s="55"/>
      <c r="AN202" s="144"/>
      <c r="AO202" s="144"/>
      <c r="AP202" s="147"/>
      <c r="AQ202" s="60"/>
      <c r="AR202" s="150"/>
      <c r="AS202" s="147"/>
      <c r="AT202" s="147"/>
      <c r="AU202" s="60"/>
      <c r="AV202" s="303"/>
      <c r="AW202" s="60"/>
    </row>
    <row r="203" ht="20.25" customHeight="1">
      <c r="A203" s="41" t="s">
        <v>106</v>
      </c>
      <c r="B203" s="40" t="s">
        <v>107</v>
      </c>
      <c r="C203" s="40" t="s">
        <v>759</v>
      </c>
      <c r="D203" s="58"/>
      <c r="E203" s="41" t="s">
        <v>1244</v>
      </c>
      <c r="F203" s="40" t="s">
        <v>1245</v>
      </c>
      <c r="G203" s="40" t="s">
        <v>759</v>
      </c>
      <c r="H203" s="56">
        <v>45427.0</v>
      </c>
      <c r="I203" s="58"/>
      <c r="J203" s="58"/>
      <c r="K203" s="58"/>
      <c r="L203" s="40" t="s">
        <v>1246</v>
      </c>
      <c r="M203" s="40" t="s">
        <v>1247</v>
      </c>
      <c r="N203" s="58"/>
      <c r="O203" s="462" t="str">
        <f> hyperlink(vlookup(lower(M203),'File Links'!A:B, 2, FALSE), SUBSTITUTE(lower(M203), "/", "--") &amp;  ".pdf")</f>
        <v>10.3138--cmlr.65.3.395.pdf</v>
      </c>
      <c r="P203" s="48" t="str">
        <f t="array" ref="P203">HYPERLINK(INDEX('File Links'!B:B, MATCH(O203, 'File Links'!C:C, 0)))
</f>
        <v>https://drive.google.com/file/d/19ZhWLN_zymp-mzX14YC7jEv-MHZn0Qb4/view?usp=drivesdk</v>
      </c>
      <c r="Q203" s="40" t="s">
        <v>1248</v>
      </c>
      <c r="R203" s="58"/>
      <c r="S203" s="58"/>
      <c r="T203" s="58"/>
      <c r="U203" s="463" t="str">
        <f> hyperlink(vlookup(lower(R203),'File Links'!E:F, 2, FALSE), SUBSTITUTE(lower(R203), "/", "--") &amp;  ".pdf")</f>
        <v>.pdf</v>
      </c>
      <c r="V203" s="58"/>
      <c r="W203" s="45" t="str">
        <f t="array" ref="W203">HYPERLINK(INDEX('File Links'!B:B, MATCH(U203, 'File Links'!C:C, 0)))
</f>
        <v>#N/A</v>
      </c>
      <c r="X203" s="58"/>
      <c r="Y203" s="40" t="s">
        <v>960</v>
      </c>
      <c r="Z203" s="58"/>
      <c r="AA203" s="58"/>
      <c r="AB203" s="40" t="s">
        <v>1237</v>
      </c>
      <c r="AC203" s="58"/>
      <c r="AD203" s="58"/>
      <c r="AE203" s="58"/>
      <c r="AF203" s="58"/>
      <c r="AG203" s="58"/>
      <c r="AH203" s="58"/>
      <c r="AI203" s="40"/>
      <c r="AJ203" s="58"/>
      <c r="AK203" s="58"/>
      <c r="AL203" s="25"/>
      <c r="AM203" s="58"/>
      <c r="AN203" s="58"/>
      <c r="AO203" s="58"/>
      <c r="AP203" s="58"/>
      <c r="AQ203" s="58"/>
      <c r="AR203" s="58"/>
      <c r="AS203" s="58"/>
      <c r="AT203" s="58"/>
      <c r="AU203" s="25"/>
      <c r="AW203" s="60"/>
      <c r="AX203" s="58"/>
      <c r="BB203" s="95"/>
      <c r="BC203" s="95"/>
      <c r="BD203" s="95"/>
      <c r="BE203" s="95"/>
      <c r="BF203" s="95"/>
      <c r="BG203" s="95"/>
      <c r="BH203" s="95"/>
      <c r="BI203" s="95"/>
      <c r="BJ203" s="95"/>
      <c r="BK203" s="95"/>
      <c r="BL203" s="95"/>
      <c r="BM203" s="95"/>
      <c r="BN203" s="95"/>
      <c r="BO203" s="95"/>
      <c r="BP203" s="95"/>
      <c r="BQ203" s="95"/>
      <c r="BR203" s="95"/>
      <c r="BS203" s="95"/>
      <c r="BT203" s="95"/>
      <c r="BU203" s="95"/>
      <c r="BV203" s="95"/>
      <c r="BW203" s="95"/>
      <c r="BX203" s="95"/>
      <c r="BY203" s="95"/>
      <c r="BZ203" s="95"/>
      <c r="CA203" s="95"/>
      <c r="CB203" s="95"/>
      <c r="CC203" s="95"/>
      <c r="CD203" s="95"/>
      <c r="CE203" s="95"/>
      <c r="CF203" s="95"/>
      <c r="CG203" s="95"/>
      <c r="CH203" s="95"/>
      <c r="CI203" s="95"/>
      <c r="CJ203" s="95"/>
      <c r="CK203" s="95"/>
      <c r="CL203" s="95"/>
      <c r="CM203" s="95"/>
      <c r="CN203" s="95"/>
      <c r="CO203" s="95"/>
      <c r="CP203" s="95"/>
      <c r="CQ203" s="95"/>
      <c r="CR203" s="95"/>
      <c r="CS203" s="95"/>
      <c r="CT203" s="95"/>
      <c r="CU203" s="95"/>
      <c r="CV203" s="95"/>
      <c r="CW203" s="95"/>
      <c r="CX203" s="95"/>
      <c r="CY203" s="95"/>
      <c r="CZ203" s="95"/>
      <c r="DA203" s="95"/>
      <c r="DB203" s="95"/>
      <c r="DC203" s="95"/>
      <c r="DD203" s="95"/>
      <c r="DE203" s="95"/>
      <c r="DF203" s="95"/>
      <c r="DG203" s="95"/>
    </row>
    <row r="204" ht="20.25" hidden="1" customHeight="1">
      <c r="A204" s="41" t="s">
        <v>106</v>
      </c>
      <c r="B204" s="41" t="s">
        <v>107</v>
      </c>
      <c r="C204" s="41" t="s">
        <v>243</v>
      </c>
      <c r="E204" s="60" t="s">
        <v>1244</v>
      </c>
      <c r="F204" s="55" t="s">
        <v>1245</v>
      </c>
      <c r="G204" s="55" t="s">
        <v>244</v>
      </c>
      <c r="H204" s="472">
        <v>45427.0</v>
      </c>
      <c r="I204" s="473">
        <v>45644.0</v>
      </c>
      <c r="J204" s="55"/>
      <c r="K204" s="55"/>
      <c r="L204" s="55" t="s">
        <v>1246</v>
      </c>
      <c r="M204" s="55" t="s">
        <v>1247</v>
      </c>
      <c r="N204" s="55"/>
      <c r="O204" s="467" t="str">
        <f> hyperlink(vlookup(lower(M204),'File Links'!E:F, 2, FALSE), SUBSTITUTE(lower(M204), "/", "--") &amp;  ".pdf")</f>
        <v>10.3138--cmlr.65.3.395.pdf</v>
      </c>
      <c r="P204" s="48" t="str">
        <f t="array" ref="P204">HYPERLINK(INDEX('File Links'!B:B, MATCH(O204, 'File Links'!C:C, 0)))
</f>
        <v>https://drive.google.com/file/d/19ZhWLN_zymp-mzX14YC7jEv-MHZn0Qb4/view?usp=drivesdk</v>
      </c>
      <c r="Q204" s="474" t="s">
        <v>1238</v>
      </c>
      <c r="R204" s="55" t="s">
        <v>1239</v>
      </c>
      <c r="S204" s="55"/>
      <c r="T204" s="329"/>
      <c r="U204" s="464"/>
      <c r="V204" s="55"/>
      <c r="W204" s="45" t="str">
        <f t="array" ref="W204">HYPERLINK(INDEX('File Links'!B:B, MATCH(U204, 'File Links'!C:C, 0)))
</f>
        <v>#N/A</v>
      </c>
      <c r="X204" s="55" t="s">
        <v>1249</v>
      </c>
      <c r="Y204" s="55" t="s">
        <v>235</v>
      </c>
      <c r="Z204" s="55"/>
      <c r="AA204" s="55"/>
      <c r="AB204" s="55"/>
      <c r="AC204" s="55"/>
      <c r="AD204" s="55"/>
      <c r="AE204" s="55"/>
      <c r="AF204" s="55"/>
      <c r="AG204" s="329"/>
      <c r="AH204" s="55"/>
      <c r="AI204" s="55"/>
      <c r="AJ204" s="60"/>
      <c r="AK204" s="55"/>
      <c r="AL204" s="55"/>
      <c r="AM204" s="55"/>
      <c r="AN204" s="55"/>
      <c r="AO204" s="55"/>
      <c r="AP204" s="55"/>
      <c r="AQ204" s="55"/>
      <c r="AR204" s="55"/>
      <c r="AS204" s="60"/>
      <c r="AT204" s="60"/>
      <c r="AU204" s="60"/>
      <c r="AV204" s="60"/>
      <c r="AW204" s="60"/>
      <c r="AX204" s="55"/>
      <c r="BB204" s="95"/>
      <c r="BC204" s="95"/>
      <c r="BD204" s="95"/>
      <c r="BE204" s="95"/>
      <c r="BF204" s="95"/>
      <c r="BG204" s="95"/>
      <c r="BH204" s="95"/>
      <c r="BI204" s="95"/>
      <c r="BJ204" s="95"/>
      <c r="BK204" s="95"/>
      <c r="BL204" s="95"/>
      <c r="BM204" s="95"/>
      <c r="BN204" s="95"/>
      <c r="BO204" s="95"/>
      <c r="BP204" s="95"/>
      <c r="BQ204" s="95"/>
      <c r="BR204" s="95"/>
      <c r="BS204" s="95"/>
      <c r="BT204" s="95"/>
      <c r="BU204" s="95"/>
      <c r="BV204" s="95"/>
      <c r="BW204" s="95"/>
      <c r="BX204" s="95"/>
      <c r="BY204" s="95"/>
      <c r="BZ204" s="95"/>
      <c r="CA204" s="95"/>
      <c r="CB204" s="95"/>
      <c r="CC204" s="95"/>
      <c r="CD204" s="95"/>
      <c r="CE204" s="95"/>
      <c r="CF204" s="95"/>
      <c r="CG204" s="95"/>
      <c r="CH204" s="95"/>
      <c r="CI204" s="95"/>
      <c r="CJ204" s="95"/>
      <c r="CK204" s="95"/>
      <c r="CL204" s="95"/>
      <c r="CM204" s="95"/>
      <c r="CN204" s="95"/>
      <c r="CO204" s="95"/>
      <c r="CP204" s="95"/>
      <c r="CQ204" s="95"/>
      <c r="CR204" s="95"/>
      <c r="CS204" s="95"/>
      <c r="CT204" s="95"/>
      <c r="CU204" s="95"/>
      <c r="CV204" s="95"/>
      <c r="CW204" s="95"/>
      <c r="CX204" s="95"/>
      <c r="CY204" s="95"/>
      <c r="CZ204" s="95"/>
      <c r="DA204" s="95"/>
      <c r="DB204" s="95"/>
      <c r="DC204" s="95"/>
      <c r="DD204" s="95"/>
      <c r="DE204" s="95"/>
      <c r="DF204" s="95"/>
      <c r="DG204" s="95"/>
    </row>
    <row r="205" ht="20.25" customHeight="1">
      <c r="A205" s="41" t="s">
        <v>279</v>
      </c>
      <c r="B205" s="41" t="s">
        <v>107</v>
      </c>
      <c r="C205" s="41" t="s">
        <v>280</v>
      </c>
      <c r="E205" s="143" t="s">
        <v>1244</v>
      </c>
      <c r="F205" s="139" t="s">
        <v>1245</v>
      </c>
      <c r="G205" s="139" t="s">
        <v>283</v>
      </c>
      <c r="H205" s="141">
        <v>45427.0</v>
      </c>
      <c r="I205" s="141">
        <v>45685.0</v>
      </c>
      <c r="J205" s="115" t="s">
        <v>1241</v>
      </c>
      <c r="K205" s="60"/>
      <c r="L205" s="143" t="s">
        <v>1246</v>
      </c>
      <c r="M205" s="143" t="s">
        <v>1247</v>
      </c>
      <c r="N205" s="144"/>
      <c r="O205" s="471" t="s">
        <v>1250</v>
      </c>
      <c r="P205" s="48" t="str">
        <f t="array" ref="P205">HYPERLINK(INDEX('File Links'!B:B, MATCH(O205, 'File Links'!C:C, 0)))
</f>
        <v>https://drive.google.com/file/d/19ZhWLN_zymp-mzX14YC7jEv-MHZn0Qb4/view?usp=drivesdk</v>
      </c>
      <c r="Q205" s="115" t="s">
        <v>1248</v>
      </c>
      <c r="R205" s="60"/>
      <c r="S205" s="60"/>
      <c r="T205" s="144"/>
      <c r="U205" s="471" t="s">
        <v>351</v>
      </c>
      <c r="V205" s="115" t="s">
        <v>1243</v>
      </c>
      <c r="W205" s="45" t="str">
        <f t="array" ref="W205">HYPERLINK(INDEX('File Links'!B:B, MATCH(U205, 'File Links'!C:C, 0)))
</f>
        <v>#N/A</v>
      </c>
      <c r="Y205" s="139" t="s">
        <v>287</v>
      </c>
      <c r="Z205" s="60"/>
      <c r="AA205" s="60"/>
      <c r="AB205" s="60"/>
      <c r="AC205" s="146"/>
      <c r="AD205" s="144"/>
      <c r="AE205" s="144"/>
      <c r="AF205" s="144"/>
      <c r="AG205" s="147"/>
      <c r="AH205" s="60"/>
      <c r="AI205" s="148"/>
      <c r="AJ205" s="52"/>
      <c r="AK205" s="52"/>
      <c r="AL205" s="60"/>
      <c r="AM205" s="55"/>
      <c r="AN205" s="144"/>
      <c r="AO205" s="144"/>
      <c r="AP205" s="147"/>
      <c r="AQ205" s="60"/>
      <c r="AR205" s="150"/>
      <c r="AS205" s="147"/>
      <c r="AT205" s="147"/>
      <c r="AU205" s="60"/>
      <c r="AV205" s="303"/>
      <c r="AW205" s="60"/>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c r="CD205" s="64"/>
      <c r="CE205" s="64"/>
      <c r="CF205" s="64"/>
      <c r="CG205" s="64"/>
      <c r="CH205" s="64"/>
      <c r="CI205" s="64"/>
      <c r="CJ205" s="64"/>
      <c r="CK205" s="64"/>
      <c r="CL205" s="64"/>
      <c r="CM205" s="64"/>
      <c r="CN205" s="64"/>
      <c r="CO205" s="64"/>
      <c r="CP205" s="64"/>
      <c r="CQ205" s="64"/>
      <c r="CR205" s="64"/>
      <c r="CS205" s="64"/>
      <c r="CT205" s="64"/>
      <c r="CU205" s="64"/>
      <c r="CV205" s="64"/>
      <c r="CW205" s="64"/>
      <c r="CX205" s="64"/>
      <c r="CY205" s="64"/>
      <c r="CZ205" s="64"/>
      <c r="DA205" s="64"/>
      <c r="DB205" s="64"/>
      <c r="DC205" s="64"/>
      <c r="DD205" s="64"/>
      <c r="DE205" s="64"/>
      <c r="DF205" s="64"/>
      <c r="DG205" s="64"/>
    </row>
    <row r="206" ht="20.25" customHeight="1">
      <c r="A206" s="189" t="s">
        <v>106</v>
      </c>
      <c r="B206" s="189" t="s">
        <v>107</v>
      </c>
      <c r="C206" s="475" t="s">
        <v>1251</v>
      </c>
      <c r="D206" s="476"/>
      <c r="E206" s="194" t="s">
        <v>1252</v>
      </c>
      <c r="F206" s="192" t="s">
        <v>1253</v>
      </c>
      <c r="G206" s="192" t="s">
        <v>1254</v>
      </c>
      <c r="H206" s="477">
        <v>45641.0</v>
      </c>
      <c r="I206" s="478">
        <v>45670.0</v>
      </c>
      <c r="J206" s="428"/>
      <c r="K206" s="202" t="s">
        <v>1255</v>
      </c>
      <c r="L206" s="99" t="s">
        <v>1256</v>
      </c>
      <c r="M206" s="99" t="s">
        <v>1257</v>
      </c>
      <c r="N206" s="104">
        <v>1.0</v>
      </c>
      <c r="O206" s="479" t="s">
        <v>1258</v>
      </c>
      <c r="P206" s="48" t="str">
        <f t="array" ref="P206">HYPERLINK(INDEX('File Links'!B:B, MATCH(O206, 'File Links'!C:C, 0)))
</f>
        <v>https://drive.google.com/file/d/1hiobo976wpKGT4ybTmzucLhLBTnypf_I/view?usp=drivesdk</v>
      </c>
      <c r="Q206" s="99" t="s">
        <v>1259</v>
      </c>
      <c r="R206" s="99" t="s">
        <v>1260</v>
      </c>
      <c r="T206" s="342">
        <v>1.0</v>
      </c>
      <c r="U206" s="480" t="s">
        <v>351</v>
      </c>
      <c r="V206" s="99" t="s">
        <v>1261</v>
      </c>
      <c r="W206" s="45" t="str">
        <f t="array" ref="W206">HYPERLINK(INDEX('File Links'!B:B, MATCH(U206, 'File Links'!C:C, 0)))
</f>
        <v>#N/A</v>
      </c>
      <c r="X206" s="99"/>
      <c r="Y206" s="99" t="s">
        <v>139</v>
      </c>
      <c r="Z206" s="99"/>
      <c r="AA206" s="101"/>
      <c r="AB206" s="101"/>
      <c r="AC206" s="99" t="s">
        <v>1262</v>
      </c>
      <c r="AD206" s="104">
        <v>96.0</v>
      </c>
      <c r="AE206" s="101"/>
      <c r="AF206" s="101"/>
      <c r="AG206" s="106"/>
      <c r="AH206" s="101"/>
      <c r="AI206" s="101"/>
      <c r="AJ206" s="98"/>
      <c r="AK206" s="101"/>
      <c r="AL206" s="101"/>
      <c r="AM206" s="101"/>
      <c r="AN206" s="433">
        <v>81.0</v>
      </c>
      <c r="AO206" s="101"/>
      <c r="AP206" s="101"/>
      <c r="AQ206" s="101"/>
      <c r="AR206" s="101"/>
      <c r="AS206" s="98"/>
      <c r="AT206" s="98"/>
      <c r="AU206" s="98"/>
      <c r="AV206" s="98"/>
      <c r="AW206" s="98"/>
      <c r="AX206" s="115" t="s">
        <v>1255</v>
      </c>
      <c r="AY206" s="136" t="s">
        <v>135</v>
      </c>
      <c r="BB206" s="95"/>
      <c r="BC206" s="95"/>
      <c r="BD206" s="95"/>
      <c r="BE206" s="95"/>
      <c r="BF206" s="95"/>
      <c r="BG206" s="95"/>
      <c r="BH206" s="95"/>
      <c r="BI206" s="95"/>
      <c r="BJ206" s="95"/>
      <c r="BK206" s="95"/>
      <c r="BL206" s="95"/>
      <c r="BM206" s="95"/>
      <c r="BN206" s="95"/>
      <c r="BO206" s="95"/>
      <c r="BP206" s="95"/>
      <c r="BQ206" s="95"/>
      <c r="BR206" s="95"/>
      <c r="BS206" s="95"/>
      <c r="BT206" s="95"/>
      <c r="BU206" s="95"/>
      <c r="BV206" s="95"/>
      <c r="BW206" s="95"/>
      <c r="BX206" s="95"/>
      <c r="BY206" s="95"/>
      <c r="BZ206" s="95"/>
      <c r="CA206" s="95"/>
      <c r="CB206" s="95"/>
      <c r="CC206" s="95"/>
      <c r="CD206" s="95"/>
      <c r="CE206" s="95"/>
      <c r="CF206" s="95"/>
      <c r="CG206" s="95"/>
      <c r="CH206" s="95"/>
      <c r="CI206" s="95"/>
      <c r="CJ206" s="95"/>
      <c r="CK206" s="95"/>
      <c r="CL206" s="95"/>
      <c r="CM206" s="95"/>
      <c r="CN206" s="95"/>
      <c r="CO206" s="95"/>
      <c r="CP206" s="95"/>
      <c r="CQ206" s="95"/>
      <c r="CR206" s="95"/>
      <c r="CS206" s="95"/>
      <c r="CT206" s="95"/>
      <c r="CU206" s="95"/>
      <c r="CV206" s="95"/>
      <c r="CW206" s="95"/>
      <c r="CX206" s="95"/>
      <c r="CY206" s="95"/>
      <c r="CZ206" s="95"/>
      <c r="DA206" s="95"/>
      <c r="DB206" s="95"/>
      <c r="DC206" s="95"/>
      <c r="DD206" s="95"/>
      <c r="DE206" s="95"/>
      <c r="DF206" s="95"/>
      <c r="DG206" s="95"/>
    </row>
    <row r="207" ht="20.25" customHeight="1">
      <c r="A207" s="189" t="s">
        <v>143</v>
      </c>
      <c r="B207" s="189" t="s">
        <v>107</v>
      </c>
      <c r="C207" s="189" t="s">
        <v>280</v>
      </c>
      <c r="D207" s="190"/>
      <c r="E207" s="194" t="s">
        <v>1252</v>
      </c>
      <c r="F207" s="192" t="s">
        <v>1253</v>
      </c>
      <c r="G207" s="195" t="s">
        <v>280</v>
      </c>
      <c r="H207" s="477">
        <v>45636.0</v>
      </c>
      <c r="I207" s="478">
        <v>45670.0</v>
      </c>
      <c r="J207" s="191" t="s">
        <v>1263</v>
      </c>
      <c r="K207" s="202" t="s">
        <v>1264</v>
      </c>
      <c r="L207" s="395" t="s">
        <v>1265</v>
      </c>
      <c r="M207" s="108" t="s">
        <v>1257</v>
      </c>
      <c r="N207" s="104">
        <v>1.0</v>
      </c>
      <c r="O207" s="481" t="s">
        <v>1258</v>
      </c>
      <c r="P207" s="48" t="str">
        <f t="array" ref="P207">HYPERLINK(INDEX('File Links'!B:B, MATCH(O207, 'File Links'!C:C, 0)))
</f>
        <v>https://drive.google.com/file/d/1hiobo976wpKGT4ybTmzucLhLBTnypf_I/view?usp=drivesdk</v>
      </c>
      <c r="Q207" s="395" t="s">
        <v>1266</v>
      </c>
      <c r="R207" s="99" t="s">
        <v>1260</v>
      </c>
      <c r="T207" s="120">
        <v>1.0</v>
      </c>
      <c r="U207" s="481" t="s">
        <v>1267</v>
      </c>
      <c r="V207" s="108" t="s">
        <v>1261</v>
      </c>
      <c r="W207" s="50" t="str">
        <f t="array" ref="W207">HYPERLINK(INDEX('File Links'!B:B, MATCH(U207, 'File Links'!C:C, 0)))
</f>
        <v>https://drive.google.com/file/d/1s7Xp1h565EAKnPa_0Zp3RnS0qmb4t53a/view?usp=drivesdk</v>
      </c>
      <c r="X207" s="98"/>
      <c r="Y207" s="108" t="s">
        <v>139</v>
      </c>
      <c r="Z207" s="98" t="s">
        <v>1268</v>
      </c>
      <c r="AA207" s="108" t="s">
        <v>1269</v>
      </c>
      <c r="AB207" s="108" t="s">
        <v>1270</v>
      </c>
      <c r="AC207" s="108" t="s">
        <v>1271</v>
      </c>
      <c r="AD207" s="482">
        <v>107.0</v>
      </c>
      <c r="AE207" s="482">
        <v>54.0</v>
      </c>
      <c r="AF207" s="108" t="s">
        <v>1272</v>
      </c>
      <c r="AG207" s="107" t="s">
        <v>1273</v>
      </c>
      <c r="AH207" s="103" t="s">
        <v>1274</v>
      </c>
      <c r="AI207" s="104">
        <v>1.0E-5</v>
      </c>
      <c r="AJ207" s="108" t="s">
        <v>164</v>
      </c>
      <c r="AK207" s="99" t="s">
        <v>179</v>
      </c>
      <c r="AL207" s="98" t="s">
        <v>129</v>
      </c>
      <c r="AM207" s="128" t="s">
        <v>165</v>
      </c>
      <c r="AN207" s="482">
        <v>81.0</v>
      </c>
      <c r="AO207" s="482">
        <v>0.73</v>
      </c>
      <c r="AP207" s="108" t="s">
        <v>1275</v>
      </c>
      <c r="AQ207" s="108" t="s">
        <v>1276</v>
      </c>
      <c r="AR207" s="482">
        <v>1.0E-5</v>
      </c>
      <c r="AS207" s="108" t="s">
        <v>164</v>
      </c>
      <c r="AT207" s="108" t="s">
        <v>179</v>
      </c>
      <c r="AU207" s="98" t="s">
        <v>129</v>
      </c>
      <c r="AV207" s="41" t="s">
        <v>165</v>
      </c>
      <c r="AW207" s="98" t="s">
        <v>434</v>
      </c>
      <c r="AX207" s="115" t="s">
        <v>1264</v>
      </c>
      <c r="AY207" s="136" t="s">
        <v>135</v>
      </c>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64"/>
      <c r="BZ207" s="64"/>
      <c r="CA207" s="64"/>
      <c r="CB207" s="64"/>
      <c r="CC207" s="64"/>
      <c r="CD207" s="64"/>
      <c r="CE207" s="64"/>
      <c r="CF207" s="64"/>
      <c r="CG207" s="64"/>
      <c r="CH207" s="64"/>
      <c r="CI207" s="64"/>
      <c r="CJ207" s="64"/>
      <c r="CK207" s="64"/>
      <c r="CL207" s="64"/>
      <c r="CM207" s="64"/>
      <c r="CN207" s="64"/>
      <c r="CO207" s="64"/>
      <c r="CP207" s="64"/>
      <c r="CQ207" s="64"/>
      <c r="CR207" s="64"/>
      <c r="CS207" s="64"/>
      <c r="CT207" s="64"/>
      <c r="CU207" s="64"/>
      <c r="CV207" s="64"/>
      <c r="CW207" s="64"/>
      <c r="CX207" s="64"/>
      <c r="CY207" s="64"/>
      <c r="CZ207" s="64"/>
      <c r="DA207" s="64"/>
      <c r="DB207" s="64"/>
      <c r="DC207" s="64"/>
      <c r="DD207" s="64"/>
      <c r="DE207" s="64"/>
      <c r="DF207" s="64"/>
      <c r="DG207" s="64"/>
    </row>
    <row r="208" ht="20.25" customHeight="1">
      <c r="A208" s="483" t="s">
        <v>520</v>
      </c>
      <c r="B208" s="483" t="s">
        <v>107</v>
      </c>
      <c r="C208" s="483" t="s">
        <v>280</v>
      </c>
      <c r="D208" s="484"/>
      <c r="E208" s="138" t="s">
        <v>1277</v>
      </c>
      <c r="F208" s="139" t="s">
        <v>1278</v>
      </c>
      <c r="G208" s="139" t="s">
        <v>283</v>
      </c>
      <c r="H208" s="140"/>
      <c r="I208" s="141">
        <v>45686.0</v>
      </c>
      <c r="J208" s="115" t="s">
        <v>1279</v>
      </c>
      <c r="K208" s="60"/>
      <c r="L208" s="143" t="s">
        <v>1280</v>
      </c>
      <c r="M208" s="143" t="s">
        <v>1281</v>
      </c>
      <c r="N208" s="144"/>
      <c r="O208" s="105" t="str">
        <f> hyperlink(vlookup(lower(M208),'File Links'!A:B, 2, FALSE), SUBSTITUTE(lower(M208), "/", "--") &amp;  ".pdf")</f>
        <v>10.1016--j.psychres.2017.09.048.pdf</v>
      </c>
      <c r="P208" s="48" t="str">
        <f t="array" ref="P208">HYPERLINK(INDEX('File Links'!B:B, MATCH(O208, 'File Links'!C:C, 0)))
</f>
        <v>https://drive.google.com/file/d/1bB5zAUL5oQPM2ClvdBCDeAd5AlkWVp4P/view?usp=drivesdk</v>
      </c>
      <c r="Q208" s="115" t="s">
        <v>1282</v>
      </c>
      <c r="R208" s="60"/>
      <c r="S208" s="60"/>
      <c r="T208" s="144"/>
      <c r="U208" s="471" t="s">
        <v>351</v>
      </c>
      <c r="V208" s="115" t="s">
        <v>1283</v>
      </c>
      <c r="W208" s="45" t="str">
        <f t="array" ref="W208">HYPERLINK(INDEX('File Links'!B:B, MATCH(U208, 'File Links'!C:C, 0)))
</f>
        <v>#N/A</v>
      </c>
      <c r="Y208" s="139" t="s">
        <v>139</v>
      </c>
      <c r="Z208" s="115" t="s">
        <v>1284</v>
      </c>
      <c r="AA208" s="115" t="s">
        <v>1285</v>
      </c>
      <c r="AB208" s="115" t="s">
        <v>1286</v>
      </c>
      <c r="AC208" s="153" t="s">
        <v>1287</v>
      </c>
      <c r="AD208" s="149" t="s">
        <v>861</v>
      </c>
      <c r="AE208" s="149">
        <v>89.0</v>
      </c>
      <c r="AF208" s="149">
        <v>0.556</v>
      </c>
      <c r="AG208" s="139" t="s">
        <v>130</v>
      </c>
      <c r="AH208" s="115" t="s">
        <v>861</v>
      </c>
      <c r="AI208" s="154">
        <v>0.001</v>
      </c>
      <c r="AJ208" s="139" t="s">
        <v>127</v>
      </c>
      <c r="AK208" s="139" t="s">
        <v>128</v>
      </c>
      <c r="AL208" s="115" t="s">
        <v>132</v>
      </c>
      <c r="AM208" s="55"/>
      <c r="AN208" s="149">
        <v>74.0</v>
      </c>
      <c r="AO208" s="149">
        <v>0.547</v>
      </c>
      <c r="AP208" s="139" t="s">
        <v>130</v>
      </c>
      <c r="AQ208" s="115" t="s">
        <v>1288</v>
      </c>
      <c r="AR208" s="154">
        <v>0.001</v>
      </c>
      <c r="AS208" s="139" t="s">
        <v>127</v>
      </c>
      <c r="AT208" s="139" t="s">
        <v>179</v>
      </c>
      <c r="AU208" s="115" t="s">
        <v>132</v>
      </c>
      <c r="AV208" s="303"/>
      <c r="AW208" s="115" t="s">
        <v>434</v>
      </c>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c r="CY208" s="64"/>
      <c r="CZ208" s="64"/>
      <c r="DA208" s="64"/>
      <c r="DB208" s="64"/>
      <c r="DC208" s="64"/>
      <c r="DD208" s="64"/>
      <c r="DE208" s="64"/>
      <c r="DF208" s="64"/>
      <c r="DG208" s="64"/>
    </row>
    <row r="209" ht="20.25" customHeight="1">
      <c r="A209" s="483" t="s">
        <v>520</v>
      </c>
      <c r="B209" s="483" t="s">
        <v>107</v>
      </c>
      <c r="C209" s="483" t="s">
        <v>280</v>
      </c>
      <c r="D209" s="484"/>
      <c r="E209" s="138" t="s">
        <v>1277</v>
      </c>
      <c r="F209" s="139" t="s">
        <v>1289</v>
      </c>
      <c r="G209" s="139" t="s">
        <v>283</v>
      </c>
      <c r="H209" s="140"/>
      <c r="I209" s="141">
        <v>45686.0</v>
      </c>
      <c r="J209" s="115" t="s">
        <v>1279</v>
      </c>
      <c r="K209" s="60"/>
      <c r="L209" s="143" t="s">
        <v>1290</v>
      </c>
      <c r="M209" s="143" t="s">
        <v>1281</v>
      </c>
      <c r="N209" s="144"/>
      <c r="O209" s="105" t="str">
        <f> hyperlink(vlookup(lower(M209),'File Links'!A:B, 2, FALSE), SUBSTITUTE(lower(M209), "/", "--") &amp;  ".pdf")</f>
        <v>10.1016--j.psychres.2017.09.048.pdf</v>
      </c>
      <c r="P209" s="48" t="str">
        <f t="array" ref="P209">HYPERLINK(INDEX('File Links'!B:B, MATCH(O209, 'File Links'!C:C, 0)))
</f>
        <v>https://drive.google.com/file/d/1bB5zAUL5oQPM2ClvdBCDeAd5AlkWVp4P/view?usp=drivesdk</v>
      </c>
      <c r="Q209" s="115" t="s">
        <v>1291</v>
      </c>
      <c r="R209" s="60"/>
      <c r="S209" s="60"/>
      <c r="T209" s="144"/>
      <c r="U209" s="471" t="s">
        <v>351</v>
      </c>
      <c r="V209" s="115" t="s">
        <v>1283</v>
      </c>
      <c r="W209" s="45" t="str">
        <f t="array" ref="W209">HYPERLINK(INDEX('File Links'!B:B, MATCH(U209, 'File Links'!C:C, 0)))
</f>
        <v>#N/A</v>
      </c>
      <c r="Y209" s="139" t="s">
        <v>139</v>
      </c>
      <c r="Z209" s="115" t="s">
        <v>1292</v>
      </c>
      <c r="AA209" s="115" t="s">
        <v>1285</v>
      </c>
      <c r="AB209" s="115" t="s">
        <v>1286</v>
      </c>
      <c r="AC209" s="153" t="s">
        <v>1293</v>
      </c>
      <c r="AD209" s="149" t="s">
        <v>861</v>
      </c>
      <c r="AE209" s="149">
        <v>89.0</v>
      </c>
      <c r="AF209" s="149">
        <v>0.067</v>
      </c>
      <c r="AG209" s="139" t="s">
        <v>130</v>
      </c>
      <c r="AH209" s="115" t="s">
        <v>861</v>
      </c>
      <c r="AI209" s="154">
        <v>0.031</v>
      </c>
      <c r="AJ209" s="139" t="s">
        <v>164</v>
      </c>
      <c r="AK209" s="139" t="s">
        <v>128</v>
      </c>
      <c r="AL209" s="115" t="s">
        <v>132</v>
      </c>
      <c r="AM209" s="55"/>
      <c r="AN209" s="149">
        <v>74.0</v>
      </c>
      <c r="AO209" s="149">
        <v>0.095</v>
      </c>
      <c r="AP209" s="139" t="s">
        <v>130</v>
      </c>
      <c r="AQ209" s="115" t="s">
        <v>1288</v>
      </c>
      <c r="AR209" s="154">
        <v>0.008</v>
      </c>
      <c r="AS209" s="139" t="s">
        <v>164</v>
      </c>
      <c r="AT209" s="139" t="s">
        <v>179</v>
      </c>
      <c r="AU209" s="115" t="s">
        <v>132</v>
      </c>
      <c r="AV209" s="303"/>
      <c r="AW209" s="115" t="s">
        <v>434</v>
      </c>
    </row>
    <row r="210" ht="20.25" customHeight="1">
      <c r="A210" s="483" t="s">
        <v>520</v>
      </c>
      <c r="B210" s="483" t="s">
        <v>107</v>
      </c>
      <c r="C210" s="483" t="s">
        <v>280</v>
      </c>
      <c r="D210" s="484"/>
      <c r="E210" s="138" t="s">
        <v>1277</v>
      </c>
      <c r="F210" s="139" t="s">
        <v>1294</v>
      </c>
      <c r="G210" s="139" t="s">
        <v>283</v>
      </c>
      <c r="H210" s="140"/>
      <c r="I210" s="141">
        <v>45686.0</v>
      </c>
      <c r="J210" s="115" t="s">
        <v>1279</v>
      </c>
      <c r="K210" s="60"/>
      <c r="L210" s="143" t="s">
        <v>1295</v>
      </c>
      <c r="M210" s="143" t="s">
        <v>1281</v>
      </c>
      <c r="N210" s="144"/>
      <c r="O210" s="105" t="str">
        <f> hyperlink(vlookup(lower(M210),'File Links'!A:B, 2, FALSE), SUBSTITUTE(lower(M210), "/", "--") &amp;  ".pdf")</f>
        <v>10.1016--j.psychres.2017.09.048.pdf</v>
      </c>
      <c r="P210" s="48" t="str">
        <f t="array" ref="P210">HYPERLINK(INDEX('File Links'!B:B, MATCH(O210, 'File Links'!C:C, 0)))
</f>
        <v>https://drive.google.com/file/d/1bB5zAUL5oQPM2ClvdBCDeAd5AlkWVp4P/view?usp=drivesdk</v>
      </c>
      <c r="Q210" s="115" t="s">
        <v>1296</v>
      </c>
      <c r="R210" s="60"/>
      <c r="S210" s="60"/>
      <c r="T210" s="144"/>
      <c r="U210" s="471" t="s">
        <v>351</v>
      </c>
      <c r="V210" s="115" t="s">
        <v>1283</v>
      </c>
      <c r="W210" s="45" t="str">
        <f t="array" ref="W210">HYPERLINK(INDEX('File Links'!B:B, MATCH(U210, 'File Links'!C:C, 0)))
</f>
        <v>#N/A</v>
      </c>
      <c r="Y210" s="139" t="s">
        <v>139</v>
      </c>
      <c r="Z210" s="115" t="s">
        <v>1297</v>
      </c>
      <c r="AA210" s="115" t="s">
        <v>1285</v>
      </c>
      <c r="AB210" s="115" t="s">
        <v>1286</v>
      </c>
      <c r="AC210" s="153" t="s">
        <v>1293</v>
      </c>
      <c r="AD210" s="149" t="s">
        <v>861</v>
      </c>
      <c r="AE210" s="149">
        <v>89.0</v>
      </c>
      <c r="AF210" s="149">
        <v>0.518</v>
      </c>
      <c r="AG210" s="139" t="s">
        <v>130</v>
      </c>
      <c r="AH210" s="115" t="s">
        <v>861</v>
      </c>
      <c r="AI210" s="154">
        <v>0.001</v>
      </c>
      <c r="AJ210" s="139" t="s">
        <v>127</v>
      </c>
      <c r="AK210" s="139" t="s">
        <v>128</v>
      </c>
      <c r="AL210" s="115" t="s">
        <v>132</v>
      </c>
      <c r="AM210" s="55"/>
      <c r="AN210" s="149">
        <v>74.0</v>
      </c>
      <c r="AO210" s="149">
        <v>0.369</v>
      </c>
      <c r="AP210" s="139" t="s">
        <v>130</v>
      </c>
      <c r="AQ210" s="115" t="s">
        <v>1288</v>
      </c>
      <c r="AR210" s="154">
        <v>0.001</v>
      </c>
      <c r="AS210" s="139" t="s">
        <v>127</v>
      </c>
      <c r="AT210" s="139" t="s">
        <v>179</v>
      </c>
      <c r="AU210" s="115" t="s">
        <v>132</v>
      </c>
      <c r="AV210" s="303"/>
      <c r="AW210" s="115" t="s">
        <v>434</v>
      </c>
    </row>
    <row r="211" ht="20.25" customHeight="1">
      <c r="A211" s="483" t="s">
        <v>520</v>
      </c>
      <c r="B211" s="483" t="s">
        <v>107</v>
      </c>
      <c r="C211" s="483" t="s">
        <v>280</v>
      </c>
      <c r="D211" s="484"/>
      <c r="E211" s="138" t="s">
        <v>1277</v>
      </c>
      <c r="F211" s="139" t="s">
        <v>1298</v>
      </c>
      <c r="G211" s="139" t="s">
        <v>283</v>
      </c>
      <c r="H211" s="140"/>
      <c r="I211" s="141">
        <v>45686.0</v>
      </c>
      <c r="J211" s="115" t="s">
        <v>1279</v>
      </c>
      <c r="K211" s="60"/>
      <c r="L211" s="143" t="s">
        <v>1299</v>
      </c>
      <c r="M211" s="143" t="s">
        <v>1281</v>
      </c>
      <c r="N211" s="144"/>
      <c r="O211" s="105" t="str">
        <f> hyperlink(vlookup(lower(M211),'File Links'!A:B, 2, FALSE), SUBSTITUTE(lower(M211), "/", "--") &amp;  ".pdf")</f>
        <v>10.1016--j.psychres.2017.09.048.pdf</v>
      </c>
      <c r="P211" s="48" t="str">
        <f t="array" ref="P211">HYPERLINK(INDEX('File Links'!B:B, MATCH(O211, 'File Links'!C:C, 0)))
</f>
        <v>https://drive.google.com/file/d/1bB5zAUL5oQPM2ClvdBCDeAd5AlkWVp4P/view?usp=drivesdk</v>
      </c>
      <c r="Q211" s="115" t="s">
        <v>1300</v>
      </c>
      <c r="R211" s="60"/>
      <c r="S211" s="60"/>
      <c r="T211" s="144"/>
      <c r="U211" s="471" t="s">
        <v>351</v>
      </c>
      <c r="V211" s="115" t="s">
        <v>1283</v>
      </c>
      <c r="W211" s="45" t="str">
        <f t="array" ref="W211">HYPERLINK(INDEX('File Links'!B:B, MATCH(U211, 'File Links'!C:C, 0)))
</f>
        <v>#N/A</v>
      </c>
      <c r="Y211" s="139" t="s">
        <v>139</v>
      </c>
      <c r="Z211" s="115" t="s">
        <v>1301</v>
      </c>
      <c r="AA211" s="115" t="s">
        <v>1285</v>
      </c>
      <c r="AB211" s="115" t="s">
        <v>1286</v>
      </c>
      <c r="AC211" s="153" t="s">
        <v>1302</v>
      </c>
      <c r="AD211" s="149" t="s">
        <v>1303</v>
      </c>
      <c r="AE211" s="149">
        <v>89.0</v>
      </c>
      <c r="AF211" s="149">
        <v>0.056</v>
      </c>
      <c r="AG211" s="139" t="s">
        <v>130</v>
      </c>
      <c r="AH211" s="115" t="s">
        <v>892</v>
      </c>
      <c r="AI211" s="154">
        <v>0.009</v>
      </c>
      <c r="AJ211" s="139" t="s">
        <v>164</v>
      </c>
      <c r="AK211" s="139" t="s">
        <v>128</v>
      </c>
      <c r="AL211" s="115" t="s">
        <v>132</v>
      </c>
      <c r="AM211" s="55"/>
      <c r="AN211" s="149">
        <v>74.0</v>
      </c>
      <c r="AO211" s="149">
        <v>0.041</v>
      </c>
      <c r="AP211" s="139" t="s">
        <v>130</v>
      </c>
      <c r="AQ211" s="115" t="s">
        <v>1288</v>
      </c>
      <c r="AR211" s="154">
        <v>0.021</v>
      </c>
      <c r="AS211" s="139" t="s">
        <v>164</v>
      </c>
      <c r="AT211" s="139" t="s">
        <v>179</v>
      </c>
      <c r="AU211" s="115" t="s">
        <v>132</v>
      </c>
      <c r="AV211" s="303"/>
      <c r="AW211" s="115" t="s">
        <v>434</v>
      </c>
    </row>
    <row r="212" ht="20.25" customHeight="1">
      <c r="A212" s="483" t="s">
        <v>520</v>
      </c>
      <c r="B212" s="483" t="s">
        <v>107</v>
      </c>
      <c r="C212" s="483" t="s">
        <v>280</v>
      </c>
      <c r="D212" s="484"/>
      <c r="E212" s="138" t="s">
        <v>1277</v>
      </c>
      <c r="F212" s="139" t="s">
        <v>1304</v>
      </c>
      <c r="G212" s="139" t="s">
        <v>283</v>
      </c>
      <c r="H212" s="140"/>
      <c r="I212" s="141">
        <v>45686.0</v>
      </c>
      <c r="J212" s="115" t="s">
        <v>1279</v>
      </c>
      <c r="K212" s="60"/>
      <c r="L212" s="143" t="s">
        <v>1305</v>
      </c>
      <c r="M212" s="143" t="s">
        <v>1281</v>
      </c>
      <c r="N212" s="144"/>
      <c r="O212" s="105" t="str">
        <f> hyperlink(vlookup(lower(M212),'File Links'!A:B, 2, FALSE), SUBSTITUTE(lower(M212), "/", "--") &amp;  ".pdf")</f>
        <v>10.1016--j.psychres.2017.09.048.pdf</v>
      </c>
      <c r="P212" s="48" t="str">
        <f t="array" ref="P212">HYPERLINK(INDEX('File Links'!B:B, MATCH(O212, 'File Links'!C:C, 0)))
</f>
        <v>https://drive.google.com/file/d/1bB5zAUL5oQPM2ClvdBCDeAd5AlkWVp4P/view?usp=drivesdk</v>
      </c>
      <c r="Q212" s="115" t="s">
        <v>1306</v>
      </c>
      <c r="R212" s="60"/>
      <c r="S212" s="60"/>
      <c r="T212" s="144"/>
      <c r="U212" s="471" t="s">
        <v>351</v>
      </c>
      <c r="V212" s="115" t="s">
        <v>1283</v>
      </c>
      <c r="W212" s="45" t="str">
        <f t="array" ref="W212">HYPERLINK(INDEX('File Links'!B:B, MATCH(U212, 'File Links'!C:C, 0)))
</f>
        <v>#N/A</v>
      </c>
      <c r="Y212" s="139" t="s">
        <v>139</v>
      </c>
      <c r="Z212" s="115" t="s">
        <v>1307</v>
      </c>
      <c r="AA212" s="115" t="s">
        <v>1285</v>
      </c>
      <c r="AB212" s="115" t="s">
        <v>1286</v>
      </c>
      <c r="AC212" s="153" t="s">
        <v>1308</v>
      </c>
      <c r="AD212" s="149" t="s">
        <v>892</v>
      </c>
      <c r="AE212" s="149">
        <v>89.0</v>
      </c>
      <c r="AF212" s="149">
        <v>0.571</v>
      </c>
      <c r="AG212" s="139" t="s">
        <v>130</v>
      </c>
      <c r="AH212" s="115" t="s">
        <v>892</v>
      </c>
      <c r="AI212" s="154">
        <v>0.001</v>
      </c>
      <c r="AJ212" s="139" t="s">
        <v>127</v>
      </c>
      <c r="AK212" s="139" t="s">
        <v>128</v>
      </c>
      <c r="AL212" s="115" t="s">
        <v>132</v>
      </c>
      <c r="AM212" s="55"/>
      <c r="AN212" s="149">
        <v>74.0</v>
      </c>
      <c r="AO212" s="149">
        <v>0.501</v>
      </c>
      <c r="AP212" s="139" t="s">
        <v>130</v>
      </c>
      <c r="AQ212" s="115" t="s">
        <v>1288</v>
      </c>
      <c r="AR212" s="154">
        <v>0.001</v>
      </c>
      <c r="AS212" s="139" t="s">
        <v>127</v>
      </c>
      <c r="AT212" s="139" t="s">
        <v>179</v>
      </c>
      <c r="AU212" s="115" t="s">
        <v>132</v>
      </c>
      <c r="AV212" s="303"/>
      <c r="AW212" s="115" t="s">
        <v>434</v>
      </c>
    </row>
    <row r="213" ht="20.25" customHeight="1">
      <c r="A213" s="483" t="s">
        <v>520</v>
      </c>
      <c r="B213" s="483" t="s">
        <v>107</v>
      </c>
      <c r="C213" s="483" t="s">
        <v>280</v>
      </c>
      <c r="D213" s="484"/>
      <c r="E213" s="138" t="s">
        <v>1277</v>
      </c>
      <c r="F213" s="139" t="s">
        <v>1309</v>
      </c>
      <c r="G213" s="139" t="s">
        <v>283</v>
      </c>
      <c r="H213" s="140"/>
      <c r="I213" s="141">
        <v>45686.0</v>
      </c>
      <c r="J213" s="115" t="s">
        <v>1279</v>
      </c>
      <c r="K213" s="60"/>
      <c r="L213" s="143" t="s">
        <v>1310</v>
      </c>
      <c r="M213" s="143" t="s">
        <v>1281</v>
      </c>
      <c r="N213" s="144"/>
      <c r="O213" s="105" t="str">
        <f> hyperlink(vlookup(lower(M213),'File Links'!A:B, 2, FALSE), SUBSTITUTE(lower(M213), "/", "--") &amp;  ".pdf")</f>
        <v>10.1016--j.psychres.2017.09.048.pdf</v>
      </c>
      <c r="P213" s="48" t="str">
        <f t="array" ref="P213">HYPERLINK(INDEX('File Links'!B:B, MATCH(O213, 'File Links'!C:C, 0)))
</f>
        <v>https://drive.google.com/file/d/1bB5zAUL5oQPM2ClvdBCDeAd5AlkWVp4P/view?usp=drivesdk</v>
      </c>
      <c r="Q213" s="115" t="s">
        <v>1311</v>
      </c>
      <c r="R213" s="60"/>
      <c r="S213" s="60"/>
      <c r="T213" s="144"/>
      <c r="U213" s="471" t="s">
        <v>351</v>
      </c>
      <c r="V213" s="115" t="s">
        <v>1283</v>
      </c>
      <c r="W213" s="45" t="str">
        <f t="array" ref="W213">HYPERLINK(INDEX('File Links'!B:B, MATCH(U213, 'File Links'!C:C, 0)))
</f>
        <v>#N/A</v>
      </c>
      <c r="Y213" s="139" t="s">
        <v>139</v>
      </c>
      <c r="Z213" s="115" t="s">
        <v>1312</v>
      </c>
      <c r="AA213" s="115" t="s">
        <v>1285</v>
      </c>
      <c r="AB213" s="115" t="s">
        <v>1286</v>
      </c>
      <c r="AC213" s="153" t="s">
        <v>1308</v>
      </c>
      <c r="AD213" s="149" t="s">
        <v>892</v>
      </c>
      <c r="AE213" s="149">
        <v>89.0</v>
      </c>
      <c r="AF213" s="149">
        <v>0.072</v>
      </c>
      <c r="AG213" s="139" t="s">
        <v>130</v>
      </c>
      <c r="AH213" s="115" t="s">
        <v>892</v>
      </c>
      <c r="AI213" s="154">
        <v>0.04</v>
      </c>
      <c r="AJ213" s="139" t="s">
        <v>1313</v>
      </c>
      <c r="AK213" s="139" t="s">
        <v>128</v>
      </c>
      <c r="AL213" s="115" t="s">
        <v>132</v>
      </c>
      <c r="AM213" s="55"/>
      <c r="AN213" s="149">
        <v>74.0</v>
      </c>
      <c r="AO213" s="149">
        <v>0.06</v>
      </c>
      <c r="AP213" s="139" t="s">
        <v>130</v>
      </c>
      <c r="AQ213" s="115" t="s">
        <v>1288</v>
      </c>
      <c r="AR213" s="154">
        <v>0.036</v>
      </c>
      <c r="AS213" s="139" t="s">
        <v>164</v>
      </c>
      <c r="AT213" s="139" t="s">
        <v>179</v>
      </c>
      <c r="AU213" s="115" t="s">
        <v>132</v>
      </c>
      <c r="AV213" s="303"/>
      <c r="AW213" s="115" t="s">
        <v>434</v>
      </c>
    </row>
    <row r="214" ht="20.25" customHeight="1">
      <c r="A214" s="483" t="s">
        <v>520</v>
      </c>
      <c r="B214" s="483" t="s">
        <v>107</v>
      </c>
      <c r="C214" s="483" t="s">
        <v>280</v>
      </c>
      <c r="D214" s="484"/>
      <c r="E214" s="138" t="s">
        <v>1277</v>
      </c>
      <c r="F214" s="139" t="s">
        <v>1314</v>
      </c>
      <c r="G214" s="139" t="s">
        <v>283</v>
      </c>
      <c r="H214" s="140"/>
      <c r="I214" s="141">
        <v>45686.0</v>
      </c>
      <c r="J214" s="115" t="s">
        <v>1279</v>
      </c>
      <c r="K214" s="60"/>
      <c r="L214" s="143" t="s">
        <v>1315</v>
      </c>
      <c r="M214" s="143" t="s">
        <v>1281</v>
      </c>
      <c r="N214" s="144"/>
      <c r="O214" s="105" t="str">
        <f> hyperlink(vlookup(lower(M214),'File Links'!A:B, 2, FALSE), SUBSTITUTE(lower(M214), "/", "--") &amp;  ".pdf")</f>
        <v>10.1016--j.psychres.2017.09.048.pdf</v>
      </c>
      <c r="P214" s="48" t="str">
        <f t="array" ref="P214">HYPERLINK(INDEX('File Links'!B:B, MATCH(O214, 'File Links'!C:C, 0)))
</f>
        <v>https://drive.google.com/file/d/1bB5zAUL5oQPM2ClvdBCDeAd5AlkWVp4P/view?usp=drivesdk</v>
      </c>
      <c r="Q214" s="115" t="s">
        <v>1316</v>
      </c>
      <c r="R214" s="60"/>
      <c r="S214" s="60"/>
      <c r="T214" s="144"/>
      <c r="U214" s="471" t="s">
        <v>351</v>
      </c>
      <c r="V214" s="115" t="s">
        <v>1283</v>
      </c>
      <c r="W214" s="45" t="str">
        <f t="array" ref="W214">HYPERLINK(INDEX('File Links'!B:B, MATCH(U214, 'File Links'!C:C, 0)))
</f>
        <v>#N/A</v>
      </c>
      <c r="Y214" s="139" t="s">
        <v>139</v>
      </c>
      <c r="Z214" s="115" t="s">
        <v>1317</v>
      </c>
      <c r="AA214" s="115" t="s">
        <v>1285</v>
      </c>
      <c r="AB214" s="115" t="s">
        <v>1286</v>
      </c>
      <c r="AC214" s="153" t="s">
        <v>1318</v>
      </c>
      <c r="AD214" s="149" t="s">
        <v>892</v>
      </c>
      <c r="AE214" s="149">
        <v>89.0</v>
      </c>
      <c r="AF214" s="149">
        <v>0.059</v>
      </c>
      <c r="AG214" s="139" t="s">
        <v>130</v>
      </c>
      <c r="AH214" s="115" t="s">
        <v>892</v>
      </c>
      <c r="AI214" s="154">
        <v>0.012</v>
      </c>
      <c r="AJ214" s="139" t="s">
        <v>164</v>
      </c>
      <c r="AK214" s="139" t="s">
        <v>128</v>
      </c>
      <c r="AL214" s="115" t="s">
        <v>132</v>
      </c>
      <c r="AM214" s="55"/>
      <c r="AN214" s="149">
        <v>74.0</v>
      </c>
      <c r="AO214" s="149">
        <v>0.037</v>
      </c>
      <c r="AP214" s="139" t="s">
        <v>130</v>
      </c>
      <c r="AQ214" s="115" t="s">
        <v>1288</v>
      </c>
      <c r="AR214" s="154">
        <v>0.036</v>
      </c>
      <c r="AS214" s="139" t="s">
        <v>164</v>
      </c>
      <c r="AT214" s="139" t="s">
        <v>179</v>
      </c>
      <c r="AU214" s="115" t="s">
        <v>132</v>
      </c>
      <c r="AV214" s="303"/>
      <c r="AW214" s="115" t="s">
        <v>434</v>
      </c>
    </row>
    <row r="215" ht="20.25" customHeight="1">
      <c r="A215" s="483" t="s">
        <v>520</v>
      </c>
      <c r="B215" s="483" t="s">
        <v>107</v>
      </c>
      <c r="C215" s="483" t="s">
        <v>280</v>
      </c>
      <c r="D215" s="484"/>
      <c r="E215" s="138" t="s">
        <v>1277</v>
      </c>
      <c r="F215" s="139" t="s">
        <v>1319</v>
      </c>
      <c r="G215" s="139" t="s">
        <v>283</v>
      </c>
      <c r="H215" s="140"/>
      <c r="I215" s="141">
        <v>45686.0</v>
      </c>
      <c r="J215" s="115" t="s">
        <v>1279</v>
      </c>
      <c r="K215" s="60"/>
      <c r="L215" s="143" t="s">
        <v>1320</v>
      </c>
      <c r="M215" s="143" t="s">
        <v>1281</v>
      </c>
      <c r="N215" s="144"/>
      <c r="O215" s="105" t="str">
        <f> hyperlink(vlookup(lower(M215),'File Links'!A:B, 2, FALSE), SUBSTITUTE(lower(M215), "/", "--") &amp;  ".pdf")</f>
        <v>10.1016--j.psychres.2017.09.048.pdf</v>
      </c>
      <c r="P215" s="48" t="str">
        <f t="array" ref="P215">HYPERLINK(INDEX('File Links'!B:B, MATCH(O215, 'File Links'!C:C, 0)))
</f>
        <v>https://drive.google.com/file/d/1bB5zAUL5oQPM2ClvdBCDeAd5AlkWVp4P/view?usp=drivesdk</v>
      </c>
      <c r="Q215" s="115" t="s">
        <v>1321</v>
      </c>
      <c r="R215" s="60"/>
      <c r="S215" s="60"/>
      <c r="T215" s="144"/>
      <c r="U215" s="471" t="s">
        <v>351</v>
      </c>
      <c r="V215" s="115" t="s">
        <v>1283</v>
      </c>
      <c r="W215" s="45" t="str">
        <f t="array" ref="W215">HYPERLINK(INDEX('File Links'!B:B, MATCH(U215, 'File Links'!C:C, 0)))
</f>
        <v>#N/A</v>
      </c>
      <c r="Y215" s="139" t="s">
        <v>139</v>
      </c>
      <c r="Z215" s="115" t="s">
        <v>1322</v>
      </c>
      <c r="AA215" s="115" t="s">
        <v>1285</v>
      </c>
      <c r="AB215" s="115" t="s">
        <v>1286</v>
      </c>
      <c r="AC215" s="153" t="s">
        <v>1323</v>
      </c>
      <c r="AD215" s="149" t="s">
        <v>892</v>
      </c>
      <c r="AE215" s="149">
        <v>89.0</v>
      </c>
      <c r="AF215" s="149">
        <v>0.089</v>
      </c>
      <c r="AG215" s="139" t="s">
        <v>130</v>
      </c>
      <c r="AH215" s="115" t="s">
        <v>892</v>
      </c>
      <c r="AI215" s="154">
        <v>0.018</v>
      </c>
      <c r="AJ215" s="139" t="s">
        <v>164</v>
      </c>
      <c r="AK215" s="139" t="s">
        <v>128</v>
      </c>
      <c r="AL215" s="115" t="s">
        <v>132</v>
      </c>
      <c r="AM215" s="55"/>
      <c r="AN215" s="149">
        <v>74.0</v>
      </c>
      <c r="AO215" s="149">
        <v>1.54</v>
      </c>
      <c r="AP215" s="139" t="s">
        <v>162</v>
      </c>
      <c r="AQ215" s="115" t="s">
        <v>1324</v>
      </c>
      <c r="AR215" s="154">
        <v>0.1</v>
      </c>
      <c r="AS215" s="139" t="s">
        <v>329</v>
      </c>
      <c r="AT215" s="139" t="s">
        <v>179</v>
      </c>
      <c r="AU215" s="115" t="s">
        <v>132</v>
      </c>
      <c r="AV215" s="303"/>
      <c r="AW215" s="115" t="s">
        <v>434</v>
      </c>
      <c r="BB215" s="95"/>
      <c r="BC215" s="95"/>
      <c r="BD215" s="95"/>
      <c r="BE215" s="95"/>
      <c r="BF215" s="95"/>
      <c r="BG215" s="95"/>
      <c r="BH215" s="95"/>
      <c r="BI215" s="95"/>
      <c r="BJ215" s="95"/>
      <c r="BK215" s="95"/>
      <c r="BL215" s="95"/>
      <c r="BM215" s="95"/>
      <c r="BN215" s="95"/>
      <c r="BO215" s="95"/>
      <c r="BP215" s="95"/>
      <c r="BQ215" s="95"/>
      <c r="BR215" s="95"/>
      <c r="BS215" s="95"/>
      <c r="BT215" s="95"/>
      <c r="BU215" s="95"/>
      <c r="BV215" s="95"/>
      <c r="BW215" s="95"/>
      <c r="BX215" s="95"/>
      <c r="BY215" s="95"/>
      <c r="BZ215" s="95"/>
      <c r="CA215" s="95"/>
      <c r="CB215" s="95"/>
      <c r="CC215" s="95"/>
      <c r="CD215" s="95"/>
      <c r="CE215" s="95"/>
      <c r="CF215" s="95"/>
      <c r="CG215" s="95"/>
      <c r="CH215" s="95"/>
      <c r="CI215" s="95"/>
      <c r="CJ215" s="95"/>
      <c r="CK215" s="95"/>
      <c r="CL215" s="95"/>
      <c r="CM215" s="95"/>
      <c r="CN215" s="95"/>
      <c r="CO215" s="95"/>
      <c r="CP215" s="95"/>
      <c r="CQ215" s="95"/>
      <c r="CR215" s="95"/>
      <c r="CS215" s="95"/>
      <c r="CT215" s="95"/>
      <c r="CU215" s="95"/>
      <c r="CV215" s="95"/>
      <c r="CW215" s="95"/>
      <c r="CX215" s="95"/>
      <c r="CY215" s="95"/>
      <c r="CZ215" s="95"/>
      <c r="DA215" s="95"/>
      <c r="DB215" s="95"/>
      <c r="DC215" s="95"/>
      <c r="DD215" s="95"/>
      <c r="DE215" s="95"/>
      <c r="DF215" s="95"/>
      <c r="DG215" s="95"/>
    </row>
    <row r="216" ht="20.25" customHeight="1">
      <c r="A216" s="483" t="s">
        <v>520</v>
      </c>
      <c r="B216" s="483" t="s">
        <v>107</v>
      </c>
      <c r="C216" s="483" t="s">
        <v>280</v>
      </c>
      <c r="D216" s="484"/>
      <c r="E216" s="485" t="s">
        <v>1277</v>
      </c>
      <c r="F216" s="486" t="s">
        <v>1325</v>
      </c>
      <c r="G216" s="486" t="s">
        <v>283</v>
      </c>
      <c r="H216" s="487"/>
      <c r="I216" s="141">
        <v>45686.0</v>
      </c>
      <c r="J216" s="488" t="s">
        <v>1279</v>
      </c>
      <c r="K216" s="470"/>
      <c r="L216" s="489" t="s">
        <v>1326</v>
      </c>
      <c r="M216" s="143" t="s">
        <v>1281</v>
      </c>
      <c r="N216" s="490"/>
      <c r="O216" s="105" t="str">
        <f> hyperlink(vlookup(lower(M216),'File Links'!A:B, 2, FALSE), SUBSTITUTE(lower(M216), "/", "--") &amp;  ".pdf")</f>
        <v>10.1016--j.psychres.2017.09.048.pdf</v>
      </c>
      <c r="P216" s="48" t="str">
        <f t="array" ref="P216">HYPERLINK(INDEX('File Links'!B:B, MATCH(O216, 'File Links'!C:C, 0)))
</f>
        <v>https://drive.google.com/file/d/1bB5zAUL5oQPM2ClvdBCDeAd5AlkWVp4P/view?usp=drivesdk</v>
      </c>
      <c r="Q216" s="488" t="s">
        <v>1327</v>
      </c>
      <c r="R216" s="470"/>
      <c r="S216" s="470"/>
      <c r="T216" s="144"/>
      <c r="U216" s="471" t="s">
        <v>351</v>
      </c>
      <c r="V216" s="488" t="s">
        <v>1283</v>
      </c>
      <c r="W216" s="45" t="str">
        <f t="array" ref="W216">HYPERLINK(INDEX('File Links'!B:B, MATCH(U216, 'File Links'!C:C, 0)))
</f>
        <v>#N/A</v>
      </c>
      <c r="X216" s="491"/>
      <c r="Y216" s="486" t="s">
        <v>139</v>
      </c>
      <c r="Z216" s="488" t="s">
        <v>1328</v>
      </c>
      <c r="AA216" s="488" t="s">
        <v>1285</v>
      </c>
      <c r="AB216" s="488" t="s">
        <v>1286</v>
      </c>
      <c r="AC216" s="492" t="s">
        <v>1329</v>
      </c>
      <c r="AD216" s="493" t="s">
        <v>892</v>
      </c>
      <c r="AE216" s="493">
        <v>89.0</v>
      </c>
      <c r="AF216" s="493">
        <v>0.078</v>
      </c>
      <c r="AG216" s="486" t="s">
        <v>130</v>
      </c>
      <c r="AH216" s="488" t="s">
        <v>892</v>
      </c>
      <c r="AI216" s="494">
        <v>0.03</v>
      </c>
      <c r="AJ216" s="139" t="s">
        <v>164</v>
      </c>
      <c r="AK216" s="486" t="s">
        <v>128</v>
      </c>
      <c r="AL216" s="488" t="s">
        <v>132</v>
      </c>
      <c r="AM216" s="55"/>
      <c r="AN216" s="493">
        <v>74.0</v>
      </c>
      <c r="AO216" s="493">
        <v>0.51</v>
      </c>
      <c r="AP216" s="486" t="s">
        <v>166</v>
      </c>
      <c r="AQ216" s="115" t="s">
        <v>1288</v>
      </c>
      <c r="AR216" s="494">
        <v>0.031</v>
      </c>
      <c r="AS216" s="139" t="s">
        <v>164</v>
      </c>
      <c r="AT216" s="486" t="s">
        <v>179</v>
      </c>
      <c r="AU216" s="488" t="s">
        <v>132</v>
      </c>
      <c r="AV216" s="303"/>
      <c r="AW216" s="488" t="s">
        <v>434</v>
      </c>
      <c r="AX216" s="491"/>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c r="CD216" s="64"/>
      <c r="CE216" s="64"/>
      <c r="CF216" s="64"/>
      <c r="CG216" s="64"/>
      <c r="CH216" s="64"/>
      <c r="CI216" s="64"/>
      <c r="CJ216" s="64"/>
      <c r="CK216" s="64"/>
      <c r="CL216" s="64"/>
      <c r="CM216" s="64"/>
      <c r="CN216" s="64"/>
      <c r="CO216" s="64"/>
      <c r="CP216" s="64"/>
      <c r="CQ216" s="64"/>
      <c r="CR216" s="64"/>
      <c r="CS216" s="64"/>
      <c r="CT216" s="64"/>
      <c r="CU216" s="64"/>
      <c r="CV216" s="64"/>
      <c r="CW216" s="64"/>
      <c r="CX216" s="64"/>
      <c r="CY216" s="64"/>
      <c r="CZ216" s="64"/>
      <c r="DA216" s="64"/>
      <c r="DB216" s="64"/>
      <c r="DC216" s="64"/>
      <c r="DD216" s="64"/>
      <c r="DE216" s="64"/>
      <c r="DF216" s="64"/>
      <c r="DG216" s="64"/>
    </row>
    <row r="217" ht="20.25" customHeight="1">
      <c r="A217" s="483" t="s">
        <v>520</v>
      </c>
      <c r="B217" s="483" t="s">
        <v>107</v>
      </c>
      <c r="C217" s="483" t="s">
        <v>280</v>
      </c>
      <c r="D217" s="484"/>
      <c r="E217" s="485" t="s">
        <v>1277</v>
      </c>
      <c r="F217" s="486" t="s">
        <v>1330</v>
      </c>
      <c r="G217" s="139" t="s">
        <v>283</v>
      </c>
      <c r="H217" s="487"/>
      <c r="I217" s="141">
        <v>45686.0</v>
      </c>
      <c r="J217" s="488" t="s">
        <v>1279</v>
      </c>
      <c r="K217" s="470"/>
      <c r="L217" s="489" t="s">
        <v>1331</v>
      </c>
      <c r="M217" s="143" t="s">
        <v>1281</v>
      </c>
      <c r="N217" s="490"/>
      <c r="O217" s="105" t="str">
        <f> hyperlink(vlookup(lower(M217),'File Links'!A:B, 2, FALSE), SUBSTITUTE(lower(M217), "/", "--") &amp;  ".pdf")</f>
        <v>10.1016--j.psychres.2017.09.048.pdf</v>
      </c>
      <c r="P217" s="48" t="str">
        <f t="array" ref="P217">HYPERLINK(INDEX('File Links'!B:B, MATCH(O217, 'File Links'!C:C, 0)))
</f>
        <v>https://drive.google.com/file/d/1bB5zAUL5oQPM2ClvdBCDeAd5AlkWVp4P/view?usp=drivesdk</v>
      </c>
      <c r="Q217" s="488" t="s">
        <v>1332</v>
      </c>
      <c r="R217" s="470"/>
      <c r="S217" s="470"/>
      <c r="T217" s="144"/>
      <c r="U217" s="471" t="s">
        <v>351</v>
      </c>
      <c r="V217" s="488" t="s">
        <v>1283</v>
      </c>
      <c r="W217" s="45" t="str">
        <f t="array" ref="W217">HYPERLINK(INDEX('File Links'!B:B, MATCH(U217, 'File Links'!C:C, 0)))
</f>
        <v>#N/A</v>
      </c>
      <c r="X217" s="491"/>
      <c r="Y217" s="486" t="s">
        <v>139</v>
      </c>
      <c r="Z217" s="488" t="s">
        <v>1333</v>
      </c>
      <c r="AA217" s="488" t="s">
        <v>1285</v>
      </c>
      <c r="AB217" s="488" t="s">
        <v>1286</v>
      </c>
      <c r="AC217" s="492" t="s">
        <v>1334</v>
      </c>
      <c r="AD217" s="493" t="s">
        <v>892</v>
      </c>
      <c r="AE217" s="493">
        <v>89.0</v>
      </c>
      <c r="AF217" s="493">
        <v>0.112</v>
      </c>
      <c r="AG217" s="486" t="s">
        <v>130</v>
      </c>
      <c r="AH217" s="488" t="s">
        <v>892</v>
      </c>
      <c r="AI217" s="494">
        <v>0.006</v>
      </c>
      <c r="AJ217" s="486" t="s">
        <v>164</v>
      </c>
      <c r="AK217" s="486" t="s">
        <v>128</v>
      </c>
      <c r="AL217" s="488" t="s">
        <v>132</v>
      </c>
      <c r="AM217" s="55"/>
      <c r="AN217" s="493">
        <v>74.0</v>
      </c>
      <c r="AO217" s="493">
        <v>0.59</v>
      </c>
      <c r="AP217" s="486" t="s">
        <v>166</v>
      </c>
      <c r="AQ217" s="488" t="s">
        <v>1288</v>
      </c>
      <c r="AR217" s="494">
        <v>0.01</v>
      </c>
      <c r="AS217" s="486" t="s">
        <v>164</v>
      </c>
      <c r="AT217" s="486" t="s">
        <v>179</v>
      </c>
      <c r="AU217" s="488" t="s">
        <v>132</v>
      </c>
      <c r="AV217" s="303"/>
      <c r="AW217" s="488" t="s">
        <v>434</v>
      </c>
      <c r="AX217" s="491"/>
      <c r="BB217" s="64"/>
      <c r="BC217" s="64"/>
      <c r="BD217" s="64"/>
      <c r="BE217" s="64"/>
      <c r="BF217" s="64"/>
      <c r="BG217" s="64"/>
      <c r="BH217" s="64"/>
      <c r="BI217" s="64"/>
      <c r="BJ217" s="64"/>
      <c r="BK217" s="64"/>
      <c r="BL217" s="64"/>
      <c r="BM217" s="64"/>
      <c r="BN217" s="64"/>
      <c r="BO217" s="64"/>
      <c r="BP217" s="64"/>
      <c r="BQ217" s="64"/>
      <c r="BR217" s="64"/>
      <c r="BS217" s="64"/>
      <c r="BT217" s="64"/>
      <c r="BU217" s="64"/>
      <c r="BV217" s="64"/>
      <c r="BW217" s="64"/>
      <c r="BX217" s="64"/>
      <c r="BY217" s="64"/>
      <c r="BZ217" s="64"/>
      <c r="CA217" s="64"/>
      <c r="CB217" s="64"/>
      <c r="CC217" s="64"/>
      <c r="CD217" s="64"/>
      <c r="CE217" s="64"/>
      <c r="CF217" s="64"/>
      <c r="CG217" s="64"/>
      <c r="CH217" s="64"/>
      <c r="CI217" s="64"/>
      <c r="CJ217" s="64"/>
      <c r="CK217" s="64"/>
      <c r="CL217" s="64"/>
      <c r="CM217" s="64"/>
      <c r="CN217" s="64"/>
      <c r="CO217" s="64"/>
      <c r="CP217" s="64"/>
      <c r="CQ217" s="64"/>
      <c r="CR217" s="64"/>
      <c r="CS217" s="64"/>
      <c r="CT217" s="64"/>
      <c r="CU217" s="64"/>
      <c r="CV217" s="64"/>
      <c r="CW217" s="64"/>
      <c r="CX217" s="64"/>
      <c r="CY217" s="64"/>
      <c r="CZ217" s="64"/>
      <c r="DA217" s="64"/>
      <c r="DB217" s="64"/>
      <c r="DC217" s="64"/>
      <c r="DD217" s="64"/>
      <c r="DE217" s="64"/>
      <c r="DF217" s="64"/>
      <c r="DG217" s="64"/>
    </row>
    <row r="218" ht="20.25" customHeight="1">
      <c r="A218" s="483" t="s">
        <v>520</v>
      </c>
      <c r="B218" s="483" t="s">
        <v>107</v>
      </c>
      <c r="C218" s="483" t="s">
        <v>280</v>
      </c>
      <c r="D218" s="484"/>
      <c r="E218" s="485" t="s">
        <v>1277</v>
      </c>
      <c r="F218" s="139" t="s">
        <v>1335</v>
      </c>
      <c r="G218" s="139" t="s">
        <v>283</v>
      </c>
      <c r="H218" s="140"/>
      <c r="I218" s="141">
        <v>45686.0</v>
      </c>
      <c r="J218" s="115" t="s">
        <v>1279</v>
      </c>
      <c r="K218" s="470"/>
      <c r="L218" s="143" t="s">
        <v>1336</v>
      </c>
      <c r="M218" s="143" t="s">
        <v>1281</v>
      </c>
      <c r="N218" s="144"/>
      <c r="O218" s="105" t="str">
        <f> hyperlink(vlookup(lower(M218),'File Links'!A:B, 2, FALSE), SUBSTITUTE(lower(M218), "/", "--") &amp;  ".pdf")</f>
        <v>10.1016--j.psychres.2017.09.048.pdf</v>
      </c>
      <c r="P218" s="48" t="str">
        <f t="array" ref="P218">HYPERLINK(INDEX('File Links'!B:B, MATCH(O218, 'File Links'!C:C, 0)))
</f>
        <v>https://drive.google.com/file/d/1bB5zAUL5oQPM2ClvdBCDeAd5AlkWVp4P/view?usp=drivesdk</v>
      </c>
      <c r="Q218" s="115" t="s">
        <v>1337</v>
      </c>
      <c r="R218" s="60"/>
      <c r="S218" s="60"/>
      <c r="T218" s="144"/>
      <c r="U218" s="471" t="s">
        <v>351</v>
      </c>
      <c r="V218" s="115" t="s">
        <v>1283</v>
      </c>
      <c r="W218" s="45" t="str">
        <f t="array" ref="W218">HYPERLINK(INDEX('File Links'!B:B, MATCH(U218, 'File Links'!C:C, 0)))
</f>
        <v>#N/A</v>
      </c>
      <c r="Y218" s="139" t="s">
        <v>139</v>
      </c>
      <c r="Z218" s="115" t="s">
        <v>1338</v>
      </c>
      <c r="AA218" s="115" t="s">
        <v>1285</v>
      </c>
      <c r="AB218" s="115" t="s">
        <v>1286</v>
      </c>
      <c r="AC218" s="492" t="s">
        <v>1339</v>
      </c>
      <c r="AD218" s="493" t="s">
        <v>892</v>
      </c>
      <c r="AE218" s="149">
        <v>89.0</v>
      </c>
      <c r="AF218" s="149">
        <v>1.0</v>
      </c>
      <c r="AG218" s="139" t="s">
        <v>162</v>
      </c>
      <c r="AH218" s="115" t="s">
        <v>1340</v>
      </c>
      <c r="AI218" s="148"/>
      <c r="AJ218" s="52"/>
      <c r="AK218" s="52"/>
      <c r="AL218" s="60"/>
      <c r="AM218" s="55"/>
      <c r="AN218" s="149">
        <v>74.0</v>
      </c>
      <c r="AO218" s="149">
        <v>1.54</v>
      </c>
      <c r="AP218" s="139" t="s">
        <v>162</v>
      </c>
      <c r="AQ218" s="115" t="s">
        <v>1324</v>
      </c>
      <c r="AR218" s="154">
        <v>0.1</v>
      </c>
      <c r="AS218" s="139" t="s">
        <v>329</v>
      </c>
      <c r="AT218" s="139" t="s">
        <v>179</v>
      </c>
      <c r="AU218" s="115" t="s">
        <v>132</v>
      </c>
      <c r="AV218" s="303"/>
      <c r="AW218" s="115" t="s">
        <v>434</v>
      </c>
      <c r="AX218" s="491"/>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c r="CY218" s="64"/>
      <c r="CZ218" s="64"/>
      <c r="DA218" s="64"/>
      <c r="DB218" s="64"/>
      <c r="DC218" s="64"/>
      <c r="DD218" s="64"/>
      <c r="DE218" s="64"/>
      <c r="DF218" s="64"/>
      <c r="DG218" s="64"/>
    </row>
    <row r="219" ht="20.25" customHeight="1">
      <c r="A219" s="483" t="s">
        <v>520</v>
      </c>
      <c r="B219" s="483" t="s">
        <v>107</v>
      </c>
      <c r="C219" s="483" t="s">
        <v>280</v>
      </c>
      <c r="D219" s="484"/>
      <c r="E219" s="485" t="s">
        <v>1277</v>
      </c>
      <c r="F219" s="139" t="s">
        <v>1341</v>
      </c>
      <c r="G219" s="139" t="s">
        <v>283</v>
      </c>
      <c r="H219" s="140"/>
      <c r="I219" s="141">
        <v>45686.0</v>
      </c>
      <c r="J219" s="115" t="s">
        <v>1279</v>
      </c>
      <c r="K219" s="470"/>
      <c r="L219" s="143" t="s">
        <v>1342</v>
      </c>
      <c r="M219" s="143" t="s">
        <v>1281</v>
      </c>
      <c r="N219" s="144"/>
      <c r="O219" s="105" t="str">
        <f> hyperlink(vlookup(lower(M219),'File Links'!A:B, 2, FALSE), SUBSTITUTE(lower(M219), "/", "--") &amp;  ".pdf")</f>
        <v>10.1016--j.psychres.2017.09.048.pdf</v>
      </c>
      <c r="P219" s="48" t="str">
        <f t="array" ref="P219">HYPERLINK(INDEX('File Links'!B:B, MATCH(O219, 'File Links'!C:C, 0)))
</f>
        <v>https://drive.google.com/file/d/1bB5zAUL5oQPM2ClvdBCDeAd5AlkWVp4P/view?usp=drivesdk</v>
      </c>
      <c r="Q219" s="115" t="s">
        <v>1343</v>
      </c>
      <c r="R219" s="60"/>
      <c r="S219" s="60"/>
      <c r="T219" s="144"/>
      <c r="U219" s="471" t="s">
        <v>351</v>
      </c>
      <c r="V219" s="115" t="s">
        <v>1283</v>
      </c>
      <c r="W219" s="45" t="str">
        <f t="array" ref="W219">HYPERLINK(INDEX('File Links'!B:B, MATCH(U219, 'File Links'!C:C, 0)))
</f>
        <v>#N/A</v>
      </c>
      <c r="Y219" s="139" t="s">
        <v>139</v>
      </c>
      <c r="Z219" s="115" t="s">
        <v>1344</v>
      </c>
      <c r="AA219" s="115" t="s">
        <v>1285</v>
      </c>
      <c r="AB219" s="115" t="s">
        <v>1286</v>
      </c>
      <c r="AC219" s="492" t="s">
        <v>1339</v>
      </c>
      <c r="AD219" s="493" t="s">
        <v>892</v>
      </c>
      <c r="AE219" s="149">
        <v>89.0</v>
      </c>
      <c r="AF219" s="149">
        <v>1.0</v>
      </c>
      <c r="AG219" s="139" t="s">
        <v>162</v>
      </c>
      <c r="AH219" s="115" t="s">
        <v>1340</v>
      </c>
      <c r="AI219" s="148"/>
      <c r="AJ219" s="52"/>
      <c r="AK219" s="52"/>
      <c r="AL219" s="60"/>
      <c r="AM219" s="55"/>
      <c r="AN219" s="149">
        <v>74.0</v>
      </c>
      <c r="AO219" s="149">
        <v>1.54</v>
      </c>
      <c r="AP219" s="139" t="s">
        <v>162</v>
      </c>
      <c r="AQ219" s="115" t="s">
        <v>1324</v>
      </c>
      <c r="AR219" s="154">
        <v>0.1</v>
      </c>
      <c r="AS219" s="139" t="s">
        <v>329</v>
      </c>
      <c r="AT219" s="139" t="s">
        <v>179</v>
      </c>
      <c r="AU219" s="115" t="s">
        <v>132</v>
      </c>
      <c r="AV219" s="303"/>
      <c r="AW219" s="115" t="s">
        <v>434</v>
      </c>
      <c r="AX219" s="491"/>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c r="CD219" s="64"/>
      <c r="CE219" s="64"/>
      <c r="CF219" s="64"/>
      <c r="CG219" s="64"/>
      <c r="CH219" s="64"/>
      <c r="CI219" s="64"/>
      <c r="CJ219" s="64"/>
      <c r="CK219" s="64"/>
      <c r="CL219" s="64"/>
      <c r="CM219" s="64"/>
      <c r="CN219" s="64"/>
      <c r="CO219" s="64"/>
      <c r="CP219" s="64"/>
      <c r="CQ219" s="64"/>
      <c r="CR219" s="64"/>
      <c r="CS219" s="64"/>
      <c r="CT219" s="64"/>
      <c r="CU219" s="64"/>
      <c r="CV219" s="64"/>
      <c r="CW219" s="64"/>
      <c r="CX219" s="64"/>
      <c r="CY219" s="64"/>
      <c r="CZ219" s="64"/>
      <c r="DA219" s="64"/>
      <c r="DB219" s="64"/>
      <c r="DC219" s="64"/>
      <c r="DD219" s="64"/>
      <c r="DE219" s="64"/>
      <c r="DF219" s="64"/>
      <c r="DG219" s="64"/>
    </row>
    <row r="220" ht="20.25" customHeight="1">
      <c r="A220" s="483" t="s">
        <v>520</v>
      </c>
      <c r="B220" s="483" t="s">
        <v>107</v>
      </c>
      <c r="C220" s="483" t="s">
        <v>280</v>
      </c>
      <c r="D220" s="484"/>
      <c r="E220" s="485" t="s">
        <v>1277</v>
      </c>
      <c r="F220" s="139" t="s">
        <v>1345</v>
      </c>
      <c r="G220" s="139" t="s">
        <v>283</v>
      </c>
      <c r="H220" s="140"/>
      <c r="I220" s="141">
        <v>45686.0</v>
      </c>
      <c r="J220" s="115" t="s">
        <v>1279</v>
      </c>
      <c r="K220" s="470"/>
      <c r="L220" s="143" t="s">
        <v>1346</v>
      </c>
      <c r="M220" s="143" t="s">
        <v>1281</v>
      </c>
      <c r="N220" s="144"/>
      <c r="O220" s="105" t="str">
        <f> hyperlink(vlookup(lower(M220),'File Links'!A:B, 2, FALSE), SUBSTITUTE(lower(M220), "/", "--") &amp;  ".pdf")</f>
        <v>10.1016--j.psychres.2017.09.048.pdf</v>
      </c>
      <c r="P220" s="48" t="str">
        <f t="array" ref="P220">HYPERLINK(INDEX('File Links'!B:B, MATCH(O220, 'File Links'!C:C, 0)))
</f>
        <v>https://drive.google.com/file/d/1bB5zAUL5oQPM2ClvdBCDeAd5AlkWVp4P/view?usp=drivesdk</v>
      </c>
      <c r="Q220" s="115" t="s">
        <v>1347</v>
      </c>
      <c r="R220" s="60"/>
      <c r="S220" s="60"/>
      <c r="T220" s="144"/>
      <c r="U220" s="471" t="s">
        <v>351</v>
      </c>
      <c r="V220" s="115" t="s">
        <v>1283</v>
      </c>
      <c r="W220" s="45" t="str">
        <f t="array" ref="W220">HYPERLINK(INDEX('File Links'!B:B, MATCH(U220, 'File Links'!C:C, 0)))
</f>
        <v>#N/A</v>
      </c>
      <c r="Y220" s="139" t="s">
        <v>139</v>
      </c>
      <c r="Z220" s="115" t="s">
        <v>1348</v>
      </c>
      <c r="AA220" s="115" t="s">
        <v>1285</v>
      </c>
      <c r="AB220" s="115" t="s">
        <v>1349</v>
      </c>
      <c r="AC220" s="492" t="s">
        <v>1350</v>
      </c>
      <c r="AD220" s="493" t="s">
        <v>892</v>
      </c>
      <c r="AE220" s="149">
        <v>89.0</v>
      </c>
      <c r="AF220" s="149">
        <v>0.233</v>
      </c>
      <c r="AG220" s="139" t="s">
        <v>130</v>
      </c>
      <c r="AH220" s="115" t="s">
        <v>892</v>
      </c>
      <c r="AI220" s="154">
        <v>0.001</v>
      </c>
      <c r="AJ220" s="139" t="s">
        <v>127</v>
      </c>
      <c r="AK220" s="139" t="s">
        <v>128</v>
      </c>
      <c r="AL220" s="115" t="s">
        <v>132</v>
      </c>
      <c r="AM220" s="55"/>
      <c r="AN220" s="149">
        <v>74.0</v>
      </c>
      <c r="AO220" s="149">
        <v>0.363</v>
      </c>
      <c r="AP220" s="139" t="s">
        <v>130</v>
      </c>
      <c r="AQ220" s="115" t="s">
        <v>1288</v>
      </c>
      <c r="AR220" s="154">
        <v>0.001</v>
      </c>
      <c r="AS220" s="139" t="s">
        <v>127</v>
      </c>
      <c r="AT220" s="139" t="s">
        <v>179</v>
      </c>
      <c r="AU220" s="115" t="s">
        <v>132</v>
      </c>
      <c r="AV220" s="303"/>
      <c r="AW220" s="115" t="s">
        <v>434</v>
      </c>
      <c r="AX220" s="491"/>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c r="CD220" s="64"/>
      <c r="CE220" s="64"/>
      <c r="CF220" s="64"/>
      <c r="CG220" s="64"/>
      <c r="CH220" s="64"/>
      <c r="CI220" s="64"/>
      <c r="CJ220" s="64"/>
      <c r="CK220" s="64"/>
      <c r="CL220" s="64"/>
      <c r="CM220" s="64"/>
      <c r="CN220" s="64"/>
      <c r="CO220" s="64"/>
      <c r="CP220" s="64"/>
      <c r="CQ220" s="64"/>
      <c r="CR220" s="64"/>
      <c r="CS220" s="64"/>
      <c r="CT220" s="64"/>
      <c r="CU220" s="64"/>
      <c r="CV220" s="64"/>
      <c r="CW220" s="64"/>
      <c r="CX220" s="64"/>
      <c r="CY220" s="64"/>
      <c r="CZ220" s="64"/>
      <c r="DA220" s="64"/>
      <c r="DB220" s="64"/>
      <c r="DC220" s="64"/>
      <c r="DD220" s="64"/>
      <c r="DE220" s="64"/>
      <c r="DF220" s="64"/>
      <c r="DG220" s="64"/>
    </row>
    <row r="221" ht="20.25" customHeight="1">
      <c r="A221" s="483" t="s">
        <v>520</v>
      </c>
      <c r="B221" s="483" t="s">
        <v>107</v>
      </c>
      <c r="C221" s="483" t="s">
        <v>280</v>
      </c>
      <c r="D221" s="484"/>
      <c r="E221" s="485" t="s">
        <v>1277</v>
      </c>
      <c r="F221" s="139" t="s">
        <v>1351</v>
      </c>
      <c r="G221" s="139" t="s">
        <v>283</v>
      </c>
      <c r="H221" s="140"/>
      <c r="I221" s="141">
        <v>45686.0</v>
      </c>
      <c r="J221" s="115" t="s">
        <v>1279</v>
      </c>
      <c r="K221" s="60"/>
      <c r="L221" s="143" t="s">
        <v>1352</v>
      </c>
      <c r="M221" s="143" t="s">
        <v>1281</v>
      </c>
      <c r="N221" s="144"/>
      <c r="O221" s="105" t="str">
        <f> hyperlink(vlookup(lower(M221),'File Links'!A:B, 2, FALSE), SUBSTITUTE(lower(M221), "/", "--") &amp;  ".pdf")</f>
        <v>10.1016--j.psychres.2017.09.048.pdf</v>
      </c>
      <c r="P221" s="48" t="str">
        <f t="array" ref="P221">HYPERLINK(INDEX('File Links'!B:B, MATCH(O221, 'File Links'!C:C, 0)))
</f>
        <v>https://drive.google.com/file/d/1bB5zAUL5oQPM2ClvdBCDeAd5AlkWVp4P/view?usp=drivesdk</v>
      </c>
      <c r="Q221" s="115" t="s">
        <v>1353</v>
      </c>
      <c r="R221" s="60"/>
      <c r="S221" s="60"/>
      <c r="T221" s="144"/>
      <c r="U221" s="471" t="s">
        <v>351</v>
      </c>
      <c r="V221" s="115" t="s">
        <v>1283</v>
      </c>
      <c r="W221" s="45" t="str">
        <f t="array" ref="W221">HYPERLINK(INDEX('File Links'!B:B, MATCH(U221, 'File Links'!C:C, 0)))
</f>
        <v>#N/A</v>
      </c>
      <c r="Y221" s="139" t="s">
        <v>139</v>
      </c>
      <c r="Z221" s="115" t="s">
        <v>1354</v>
      </c>
      <c r="AA221" s="115" t="s">
        <v>1285</v>
      </c>
      <c r="AB221" s="115" t="s">
        <v>1349</v>
      </c>
      <c r="AC221" s="492" t="s">
        <v>1350</v>
      </c>
      <c r="AD221" s="493" t="s">
        <v>892</v>
      </c>
      <c r="AE221" s="149">
        <v>89.0</v>
      </c>
      <c r="AF221" s="149">
        <v>1.0</v>
      </c>
      <c r="AG221" s="139" t="s">
        <v>162</v>
      </c>
      <c r="AH221" s="115" t="s">
        <v>1340</v>
      </c>
      <c r="AI221" s="148"/>
      <c r="AJ221" s="52"/>
      <c r="AK221" s="52"/>
      <c r="AL221" s="60"/>
      <c r="AM221" s="55"/>
      <c r="AN221" s="149">
        <v>74.0</v>
      </c>
      <c r="AO221" s="149">
        <v>1.0</v>
      </c>
      <c r="AP221" s="139" t="s">
        <v>162</v>
      </c>
      <c r="AQ221" s="115" t="s">
        <v>1355</v>
      </c>
      <c r="AR221" s="150"/>
      <c r="AS221" s="147"/>
      <c r="AT221" s="147"/>
      <c r="AU221" s="60"/>
      <c r="AV221" s="303"/>
      <c r="AW221" s="115" t="s">
        <v>434</v>
      </c>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c r="CD221" s="64"/>
      <c r="CE221" s="64"/>
      <c r="CF221" s="64"/>
      <c r="CG221" s="64"/>
      <c r="CH221" s="64"/>
      <c r="CI221" s="64"/>
      <c r="CJ221" s="64"/>
      <c r="CK221" s="64"/>
      <c r="CL221" s="64"/>
      <c r="CM221" s="64"/>
      <c r="CN221" s="64"/>
      <c r="CO221" s="64"/>
      <c r="CP221" s="64"/>
      <c r="CQ221" s="64"/>
      <c r="CR221" s="64"/>
      <c r="CS221" s="64"/>
      <c r="CT221" s="64"/>
      <c r="CU221" s="64"/>
      <c r="CV221" s="64"/>
      <c r="CW221" s="64"/>
      <c r="CX221" s="64"/>
      <c r="CY221" s="64"/>
      <c r="CZ221" s="64"/>
      <c r="DA221" s="64"/>
      <c r="DB221" s="64"/>
      <c r="DC221" s="64"/>
      <c r="DD221" s="64"/>
      <c r="DE221" s="64"/>
      <c r="DF221" s="64"/>
      <c r="DG221" s="64"/>
    </row>
    <row r="222" ht="20.25" customHeight="1">
      <c r="A222" s="483" t="s">
        <v>520</v>
      </c>
      <c r="B222" s="483" t="s">
        <v>107</v>
      </c>
      <c r="C222" s="483" t="s">
        <v>280</v>
      </c>
      <c r="D222" s="484"/>
      <c r="E222" s="485" t="s">
        <v>1277</v>
      </c>
      <c r="F222" s="139" t="s">
        <v>1356</v>
      </c>
      <c r="G222" s="139" t="s">
        <v>283</v>
      </c>
      <c r="H222" s="140"/>
      <c r="I222" s="141">
        <v>45686.0</v>
      </c>
      <c r="J222" s="115" t="s">
        <v>1279</v>
      </c>
      <c r="K222" s="470"/>
      <c r="L222" s="143" t="s">
        <v>1357</v>
      </c>
      <c r="M222" s="143" t="s">
        <v>1281</v>
      </c>
      <c r="N222" s="144"/>
      <c r="O222" s="105" t="str">
        <f> hyperlink(vlookup(lower(M222),'File Links'!A:B, 2, FALSE), SUBSTITUTE(lower(M222), "/", "--") &amp;  ".pdf")</f>
        <v>10.1016--j.psychres.2017.09.048.pdf</v>
      </c>
      <c r="P222" s="48" t="str">
        <f t="array" ref="P222">HYPERLINK(INDEX('File Links'!B:B, MATCH(O222, 'File Links'!C:C, 0)))
</f>
        <v>https://drive.google.com/file/d/1bB5zAUL5oQPM2ClvdBCDeAd5AlkWVp4P/view?usp=drivesdk</v>
      </c>
      <c r="Q222" s="115" t="s">
        <v>1358</v>
      </c>
      <c r="R222" s="60"/>
      <c r="S222" s="60"/>
      <c r="T222" s="144"/>
      <c r="U222" s="471" t="s">
        <v>351</v>
      </c>
      <c r="V222" s="115" t="s">
        <v>1283</v>
      </c>
      <c r="W222" s="45" t="str">
        <f t="array" ref="W222">HYPERLINK(INDEX('File Links'!B:B, MATCH(U222, 'File Links'!C:C, 0)))
</f>
        <v>#N/A</v>
      </c>
      <c r="Y222" s="139" t="s">
        <v>139</v>
      </c>
      <c r="Z222" s="115" t="s">
        <v>1359</v>
      </c>
      <c r="AA222" s="115" t="s">
        <v>1285</v>
      </c>
      <c r="AB222" s="115" t="s">
        <v>1360</v>
      </c>
      <c r="AC222" s="492" t="s">
        <v>1361</v>
      </c>
      <c r="AD222" s="493" t="s">
        <v>892</v>
      </c>
      <c r="AE222" s="149">
        <v>89.0</v>
      </c>
      <c r="AF222" s="149">
        <v>0.917</v>
      </c>
      <c r="AG222" s="139" t="s">
        <v>130</v>
      </c>
      <c r="AH222" s="115" t="s">
        <v>892</v>
      </c>
      <c r="AI222" s="154">
        <v>0.001</v>
      </c>
      <c r="AJ222" s="139" t="s">
        <v>127</v>
      </c>
      <c r="AK222" s="139" t="s">
        <v>128</v>
      </c>
      <c r="AL222" s="115" t="s">
        <v>132</v>
      </c>
      <c r="AM222" s="55"/>
      <c r="AN222" s="149">
        <v>74.0</v>
      </c>
      <c r="AO222" s="149">
        <v>0.849</v>
      </c>
      <c r="AP222" s="139" t="s">
        <v>130</v>
      </c>
      <c r="AQ222" s="115" t="s">
        <v>1288</v>
      </c>
      <c r="AR222" s="154">
        <v>0.001</v>
      </c>
      <c r="AS222" s="139" t="s">
        <v>127</v>
      </c>
      <c r="AT222" s="139" t="s">
        <v>179</v>
      </c>
      <c r="AU222" s="115" t="s">
        <v>132</v>
      </c>
      <c r="AV222" s="303"/>
      <c r="AW222" s="115" t="s">
        <v>434</v>
      </c>
      <c r="AX222" s="491"/>
      <c r="BB222" s="64"/>
      <c r="BC222" s="64"/>
      <c r="BD222" s="64"/>
      <c r="BE222" s="64"/>
      <c r="BF222" s="64"/>
      <c r="BG222" s="64"/>
      <c r="BH222" s="64"/>
      <c r="BI222" s="64"/>
      <c r="BJ222" s="64"/>
      <c r="BK222" s="64"/>
      <c r="BL222" s="64"/>
      <c r="BM222" s="64"/>
      <c r="BN222" s="64"/>
      <c r="BO222" s="64"/>
      <c r="BP222" s="64"/>
      <c r="BQ222" s="64"/>
      <c r="BR222" s="64"/>
      <c r="BS222" s="64"/>
      <c r="BT222" s="64"/>
      <c r="BU222" s="64"/>
      <c r="BV222" s="64"/>
      <c r="BW222" s="64"/>
      <c r="BX222" s="64"/>
      <c r="BY222" s="64"/>
      <c r="BZ222" s="64"/>
      <c r="CA222" s="64"/>
      <c r="CB222" s="64"/>
      <c r="CC222" s="64"/>
      <c r="CD222" s="64"/>
      <c r="CE222" s="64"/>
      <c r="CF222" s="64"/>
      <c r="CG222" s="64"/>
      <c r="CH222" s="64"/>
      <c r="CI222" s="64"/>
      <c r="CJ222" s="64"/>
      <c r="CK222" s="64"/>
      <c r="CL222" s="64"/>
      <c r="CM222" s="64"/>
      <c r="CN222" s="64"/>
      <c r="CO222" s="64"/>
      <c r="CP222" s="64"/>
      <c r="CQ222" s="64"/>
      <c r="CR222" s="64"/>
      <c r="CS222" s="64"/>
      <c r="CT222" s="64"/>
      <c r="CU222" s="64"/>
      <c r="CV222" s="64"/>
      <c r="CW222" s="64"/>
      <c r="CX222" s="64"/>
      <c r="CY222" s="64"/>
      <c r="CZ222" s="64"/>
      <c r="DA222" s="64"/>
      <c r="DB222" s="64"/>
      <c r="DC222" s="64"/>
      <c r="DD222" s="64"/>
      <c r="DE222" s="64"/>
      <c r="DF222" s="64"/>
      <c r="DG222" s="64"/>
    </row>
    <row r="223" ht="20.25" customHeight="1">
      <c r="A223" s="483" t="s">
        <v>520</v>
      </c>
      <c r="B223" s="483" t="s">
        <v>107</v>
      </c>
      <c r="C223" s="483" t="s">
        <v>280</v>
      </c>
      <c r="D223" s="484"/>
      <c r="E223" s="485" t="s">
        <v>1277</v>
      </c>
      <c r="F223" s="139" t="s">
        <v>1362</v>
      </c>
      <c r="G223" s="139" t="s">
        <v>283</v>
      </c>
      <c r="H223" s="140"/>
      <c r="I223" s="141">
        <v>45686.0</v>
      </c>
      <c r="J223" s="115" t="s">
        <v>1279</v>
      </c>
      <c r="K223" s="470"/>
      <c r="L223" s="143" t="s">
        <v>1363</v>
      </c>
      <c r="M223" s="143" t="s">
        <v>1281</v>
      </c>
      <c r="N223" s="144"/>
      <c r="O223" s="105" t="str">
        <f> hyperlink(vlookup(lower(M223),'File Links'!A:B, 2, FALSE), SUBSTITUTE(lower(M223), "/", "--") &amp;  ".pdf")</f>
        <v>10.1016--j.psychres.2017.09.048.pdf</v>
      </c>
      <c r="P223" s="48" t="str">
        <f t="array" ref="P223">HYPERLINK(INDEX('File Links'!B:B, MATCH(O223, 'File Links'!C:C, 0)))
</f>
        <v>https://drive.google.com/file/d/1bB5zAUL5oQPM2ClvdBCDeAd5AlkWVp4P/view?usp=drivesdk</v>
      </c>
      <c r="Q223" s="115" t="s">
        <v>1364</v>
      </c>
      <c r="R223" s="60"/>
      <c r="S223" s="60"/>
      <c r="T223" s="144"/>
      <c r="U223" s="471" t="s">
        <v>351</v>
      </c>
      <c r="V223" s="115" t="s">
        <v>1283</v>
      </c>
      <c r="W223" s="45" t="str">
        <f t="array" ref="W223">HYPERLINK(INDEX('File Links'!B:B, MATCH(U223, 'File Links'!C:C, 0)))
</f>
        <v>#N/A</v>
      </c>
      <c r="Y223" s="139" t="s">
        <v>139</v>
      </c>
      <c r="Z223" s="115" t="s">
        <v>1365</v>
      </c>
      <c r="AA223" s="115" t="s">
        <v>1285</v>
      </c>
      <c r="AB223" s="115" t="s">
        <v>1360</v>
      </c>
      <c r="AC223" s="492" t="s">
        <v>1366</v>
      </c>
      <c r="AD223" s="493" t="s">
        <v>892</v>
      </c>
      <c r="AE223" s="149">
        <v>89.0</v>
      </c>
      <c r="AF223" s="149">
        <v>0.519</v>
      </c>
      <c r="AG223" s="139" t="s">
        <v>130</v>
      </c>
      <c r="AH223" s="115" t="s">
        <v>892</v>
      </c>
      <c r="AI223" s="154">
        <v>0.001</v>
      </c>
      <c r="AJ223" s="139" t="s">
        <v>127</v>
      </c>
      <c r="AK223" s="139" t="s">
        <v>128</v>
      </c>
      <c r="AL223" s="115" t="s">
        <v>132</v>
      </c>
      <c r="AM223" s="55"/>
      <c r="AN223" s="149">
        <v>74.0</v>
      </c>
      <c r="AO223" s="149">
        <v>0.647</v>
      </c>
      <c r="AP223" s="139" t="s">
        <v>130</v>
      </c>
      <c r="AQ223" s="115" t="s">
        <v>1288</v>
      </c>
      <c r="AR223" s="154">
        <v>0.001</v>
      </c>
      <c r="AS223" s="139" t="s">
        <v>127</v>
      </c>
      <c r="AT223" s="139" t="s">
        <v>179</v>
      </c>
      <c r="AU223" s="115" t="s">
        <v>132</v>
      </c>
      <c r="AV223" s="303"/>
      <c r="AW223" s="115" t="s">
        <v>434</v>
      </c>
      <c r="AX223" s="491"/>
      <c r="BB223" s="64"/>
      <c r="BC223" s="64"/>
      <c r="BD223" s="64"/>
      <c r="BE223" s="64"/>
      <c r="BF223" s="64"/>
      <c r="BG223" s="64"/>
      <c r="BH223" s="64"/>
      <c r="BI223" s="64"/>
      <c r="BJ223" s="64"/>
      <c r="BK223" s="64"/>
      <c r="BL223" s="64"/>
      <c r="BM223" s="64"/>
      <c r="BN223" s="64"/>
      <c r="BO223" s="64"/>
      <c r="BP223" s="64"/>
      <c r="BQ223" s="64"/>
      <c r="BR223" s="64"/>
      <c r="BS223" s="64"/>
      <c r="BT223" s="64"/>
      <c r="BU223" s="64"/>
      <c r="BV223" s="64"/>
      <c r="BW223" s="64"/>
      <c r="BX223" s="64"/>
      <c r="BY223" s="64"/>
      <c r="BZ223" s="64"/>
      <c r="CA223" s="64"/>
      <c r="CB223" s="64"/>
      <c r="CC223" s="64"/>
      <c r="CD223" s="64"/>
      <c r="CE223" s="64"/>
      <c r="CF223" s="64"/>
      <c r="CG223" s="64"/>
      <c r="CH223" s="64"/>
      <c r="CI223" s="64"/>
      <c r="CJ223" s="64"/>
      <c r="CK223" s="64"/>
      <c r="CL223" s="64"/>
      <c r="CM223" s="64"/>
      <c r="CN223" s="64"/>
      <c r="CO223" s="64"/>
      <c r="CP223" s="64"/>
      <c r="CQ223" s="64"/>
      <c r="CR223" s="64"/>
      <c r="CS223" s="64"/>
      <c r="CT223" s="64"/>
      <c r="CU223" s="64"/>
      <c r="CV223" s="64"/>
      <c r="CW223" s="64"/>
      <c r="CX223" s="64"/>
      <c r="CY223" s="64"/>
      <c r="CZ223" s="64"/>
      <c r="DA223" s="64"/>
      <c r="DB223" s="64"/>
      <c r="DC223" s="64"/>
      <c r="DD223" s="64"/>
      <c r="DE223" s="64"/>
      <c r="DF223" s="64"/>
      <c r="DG223" s="64"/>
    </row>
    <row r="224" ht="20.25" customHeight="1">
      <c r="A224" s="483" t="s">
        <v>520</v>
      </c>
      <c r="B224" s="483" t="s">
        <v>107</v>
      </c>
      <c r="C224" s="483" t="s">
        <v>280</v>
      </c>
      <c r="D224" s="484"/>
      <c r="E224" s="485" t="s">
        <v>1277</v>
      </c>
      <c r="F224" s="486" t="s">
        <v>1367</v>
      </c>
      <c r="G224" s="486" t="s">
        <v>283</v>
      </c>
      <c r="H224" s="487"/>
      <c r="I224" s="141">
        <v>45686.0</v>
      </c>
      <c r="J224" s="488" t="s">
        <v>1279</v>
      </c>
      <c r="K224" s="470"/>
      <c r="L224" s="489" t="s">
        <v>1368</v>
      </c>
      <c r="M224" s="143" t="s">
        <v>1281</v>
      </c>
      <c r="N224" s="490"/>
      <c r="O224" s="105" t="str">
        <f> hyperlink(vlookup(lower(M224),'File Links'!A:B, 2, FALSE), SUBSTITUTE(lower(M224), "/", "--") &amp;  ".pdf")</f>
        <v>10.1016--j.psychres.2017.09.048.pdf</v>
      </c>
      <c r="P224" s="48" t="str">
        <f t="array" ref="P224">HYPERLINK(INDEX('File Links'!B:B, MATCH(O224, 'File Links'!C:C, 0)))
</f>
        <v>https://drive.google.com/file/d/1bB5zAUL5oQPM2ClvdBCDeAd5AlkWVp4P/view?usp=drivesdk</v>
      </c>
      <c r="Q224" s="488" t="s">
        <v>1369</v>
      </c>
      <c r="R224" s="470"/>
      <c r="S224" s="470"/>
      <c r="T224" s="144"/>
      <c r="U224" s="471" t="s">
        <v>351</v>
      </c>
      <c r="V224" s="488" t="s">
        <v>1283</v>
      </c>
      <c r="W224" s="45" t="str">
        <f t="array" ref="W224">HYPERLINK(INDEX('File Links'!B:B, MATCH(U224, 'File Links'!C:C, 0)))
</f>
        <v>#N/A</v>
      </c>
      <c r="X224" s="491"/>
      <c r="Y224" s="486" t="s">
        <v>139</v>
      </c>
      <c r="Z224" s="488" t="s">
        <v>1370</v>
      </c>
      <c r="AA224" s="488" t="s">
        <v>1285</v>
      </c>
      <c r="AB224" s="488" t="s">
        <v>1360</v>
      </c>
      <c r="AC224" s="492" t="s">
        <v>1371</v>
      </c>
      <c r="AD224" s="493" t="s">
        <v>892</v>
      </c>
      <c r="AE224" s="493">
        <v>89.0</v>
      </c>
      <c r="AF224" s="493">
        <v>0.536</v>
      </c>
      <c r="AG224" s="486" t="s">
        <v>130</v>
      </c>
      <c r="AH224" s="488" t="s">
        <v>892</v>
      </c>
      <c r="AI224" s="494">
        <v>0.001</v>
      </c>
      <c r="AJ224" s="486" t="s">
        <v>127</v>
      </c>
      <c r="AK224" s="486" t="s">
        <v>128</v>
      </c>
      <c r="AL224" s="488" t="s">
        <v>132</v>
      </c>
      <c r="AM224" s="55"/>
      <c r="AN224" s="493">
        <v>74.0</v>
      </c>
      <c r="AO224" s="493">
        <v>0.595</v>
      </c>
      <c r="AP224" s="486" t="s">
        <v>130</v>
      </c>
      <c r="AQ224" s="488" t="s">
        <v>1288</v>
      </c>
      <c r="AR224" s="494">
        <v>0.001</v>
      </c>
      <c r="AS224" s="486" t="s">
        <v>127</v>
      </c>
      <c r="AT224" s="486" t="s">
        <v>179</v>
      </c>
      <c r="AU224" s="488" t="s">
        <v>132</v>
      </c>
      <c r="AV224" s="303"/>
      <c r="AW224" s="488" t="s">
        <v>434</v>
      </c>
      <c r="AX224" s="491"/>
      <c r="BB224" s="64"/>
      <c r="BC224" s="64"/>
      <c r="BD224" s="64"/>
      <c r="BE224" s="64"/>
      <c r="BF224" s="64"/>
      <c r="BG224" s="64"/>
      <c r="BH224" s="64"/>
      <c r="BI224" s="64"/>
      <c r="BJ224" s="64"/>
      <c r="BK224" s="64"/>
      <c r="BL224" s="64"/>
      <c r="BM224" s="64"/>
      <c r="BN224" s="64"/>
      <c r="BO224" s="64"/>
      <c r="BP224" s="64"/>
      <c r="BQ224" s="64"/>
      <c r="BR224" s="64"/>
      <c r="BS224" s="64"/>
      <c r="BT224" s="64"/>
      <c r="BU224" s="64"/>
      <c r="BV224" s="64"/>
      <c r="BW224" s="64"/>
      <c r="BX224" s="64"/>
      <c r="BY224" s="64"/>
      <c r="BZ224" s="64"/>
      <c r="CA224" s="64"/>
      <c r="CB224" s="64"/>
      <c r="CC224" s="64"/>
      <c r="CD224" s="64"/>
      <c r="CE224" s="64"/>
      <c r="CF224" s="64"/>
      <c r="CG224" s="64"/>
      <c r="CH224" s="64"/>
      <c r="CI224" s="64"/>
      <c r="CJ224" s="64"/>
      <c r="CK224" s="64"/>
      <c r="CL224" s="64"/>
      <c r="CM224" s="64"/>
      <c r="CN224" s="64"/>
      <c r="CO224" s="64"/>
      <c r="CP224" s="64"/>
      <c r="CQ224" s="64"/>
      <c r="CR224" s="64"/>
      <c r="CS224" s="64"/>
      <c r="CT224" s="64"/>
      <c r="CU224" s="64"/>
      <c r="CV224" s="64"/>
      <c r="CW224" s="64"/>
      <c r="CX224" s="64"/>
      <c r="CY224" s="64"/>
      <c r="CZ224" s="64"/>
      <c r="DA224" s="64"/>
      <c r="DB224" s="64"/>
      <c r="DC224" s="64"/>
      <c r="DD224" s="64"/>
      <c r="DE224" s="64"/>
      <c r="DF224" s="64"/>
      <c r="DG224" s="64"/>
    </row>
    <row r="225" ht="20.25" customHeight="1">
      <c r="A225" s="483" t="s">
        <v>520</v>
      </c>
      <c r="B225" s="483" t="s">
        <v>107</v>
      </c>
      <c r="C225" s="483" t="s">
        <v>280</v>
      </c>
      <c r="D225" s="484"/>
      <c r="E225" s="485" t="s">
        <v>1277</v>
      </c>
      <c r="F225" s="139" t="s">
        <v>1372</v>
      </c>
      <c r="G225" s="139" t="s">
        <v>283</v>
      </c>
      <c r="H225" s="140"/>
      <c r="I225" s="141">
        <v>45686.0</v>
      </c>
      <c r="J225" s="115" t="s">
        <v>1279</v>
      </c>
      <c r="K225" s="470"/>
      <c r="L225" s="143" t="s">
        <v>1373</v>
      </c>
      <c r="M225" s="143" t="s">
        <v>1281</v>
      </c>
      <c r="N225" s="144"/>
      <c r="O225" s="105" t="str">
        <f> hyperlink(vlookup(lower(M225),'File Links'!A:B, 2, FALSE), SUBSTITUTE(lower(M225), "/", "--") &amp;  ".pdf")</f>
        <v>10.1016--j.psychres.2017.09.048.pdf</v>
      </c>
      <c r="P225" s="48" t="str">
        <f t="array" ref="P225">HYPERLINK(INDEX('File Links'!B:B, MATCH(O225, 'File Links'!C:C, 0)))
</f>
        <v>https://drive.google.com/file/d/1bB5zAUL5oQPM2ClvdBCDeAd5AlkWVp4P/view?usp=drivesdk</v>
      </c>
      <c r="Q225" s="115" t="s">
        <v>1374</v>
      </c>
      <c r="R225" s="60"/>
      <c r="S225" s="60"/>
      <c r="T225" s="144"/>
      <c r="U225" s="471" t="s">
        <v>351</v>
      </c>
      <c r="V225" s="115" t="s">
        <v>1283</v>
      </c>
      <c r="W225" s="45" t="str">
        <f t="array" ref="W225">HYPERLINK(INDEX('File Links'!B:B, MATCH(U225, 'File Links'!C:C, 0)))
</f>
        <v>#N/A</v>
      </c>
      <c r="Y225" s="139" t="s">
        <v>139</v>
      </c>
      <c r="Z225" s="115" t="s">
        <v>1375</v>
      </c>
      <c r="AA225" s="115" t="s">
        <v>1285</v>
      </c>
      <c r="AB225" s="115" t="s">
        <v>1360</v>
      </c>
      <c r="AC225" s="492" t="s">
        <v>1376</v>
      </c>
      <c r="AD225" s="493" t="s">
        <v>892</v>
      </c>
      <c r="AE225" s="149">
        <v>89.0</v>
      </c>
      <c r="AF225" s="149">
        <v>1.4</v>
      </c>
      <c r="AG225" s="139" t="s">
        <v>162</v>
      </c>
      <c r="AH225" s="115" t="s">
        <v>1377</v>
      </c>
      <c r="AI225" s="154">
        <v>0.05</v>
      </c>
      <c r="AJ225" s="139" t="s">
        <v>329</v>
      </c>
      <c r="AK225" s="139" t="s">
        <v>128</v>
      </c>
      <c r="AL225" s="115" t="s">
        <v>132</v>
      </c>
      <c r="AM225" s="55"/>
      <c r="AN225" s="149">
        <v>74.0</v>
      </c>
      <c r="AO225" s="149">
        <v>1.0</v>
      </c>
      <c r="AP225" s="139" t="s">
        <v>162</v>
      </c>
      <c r="AQ225" s="115" t="s">
        <v>1355</v>
      </c>
      <c r="AR225" s="150"/>
      <c r="AS225" s="147"/>
      <c r="AT225" s="147"/>
      <c r="AU225" s="60"/>
      <c r="AV225" s="303"/>
      <c r="AW225" s="115" t="s">
        <v>434</v>
      </c>
      <c r="AX225" s="491"/>
      <c r="BB225" s="64"/>
      <c r="BC225" s="64"/>
      <c r="BD225" s="64"/>
      <c r="BE225" s="64"/>
      <c r="BF225" s="64"/>
      <c r="BG225" s="64"/>
      <c r="BH225" s="64"/>
      <c r="BI225" s="64"/>
      <c r="BJ225" s="64"/>
      <c r="BK225" s="64"/>
      <c r="BL225" s="64"/>
      <c r="BM225" s="64"/>
      <c r="BN225" s="64"/>
      <c r="BO225" s="64"/>
      <c r="BP225" s="64"/>
      <c r="BQ225" s="64"/>
      <c r="BR225" s="64"/>
      <c r="BS225" s="64"/>
      <c r="BT225" s="64"/>
      <c r="BU225" s="64"/>
      <c r="BV225" s="64"/>
      <c r="BW225" s="64"/>
      <c r="BX225" s="64"/>
      <c r="BY225" s="64"/>
      <c r="BZ225" s="64"/>
      <c r="CA225" s="64"/>
      <c r="CB225" s="64"/>
      <c r="CC225" s="64"/>
      <c r="CD225" s="64"/>
      <c r="CE225" s="64"/>
      <c r="CF225" s="64"/>
      <c r="CG225" s="64"/>
      <c r="CH225" s="64"/>
      <c r="CI225" s="64"/>
      <c r="CJ225" s="64"/>
      <c r="CK225" s="64"/>
      <c r="CL225" s="64"/>
      <c r="CM225" s="64"/>
      <c r="CN225" s="64"/>
      <c r="CO225" s="64"/>
      <c r="CP225" s="64"/>
      <c r="CQ225" s="64"/>
      <c r="CR225" s="64"/>
      <c r="CS225" s="64"/>
      <c r="CT225" s="64"/>
      <c r="CU225" s="64"/>
      <c r="CV225" s="64"/>
      <c r="CW225" s="64"/>
      <c r="CX225" s="64"/>
      <c r="CY225" s="64"/>
      <c r="CZ225" s="64"/>
      <c r="DA225" s="64"/>
      <c r="DB225" s="64"/>
      <c r="DC225" s="64"/>
      <c r="DD225" s="64"/>
      <c r="DE225" s="64"/>
      <c r="DF225" s="64"/>
      <c r="DG225" s="64"/>
    </row>
    <row r="226" ht="20.25" customHeight="1">
      <c r="A226" s="483" t="s">
        <v>520</v>
      </c>
      <c r="B226" s="483" t="s">
        <v>107</v>
      </c>
      <c r="C226" s="483" t="s">
        <v>280</v>
      </c>
      <c r="D226" s="484"/>
      <c r="E226" s="485" t="s">
        <v>1277</v>
      </c>
      <c r="F226" s="139" t="s">
        <v>1378</v>
      </c>
      <c r="G226" s="139" t="s">
        <v>283</v>
      </c>
      <c r="H226" s="140"/>
      <c r="I226" s="141">
        <v>45686.0</v>
      </c>
      <c r="J226" s="115" t="s">
        <v>1279</v>
      </c>
      <c r="K226" s="60"/>
      <c r="L226" s="143" t="s">
        <v>1379</v>
      </c>
      <c r="M226" s="143" t="s">
        <v>1281</v>
      </c>
      <c r="N226" s="144"/>
      <c r="O226" s="105" t="str">
        <f> hyperlink(vlookup(lower(M226),'File Links'!A:B, 2, FALSE), SUBSTITUTE(lower(M226), "/", "--") &amp;  ".pdf")</f>
        <v>10.1016--j.psychres.2017.09.048.pdf</v>
      </c>
      <c r="P226" s="48" t="str">
        <f t="array" ref="P226">HYPERLINK(INDEX('File Links'!B:B, MATCH(O226, 'File Links'!C:C, 0)))
</f>
        <v>https://drive.google.com/file/d/1bB5zAUL5oQPM2ClvdBCDeAd5AlkWVp4P/view?usp=drivesdk</v>
      </c>
      <c r="Q226" s="115" t="s">
        <v>1380</v>
      </c>
      <c r="R226" s="60"/>
      <c r="S226" s="60"/>
      <c r="T226" s="144"/>
      <c r="U226" s="471" t="s">
        <v>351</v>
      </c>
      <c r="V226" s="115" t="s">
        <v>1283</v>
      </c>
      <c r="W226" s="45" t="str">
        <f t="array" ref="W226">HYPERLINK(INDEX('File Links'!B:B, MATCH(U226, 'File Links'!C:C, 0)))
</f>
        <v>#N/A</v>
      </c>
      <c r="Y226" s="139" t="s">
        <v>139</v>
      </c>
      <c r="Z226" s="115" t="s">
        <v>1381</v>
      </c>
      <c r="AA226" s="115" t="s">
        <v>1285</v>
      </c>
      <c r="AB226" s="115" t="s">
        <v>1349</v>
      </c>
      <c r="AC226" s="153" t="s">
        <v>1382</v>
      </c>
      <c r="AD226" s="149" t="s">
        <v>892</v>
      </c>
      <c r="AE226" s="149">
        <v>89.0</v>
      </c>
      <c r="AF226" s="149">
        <v>0.057</v>
      </c>
      <c r="AG226" s="139" t="s">
        <v>130</v>
      </c>
      <c r="AH226" s="115" t="s">
        <v>894</v>
      </c>
      <c r="AI226" s="154">
        <v>0.029</v>
      </c>
      <c r="AJ226" s="139" t="s">
        <v>164</v>
      </c>
      <c r="AK226" s="139" t="s">
        <v>128</v>
      </c>
      <c r="AL226" s="115" t="s">
        <v>132</v>
      </c>
      <c r="AM226" s="55"/>
      <c r="AN226" s="149">
        <v>74.0</v>
      </c>
      <c r="AO226" s="149">
        <v>0.047</v>
      </c>
      <c r="AP226" s="139" t="s">
        <v>130</v>
      </c>
      <c r="AQ226" s="115" t="s">
        <v>886</v>
      </c>
      <c r="AR226" s="154">
        <v>0.035</v>
      </c>
      <c r="AS226" s="139" t="s">
        <v>164</v>
      </c>
      <c r="AT226" s="139" t="s">
        <v>179</v>
      </c>
      <c r="AU226" s="115" t="s">
        <v>132</v>
      </c>
      <c r="AV226" s="303"/>
      <c r="AW226" s="115" t="s">
        <v>434</v>
      </c>
      <c r="BB226" s="209"/>
      <c r="BC226" s="209"/>
      <c r="BD226" s="209"/>
      <c r="BE226" s="209"/>
      <c r="BF226" s="209"/>
      <c r="BG226" s="209"/>
      <c r="BH226" s="209"/>
      <c r="BI226" s="209"/>
      <c r="BJ226" s="209"/>
      <c r="BK226" s="209"/>
      <c r="BL226" s="209"/>
      <c r="BM226" s="209"/>
      <c r="BN226" s="209"/>
      <c r="BO226" s="209"/>
      <c r="BP226" s="209"/>
      <c r="BQ226" s="209"/>
      <c r="BR226" s="209"/>
      <c r="BS226" s="209"/>
      <c r="BT226" s="209"/>
      <c r="BU226" s="209"/>
      <c r="BV226" s="209"/>
      <c r="BW226" s="209"/>
      <c r="BX226" s="209"/>
      <c r="BY226" s="209"/>
      <c r="BZ226" s="209"/>
      <c r="CA226" s="209"/>
      <c r="CB226" s="209"/>
      <c r="CC226" s="209"/>
      <c r="CD226" s="209"/>
      <c r="CE226" s="209"/>
      <c r="CF226" s="209"/>
      <c r="CG226" s="209"/>
      <c r="CH226" s="209"/>
      <c r="CI226" s="209"/>
      <c r="CJ226" s="209"/>
      <c r="CK226" s="209"/>
      <c r="CL226" s="209"/>
      <c r="CM226" s="209"/>
      <c r="CN226" s="209"/>
      <c r="CO226" s="209"/>
      <c r="CP226" s="209"/>
      <c r="CQ226" s="209"/>
      <c r="CR226" s="209"/>
      <c r="CS226" s="209"/>
      <c r="CT226" s="209"/>
      <c r="CU226" s="209"/>
      <c r="CV226" s="209"/>
      <c r="CW226" s="209"/>
      <c r="CX226" s="209"/>
      <c r="CY226" s="209"/>
      <c r="CZ226" s="209"/>
      <c r="DA226" s="209"/>
      <c r="DB226" s="209"/>
      <c r="DC226" s="209"/>
      <c r="DD226" s="209"/>
      <c r="DE226" s="209"/>
      <c r="DF226" s="209"/>
      <c r="DG226" s="209"/>
    </row>
    <row r="227" ht="20.25" customHeight="1">
      <c r="A227" s="483" t="s">
        <v>520</v>
      </c>
      <c r="B227" s="483" t="s">
        <v>107</v>
      </c>
      <c r="C227" s="483" t="s">
        <v>280</v>
      </c>
      <c r="D227" s="484"/>
      <c r="E227" s="485" t="s">
        <v>1277</v>
      </c>
      <c r="F227" s="139" t="s">
        <v>1383</v>
      </c>
      <c r="G227" s="139" t="s">
        <v>283</v>
      </c>
      <c r="H227" s="140"/>
      <c r="I227" s="141">
        <v>45686.0</v>
      </c>
      <c r="J227" s="115" t="s">
        <v>1279</v>
      </c>
      <c r="K227" s="60"/>
      <c r="L227" s="143" t="s">
        <v>1384</v>
      </c>
      <c r="M227" s="143" t="s">
        <v>1281</v>
      </c>
      <c r="N227" s="144"/>
      <c r="O227" s="105" t="str">
        <f> hyperlink(vlookup(lower(M227),'File Links'!A:B, 2, FALSE), SUBSTITUTE(lower(M227), "/", "--") &amp;  ".pdf")</f>
        <v>10.1016--j.psychres.2017.09.048.pdf</v>
      </c>
      <c r="P227" s="48" t="str">
        <f t="array" ref="P227">HYPERLINK(INDEX('File Links'!B:B, MATCH(O227, 'File Links'!C:C, 0)))
</f>
        <v>https://drive.google.com/file/d/1bB5zAUL5oQPM2ClvdBCDeAd5AlkWVp4P/view?usp=drivesdk</v>
      </c>
      <c r="Q227" s="115" t="s">
        <v>1385</v>
      </c>
      <c r="R227" s="60"/>
      <c r="S227" s="60"/>
      <c r="T227" s="144"/>
      <c r="U227" s="471" t="s">
        <v>351</v>
      </c>
      <c r="V227" s="115" t="s">
        <v>1283</v>
      </c>
      <c r="W227" s="45" t="str">
        <f t="array" ref="W227">HYPERLINK(INDEX('File Links'!B:B, MATCH(U227, 'File Links'!C:C, 0)))
</f>
        <v>#N/A</v>
      </c>
      <c r="Y227" s="139" t="s">
        <v>139</v>
      </c>
      <c r="Z227" s="115" t="s">
        <v>1386</v>
      </c>
      <c r="AA227" s="115" t="s">
        <v>1285</v>
      </c>
      <c r="AB227" s="115" t="s">
        <v>1387</v>
      </c>
      <c r="AC227" s="153" t="s">
        <v>1388</v>
      </c>
      <c r="AD227" s="149" t="s">
        <v>892</v>
      </c>
      <c r="AE227" s="149">
        <v>89.0</v>
      </c>
      <c r="AF227" s="149">
        <v>0.1</v>
      </c>
      <c r="AG227" s="139" t="s">
        <v>130</v>
      </c>
      <c r="AH227" s="115" t="s">
        <v>892</v>
      </c>
      <c r="AI227" s="154">
        <v>0.011</v>
      </c>
      <c r="AJ227" s="139" t="s">
        <v>164</v>
      </c>
      <c r="AK227" s="139" t="s">
        <v>128</v>
      </c>
      <c r="AL227" s="115" t="s">
        <v>132</v>
      </c>
      <c r="AM227" s="55"/>
      <c r="AN227" s="149">
        <v>74.0</v>
      </c>
      <c r="AO227" s="149">
        <v>1.83</v>
      </c>
      <c r="AP227" s="139" t="s">
        <v>162</v>
      </c>
      <c r="AQ227" s="115" t="s">
        <v>886</v>
      </c>
      <c r="AR227" s="154">
        <v>0.072</v>
      </c>
      <c r="AS227" s="139" t="s">
        <v>329</v>
      </c>
      <c r="AT227" s="139" t="s">
        <v>179</v>
      </c>
      <c r="AU227" s="115" t="s">
        <v>132</v>
      </c>
      <c r="AV227" s="303"/>
      <c r="AW227" s="115" t="s">
        <v>434</v>
      </c>
      <c r="BB227" s="84"/>
      <c r="BC227" s="84"/>
      <c r="BD227" s="84"/>
      <c r="BE227" s="84"/>
      <c r="BF227" s="84"/>
      <c r="BG227" s="84"/>
      <c r="BH227" s="84"/>
      <c r="BI227" s="84"/>
      <c r="BJ227" s="84"/>
      <c r="BK227" s="84"/>
      <c r="BL227" s="84"/>
      <c r="BM227" s="84"/>
      <c r="BN227" s="84"/>
      <c r="BO227" s="84"/>
      <c r="BP227" s="84"/>
      <c r="BQ227" s="84"/>
      <c r="BR227" s="84"/>
      <c r="BS227" s="84"/>
      <c r="BT227" s="84"/>
      <c r="BU227" s="84"/>
      <c r="BV227" s="84"/>
      <c r="BW227" s="84"/>
      <c r="BX227" s="84"/>
      <c r="BY227" s="84"/>
      <c r="BZ227" s="84"/>
      <c r="CA227" s="84"/>
      <c r="CB227" s="84"/>
      <c r="CC227" s="84"/>
      <c r="CD227" s="84"/>
      <c r="CE227" s="84"/>
      <c r="CF227" s="84"/>
      <c r="CG227" s="84"/>
      <c r="CH227" s="84"/>
      <c r="CI227" s="84"/>
      <c r="CJ227" s="84"/>
      <c r="CK227" s="84"/>
      <c r="CL227" s="84"/>
      <c r="CM227" s="84"/>
      <c r="CN227" s="84"/>
      <c r="CO227" s="84"/>
      <c r="CP227" s="84"/>
      <c r="CQ227" s="84"/>
      <c r="CR227" s="84"/>
      <c r="CS227" s="84"/>
      <c r="CT227" s="84"/>
      <c r="CU227" s="84"/>
      <c r="CV227" s="84"/>
      <c r="CW227" s="84"/>
      <c r="CX227" s="84"/>
      <c r="CY227" s="84"/>
      <c r="CZ227" s="84"/>
      <c r="DA227" s="84"/>
      <c r="DB227" s="84"/>
      <c r="DC227" s="84"/>
      <c r="DD227" s="84"/>
      <c r="DE227" s="84"/>
      <c r="DF227" s="84"/>
      <c r="DG227" s="84"/>
    </row>
    <row r="228" ht="20.25" customHeight="1">
      <c r="A228" s="483" t="s">
        <v>520</v>
      </c>
      <c r="B228" s="483" t="s">
        <v>107</v>
      </c>
      <c r="C228" s="483" t="s">
        <v>280</v>
      </c>
      <c r="D228" s="484"/>
      <c r="E228" s="485" t="s">
        <v>1277</v>
      </c>
      <c r="F228" s="139" t="s">
        <v>1389</v>
      </c>
      <c r="G228" s="139" t="s">
        <v>283</v>
      </c>
      <c r="H228" s="140"/>
      <c r="I228" s="141">
        <v>45686.0</v>
      </c>
      <c r="J228" s="115" t="s">
        <v>1279</v>
      </c>
      <c r="K228" s="60"/>
      <c r="L228" s="143" t="s">
        <v>1390</v>
      </c>
      <c r="M228" s="143" t="s">
        <v>1281</v>
      </c>
      <c r="N228" s="144"/>
      <c r="O228" s="105" t="str">
        <f> hyperlink(vlookup(lower(M228),'File Links'!A:B, 2, FALSE), SUBSTITUTE(lower(M228), "/", "--") &amp;  ".pdf")</f>
        <v>10.1016--j.psychres.2017.09.048.pdf</v>
      </c>
      <c r="P228" s="48" t="str">
        <f t="array" ref="P228">HYPERLINK(INDEX('File Links'!B:B, MATCH(O228, 'File Links'!C:C, 0)))
</f>
        <v>https://drive.google.com/file/d/1bB5zAUL5oQPM2ClvdBCDeAd5AlkWVp4P/view?usp=drivesdk</v>
      </c>
      <c r="Q228" s="115" t="s">
        <v>1391</v>
      </c>
      <c r="R228" s="60"/>
      <c r="S228" s="60"/>
      <c r="T228" s="144"/>
      <c r="U228" s="471" t="s">
        <v>351</v>
      </c>
      <c r="V228" s="115" t="s">
        <v>1283</v>
      </c>
      <c r="W228" s="45" t="str">
        <f t="array" ref="W228">HYPERLINK(INDEX('File Links'!B:B, MATCH(U228, 'File Links'!C:C, 0)))
</f>
        <v>#N/A</v>
      </c>
      <c r="Y228" s="139" t="s">
        <v>139</v>
      </c>
      <c r="Z228" s="115" t="s">
        <v>1392</v>
      </c>
      <c r="AA228" s="115" t="s">
        <v>1285</v>
      </c>
      <c r="AB228" s="115" t="s">
        <v>1387</v>
      </c>
      <c r="AC228" s="153" t="s">
        <v>1393</v>
      </c>
      <c r="AD228" s="149" t="s">
        <v>892</v>
      </c>
      <c r="AE228" s="149">
        <v>89.0</v>
      </c>
      <c r="AF228" s="149">
        <v>0.069</v>
      </c>
      <c r="AG228" s="139" t="s">
        <v>130</v>
      </c>
      <c r="AH228" s="115" t="s">
        <v>892</v>
      </c>
      <c r="AI228" s="154">
        <v>0.46</v>
      </c>
      <c r="AJ228" s="139" t="s">
        <v>164</v>
      </c>
      <c r="AK228" s="139" t="s">
        <v>128</v>
      </c>
      <c r="AL228" s="115" t="s">
        <v>132</v>
      </c>
      <c r="AM228" s="55"/>
      <c r="AN228" s="149">
        <v>74.0</v>
      </c>
      <c r="AO228" s="149">
        <v>3.5</v>
      </c>
      <c r="AP228" s="139" t="s">
        <v>162</v>
      </c>
      <c r="AQ228" s="115" t="s">
        <v>1394</v>
      </c>
      <c r="AR228" s="154">
        <v>0.065</v>
      </c>
      <c r="AS228" s="139" t="s">
        <v>329</v>
      </c>
      <c r="AT228" s="139" t="s">
        <v>179</v>
      </c>
      <c r="AU228" s="115" t="s">
        <v>132</v>
      </c>
      <c r="AV228" s="303"/>
      <c r="AW228" s="115" t="s">
        <v>434</v>
      </c>
      <c r="BB228" s="209"/>
      <c r="BC228" s="209"/>
      <c r="BD228" s="209"/>
      <c r="BE228" s="209"/>
      <c r="BF228" s="209"/>
      <c r="BG228" s="209"/>
      <c r="BH228" s="209"/>
      <c r="BI228" s="209"/>
      <c r="BJ228" s="209"/>
      <c r="BK228" s="209"/>
      <c r="BL228" s="209"/>
      <c r="BM228" s="209"/>
      <c r="BN228" s="209"/>
      <c r="BO228" s="209"/>
      <c r="BP228" s="209"/>
      <c r="BQ228" s="209"/>
      <c r="BR228" s="209"/>
      <c r="BS228" s="209"/>
      <c r="BT228" s="209"/>
      <c r="BU228" s="209"/>
      <c r="BV228" s="209"/>
      <c r="BW228" s="209"/>
      <c r="BX228" s="209"/>
      <c r="BY228" s="209"/>
      <c r="BZ228" s="209"/>
      <c r="CA228" s="209"/>
      <c r="CB228" s="209"/>
      <c r="CC228" s="209"/>
      <c r="CD228" s="209"/>
      <c r="CE228" s="209"/>
      <c r="CF228" s="209"/>
      <c r="CG228" s="209"/>
      <c r="CH228" s="209"/>
      <c r="CI228" s="209"/>
      <c r="CJ228" s="209"/>
      <c r="CK228" s="209"/>
      <c r="CL228" s="209"/>
      <c r="CM228" s="209"/>
      <c r="CN228" s="209"/>
      <c r="CO228" s="209"/>
      <c r="CP228" s="209"/>
      <c r="CQ228" s="209"/>
      <c r="CR228" s="209"/>
      <c r="CS228" s="209"/>
      <c r="CT228" s="209"/>
      <c r="CU228" s="209"/>
      <c r="CV228" s="209"/>
      <c r="CW228" s="209"/>
      <c r="CX228" s="209"/>
      <c r="CY228" s="209"/>
      <c r="CZ228" s="209"/>
      <c r="DA228" s="209"/>
      <c r="DB228" s="209"/>
      <c r="DC228" s="209"/>
      <c r="DD228" s="209"/>
      <c r="DE228" s="209"/>
      <c r="DF228" s="209"/>
      <c r="DG228" s="209"/>
    </row>
    <row r="229" ht="20.25" customHeight="1">
      <c r="A229" s="483" t="s">
        <v>520</v>
      </c>
      <c r="B229" s="483" t="s">
        <v>107</v>
      </c>
      <c r="C229" s="483" t="s">
        <v>280</v>
      </c>
      <c r="D229" s="484"/>
      <c r="E229" s="485" t="s">
        <v>1277</v>
      </c>
      <c r="F229" s="139" t="s">
        <v>1395</v>
      </c>
      <c r="G229" s="139" t="s">
        <v>283</v>
      </c>
      <c r="H229" s="140"/>
      <c r="I229" s="141">
        <v>45686.0</v>
      </c>
      <c r="J229" s="115" t="s">
        <v>1279</v>
      </c>
      <c r="K229" s="60"/>
      <c r="L229" s="143" t="s">
        <v>1396</v>
      </c>
      <c r="M229" s="143" t="s">
        <v>1281</v>
      </c>
      <c r="N229" s="144"/>
      <c r="O229" s="105" t="str">
        <f> hyperlink(vlookup(lower(M229),'File Links'!A:B, 2, FALSE), SUBSTITUTE(lower(M229), "/", "--") &amp;  ".pdf")</f>
        <v>10.1016--j.psychres.2017.09.048.pdf</v>
      </c>
      <c r="P229" s="48" t="str">
        <f t="array" ref="P229">HYPERLINK(INDEX('File Links'!B:B, MATCH(O229, 'File Links'!C:C, 0)))
</f>
        <v>https://drive.google.com/file/d/1bB5zAUL5oQPM2ClvdBCDeAd5AlkWVp4P/view?usp=drivesdk</v>
      </c>
      <c r="Q229" s="115" t="s">
        <v>1397</v>
      </c>
      <c r="R229" s="60"/>
      <c r="S229" s="60"/>
      <c r="T229" s="144"/>
      <c r="U229" s="471" t="s">
        <v>351</v>
      </c>
      <c r="V229" s="115" t="s">
        <v>1283</v>
      </c>
      <c r="W229" s="45" t="str">
        <f t="array" ref="W229">HYPERLINK(INDEX('File Links'!B:B, MATCH(U229, 'File Links'!C:C, 0)))
</f>
        <v>#N/A</v>
      </c>
      <c r="Y229" s="139" t="s">
        <v>139</v>
      </c>
      <c r="Z229" s="115" t="s">
        <v>1398</v>
      </c>
      <c r="AA229" s="115" t="s">
        <v>1285</v>
      </c>
      <c r="AB229" s="115" t="s">
        <v>1387</v>
      </c>
      <c r="AC229" s="153" t="s">
        <v>1399</v>
      </c>
      <c r="AD229" s="149" t="s">
        <v>1400</v>
      </c>
      <c r="AE229" s="149">
        <v>89.0</v>
      </c>
      <c r="AF229" s="149">
        <v>0.069</v>
      </c>
      <c r="AG229" s="139" t="s">
        <v>130</v>
      </c>
      <c r="AH229" s="115" t="s">
        <v>131</v>
      </c>
      <c r="AI229" s="154">
        <v>0.047</v>
      </c>
      <c r="AJ229" s="139" t="s">
        <v>164</v>
      </c>
      <c r="AK229" s="139" t="s">
        <v>128</v>
      </c>
      <c r="AL229" s="115" t="s">
        <v>132</v>
      </c>
      <c r="AM229" s="55"/>
      <c r="AN229" s="149">
        <v>74.0</v>
      </c>
      <c r="AO229" s="149">
        <v>3.5</v>
      </c>
      <c r="AP229" s="139" t="s">
        <v>162</v>
      </c>
      <c r="AQ229" s="115" t="s">
        <v>1394</v>
      </c>
      <c r="AR229" s="154">
        <v>0.065</v>
      </c>
      <c r="AS229" s="139" t="s">
        <v>329</v>
      </c>
      <c r="AT229" s="139" t="s">
        <v>179</v>
      </c>
      <c r="AU229" s="115" t="s">
        <v>132</v>
      </c>
      <c r="AV229" s="303"/>
      <c r="AW229" s="115" t="s">
        <v>434</v>
      </c>
      <c r="BB229" s="84"/>
      <c r="BC229" s="84"/>
      <c r="BD229" s="84"/>
      <c r="BE229" s="84"/>
      <c r="BF229" s="84"/>
      <c r="BG229" s="84"/>
      <c r="BH229" s="84"/>
      <c r="BI229" s="84"/>
      <c r="BJ229" s="84"/>
      <c r="BK229" s="84"/>
      <c r="BL229" s="84"/>
      <c r="BM229" s="84"/>
      <c r="BN229" s="84"/>
      <c r="BO229" s="84"/>
      <c r="BP229" s="84"/>
      <c r="BQ229" s="84"/>
      <c r="BR229" s="84"/>
      <c r="BS229" s="84"/>
      <c r="BT229" s="84"/>
      <c r="BU229" s="84"/>
      <c r="BV229" s="84"/>
      <c r="BW229" s="84"/>
      <c r="BX229" s="84"/>
      <c r="BY229" s="84"/>
      <c r="BZ229" s="84"/>
      <c r="CA229" s="84"/>
      <c r="CB229" s="84"/>
      <c r="CC229" s="84"/>
      <c r="CD229" s="84"/>
      <c r="CE229" s="84"/>
      <c r="CF229" s="84"/>
      <c r="CG229" s="84"/>
      <c r="CH229" s="84"/>
      <c r="CI229" s="84"/>
      <c r="CJ229" s="84"/>
      <c r="CK229" s="84"/>
      <c r="CL229" s="84"/>
      <c r="CM229" s="84"/>
      <c r="CN229" s="84"/>
      <c r="CO229" s="84"/>
      <c r="CP229" s="84"/>
      <c r="CQ229" s="84"/>
      <c r="CR229" s="84"/>
      <c r="CS229" s="84"/>
      <c r="CT229" s="84"/>
      <c r="CU229" s="84"/>
      <c r="CV229" s="84"/>
      <c r="CW229" s="84"/>
      <c r="CX229" s="84"/>
      <c r="CY229" s="84"/>
      <c r="CZ229" s="84"/>
      <c r="DA229" s="84"/>
      <c r="DB229" s="84"/>
      <c r="DC229" s="84"/>
      <c r="DD229" s="84"/>
      <c r="DE229" s="84"/>
      <c r="DF229" s="84"/>
      <c r="DG229" s="84"/>
    </row>
    <row r="230" ht="20.25" customHeight="1">
      <c r="A230" s="483" t="s">
        <v>520</v>
      </c>
      <c r="B230" s="483" t="s">
        <v>107</v>
      </c>
      <c r="C230" s="483" t="s">
        <v>280</v>
      </c>
      <c r="D230" s="484"/>
      <c r="E230" s="485" t="s">
        <v>1277</v>
      </c>
      <c r="F230" s="139" t="s">
        <v>1401</v>
      </c>
      <c r="G230" s="139" t="s">
        <v>283</v>
      </c>
      <c r="H230" s="140"/>
      <c r="I230" s="141">
        <v>45686.0</v>
      </c>
      <c r="J230" s="115" t="s">
        <v>1279</v>
      </c>
      <c r="K230" s="60"/>
      <c r="L230" s="143" t="s">
        <v>1402</v>
      </c>
      <c r="M230" s="143" t="s">
        <v>1281</v>
      </c>
      <c r="N230" s="144"/>
      <c r="O230" s="105" t="str">
        <f> hyperlink(vlookup(lower(M230),'File Links'!A:B, 2, FALSE), SUBSTITUTE(lower(M230), "/", "--") &amp;  ".pdf")</f>
        <v>10.1016--j.psychres.2017.09.048.pdf</v>
      </c>
      <c r="P230" s="48" t="str">
        <f t="array" ref="P230">HYPERLINK(INDEX('File Links'!B:B, MATCH(O230, 'File Links'!C:C, 0)))
</f>
        <v>https://drive.google.com/file/d/1bB5zAUL5oQPM2ClvdBCDeAd5AlkWVp4P/view?usp=drivesdk</v>
      </c>
      <c r="Q230" s="115" t="s">
        <v>1403</v>
      </c>
      <c r="R230" s="60"/>
      <c r="S230" s="60"/>
      <c r="T230" s="144"/>
      <c r="U230" s="471" t="s">
        <v>351</v>
      </c>
      <c r="V230" s="115" t="s">
        <v>1283</v>
      </c>
      <c r="W230" s="45" t="str">
        <f t="array" ref="W230">HYPERLINK(INDEX('File Links'!B:B, MATCH(U230, 'File Links'!C:C, 0)))
</f>
        <v>#N/A</v>
      </c>
      <c r="Y230" s="139" t="s">
        <v>139</v>
      </c>
      <c r="Z230" s="115" t="s">
        <v>1404</v>
      </c>
      <c r="AA230" s="115" t="s">
        <v>1285</v>
      </c>
      <c r="AB230" s="115" t="s">
        <v>1387</v>
      </c>
      <c r="AC230" s="153" t="s">
        <v>1405</v>
      </c>
      <c r="AD230" s="149" t="s">
        <v>131</v>
      </c>
      <c r="AE230" s="149">
        <v>89.0</v>
      </c>
      <c r="AF230" s="149">
        <v>0.078</v>
      </c>
      <c r="AG230" s="139" t="s">
        <v>130</v>
      </c>
      <c r="AH230" s="115" t="s">
        <v>131</v>
      </c>
      <c r="AI230" s="154">
        <v>0.03</v>
      </c>
      <c r="AJ230" s="139" t="s">
        <v>164</v>
      </c>
      <c r="AK230" s="139" t="s">
        <v>128</v>
      </c>
      <c r="AL230" s="115" t="s">
        <v>132</v>
      </c>
      <c r="AM230" s="55"/>
      <c r="AN230" s="149">
        <v>74.0</v>
      </c>
      <c r="AO230" s="149">
        <v>3.5</v>
      </c>
      <c r="AP230" s="139" t="s">
        <v>162</v>
      </c>
      <c r="AQ230" s="115" t="s">
        <v>1394</v>
      </c>
      <c r="AR230" s="154">
        <v>0.065</v>
      </c>
      <c r="AS230" s="139" t="s">
        <v>329</v>
      </c>
      <c r="AT230" s="139" t="s">
        <v>179</v>
      </c>
      <c r="AU230" s="115" t="s">
        <v>132</v>
      </c>
      <c r="AV230" s="303"/>
      <c r="AW230" s="115" t="s">
        <v>434</v>
      </c>
      <c r="BB230" s="209"/>
      <c r="BC230" s="209"/>
      <c r="BD230" s="209"/>
      <c r="BE230" s="209"/>
      <c r="BF230" s="209"/>
      <c r="BG230" s="209"/>
      <c r="BH230" s="209"/>
      <c r="BI230" s="209"/>
      <c r="BJ230" s="209"/>
      <c r="BK230" s="209"/>
      <c r="BL230" s="209"/>
      <c r="BM230" s="209"/>
      <c r="BN230" s="209"/>
      <c r="BO230" s="209"/>
      <c r="BP230" s="209"/>
      <c r="BQ230" s="209"/>
      <c r="BR230" s="209"/>
      <c r="BS230" s="209"/>
      <c r="BT230" s="209"/>
      <c r="BU230" s="209"/>
      <c r="BV230" s="209"/>
      <c r="BW230" s="209"/>
      <c r="BX230" s="209"/>
      <c r="BY230" s="209"/>
      <c r="BZ230" s="209"/>
      <c r="CA230" s="209"/>
      <c r="CB230" s="209"/>
      <c r="CC230" s="209"/>
      <c r="CD230" s="209"/>
      <c r="CE230" s="209"/>
      <c r="CF230" s="209"/>
      <c r="CG230" s="209"/>
      <c r="CH230" s="209"/>
      <c r="CI230" s="209"/>
      <c r="CJ230" s="209"/>
      <c r="CK230" s="209"/>
      <c r="CL230" s="209"/>
      <c r="CM230" s="209"/>
      <c r="CN230" s="209"/>
      <c r="CO230" s="209"/>
      <c r="CP230" s="209"/>
      <c r="CQ230" s="209"/>
      <c r="CR230" s="209"/>
      <c r="CS230" s="209"/>
      <c r="CT230" s="209"/>
      <c r="CU230" s="209"/>
      <c r="CV230" s="209"/>
      <c r="CW230" s="209"/>
      <c r="CX230" s="209"/>
      <c r="CY230" s="209"/>
      <c r="CZ230" s="209"/>
      <c r="DA230" s="209"/>
      <c r="DB230" s="209"/>
      <c r="DC230" s="209"/>
      <c r="DD230" s="209"/>
      <c r="DE230" s="209"/>
      <c r="DF230" s="209"/>
      <c r="DG230" s="209"/>
    </row>
    <row r="231" ht="20.25" customHeight="1">
      <c r="A231" s="483" t="s">
        <v>520</v>
      </c>
      <c r="B231" s="483" t="s">
        <v>107</v>
      </c>
      <c r="C231" s="483" t="s">
        <v>280</v>
      </c>
      <c r="D231" s="484"/>
      <c r="E231" s="485" t="s">
        <v>1277</v>
      </c>
      <c r="F231" s="139" t="s">
        <v>1406</v>
      </c>
      <c r="G231" s="139" t="s">
        <v>283</v>
      </c>
      <c r="H231" s="140"/>
      <c r="I231" s="141">
        <v>45686.0</v>
      </c>
      <c r="J231" s="115" t="s">
        <v>1279</v>
      </c>
      <c r="K231" s="60"/>
      <c r="L231" s="143" t="s">
        <v>1407</v>
      </c>
      <c r="M231" s="143" t="s">
        <v>1281</v>
      </c>
      <c r="N231" s="144"/>
      <c r="O231" s="105" t="str">
        <f> hyperlink(vlookup(lower(M231),'File Links'!A:B, 2, FALSE), SUBSTITUTE(lower(M231), "/", "--") &amp;  ".pdf")</f>
        <v>10.1016--j.psychres.2017.09.048.pdf</v>
      </c>
      <c r="P231" s="48" t="str">
        <f t="array" ref="P231">HYPERLINK(INDEX('File Links'!B:B, MATCH(O231, 'File Links'!C:C, 0)))
</f>
        <v>https://drive.google.com/file/d/1bB5zAUL5oQPM2ClvdBCDeAd5AlkWVp4P/view?usp=drivesdk</v>
      </c>
      <c r="Q231" s="115" t="s">
        <v>1408</v>
      </c>
      <c r="R231" s="60"/>
      <c r="S231" s="60"/>
      <c r="T231" s="144"/>
      <c r="U231" s="471" t="s">
        <v>351</v>
      </c>
      <c r="V231" s="115" t="s">
        <v>1283</v>
      </c>
      <c r="W231" s="45" t="str">
        <f t="array" ref="W231">HYPERLINK(INDEX('File Links'!B:B, MATCH(U231, 'File Links'!C:C, 0)))
</f>
        <v>#N/A</v>
      </c>
      <c r="Y231" s="139" t="s">
        <v>139</v>
      </c>
      <c r="Z231" s="115" t="s">
        <v>1409</v>
      </c>
      <c r="AA231" s="115" t="s">
        <v>1285</v>
      </c>
      <c r="AB231" s="115" t="s">
        <v>1387</v>
      </c>
      <c r="AC231" s="153" t="s">
        <v>1405</v>
      </c>
      <c r="AD231" s="149" t="s">
        <v>131</v>
      </c>
      <c r="AE231" s="149">
        <v>89.0</v>
      </c>
      <c r="AF231" s="149">
        <v>0.084</v>
      </c>
      <c r="AG231" s="139" t="s">
        <v>130</v>
      </c>
      <c r="AH231" s="115" t="s">
        <v>131</v>
      </c>
      <c r="AI231" s="154">
        <v>0.023</v>
      </c>
      <c r="AJ231" s="139" t="s">
        <v>164</v>
      </c>
      <c r="AK231" s="139" t="s">
        <v>128</v>
      </c>
      <c r="AL231" s="115" t="s">
        <v>132</v>
      </c>
      <c r="AM231" s="55"/>
      <c r="AN231" s="149">
        <v>74.0</v>
      </c>
      <c r="AO231" s="149">
        <v>3.5</v>
      </c>
      <c r="AP231" s="139" t="s">
        <v>162</v>
      </c>
      <c r="AQ231" s="115" t="s">
        <v>1394</v>
      </c>
      <c r="AR231" s="154">
        <v>0.065</v>
      </c>
      <c r="AS231" s="139" t="s">
        <v>329</v>
      </c>
      <c r="AT231" s="139" t="s">
        <v>179</v>
      </c>
      <c r="AU231" s="115" t="s">
        <v>132</v>
      </c>
      <c r="AV231" s="303"/>
      <c r="AW231" s="115" t="s">
        <v>434</v>
      </c>
      <c r="BB231" s="84"/>
      <c r="BC231" s="84"/>
      <c r="BD231" s="84"/>
      <c r="BE231" s="84"/>
      <c r="BF231" s="84"/>
      <c r="BG231" s="84"/>
      <c r="BH231" s="84"/>
      <c r="BI231" s="84"/>
      <c r="BJ231" s="84"/>
      <c r="BK231" s="84"/>
      <c r="BL231" s="84"/>
      <c r="BM231" s="84"/>
      <c r="BN231" s="84"/>
      <c r="BO231" s="84"/>
      <c r="BP231" s="84"/>
      <c r="BQ231" s="84"/>
      <c r="BR231" s="84"/>
      <c r="BS231" s="84"/>
      <c r="BT231" s="84"/>
      <c r="BU231" s="84"/>
      <c r="BV231" s="84"/>
      <c r="BW231" s="84"/>
      <c r="BX231" s="84"/>
      <c r="BY231" s="84"/>
      <c r="BZ231" s="84"/>
      <c r="CA231" s="84"/>
      <c r="CB231" s="84"/>
      <c r="CC231" s="84"/>
      <c r="CD231" s="84"/>
      <c r="CE231" s="84"/>
      <c r="CF231" s="84"/>
      <c r="CG231" s="84"/>
      <c r="CH231" s="84"/>
      <c r="CI231" s="84"/>
      <c r="CJ231" s="84"/>
      <c r="CK231" s="84"/>
      <c r="CL231" s="84"/>
      <c r="CM231" s="84"/>
      <c r="CN231" s="84"/>
      <c r="CO231" s="84"/>
      <c r="CP231" s="84"/>
      <c r="CQ231" s="84"/>
      <c r="CR231" s="84"/>
      <c r="CS231" s="84"/>
      <c r="CT231" s="84"/>
      <c r="CU231" s="84"/>
      <c r="CV231" s="84"/>
      <c r="CW231" s="84"/>
      <c r="CX231" s="84"/>
      <c r="CY231" s="84"/>
      <c r="CZ231" s="84"/>
      <c r="DA231" s="84"/>
      <c r="DB231" s="84"/>
      <c r="DC231" s="84"/>
      <c r="DD231" s="84"/>
      <c r="DE231" s="84"/>
      <c r="DF231" s="84"/>
      <c r="DG231" s="84"/>
    </row>
    <row r="232" ht="20.25" customHeight="1">
      <c r="A232" s="483" t="s">
        <v>520</v>
      </c>
      <c r="B232" s="483" t="s">
        <v>107</v>
      </c>
      <c r="C232" s="483" t="s">
        <v>280</v>
      </c>
      <c r="D232" s="484"/>
      <c r="E232" s="485" t="s">
        <v>1277</v>
      </c>
      <c r="F232" s="139" t="s">
        <v>1410</v>
      </c>
      <c r="G232" s="139" t="s">
        <v>283</v>
      </c>
      <c r="H232" s="140"/>
      <c r="I232" s="141">
        <v>45686.0</v>
      </c>
      <c r="J232" s="115" t="s">
        <v>1279</v>
      </c>
      <c r="K232" s="60"/>
      <c r="L232" s="143" t="s">
        <v>1411</v>
      </c>
      <c r="M232" s="143" t="s">
        <v>1281</v>
      </c>
      <c r="N232" s="144"/>
      <c r="O232" s="105" t="str">
        <f> hyperlink(vlookup(lower(M232),'File Links'!A:B, 2, FALSE), SUBSTITUTE(lower(M232), "/", "--") &amp;  ".pdf")</f>
        <v>10.1016--j.psychres.2017.09.048.pdf</v>
      </c>
      <c r="P232" s="48" t="str">
        <f t="array" ref="P232">HYPERLINK(INDEX('File Links'!B:B, MATCH(O232, 'File Links'!C:C, 0)))
</f>
        <v>https://drive.google.com/file/d/1bB5zAUL5oQPM2ClvdBCDeAd5AlkWVp4P/view?usp=drivesdk</v>
      </c>
      <c r="Q232" s="115" t="s">
        <v>1412</v>
      </c>
      <c r="R232" s="60"/>
      <c r="S232" s="60"/>
      <c r="T232" s="144"/>
      <c r="U232" s="471" t="s">
        <v>351</v>
      </c>
      <c r="V232" s="115" t="s">
        <v>1283</v>
      </c>
      <c r="W232" s="45" t="str">
        <f t="array" ref="W232">HYPERLINK(INDEX('File Links'!B:B, MATCH(U232, 'File Links'!C:C, 0)))
</f>
        <v>#N/A</v>
      </c>
      <c r="Y232" s="139" t="s">
        <v>139</v>
      </c>
      <c r="Z232" s="115" t="s">
        <v>1413</v>
      </c>
      <c r="AA232" s="115" t="s">
        <v>1285</v>
      </c>
      <c r="AB232" s="115" t="s">
        <v>1387</v>
      </c>
      <c r="AC232" s="153" t="s">
        <v>1414</v>
      </c>
      <c r="AD232" s="149" t="s">
        <v>131</v>
      </c>
      <c r="AE232" s="149">
        <v>89.0</v>
      </c>
      <c r="AF232" s="149">
        <v>1.4</v>
      </c>
      <c r="AG232" s="139" t="s">
        <v>162</v>
      </c>
      <c r="AH232" s="115" t="s">
        <v>1377</v>
      </c>
      <c r="AI232" s="154">
        <v>0.05</v>
      </c>
      <c r="AJ232" s="139" t="s">
        <v>329</v>
      </c>
      <c r="AK232" s="139" t="s">
        <v>128</v>
      </c>
      <c r="AL232" s="115" t="s">
        <v>132</v>
      </c>
      <c r="AM232" s="55"/>
      <c r="AN232" s="149">
        <v>74.0</v>
      </c>
      <c r="AO232" s="149">
        <v>3.5</v>
      </c>
      <c r="AP232" s="139" t="s">
        <v>162</v>
      </c>
      <c r="AQ232" s="115" t="s">
        <v>1394</v>
      </c>
      <c r="AR232" s="154">
        <v>0.065</v>
      </c>
      <c r="AS232" s="139" t="s">
        <v>329</v>
      </c>
      <c r="AT232" s="139" t="s">
        <v>179</v>
      </c>
      <c r="AU232" s="115" t="s">
        <v>132</v>
      </c>
      <c r="AV232" s="303"/>
      <c r="AW232" s="115" t="s">
        <v>434</v>
      </c>
      <c r="BB232" s="209"/>
      <c r="BC232" s="209"/>
      <c r="BD232" s="209"/>
      <c r="BE232" s="209"/>
      <c r="BF232" s="209"/>
      <c r="BG232" s="209"/>
      <c r="BH232" s="209"/>
      <c r="BI232" s="209"/>
      <c r="BJ232" s="209"/>
      <c r="BK232" s="209"/>
      <c r="BL232" s="209"/>
      <c r="BM232" s="209"/>
      <c r="BN232" s="209"/>
      <c r="BO232" s="209"/>
      <c r="BP232" s="209"/>
      <c r="BQ232" s="209"/>
      <c r="BR232" s="209"/>
      <c r="BS232" s="209"/>
      <c r="BT232" s="209"/>
      <c r="BU232" s="209"/>
      <c r="BV232" s="209"/>
      <c r="BW232" s="209"/>
      <c r="BX232" s="209"/>
      <c r="BY232" s="209"/>
      <c r="BZ232" s="209"/>
      <c r="CA232" s="209"/>
      <c r="CB232" s="209"/>
      <c r="CC232" s="209"/>
      <c r="CD232" s="209"/>
      <c r="CE232" s="209"/>
      <c r="CF232" s="209"/>
      <c r="CG232" s="209"/>
      <c r="CH232" s="209"/>
      <c r="CI232" s="209"/>
      <c r="CJ232" s="209"/>
      <c r="CK232" s="209"/>
      <c r="CL232" s="209"/>
      <c r="CM232" s="209"/>
      <c r="CN232" s="209"/>
      <c r="CO232" s="209"/>
      <c r="CP232" s="209"/>
      <c r="CQ232" s="209"/>
      <c r="CR232" s="209"/>
      <c r="CS232" s="209"/>
      <c r="CT232" s="209"/>
      <c r="CU232" s="209"/>
      <c r="CV232" s="209"/>
      <c r="CW232" s="209"/>
      <c r="CX232" s="209"/>
      <c r="CY232" s="209"/>
      <c r="CZ232" s="209"/>
      <c r="DA232" s="209"/>
      <c r="DB232" s="209"/>
      <c r="DC232" s="209"/>
      <c r="DD232" s="209"/>
      <c r="DE232" s="209"/>
      <c r="DF232" s="209"/>
      <c r="DG232" s="209"/>
    </row>
    <row r="233" ht="20.25" customHeight="1">
      <c r="A233" s="483" t="s">
        <v>520</v>
      </c>
      <c r="B233" s="483" t="s">
        <v>107</v>
      </c>
      <c r="C233" s="483" t="s">
        <v>280</v>
      </c>
      <c r="D233" s="484"/>
      <c r="E233" s="485" t="s">
        <v>1277</v>
      </c>
      <c r="F233" s="139" t="s">
        <v>1415</v>
      </c>
      <c r="G233" s="139" t="s">
        <v>283</v>
      </c>
      <c r="H233" s="140"/>
      <c r="I233" s="141">
        <v>45686.0</v>
      </c>
      <c r="J233" s="115" t="s">
        <v>1279</v>
      </c>
      <c r="K233" s="60"/>
      <c r="L233" s="143" t="s">
        <v>1416</v>
      </c>
      <c r="M233" s="143" t="s">
        <v>1281</v>
      </c>
      <c r="N233" s="144"/>
      <c r="O233" s="105" t="str">
        <f> hyperlink(vlookup(lower(M233),'File Links'!A:B, 2, FALSE), SUBSTITUTE(lower(M233), "/", "--") &amp;  ".pdf")</f>
        <v>10.1016--j.psychres.2017.09.048.pdf</v>
      </c>
      <c r="P233" s="48" t="str">
        <f t="array" ref="P233">HYPERLINK(INDEX('File Links'!B:B, MATCH(O233, 'File Links'!C:C, 0)))
</f>
        <v>https://drive.google.com/file/d/1bB5zAUL5oQPM2ClvdBCDeAd5AlkWVp4P/view?usp=drivesdk</v>
      </c>
      <c r="Q233" s="115" t="s">
        <v>1417</v>
      </c>
      <c r="R233" s="60"/>
      <c r="S233" s="60"/>
      <c r="T233" s="144"/>
      <c r="U233" s="471" t="s">
        <v>351</v>
      </c>
      <c r="V233" s="115" t="s">
        <v>1283</v>
      </c>
      <c r="W233" s="45" t="str">
        <f t="array" ref="W233">HYPERLINK(INDEX('File Links'!B:B, MATCH(U233, 'File Links'!C:C, 0)))
</f>
        <v>#N/A</v>
      </c>
      <c r="Y233" s="139" t="s">
        <v>139</v>
      </c>
      <c r="Z233" s="115" t="s">
        <v>1418</v>
      </c>
      <c r="AA233" s="115" t="s">
        <v>1285</v>
      </c>
      <c r="AB233" s="115" t="s">
        <v>1387</v>
      </c>
      <c r="AC233" s="153" t="s">
        <v>1414</v>
      </c>
      <c r="AD233" s="149" t="s">
        <v>131</v>
      </c>
      <c r="AE233" s="149">
        <v>89.0</v>
      </c>
      <c r="AF233" s="149">
        <v>1.4</v>
      </c>
      <c r="AG233" s="139" t="s">
        <v>162</v>
      </c>
      <c r="AH233" s="115" t="s">
        <v>1377</v>
      </c>
      <c r="AI233" s="154">
        <v>0.05</v>
      </c>
      <c r="AJ233" s="139" t="s">
        <v>329</v>
      </c>
      <c r="AK233" s="139" t="s">
        <v>128</v>
      </c>
      <c r="AL233" s="115" t="s">
        <v>132</v>
      </c>
      <c r="AM233" s="55"/>
      <c r="AN233" s="149">
        <v>74.0</v>
      </c>
      <c r="AO233" s="149">
        <v>0.053</v>
      </c>
      <c r="AP233" s="139" t="s">
        <v>130</v>
      </c>
      <c r="AQ233" s="115" t="s">
        <v>886</v>
      </c>
      <c r="AR233" s="154">
        <v>0.049</v>
      </c>
      <c r="AS233" s="139" t="s">
        <v>164</v>
      </c>
      <c r="AT233" s="139" t="s">
        <v>179</v>
      </c>
      <c r="AU233" s="115" t="s">
        <v>132</v>
      </c>
      <c r="AV233" s="303"/>
      <c r="AW233" s="115" t="s">
        <v>434</v>
      </c>
      <c r="BB233" s="84"/>
      <c r="BC233" s="84"/>
      <c r="BD233" s="84"/>
      <c r="BE233" s="84"/>
      <c r="BF233" s="84"/>
      <c r="BG233" s="84"/>
      <c r="BH233" s="84"/>
      <c r="BI233" s="84"/>
      <c r="BJ233" s="84"/>
      <c r="BK233" s="84"/>
      <c r="BL233" s="84"/>
      <c r="BM233" s="84"/>
      <c r="BN233" s="84"/>
      <c r="BO233" s="84"/>
      <c r="BP233" s="84"/>
      <c r="BQ233" s="84"/>
      <c r="BR233" s="84"/>
      <c r="BS233" s="84"/>
      <c r="BT233" s="84"/>
      <c r="BU233" s="84"/>
      <c r="BV233" s="84"/>
      <c r="BW233" s="84"/>
      <c r="BX233" s="84"/>
      <c r="BY233" s="84"/>
      <c r="BZ233" s="84"/>
      <c r="CA233" s="84"/>
      <c r="CB233" s="84"/>
      <c r="CC233" s="84"/>
      <c r="CD233" s="84"/>
      <c r="CE233" s="84"/>
      <c r="CF233" s="84"/>
      <c r="CG233" s="84"/>
      <c r="CH233" s="84"/>
      <c r="CI233" s="84"/>
      <c r="CJ233" s="84"/>
      <c r="CK233" s="84"/>
      <c r="CL233" s="84"/>
      <c r="CM233" s="84"/>
      <c r="CN233" s="84"/>
      <c r="CO233" s="84"/>
      <c r="CP233" s="84"/>
      <c r="CQ233" s="84"/>
      <c r="CR233" s="84"/>
      <c r="CS233" s="84"/>
      <c r="CT233" s="84"/>
      <c r="CU233" s="84"/>
      <c r="CV233" s="84"/>
      <c r="CW233" s="84"/>
      <c r="CX233" s="84"/>
      <c r="CY233" s="84"/>
      <c r="CZ233" s="84"/>
      <c r="DA233" s="84"/>
      <c r="DB233" s="84"/>
      <c r="DC233" s="84"/>
      <c r="DD233" s="84"/>
      <c r="DE233" s="84"/>
      <c r="DF233" s="84"/>
      <c r="DG233" s="84"/>
    </row>
    <row r="234" ht="20.25" customHeight="1">
      <c r="A234" s="483" t="s">
        <v>520</v>
      </c>
      <c r="B234" s="495" t="s">
        <v>107</v>
      </c>
      <c r="C234" s="495" t="s">
        <v>759</v>
      </c>
      <c r="D234" s="496"/>
      <c r="E234" s="497" t="s">
        <v>1419</v>
      </c>
      <c r="F234" s="40" t="s">
        <v>1277</v>
      </c>
      <c r="G234" s="40" t="s">
        <v>759</v>
      </c>
      <c r="H234" s="56">
        <v>45427.0</v>
      </c>
      <c r="I234" s="58"/>
      <c r="J234" s="58"/>
      <c r="K234" s="58"/>
      <c r="L234" s="40" t="s">
        <v>1420</v>
      </c>
      <c r="M234" s="40" t="s">
        <v>1281</v>
      </c>
      <c r="N234" s="58"/>
      <c r="O234" s="462" t="str">
        <f> hyperlink(vlookup(lower(M234),'File Links'!A:B, 2, FALSE), SUBSTITUTE(lower(M234), "/", "--") &amp;  ".pdf")</f>
        <v>10.1016--j.psychres.2017.09.048.pdf</v>
      </c>
      <c r="P234" s="48" t="str">
        <f t="array" ref="P234">HYPERLINK(INDEX('File Links'!B:B, MATCH(O234, 'File Links'!C:C, 0)))
</f>
        <v>https://drive.google.com/file/d/1bB5zAUL5oQPM2ClvdBCDeAd5AlkWVp4P/view?usp=drivesdk</v>
      </c>
      <c r="Q234" s="40" t="s">
        <v>1421</v>
      </c>
      <c r="R234" s="58"/>
      <c r="S234" s="58"/>
      <c r="T234" s="58"/>
      <c r="U234" s="463" t="str">
        <f> hyperlink(vlookup(lower(R234),'File Links'!E:F, 2, FALSE), SUBSTITUTE(lower(R234), "/", "--") &amp;  ".pdf")</f>
        <v>.pdf</v>
      </c>
      <c r="V234" s="58"/>
      <c r="W234" s="45" t="str">
        <f t="array" ref="W234">HYPERLINK(INDEX('File Links'!B:B, MATCH(U234, 'File Links'!C:C, 0)))
</f>
        <v>#N/A</v>
      </c>
      <c r="X234" s="58"/>
      <c r="Y234" s="40" t="s">
        <v>960</v>
      </c>
      <c r="Z234" s="58"/>
      <c r="AA234" s="58"/>
      <c r="AB234" s="40" t="s">
        <v>1422</v>
      </c>
      <c r="AC234" s="58"/>
      <c r="AD234" s="58"/>
      <c r="AE234" s="58"/>
      <c r="AF234" s="58"/>
      <c r="AG234" s="58"/>
      <c r="AH234" s="58"/>
      <c r="AI234" s="40"/>
      <c r="AJ234" s="58"/>
      <c r="AK234" s="58"/>
      <c r="AL234" s="25"/>
      <c r="AM234" s="58"/>
      <c r="AN234" s="58"/>
      <c r="AO234" s="58"/>
      <c r="AP234" s="58"/>
      <c r="AQ234" s="58"/>
      <c r="AR234" s="58"/>
      <c r="AS234" s="58"/>
      <c r="AT234" s="58"/>
      <c r="AU234" s="25"/>
      <c r="AW234" s="60"/>
      <c r="AX234" s="58"/>
      <c r="BB234" s="209"/>
      <c r="BC234" s="209"/>
      <c r="BD234" s="209"/>
      <c r="BE234" s="209"/>
      <c r="BF234" s="209"/>
      <c r="BG234" s="209"/>
      <c r="BH234" s="209"/>
      <c r="BI234" s="209"/>
      <c r="BJ234" s="209"/>
      <c r="BK234" s="209"/>
      <c r="BL234" s="209"/>
      <c r="BM234" s="209"/>
      <c r="BN234" s="209"/>
      <c r="BO234" s="209"/>
      <c r="BP234" s="209"/>
      <c r="BQ234" s="209"/>
      <c r="BR234" s="209"/>
      <c r="BS234" s="209"/>
      <c r="BT234" s="209"/>
      <c r="BU234" s="209"/>
      <c r="BV234" s="209"/>
      <c r="BW234" s="209"/>
      <c r="BX234" s="209"/>
      <c r="BY234" s="209"/>
      <c r="BZ234" s="209"/>
      <c r="CA234" s="209"/>
      <c r="CB234" s="209"/>
      <c r="CC234" s="209"/>
      <c r="CD234" s="209"/>
      <c r="CE234" s="209"/>
      <c r="CF234" s="209"/>
      <c r="CG234" s="209"/>
      <c r="CH234" s="209"/>
      <c r="CI234" s="209"/>
      <c r="CJ234" s="209"/>
      <c r="CK234" s="209"/>
      <c r="CL234" s="209"/>
      <c r="CM234" s="209"/>
      <c r="CN234" s="209"/>
      <c r="CO234" s="209"/>
      <c r="CP234" s="209"/>
      <c r="CQ234" s="209"/>
      <c r="CR234" s="209"/>
      <c r="CS234" s="209"/>
      <c r="CT234" s="209"/>
      <c r="CU234" s="209"/>
      <c r="CV234" s="209"/>
      <c r="CW234" s="209"/>
      <c r="CX234" s="209"/>
      <c r="CY234" s="209"/>
      <c r="CZ234" s="209"/>
      <c r="DA234" s="209"/>
      <c r="DB234" s="209"/>
      <c r="DC234" s="209"/>
      <c r="DD234" s="209"/>
      <c r="DE234" s="209"/>
      <c r="DF234" s="209"/>
      <c r="DG234" s="209"/>
    </row>
    <row r="235" ht="20.25" customHeight="1">
      <c r="A235" s="483" t="s">
        <v>520</v>
      </c>
      <c r="B235" s="483" t="s">
        <v>107</v>
      </c>
      <c r="C235" s="483" t="s">
        <v>243</v>
      </c>
      <c r="D235" s="484"/>
      <c r="E235" s="470" t="s">
        <v>1419</v>
      </c>
      <c r="F235" s="55" t="s">
        <v>1277</v>
      </c>
      <c r="G235" s="55" t="s">
        <v>244</v>
      </c>
      <c r="H235" s="472">
        <v>45427.0</v>
      </c>
      <c r="I235" s="473">
        <v>45644.0</v>
      </c>
      <c r="J235" s="55"/>
      <c r="K235" s="55"/>
      <c r="L235" s="55" t="s">
        <v>1420</v>
      </c>
      <c r="M235" s="55" t="s">
        <v>1281</v>
      </c>
      <c r="N235" s="55"/>
      <c r="O235" s="467" t="str">
        <f> hyperlink(vlookup(lower(M235),'File Links'!E:F, 2, FALSE), SUBSTITUTE(lower(M235), "/", "--") &amp;  ".pdf")</f>
        <v>10.1016--j.psychres.2017.09.048.pdf</v>
      </c>
      <c r="P235" s="48" t="str">
        <f t="array" ref="P235">HYPERLINK(INDEX('File Links'!B:B, MATCH(O235, 'File Links'!C:C, 0)))
</f>
        <v>https://drive.google.com/file/d/1bB5zAUL5oQPM2ClvdBCDeAd5AlkWVp4P/view?usp=drivesdk</v>
      </c>
      <c r="Q235" s="474" t="s">
        <v>1423</v>
      </c>
      <c r="R235" s="55" t="s">
        <v>1424</v>
      </c>
      <c r="S235" s="55"/>
      <c r="T235" s="329"/>
      <c r="U235" s="464"/>
      <c r="V235" s="55" t="s">
        <v>202</v>
      </c>
      <c r="W235" s="45" t="str">
        <f t="array" ref="W235">HYPERLINK(INDEX('File Links'!B:B, MATCH(U235, 'File Links'!C:C, 0)))
</f>
        <v>#N/A</v>
      </c>
      <c r="X235" s="55"/>
      <c r="Y235" s="55" t="s">
        <v>139</v>
      </c>
      <c r="Z235" s="55"/>
      <c r="AA235" s="55" t="s">
        <v>1425</v>
      </c>
      <c r="AB235" s="55"/>
      <c r="AC235" s="55" t="s">
        <v>1426</v>
      </c>
      <c r="AD235" s="498">
        <v>4.0</v>
      </c>
      <c r="AE235" s="498">
        <v>26.0</v>
      </c>
      <c r="AF235" s="498">
        <v>395.8</v>
      </c>
      <c r="AG235" s="329" t="s">
        <v>1051</v>
      </c>
      <c r="AH235" s="498">
        <v>4.0</v>
      </c>
      <c r="AI235" s="499">
        <v>0.001</v>
      </c>
      <c r="AJ235" s="60" t="s">
        <v>127</v>
      </c>
      <c r="AK235" s="55" t="s">
        <v>128</v>
      </c>
      <c r="AL235" s="55" t="s">
        <v>132</v>
      </c>
      <c r="AM235" s="55" t="s">
        <v>165</v>
      </c>
      <c r="AN235" s="498">
        <v>33.0</v>
      </c>
      <c r="AO235" s="498">
        <v>23.05</v>
      </c>
      <c r="AP235" s="55" t="s">
        <v>1051</v>
      </c>
      <c r="AQ235" s="55" t="s">
        <v>1427</v>
      </c>
      <c r="AR235" s="498">
        <v>0.001</v>
      </c>
      <c r="AS235" s="60" t="s">
        <v>127</v>
      </c>
      <c r="AT235" s="60" t="s">
        <v>179</v>
      </c>
      <c r="AU235" s="60" t="s">
        <v>132</v>
      </c>
      <c r="AV235" s="60" t="s">
        <v>165</v>
      </c>
      <c r="AW235" s="60" t="s">
        <v>434</v>
      </c>
      <c r="AX235" s="115" t="s">
        <v>1428</v>
      </c>
      <c r="BB235" s="84"/>
      <c r="BC235" s="84"/>
      <c r="BD235" s="84"/>
      <c r="BE235" s="84"/>
      <c r="BF235" s="84"/>
      <c r="BG235" s="84"/>
      <c r="BH235" s="84"/>
      <c r="BI235" s="84"/>
      <c r="BJ235" s="84"/>
      <c r="BK235" s="84"/>
      <c r="BL235" s="84"/>
      <c r="BM235" s="84"/>
      <c r="BN235" s="84"/>
      <c r="BO235" s="84"/>
      <c r="BP235" s="84"/>
      <c r="BQ235" s="84"/>
      <c r="BR235" s="84"/>
      <c r="BS235" s="84"/>
      <c r="BT235" s="84"/>
      <c r="BU235" s="84"/>
      <c r="BV235" s="84"/>
      <c r="BW235" s="84"/>
      <c r="BX235" s="84"/>
      <c r="BY235" s="84"/>
      <c r="BZ235" s="84"/>
      <c r="CA235" s="84"/>
      <c r="CB235" s="84"/>
      <c r="CC235" s="84"/>
      <c r="CD235" s="84"/>
      <c r="CE235" s="84"/>
      <c r="CF235" s="84"/>
      <c r="CG235" s="84"/>
      <c r="CH235" s="84"/>
      <c r="CI235" s="84"/>
      <c r="CJ235" s="84"/>
      <c r="CK235" s="84"/>
      <c r="CL235" s="84"/>
      <c r="CM235" s="84"/>
      <c r="CN235" s="84"/>
      <c r="CO235" s="84"/>
      <c r="CP235" s="84"/>
      <c r="CQ235" s="84"/>
      <c r="CR235" s="84"/>
      <c r="CS235" s="84"/>
      <c r="CT235" s="84"/>
      <c r="CU235" s="84"/>
      <c r="CV235" s="84"/>
      <c r="CW235" s="84"/>
      <c r="CX235" s="84"/>
      <c r="CY235" s="84"/>
      <c r="CZ235" s="84"/>
      <c r="DA235" s="84"/>
      <c r="DB235" s="84"/>
      <c r="DC235" s="84"/>
      <c r="DD235" s="84"/>
      <c r="DE235" s="84"/>
      <c r="DF235" s="84"/>
      <c r="DG235" s="84"/>
    </row>
    <row r="236" ht="20.25" customHeight="1">
      <c r="A236" s="483" t="s">
        <v>520</v>
      </c>
      <c r="B236" s="483" t="s">
        <v>107</v>
      </c>
      <c r="C236" s="483" t="s">
        <v>243</v>
      </c>
      <c r="D236" s="484"/>
      <c r="E236" s="470" t="s">
        <v>1419</v>
      </c>
      <c r="F236" s="55" t="s">
        <v>1278</v>
      </c>
      <c r="G236" s="55" t="s">
        <v>244</v>
      </c>
      <c r="H236" s="472">
        <v>45427.0</v>
      </c>
      <c r="I236" s="473">
        <v>45644.0</v>
      </c>
      <c r="J236" s="55"/>
      <c r="K236" s="55"/>
      <c r="L236" s="55" t="s">
        <v>1420</v>
      </c>
      <c r="M236" s="55" t="s">
        <v>1281</v>
      </c>
      <c r="N236" s="55"/>
      <c r="O236" s="467" t="str">
        <f> hyperlink(vlookup(lower(M236),'File Links'!E:F, 2, FALSE), SUBSTITUTE(lower(M236), "/", "--") &amp;  ".pdf")</f>
        <v>10.1016--j.psychres.2017.09.048.pdf</v>
      </c>
      <c r="P236" s="48" t="str">
        <f t="array" ref="P236">HYPERLINK(INDEX('File Links'!B:B, MATCH(O236, 'File Links'!C:C, 0)))
</f>
        <v>https://drive.google.com/file/d/1bB5zAUL5oQPM2ClvdBCDeAd5AlkWVp4P/view?usp=drivesdk</v>
      </c>
      <c r="Q236" s="474" t="s">
        <v>1423</v>
      </c>
      <c r="R236" s="55" t="s">
        <v>1424</v>
      </c>
      <c r="S236" s="55"/>
      <c r="T236" s="329"/>
      <c r="U236" s="464"/>
      <c r="V236" s="55" t="s">
        <v>202</v>
      </c>
      <c r="W236" s="45" t="str">
        <f t="array" ref="W236">HYPERLINK(INDEX('File Links'!B:B, MATCH(U236, 'File Links'!C:C, 0)))
</f>
        <v>#N/A</v>
      </c>
      <c r="X236" s="55"/>
      <c r="Y236" s="55" t="s">
        <v>139</v>
      </c>
      <c r="Z236" s="55"/>
      <c r="AA236" s="55" t="s">
        <v>1429</v>
      </c>
      <c r="AB236" s="55"/>
      <c r="AC236" s="55" t="s">
        <v>1430</v>
      </c>
      <c r="AD236" s="498">
        <v>4.0</v>
      </c>
      <c r="AE236" s="498">
        <v>26.0</v>
      </c>
      <c r="AF236" s="498">
        <v>107.8</v>
      </c>
      <c r="AG236" s="329" t="s">
        <v>1051</v>
      </c>
      <c r="AH236" s="498">
        <v>4.0</v>
      </c>
      <c r="AI236" s="499">
        <v>0.001</v>
      </c>
      <c r="AJ236" s="60" t="s">
        <v>127</v>
      </c>
      <c r="AK236" s="55" t="s">
        <v>128</v>
      </c>
      <c r="AL236" s="55" t="s">
        <v>132</v>
      </c>
      <c r="AM236" s="55" t="s">
        <v>165</v>
      </c>
      <c r="AN236" s="498">
        <v>33.0</v>
      </c>
      <c r="AO236" s="498">
        <v>87.04</v>
      </c>
      <c r="AP236" s="55" t="s">
        <v>1051</v>
      </c>
      <c r="AQ236" s="55" t="s">
        <v>1427</v>
      </c>
      <c r="AR236" s="498">
        <v>0.001</v>
      </c>
      <c r="AS236" s="60" t="s">
        <v>127</v>
      </c>
      <c r="AT236" s="60" t="s">
        <v>179</v>
      </c>
      <c r="AU236" s="60" t="s">
        <v>132</v>
      </c>
      <c r="AV236" s="60" t="s">
        <v>165</v>
      </c>
      <c r="AW236" s="60" t="s">
        <v>434</v>
      </c>
      <c r="AX236" s="55"/>
      <c r="BB236" s="209"/>
      <c r="BC236" s="209"/>
      <c r="BD236" s="209"/>
      <c r="BE236" s="209"/>
      <c r="BF236" s="209"/>
      <c r="BG236" s="209"/>
      <c r="BH236" s="209"/>
      <c r="BI236" s="209"/>
      <c r="BJ236" s="209"/>
      <c r="BK236" s="209"/>
      <c r="BL236" s="209"/>
      <c r="BM236" s="209"/>
      <c r="BN236" s="209"/>
      <c r="BO236" s="209"/>
      <c r="BP236" s="209"/>
      <c r="BQ236" s="209"/>
      <c r="BR236" s="209"/>
      <c r="BS236" s="209"/>
      <c r="BT236" s="209"/>
      <c r="BU236" s="209"/>
      <c r="BV236" s="209"/>
      <c r="BW236" s="209"/>
      <c r="BX236" s="209"/>
      <c r="BY236" s="209"/>
      <c r="BZ236" s="209"/>
      <c r="CA236" s="209"/>
      <c r="CB236" s="209"/>
      <c r="CC236" s="209"/>
      <c r="CD236" s="209"/>
      <c r="CE236" s="209"/>
      <c r="CF236" s="209"/>
      <c r="CG236" s="209"/>
      <c r="CH236" s="209"/>
      <c r="CI236" s="209"/>
      <c r="CJ236" s="209"/>
      <c r="CK236" s="209"/>
      <c r="CL236" s="209"/>
      <c r="CM236" s="209"/>
      <c r="CN236" s="209"/>
      <c r="CO236" s="209"/>
      <c r="CP236" s="209"/>
      <c r="CQ236" s="209"/>
      <c r="CR236" s="209"/>
      <c r="CS236" s="209"/>
      <c r="CT236" s="209"/>
      <c r="CU236" s="209"/>
      <c r="CV236" s="209"/>
      <c r="CW236" s="209"/>
      <c r="CX236" s="209"/>
      <c r="CY236" s="209"/>
      <c r="CZ236" s="209"/>
      <c r="DA236" s="209"/>
      <c r="DB236" s="209"/>
      <c r="DC236" s="209"/>
      <c r="DD236" s="209"/>
      <c r="DE236" s="209"/>
      <c r="DF236" s="209"/>
      <c r="DG236" s="209"/>
    </row>
    <row r="237" ht="20.25" customHeight="1">
      <c r="A237" s="483" t="s">
        <v>520</v>
      </c>
      <c r="B237" s="483" t="s">
        <v>107</v>
      </c>
      <c r="C237" s="483" t="s">
        <v>243</v>
      </c>
      <c r="D237" s="484"/>
      <c r="E237" s="470" t="s">
        <v>1419</v>
      </c>
      <c r="F237" s="55" t="s">
        <v>1289</v>
      </c>
      <c r="G237" s="55" t="s">
        <v>244</v>
      </c>
      <c r="H237" s="472">
        <v>45427.0</v>
      </c>
      <c r="I237" s="473">
        <v>45644.0</v>
      </c>
      <c r="J237" s="55"/>
      <c r="K237" s="55"/>
      <c r="L237" s="55" t="s">
        <v>1420</v>
      </c>
      <c r="M237" s="55" t="s">
        <v>1281</v>
      </c>
      <c r="N237" s="55"/>
      <c r="O237" s="467" t="str">
        <f> hyperlink(vlookup(lower(M237),'File Links'!E:F, 2, FALSE), SUBSTITUTE(lower(M237), "/", "--") &amp;  ".pdf")</f>
        <v>10.1016--j.psychres.2017.09.048.pdf</v>
      </c>
      <c r="P237" s="48" t="str">
        <f t="array" ref="P237">HYPERLINK(INDEX('File Links'!B:B, MATCH(O237, 'File Links'!C:C, 0)))
</f>
        <v>https://drive.google.com/file/d/1bB5zAUL5oQPM2ClvdBCDeAd5AlkWVp4P/view?usp=drivesdk</v>
      </c>
      <c r="Q237" s="474" t="s">
        <v>1423</v>
      </c>
      <c r="R237" s="55" t="s">
        <v>1424</v>
      </c>
      <c r="S237" s="55"/>
      <c r="T237" s="329"/>
      <c r="U237" s="464"/>
      <c r="V237" s="55" t="s">
        <v>202</v>
      </c>
      <c r="W237" s="45" t="str">
        <f t="array" ref="W237">HYPERLINK(INDEX('File Links'!B:B, MATCH(U237, 'File Links'!C:C, 0)))
</f>
        <v>#N/A</v>
      </c>
      <c r="X237" s="55"/>
      <c r="Y237" s="55" t="s">
        <v>139</v>
      </c>
      <c r="Z237" s="55"/>
      <c r="AA237" s="55" t="s">
        <v>1431</v>
      </c>
      <c r="AB237" s="55"/>
      <c r="AC237" s="55" t="s">
        <v>1432</v>
      </c>
      <c r="AD237" s="498">
        <v>5.0</v>
      </c>
      <c r="AE237" s="498">
        <v>26.0</v>
      </c>
      <c r="AF237" s="498">
        <v>2.6</v>
      </c>
      <c r="AG237" s="329" t="s">
        <v>1051</v>
      </c>
      <c r="AH237" s="498">
        <v>5.0</v>
      </c>
      <c r="AI237" s="499">
        <v>0.009</v>
      </c>
      <c r="AJ237" s="60" t="s">
        <v>164</v>
      </c>
      <c r="AK237" s="55" t="s">
        <v>128</v>
      </c>
      <c r="AL237" s="55" t="s">
        <v>132</v>
      </c>
      <c r="AM237" s="55" t="s">
        <v>165</v>
      </c>
      <c r="AN237" s="498">
        <v>33.0</v>
      </c>
      <c r="AO237" s="498">
        <v>3.08</v>
      </c>
      <c r="AP237" s="55" t="s">
        <v>1051</v>
      </c>
      <c r="AQ237" s="55" t="s">
        <v>1427</v>
      </c>
      <c r="AR237" s="498">
        <v>0.021</v>
      </c>
      <c r="AS237" s="60" t="s">
        <v>164</v>
      </c>
      <c r="AT237" s="60" t="s">
        <v>179</v>
      </c>
      <c r="AU237" s="60" t="s">
        <v>132</v>
      </c>
      <c r="AV237" s="60" t="s">
        <v>165</v>
      </c>
      <c r="AW237" s="60" t="s">
        <v>434</v>
      </c>
      <c r="AX237" s="55"/>
      <c r="BB237" s="84"/>
      <c r="BC237" s="84"/>
      <c r="BD237" s="84"/>
      <c r="BE237" s="84"/>
      <c r="BF237" s="84"/>
      <c r="BG237" s="84"/>
      <c r="BH237" s="84"/>
      <c r="BI237" s="84"/>
      <c r="BJ237" s="84"/>
      <c r="BK237" s="84"/>
      <c r="BL237" s="84"/>
      <c r="BM237" s="84"/>
      <c r="BN237" s="84"/>
      <c r="BO237" s="84"/>
      <c r="BP237" s="84"/>
      <c r="BQ237" s="84"/>
      <c r="BR237" s="84"/>
      <c r="BS237" s="84"/>
      <c r="BT237" s="84"/>
      <c r="BU237" s="84"/>
      <c r="BV237" s="84"/>
      <c r="BW237" s="84"/>
      <c r="BX237" s="84"/>
      <c r="BY237" s="84"/>
      <c r="BZ237" s="84"/>
      <c r="CA237" s="84"/>
      <c r="CB237" s="84"/>
      <c r="CC237" s="84"/>
      <c r="CD237" s="84"/>
      <c r="CE237" s="84"/>
      <c r="CF237" s="84"/>
      <c r="CG237" s="84"/>
      <c r="CH237" s="84"/>
      <c r="CI237" s="84"/>
      <c r="CJ237" s="84"/>
      <c r="CK237" s="84"/>
      <c r="CL237" s="84"/>
      <c r="CM237" s="84"/>
      <c r="CN237" s="84"/>
      <c r="CO237" s="84"/>
      <c r="CP237" s="84"/>
      <c r="CQ237" s="84"/>
      <c r="CR237" s="84"/>
      <c r="CS237" s="84"/>
      <c r="CT237" s="84"/>
      <c r="CU237" s="84"/>
      <c r="CV237" s="84"/>
      <c r="CW237" s="84"/>
      <c r="CX237" s="84"/>
      <c r="CY237" s="84"/>
      <c r="CZ237" s="84"/>
      <c r="DA237" s="84"/>
      <c r="DB237" s="84"/>
      <c r="DC237" s="84"/>
      <c r="DD237" s="84"/>
      <c r="DE237" s="84"/>
      <c r="DF237" s="84"/>
      <c r="DG237" s="84"/>
    </row>
    <row r="238" ht="20.25" customHeight="1">
      <c r="A238" s="483" t="s">
        <v>520</v>
      </c>
      <c r="B238" s="483" t="s">
        <v>107</v>
      </c>
      <c r="C238" s="483" t="s">
        <v>243</v>
      </c>
      <c r="D238" s="484"/>
      <c r="E238" s="470" t="s">
        <v>1419</v>
      </c>
      <c r="F238" s="55" t="s">
        <v>1294</v>
      </c>
      <c r="G238" s="55" t="s">
        <v>244</v>
      </c>
      <c r="H238" s="472">
        <v>45427.0</v>
      </c>
      <c r="I238" s="473">
        <v>45644.0</v>
      </c>
      <c r="J238" s="55"/>
      <c r="K238" s="55"/>
      <c r="L238" s="55" t="s">
        <v>1420</v>
      </c>
      <c r="M238" s="55" t="s">
        <v>1281</v>
      </c>
      <c r="N238" s="55"/>
      <c r="O238" s="467" t="str">
        <f> hyperlink(vlookup(lower(M238),'File Links'!E:F, 2, FALSE), SUBSTITUTE(lower(M238), "/", "--") &amp;  ".pdf")</f>
        <v>10.1016--j.psychres.2017.09.048.pdf</v>
      </c>
      <c r="P238" s="48" t="str">
        <f t="array" ref="P238">HYPERLINK(INDEX('File Links'!B:B, MATCH(O238, 'File Links'!C:C, 0)))
</f>
        <v>https://drive.google.com/file/d/1bB5zAUL5oQPM2ClvdBCDeAd5AlkWVp4P/view?usp=drivesdk</v>
      </c>
      <c r="Q238" s="474" t="s">
        <v>1423</v>
      </c>
      <c r="R238" s="55" t="s">
        <v>1424</v>
      </c>
      <c r="S238" s="55"/>
      <c r="T238" s="329"/>
      <c r="U238" s="464"/>
      <c r="V238" s="55" t="s">
        <v>202</v>
      </c>
      <c r="W238" s="45" t="str">
        <f t="array" ref="W238">HYPERLINK(INDEX('File Links'!B:B, MATCH(U238, 'File Links'!C:C, 0)))
</f>
        <v>#N/A</v>
      </c>
      <c r="X238" s="55"/>
      <c r="Y238" s="55" t="s">
        <v>139</v>
      </c>
      <c r="Z238" s="55"/>
      <c r="AA238" s="55" t="s">
        <v>1433</v>
      </c>
      <c r="AB238" s="55"/>
      <c r="AC238" s="55" t="s">
        <v>1434</v>
      </c>
      <c r="AD238" s="498">
        <v>5.0</v>
      </c>
      <c r="AE238" s="498">
        <v>26.0</v>
      </c>
      <c r="AF238" s="498">
        <v>114.5</v>
      </c>
      <c r="AG238" s="329" t="s">
        <v>1051</v>
      </c>
      <c r="AH238" s="498">
        <v>5.0</v>
      </c>
      <c r="AI238" s="498">
        <v>0.001</v>
      </c>
      <c r="AJ238" s="60" t="s">
        <v>127</v>
      </c>
      <c r="AK238" s="55" t="s">
        <v>128</v>
      </c>
      <c r="AL238" s="55" t="s">
        <v>132</v>
      </c>
      <c r="AM238" s="55" t="s">
        <v>165</v>
      </c>
      <c r="AN238" s="498">
        <v>33.0</v>
      </c>
      <c r="AO238" s="498">
        <v>72.19</v>
      </c>
      <c r="AP238" s="55" t="s">
        <v>1051</v>
      </c>
      <c r="AQ238" s="55" t="s">
        <v>1427</v>
      </c>
      <c r="AR238" s="498">
        <v>0.001</v>
      </c>
      <c r="AS238" s="60" t="s">
        <v>127</v>
      </c>
      <c r="AT238" s="60" t="s">
        <v>179</v>
      </c>
      <c r="AU238" s="60" t="s">
        <v>132</v>
      </c>
      <c r="AV238" s="60" t="s">
        <v>165</v>
      </c>
      <c r="AW238" s="60" t="s">
        <v>434</v>
      </c>
      <c r="AX238" s="55"/>
      <c r="BB238" s="209"/>
      <c r="BC238" s="209"/>
      <c r="BD238" s="209"/>
      <c r="BE238" s="209"/>
      <c r="BF238" s="209"/>
      <c r="BG238" s="209"/>
      <c r="BH238" s="209"/>
      <c r="BI238" s="209"/>
      <c r="BJ238" s="209"/>
      <c r="BK238" s="209"/>
      <c r="BL238" s="209"/>
      <c r="BM238" s="209"/>
      <c r="BN238" s="209"/>
      <c r="BO238" s="209"/>
      <c r="BP238" s="209"/>
      <c r="BQ238" s="209"/>
      <c r="BR238" s="209"/>
      <c r="BS238" s="209"/>
      <c r="BT238" s="209"/>
      <c r="BU238" s="209"/>
      <c r="BV238" s="209"/>
      <c r="BW238" s="209"/>
      <c r="BX238" s="209"/>
      <c r="BY238" s="209"/>
      <c r="BZ238" s="209"/>
      <c r="CA238" s="209"/>
      <c r="CB238" s="209"/>
      <c r="CC238" s="209"/>
      <c r="CD238" s="209"/>
      <c r="CE238" s="209"/>
      <c r="CF238" s="209"/>
      <c r="CG238" s="209"/>
      <c r="CH238" s="209"/>
      <c r="CI238" s="209"/>
      <c r="CJ238" s="209"/>
      <c r="CK238" s="209"/>
      <c r="CL238" s="209"/>
      <c r="CM238" s="209"/>
      <c r="CN238" s="209"/>
      <c r="CO238" s="209"/>
      <c r="CP238" s="209"/>
      <c r="CQ238" s="209"/>
      <c r="CR238" s="209"/>
      <c r="CS238" s="209"/>
      <c r="CT238" s="209"/>
      <c r="CU238" s="209"/>
      <c r="CV238" s="209"/>
      <c r="CW238" s="209"/>
      <c r="CX238" s="209"/>
      <c r="CY238" s="209"/>
      <c r="CZ238" s="209"/>
      <c r="DA238" s="209"/>
      <c r="DB238" s="209"/>
      <c r="DC238" s="209"/>
      <c r="DD238" s="209"/>
      <c r="DE238" s="209"/>
      <c r="DF238" s="209"/>
      <c r="DG238" s="209"/>
    </row>
    <row r="239" ht="20.25" customHeight="1">
      <c r="A239" s="483" t="s">
        <v>520</v>
      </c>
      <c r="B239" s="483" t="s">
        <v>107</v>
      </c>
      <c r="C239" s="483" t="s">
        <v>243</v>
      </c>
      <c r="D239" s="484"/>
      <c r="E239" s="470" t="s">
        <v>1419</v>
      </c>
      <c r="F239" s="55" t="s">
        <v>1298</v>
      </c>
      <c r="G239" s="55" t="s">
        <v>244</v>
      </c>
      <c r="H239" s="472">
        <v>45427.0</v>
      </c>
      <c r="I239" s="473">
        <v>45644.0</v>
      </c>
      <c r="J239" s="55"/>
      <c r="K239" s="55"/>
      <c r="L239" s="55" t="s">
        <v>1420</v>
      </c>
      <c r="M239" s="55" t="s">
        <v>1281</v>
      </c>
      <c r="N239" s="55"/>
      <c r="O239" s="467" t="str">
        <f> hyperlink(vlookup(lower(M239),'File Links'!E:F, 2, FALSE), SUBSTITUTE(lower(M239), "/", "--") &amp;  ".pdf")</f>
        <v>10.1016--j.psychres.2017.09.048.pdf</v>
      </c>
      <c r="P239" s="48" t="str">
        <f t="array" ref="P239">HYPERLINK(INDEX('File Links'!B:B, MATCH(O239, 'File Links'!C:C, 0)))
</f>
        <v>https://drive.google.com/file/d/1bB5zAUL5oQPM2ClvdBCDeAd5AlkWVp4P/view?usp=drivesdk</v>
      </c>
      <c r="Q239" s="474" t="s">
        <v>1423</v>
      </c>
      <c r="R239" s="55" t="s">
        <v>1424</v>
      </c>
      <c r="S239" s="55"/>
      <c r="T239" s="329"/>
      <c r="U239" s="464"/>
      <c r="V239" s="55" t="s">
        <v>202</v>
      </c>
      <c r="W239" s="45" t="str">
        <f t="array" ref="W239">HYPERLINK(INDEX('File Links'!B:B, MATCH(U239, 'File Links'!C:C, 0)))
</f>
        <v>#N/A</v>
      </c>
      <c r="X239" s="55"/>
      <c r="Y239" s="55" t="s">
        <v>139</v>
      </c>
      <c r="Z239" s="55"/>
      <c r="AA239" s="55" t="s">
        <v>1435</v>
      </c>
      <c r="AB239" s="55"/>
      <c r="AC239" s="55" t="s">
        <v>1436</v>
      </c>
      <c r="AD239" s="498">
        <v>5.0</v>
      </c>
      <c r="AE239" s="498">
        <v>26.0</v>
      </c>
      <c r="AF239" s="498">
        <v>3.3</v>
      </c>
      <c r="AG239" s="329" t="s">
        <v>1051</v>
      </c>
      <c r="AH239" s="498">
        <v>5.0</v>
      </c>
      <c r="AI239" s="498">
        <v>0.04</v>
      </c>
      <c r="AJ239" s="60" t="s">
        <v>164</v>
      </c>
      <c r="AK239" s="55" t="s">
        <v>128</v>
      </c>
      <c r="AL239" s="55" t="s">
        <v>132</v>
      </c>
      <c r="AM239" s="55" t="s">
        <v>165</v>
      </c>
      <c r="AN239" s="498">
        <v>33.0</v>
      </c>
      <c r="AO239" s="498">
        <v>4.59</v>
      </c>
      <c r="AP239" s="55" t="s">
        <v>1051</v>
      </c>
      <c r="AQ239" s="55" t="s">
        <v>1427</v>
      </c>
      <c r="AR239" s="498">
        <v>0.036</v>
      </c>
      <c r="AS239" s="60" t="s">
        <v>164</v>
      </c>
      <c r="AT239" s="60" t="s">
        <v>179</v>
      </c>
      <c r="AU239" s="60" t="s">
        <v>132</v>
      </c>
      <c r="AV239" s="60" t="s">
        <v>165</v>
      </c>
      <c r="AW239" s="60" t="s">
        <v>434</v>
      </c>
      <c r="AX239" s="55"/>
      <c r="BB239" s="209"/>
      <c r="BC239" s="209"/>
      <c r="BD239" s="209"/>
      <c r="BE239" s="209"/>
      <c r="BF239" s="209"/>
      <c r="BG239" s="209"/>
      <c r="BH239" s="209"/>
      <c r="BI239" s="209"/>
      <c r="BJ239" s="209"/>
      <c r="BK239" s="209"/>
      <c r="BL239" s="209"/>
      <c r="BM239" s="209"/>
      <c r="BN239" s="209"/>
      <c r="BO239" s="209"/>
      <c r="BP239" s="209"/>
      <c r="BQ239" s="209"/>
      <c r="BR239" s="209"/>
      <c r="BS239" s="209"/>
      <c r="BT239" s="209"/>
      <c r="BU239" s="209"/>
      <c r="BV239" s="209"/>
      <c r="BW239" s="209"/>
      <c r="BX239" s="209"/>
      <c r="BY239" s="209"/>
      <c r="BZ239" s="209"/>
      <c r="CA239" s="209"/>
      <c r="CB239" s="209"/>
      <c r="CC239" s="209"/>
      <c r="CD239" s="209"/>
      <c r="CE239" s="209"/>
      <c r="CF239" s="209"/>
      <c r="CG239" s="209"/>
      <c r="CH239" s="209"/>
      <c r="CI239" s="209"/>
      <c r="CJ239" s="209"/>
      <c r="CK239" s="209"/>
      <c r="CL239" s="209"/>
      <c r="CM239" s="209"/>
      <c r="CN239" s="209"/>
      <c r="CO239" s="209"/>
      <c r="CP239" s="209"/>
      <c r="CQ239" s="209"/>
      <c r="CR239" s="209"/>
      <c r="CS239" s="209"/>
      <c r="CT239" s="209"/>
      <c r="CU239" s="209"/>
      <c r="CV239" s="209"/>
      <c r="CW239" s="209"/>
      <c r="CX239" s="209"/>
      <c r="CY239" s="209"/>
      <c r="CZ239" s="209"/>
      <c r="DA239" s="209"/>
      <c r="DB239" s="209"/>
      <c r="DC239" s="209"/>
      <c r="DD239" s="209"/>
      <c r="DE239" s="209"/>
      <c r="DF239" s="209"/>
      <c r="DG239" s="209"/>
    </row>
    <row r="240" ht="20.25" customHeight="1">
      <c r="A240" s="483" t="s">
        <v>520</v>
      </c>
      <c r="B240" s="483" t="s">
        <v>107</v>
      </c>
      <c r="C240" s="483" t="s">
        <v>243</v>
      </c>
      <c r="D240" s="484"/>
      <c r="E240" s="470" t="s">
        <v>1419</v>
      </c>
      <c r="F240" s="55" t="s">
        <v>1304</v>
      </c>
      <c r="G240" s="55" t="s">
        <v>244</v>
      </c>
      <c r="H240" s="472">
        <v>45427.0</v>
      </c>
      <c r="I240" s="473">
        <v>45644.0</v>
      </c>
      <c r="J240" s="55"/>
      <c r="K240" s="55"/>
      <c r="L240" s="55" t="s">
        <v>1420</v>
      </c>
      <c r="M240" s="55" t="s">
        <v>1281</v>
      </c>
      <c r="N240" s="55"/>
      <c r="O240" s="467" t="str">
        <f> hyperlink(vlookup(lower(M240),'File Links'!E:F, 2, FALSE), SUBSTITUTE(lower(M240), "/", "--") &amp;  ".pdf")</f>
        <v>10.1016--j.psychres.2017.09.048.pdf</v>
      </c>
      <c r="P240" s="48" t="str">
        <f t="array" ref="P240">HYPERLINK(INDEX('File Links'!B:B, MATCH(O240, 'File Links'!C:C, 0)))
</f>
        <v>https://drive.google.com/file/d/1bB5zAUL5oQPM2ClvdBCDeAd5AlkWVp4P/view?usp=drivesdk</v>
      </c>
      <c r="Q240" s="474" t="s">
        <v>1423</v>
      </c>
      <c r="R240" s="55" t="s">
        <v>1424</v>
      </c>
      <c r="S240" s="55"/>
      <c r="T240" s="329"/>
      <c r="U240" s="464"/>
      <c r="V240" s="55" t="s">
        <v>202</v>
      </c>
      <c r="W240" s="45" t="str">
        <f t="array" ref="W240">HYPERLINK(INDEX('File Links'!B:B, MATCH(U240, 'File Links'!C:C, 0)))
</f>
        <v>#N/A</v>
      </c>
      <c r="X240" s="55"/>
      <c r="Y240" s="55" t="s">
        <v>139</v>
      </c>
      <c r="Z240" s="55"/>
      <c r="AA240" s="55" t="s">
        <v>1437</v>
      </c>
      <c r="AB240" s="55"/>
      <c r="AC240" s="55" t="s">
        <v>1438</v>
      </c>
      <c r="AD240" s="498">
        <v>5.0</v>
      </c>
      <c r="AE240" s="498">
        <v>26.0</v>
      </c>
      <c r="AF240" s="498">
        <v>2.7</v>
      </c>
      <c r="AG240" s="329" t="s">
        <v>1051</v>
      </c>
      <c r="AH240" s="498">
        <v>5.0</v>
      </c>
      <c r="AI240" s="499">
        <v>0.012</v>
      </c>
      <c r="AJ240" s="60" t="s">
        <v>164</v>
      </c>
      <c r="AK240" s="55" t="s">
        <v>128</v>
      </c>
      <c r="AL240" s="55" t="s">
        <v>132</v>
      </c>
      <c r="AM240" s="55" t="s">
        <v>165</v>
      </c>
      <c r="AN240" s="498">
        <v>33.0</v>
      </c>
      <c r="AO240" s="498" t="s">
        <v>1439</v>
      </c>
      <c r="AP240" s="55" t="s">
        <v>1051</v>
      </c>
      <c r="AQ240" s="55" t="s">
        <v>1427</v>
      </c>
      <c r="AR240" s="498">
        <v>0.036</v>
      </c>
      <c r="AS240" s="60" t="s">
        <v>164</v>
      </c>
      <c r="AT240" s="60" t="s">
        <v>179</v>
      </c>
      <c r="AU240" s="60" t="s">
        <v>132</v>
      </c>
      <c r="AV240" s="60" t="s">
        <v>165</v>
      </c>
      <c r="AW240" s="60" t="s">
        <v>434</v>
      </c>
      <c r="AX240" s="55"/>
      <c r="BB240" s="209"/>
      <c r="BC240" s="209"/>
      <c r="BD240" s="209"/>
      <c r="BE240" s="209"/>
      <c r="BF240" s="209"/>
      <c r="BG240" s="209"/>
      <c r="BH240" s="209"/>
      <c r="BI240" s="209"/>
      <c r="BJ240" s="209"/>
      <c r="BK240" s="209"/>
      <c r="BL240" s="209"/>
      <c r="BM240" s="209"/>
      <c r="BN240" s="209"/>
      <c r="BO240" s="209"/>
      <c r="BP240" s="209"/>
      <c r="BQ240" s="209"/>
      <c r="BR240" s="209"/>
      <c r="BS240" s="209"/>
      <c r="BT240" s="209"/>
      <c r="BU240" s="209"/>
      <c r="BV240" s="209"/>
      <c r="BW240" s="209"/>
      <c r="BX240" s="209"/>
      <c r="BY240" s="209"/>
      <c r="BZ240" s="209"/>
      <c r="CA240" s="209"/>
      <c r="CB240" s="209"/>
      <c r="CC240" s="209"/>
      <c r="CD240" s="209"/>
      <c r="CE240" s="209"/>
      <c r="CF240" s="209"/>
      <c r="CG240" s="209"/>
      <c r="CH240" s="209"/>
      <c r="CI240" s="209"/>
      <c r="CJ240" s="209"/>
      <c r="CK240" s="209"/>
      <c r="CL240" s="209"/>
      <c r="CM240" s="209"/>
      <c r="CN240" s="209"/>
      <c r="CO240" s="209"/>
      <c r="CP240" s="209"/>
      <c r="CQ240" s="209"/>
      <c r="CR240" s="209"/>
      <c r="CS240" s="209"/>
      <c r="CT240" s="209"/>
      <c r="CU240" s="209"/>
      <c r="CV240" s="209"/>
      <c r="CW240" s="209"/>
      <c r="CX240" s="209"/>
      <c r="CY240" s="209"/>
      <c r="CZ240" s="209"/>
      <c r="DA240" s="209"/>
      <c r="DB240" s="209"/>
      <c r="DC240" s="209"/>
      <c r="DD240" s="209"/>
      <c r="DE240" s="209"/>
      <c r="DF240" s="209"/>
      <c r="DG240" s="209"/>
    </row>
    <row r="241" ht="20.25" customHeight="1">
      <c r="A241" s="483" t="s">
        <v>520</v>
      </c>
      <c r="B241" s="483" t="s">
        <v>107</v>
      </c>
      <c r="C241" s="483" t="s">
        <v>243</v>
      </c>
      <c r="D241" s="484"/>
      <c r="E241" s="470" t="s">
        <v>1419</v>
      </c>
      <c r="F241" s="55" t="s">
        <v>1309</v>
      </c>
      <c r="G241" s="55" t="s">
        <v>244</v>
      </c>
      <c r="H241" s="472">
        <v>45427.0</v>
      </c>
      <c r="I241" s="473">
        <v>45644.0</v>
      </c>
      <c r="J241" s="55"/>
      <c r="K241" s="55"/>
      <c r="L241" s="55" t="s">
        <v>1420</v>
      </c>
      <c r="M241" s="55" t="s">
        <v>1281</v>
      </c>
      <c r="N241" s="55"/>
      <c r="O241" s="500" t="str">
        <f> hyperlink(vlookup(lower(M241),'File Links'!E:F, 2, FALSE), SUBSTITUTE(lower(M241), "/", "--") &amp;  ".pdf")</f>
        <v>10.1016--j.psychres.2017.09.048.pdf</v>
      </c>
      <c r="P241" s="48" t="str">
        <f t="array" ref="P241">HYPERLINK(INDEX('File Links'!B:B, MATCH(O241, 'File Links'!C:C, 0)))
</f>
        <v>https://drive.google.com/file/d/1bB5zAUL5oQPM2ClvdBCDeAd5AlkWVp4P/view?usp=drivesdk</v>
      </c>
      <c r="Q241" s="474" t="s">
        <v>1423</v>
      </c>
      <c r="R241" s="55" t="s">
        <v>1424</v>
      </c>
      <c r="S241" s="55"/>
      <c r="T241" s="329"/>
      <c r="U241" s="55"/>
      <c r="V241" s="55" t="s">
        <v>202</v>
      </c>
      <c r="W241" s="45" t="str">
        <f t="array" ref="W241">HYPERLINK(INDEX('File Links'!B:B, MATCH(U241, 'File Links'!C:C, 0)))
</f>
        <v>#N/A</v>
      </c>
      <c r="X241" s="55"/>
      <c r="Y241" s="55" t="s">
        <v>139</v>
      </c>
      <c r="Z241" s="55"/>
      <c r="AA241" s="55" t="s">
        <v>1440</v>
      </c>
      <c r="AB241" s="55"/>
      <c r="AC241" s="55" t="s">
        <v>1441</v>
      </c>
      <c r="AD241" s="498">
        <v>5.0</v>
      </c>
      <c r="AE241" s="498">
        <v>26.0</v>
      </c>
      <c r="AF241" s="498">
        <v>0.84</v>
      </c>
      <c r="AG241" s="329" t="s">
        <v>166</v>
      </c>
      <c r="AH241" s="498">
        <v>5.0</v>
      </c>
      <c r="AI241" s="499">
        <v>0.001</v>
      </c>
      <c r="AJ241" s="60" t="s">
        <v>164</v>
      </c>
      <c r="AK241" s="55" t="s">
        <v>128</v>
      </c>
      <c r="AL241" s="55" t="s">
        <v>132</v>
      </c>
      <c r="AM241" s="55" t="s">
        <v>165</v>
      </c>
      <c r="AN241" s="498">
        <v>33.0</v>
      </c>
      <c r="AO241" s="498">
        <v>0.59</v>
      </c>
      <c r="AP241" s="55" t="s">
        <v>166</v>
      </c>
      <c r="AQ241" s="55" t="s">
        <v>1427</v>
      </c>
      <c r="AR241" s="501">
        <v>0.01</v>
      </c>
      <c r="AS241" s="60" t="s">
        <v>164</v>
      </c>
      <c r="AT241" s="60" t="s">
        <v>179</v>
      </c>
      <c r="AU241" s="60" t="s">
        <v>132</v>
      </c>
      <c r="AV241" s="60" t="s">
        <v>165</v>
      </c>
      <c r="AW241" s="60" t="s">
        <v>434</v>
      </c>
      <c r="AX241" s="55"/>
      <c r="BB241" s="209"/>
      <c r="BC241" s="209"/>
      <c r="BD241" s="209"/>
      <c r="BE241" s="209"/>
      <c r="BF241" s="209"/>
      <c r="BG241" s="209"/>
      <c r="BH241" s="209"/>
      <c r="BI241" s="209"/>
      <c r="BJ241" s="209"/>
      <c r="BK241" s="209"/>
      <c r="BL241" s="209"/>
      <c r="BM241" s="209"/>
      <c r="BN241" s="209"/>
      <c r="BO241" s="209"/>
      <c r="BP241" s="209"/>
      <c r="BQ241" s="209"/>
      <c r="BR241" s="209"/>
      <c r="BS241" s="209"/>
      <c r="BT241" s="209"/>
      <c r="BU241" s="209"/>
      <c r="BV241" s="209"/>
      <c r="BW241" s="209"/>
      <c r="BX241" s="209"/>
      <c r="BY241" s="209"/>
      <c r="BZ241" s="209"/>
      <c r="CA241" s="209"/>
      <c r="CB241" s="209"/>
      <c r="CC241" s="209"/>
      <c r="CD241" s="209"/>
      <c r="CE241" s="209"/>
      <c r="CF241" s="209"/>
      <c r="CG241" s="209"/>
      <c r="CH241" s="209"/>
      <c r="CI241" s="209"/>
      <c r="CJ241" s="209"/>
      <c r="CK241" s="209"/>
      <c r="CL241" s="209"/>
      <c r="CM241" s="209"/>
      <c r="CN241" s="209"/>
      <c r="CO241" s="209"/>
      <c r="CP241" s="209"/>
      <c r="CQ241" s="209"/>
      <c r="CR241" s="209"/>
      <c r="CS241" s="209"/>
      <c r="CT241" s="209"/>
      <c r="CU241" s="209"/>
      <c r="CV241" s="209"/>
      <c r="CW241" s="209"/>
      <c r="CX241" s="209"/>
      <c r="CY241" s="209"/>
      <c r="CZ241" s="209"/>
      <c r="DA241" s="209"/>
      <c r="DB241" s="209"/>
      <c r="DC241" s="209"/>
      <c r="DD241" s="209"/>
      <c r="DE241" s="209"/>
      <c r="DF241" s="209"/>
      <c r="DG241" s="209"/>
    </row>
    <row r="242" ht="20.25" customHeight="1">
      <c r="A242" s="483" t="s">
        <v>520</v>
      </c>
      <c r="B242" s="483" t="s">
        <v>107</v>
      </c>
      <c r="C242" s="483" t="s">
        <v>243</v>
      </c>
      <c r="D242" s="484"/>
      <c r="E242" s="60" t="s">
        <v>1419</v>
      </c>
      <c r="F242" s="55" t="s">
        <v>1309</v>
      </c>
      <c r="G242" s="55" t="s">
        <v>244</v>
      </c>
      <c r="H242" s="472">
        <v>45427.0</v>
      </c>
      <c r="I242" s="473">
        <v>45644.0</v>
      </c>
      <c r="J242" s="55"/>
      <c r="K242" s="55"/>
      <c r="L242" s="55" t="s">
        <v>1420</v>
      </c>
      <c r="M242" s="55" t="s">
        <v>1281</v>
      </c>
      <c r="N242" s="55"/>
      <c r="O242" s="500" t="str">
        <f> hyperlink(vlookup(lower(M242),'File Links'!E:F, 2, FALSE), SUBSTITUTE(lower(M242), "/", "--") &amp;  ".pdf")</f>
        <v>10.1016--j.psychres.2017.09.048.pdf</v>
      </c>
      <c r="P242" s="48" t="str">
        <f t="array" ref="P242">HYPERLINK(INDEX('File Links'!B:B, MATCH(O242, 'File Links'!C:C, 0)))
</f>
        <v>https://drive.google.com/file/d/1bB5zAUL5oQPM2ClvdBCDeAd5AlkWVp4P/view?usp=drivesdk</v>
      </c>
      <c r="Q242" s="474" t="s">
        <v>1423</v>
      </c>
      <c r="R242" s="55" t="s">
        <v>1424</v>
      </c>
      <c r="S242" s="55"/>
      <c r="T242" s="329"/>
      <c r="U242" s="55"/>
      <c r="V242" s="55" t="s">
        <v>202</v>
      </c>
      <c r="W242" s="45" t="str">
        <f t="array" ref="W242">HYPERLINK(INDEX('File Links'!B:B, MATCH(U242, 'File Links'!C:C, 0)))
</f>
        <v>#N/A</v>
      </c>
      <c r="X242" s="55"/>
      <c r="Y242" s="55" t="s">
        <v>139</v>
      </c>
      <c r="Z242" s="55"/>
      <c r="AA242" s="55" t="s">
        <v>1442</v>
      </c>
      <c r="AB242" s="55"/>
      <c r="AC242" s="55" t="s">
        <v>1443</v>
      </c>
      <c r="AD242" s="498">
        <v>5.0</v>
      </c>
      <c r="AE242" s="498">
        <v>26.0</v>
      </c>
      <c r="AF242" s="498">
        <v>947.0</v>
      </c>
      <c r="AG242" s="329" t="s">
        <v>1051</v>
      </c>
      <c r="AH242" s="498">
        <v>5.0</v>
      </c>
      <c r="AI242" s="498">
        <v>0.001</v>
      </c>
      <c r="AJ242" s="60" t="s">
        <v>127</v>
      </c>
      <c r="AK242" s="55" t="s">
        <v>128</v>
      </c>
      <c r="AL242" s="55" t="s">
        <v>132</v>
      </c>
      <c r="AM242" s="55" t="s">
        <v>165</v>
      </c>
      <c r="AN242" s="498">
        <v>33.0</v>
      </c>
      <c r="AO242" s="498">
        <v>405.55</v>
      </c>
      <c r="AP242" s="55" t="s">
        <v>1051</v>
      </c>
      <c r="AQ242" s="55" t="s">
        <v>1427</v>
      </c>
      <c r="AR242" s="498">
        <v>0.001</v>
      </c>
      <c r="AS242" s="60" t="s">
        <v>127</v>
      </c>
      <c r="AT242" s="60" t="s">
        <v>179</v>
      </c>
      <c r="AU242" s="60" t="s">
        <v>132</v>
      </c>
      <c r="AV242" s="60" t="s">
        <v>165</v>
      </c>
      <c r="AW242" s="60" t="s">
        <v>434</v>
      </c>
      <c r="AX242" s="55"/>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c r="CD242" s="64"/>
      <c r="CE242" s="64"/>
      <c r="CF242" s="64"/>
      <c r="CG242" s="64"/>
      <c r="CH242" s="64"/>
      <c r="CI242" s="64"/>
      <c r="CJ242" s="64"/>
      <c r="CK242" s="64"/>
      <c r="CL242" s="64"/>
      <c r="CM242" s="64"/>
      <c r="CN242" s="64"/>
      <c r="CO242" s="64"/>
      <c r="CP242" s="64"/>
      <c r="CQ242" s="64"/>
      <c r="CR242" s="64"/>
      <c r="CS242" s="64"/>
      <c r="CT242" s="64"/>
      <c r="CU242" s="64"/>
      <c r="CV242" s="64"/>
      <c r="CW242" s="64"/>
      <c r="CX242" s="64"/>
      <c r="CY242" s="64"/>
      <c r="CZ242" s="64"/>
      <c r="DA242" s="64"/>
      <c r="DB242" s="64"/>
      <c r="DC242" s="64"/>
      <c r="DD242" s="64"/>
      <c r="DE242" s="64"/>
      <c r="DF242" s="64"/>
      <c r="DG242" s="64"/>
    </row>
    <row r="243" ht="20.25" customHeight="1">
      <c r="A243" s="483" t="s">
        <v>520</v>
      </c>
      <c r="B243" s="483" t="s">
        <v>107</v>
      </c>
      <c r="C243" s="483" t="s">
        <v>243</v>
      </c>
      <c r="D243" s="484"/>
      <c r="E243" s="60" t="s">
        <v>1419</v>
      </c>
      <c r="F243" s="55" t="s">
        <v>1314</v>
      </c>
      <c r="G243" s="55" t="s">
        <v>244</v>
      </c>
      <c r="H243" s="472">
        <v>45427.0</v>
      </c>
      <c r="I243" s="473">
        <v>45644.0</v>
      </c>
      <c r="J243" s="55"/>
      <c r="K243" s="55"/>
      <c r="L243" s="55" t="s">
        <v>1420</v>
      </c>
      <c r="M243" s="55" t="s">
        <v>1281</v>
      </c>
      <c r="N243" s="55"/>
      <c r="O243" s="500" t="str">
        <f> hyperlink(vlookup(lower(M243),'File Links'!E:F, 2, FALSE), SUBSTITUTE(lower(M243), "/", "--") &amp;  ".pdf")</f>
        <v>10.1016--j.psychres.2017.09.048.pdf</v>
      </c>
      <c r="P243" s="48" t="str">
        <f t="array" ref="P243">HYPERLINK(INDEX('File Links'!B:B, MATCH(O243, 'File Links'!C:C, 0)))
</f>
        <v>https://drive.google.com/file/d/1bB5zAUL5oQPM2ClvdBCDeAd5AlkWVp4P/view?usp=drivesdk</v>
      </c>
      <c r="Q243" s="474" t="s">
        <v>1423</v>
      </c>
      <c r="R243" s="55" t="s">
        <v>1424</v>
      </c>
      <c r="S243" s="55"/>
      <c r="T243" s="329"/>
      <c r="U243" s="55"/>
      <c r="V243" s="55" t="s">
        <v>202</v>
      </c>
      <c r="W243" s="45" t="str">
        <f t="array" ref="W243">HYPERLINK(INDEX('File Links'!B:B, MATCH(U243, 'File Links'!C:C, 0)))
</f>
        <v>#N/A</v>
      </c>
      <c r="X243" s="55"/>
      <c r="Y243" s="55" t="s">
        <v>139</v>
      </c>
      <c r="Z243" s="55"/>
      <c r="AA243" s="55" t="s">
        <v>1444</v>
      </c>
      <c r="AB243" s="55"/>
      <c r="AC243" s="55" t="s">
        <v>1445</v>
      </c>
      <c r="AD243" s="498">
        <v>5.0</v>
      </c>
      <c r="AE243" s="498">
        <v>26.0</v>
      </c>
      <c r="AF243" s="498">
        <v>26.1</v>
      </c>
      <c r="AG243" s="329" t="s">
        <v>1051</v>
      </c>
      <c r="AH243" s="498">
        <v>5.0</v>
      </c>
      <c r="AI243" s="498">
        <v>0.001</v>
      </c>
      <c r="AJ243" s="60" t="s">
        <v>127</v>
      </c>
      <c r="AK243" s="55" t="s">
        <v>128</v>
      </c>
      <c r="AL243" s="55" t="s">
        <v>132</v>
      </c>
      <c r="AM243" s="55" t="s">
        <v>165</v>
      </c>
      <c r="AN243" s="498">
        <v>33.0</v>
      </c>
      <c r="AO243" s="498">
        <v>40.98</v>
      </c>
      <c r="AP243" s="55" t="s">
        <v>1051</v>
      </c>
      <c r="AQ243" s="55" t="s">
        <v>1427</v>
      </c>
      <c r="AR243" s="498">
        <v>0.001</v>
      </c>
      <c r="AS243" s="60" t="s">
        <v>127</v>
      </c>
      <c r="AT243" s="60" t="s">
        <v>179</v>
      </c>
      <c r="AU243" s="60" t="s">
        <v>132</v>
      </c>
      <c r="AV243" s="60" t="s">
        <v>165</v>
      </c>
      <c r="AW243" s="60" t="s">
        <v>434</v>
      </c>
      <c r="AX243" s="55"/>
      <c r="AZ243" s="64"/>
      <c r="BA243" s="64"/>
      <c r="BB243" s="64"/>
      <c r="BC243" s="64"/>
      <c r="BD243" s="64"/>
      <c r="BE243" s="64"/>
      <c r="BF243" s="64"/>
      <c r="BG243" s="64"/>
      <c r="BH243" s="64"/>
      <c r="BI243" s="64"/>
      <c r="BJ243" s="64"/>
      <c r="BK243" s="64"/>
      <c r="BL243" s="64"/>
      <c r="BM243" s="64"/>
      <c r="BN243" s="64"/>
      <c r="BO243" s="64"/>
      <c r="BP243" s="64"/>
      <c r="BQ243" s="64"/>
      <c r="BR243" s="64"/>
      <c r="BS243" s="64"/>
      <c r="BT243" s="64"/>
      <c r="BU243" s="64"/>
      <c r="BV243" s="64"/>
      <c r="BW243" s="64"/>
      <c r="BX243" s="64"/>
      <c r="BY243" s="64"/>
      <c r="BZ243" s="64"/>
      <c r="CA243" s="64"/>
      <c r="CB243" s="64"/>
      <c r="CC243" s="64"/>
      <c r="CD243" s="64"/>
      <c r="CE243" s="64"/>
      <c r="CF243" s="64"/>
      <c r="CG243" s="64"/>
      <c r="CH243" s="64"/>
      <c r="CI243" s="64"/>
      <c r="CJ243" s="64"/>
      <c r="CK243" s="64"/>
      <c r="CL243" s="64"/>
      <c r="CM243" s="64"/>
      <c r="CN243" s="64"/>
      <c r="CO243" s="64"/>
      <c r="CP243" s="64"/>
      <c r="CQ243" s="64"/>
      <c r="CR243" s="64"/>
      <c r="CS243" s="64"/>
      <c r="CT243" s="64"/>
      <c r="CU243" s="64"/>
      <c r="CV243" s="64"/>
      <c r="CW243" s="64"/>
      <c r="CX243" s="64"/>
      <c r="CY243" s="64"/>
      <c r="CZ243" s="64"/>
      <c r="DA243" s="64"/>
      <c r="DB243" s="64"/>
      <c r="DC243" s="64"/>
      <c r="DD243" s="64"/>
      <c r="DE243" s="64"/>
      <c r="DF243" s="64"/>
      <c r="DG243" s="64"/>
    </row>
    <row r="244" ht="20.25" customHeight="1">
      <c r="A244" s="483" t="s">
        <v>520</v>
      </c>
      <c r="B244" s="483" t="s">
        <v>107</v>
      </c>
      <c r="C244" s="483" t="s">
        <v>243</v>
      </c>
      <c r="D244" s="484"/>
      <c r="E244" s="60" t="s">
        <v>1419</v>
      </c>
      <c r="F244" s="55" t="s">
        <v>1319</v>
      </c>
      <c r="G244" s="55" t="s">
        <v>244</v>
      </c>
      <c r="H244" s="472">
        <v>45427.0</v>
      </c>
      <c r="I244" s="473">
        <v>45644.0</v>
      </c>
      <c r="J244" s="55"/>
      <c r="K244" s="55"/>
      <c r="L244" s="55" t="s">
        <v>1420</v>
      </c>
      <c r="M244" s="55" t="s">
        <v>1281</v>
      </c>
      <c r="N244" s="55"/>
      <c r="O244" s="500" t="str">
        <f> hyperlink(vlookup(lower(M244),'File Links'!E:F, 2, FALSE), SUBSTITUTE(lower(M244), "/", "--") &amp;  ".pdf")</f>
        <v>10.1016--j.psychres.2017.09.048.pdf</v>
      </c>
      <c r="P244" s="48" t="str">
        <f t="array" ref="P244">HYPERLINK(INDEX('File Links'!B:B, MATCH(O244, 'File Links'!C:C, 0)))
</f>
        <v>https://drive.google.com/file/d/1bB5zAUL5oQPM2ClvdBCDeAd5AlkWVp4P/view?usp=drivesdk</v>
      </c>
      <c r="Q244" s="474" t="s">
        <v>1423</v>
      </c>
      <c r="R244" s="55" t="s">
        <v>1424</v>
      </c>
      <c r="S244" s="55"/>
      <c r="T244" s="329"/>
      <c r="U244" s="55"/>
      <c r="V244" s="55" t="s">
        <v>202</v>
      </c>
      <c r="W244" s="45" t="str">
        <f t="array" ref="W244">HYPERLINK(INDEX('File Links'!B:B, MATCH(U244, 'File Links'!C:C, 0)))
</f>
        <v>#N/A</v>
      </c>
      <c r="X244" s="55"/>
      <c r="Y244" s="55" t="s">
        <v>139</v>
      </c>
      <c r="Z244" s="55"/>
      <c r="AA244" s="55" t="s">
        <v>1444</v>
      </c>
      <c r="AB244" s="55"/>
      <c r="AC244" s="55" t="s">
        <v>1446</v>
      </c>
      <c r="AD244" s="498">
        <v>5.0</v>
      </c>
      <c r="AE244" s="498">
        <v>26.0</v>
      </c>
      <c r="AF244" s="498" t="s">
        <v>1447</v>
      </c>
      <c r="AG244" s="329" t="s">
        <v>1051</v>
      </c>
      <c r="AH244" s="498">
        <v>5.0</v>
      </c>
      <c r="AI244" s="498">
        <v>0.5</v>
      </c>
      <c r="AJ244" s="60" t="s">
        <v>329</v>
      </c>
      <c r="AK244" s="55" t="s">
        <v>128</v>
      </c>
      <c r="AL244" s="55" t="s">
        <v>132</v>
      </c>
      <c r="AM244" s="55" t="s">
        <v>165</v>
      </c>
      <c r="AN244" s="498">
        <v>33.0</v>
      </c>
      <c r="AO244" s="498" t="s">
        <v>1447</v>
      </c>
      <c r="AP244" s="55" t="s">
        <v>1051</v>
      </c>
      <c r="AQ244" s="55" t="s">
        <v>1427</v>
      </c>
      <c r="AR244" s="498">
        <v>0.05</v>
      </c>
      <c r="AS244" s="60" t="s">
        <v>329</v>
      </c>
      <c r="AT244" s="60" t="s">
        <v>179</v>
      </c>
      <c r="AU244" s="60" t="s">
        <v>132</v>
      </c>
      <c r="AV244" s="60" t="s">
        <v>165</v>
      </c>
      <c r="AW244" s="60" t="s">
        <v>434</v>
      </c>
      <c r="AX244" s="55"/>
      <c r="AZ244" s="215"/>
      <c r="BA244" s="215"/>
      <c r="BB244" s="215"/>
      <c r="BC244" s="215"/>
      <c r="BD244" s="215"/>
      <c r="BE244" s="215"/>
      <c r="BF244" s="215"/>
      <c r="BG244" s="215"/>
      <c r="BH244" s="215"/>
      <c r="BI244" s="215"/>
      <c r="BJ244" s="215"/>
      <c r="BK244" s="215"/>
      <c r="BL244" s="215"/>
      <c r="BM244" s="215"/>
      <c r="BN244" s="215"/>
      <c r="BO244" s="215"/>
      <c r="BP244" s="215"/>
      <c r="BQ244" s="215"/>
      <c r="BR244" s="215"/>
      <c r="BS244" s="215"/>
      <c r="BT244" s="215"/>
      <c r="BU244" s="215"/>
      <c r="BV244" s="215"/>
      <c r="BW244" s="215"/>
      <c r="BX244" s="215"/>
      <c r="BY244" s="215"/>
      <c r="BZ244" s="215"/>
      <c r="CA244" s="215"/>
      <c r="CB244" s="215"/>
      <c r="CC244" s="215"/>
      <c r="CD244" s="215"/>
      <c r="CE244" s="215"/>
      <c r="CF244" s="215"/>
      <c r="CG244" s="215"/>
      <c r="CH244" s="215"/>
      <c r="CI244" s="215"/>
      <c r="CJ244" s="215"/>
      <c r="CK244" s="215"/>
      <c r="CL244" s="215"/>
      <c r="CM244" s="215"/>
      <c r="CN244" s="215"/>
      <c r="CO244" s="215"/>
      <c r="CP244" s="215"/>
      <c r="CQ244" s="215"/>
      <c r="CR244" s="215"/>
      <c r="CS244" s="215"/>
      <c r="CT244" s="215"/>
      <c r="CU244" s="215"/>
      <c r="CV244" s="215"/>
      <c r="CW244" s="215"/>
      <c r="CX244" s="215"/>
      <c r="CY244" s="215"/>
      <c r="CZ244" s="215"/>
      <c r="DA244" s="215"/>
      <c r="DB244" s="215"/>
      <c r="DC244" s="215"/>
      <c r="DD244" s="215"/>
      <c r="DE244" s="215"/>
      <c r="DF244" s="215"/>
      <c r="DG244" s="215"/>
    </row>
    <row r="245" ht="20.25" customHeight="1">
      <c r="A245" s="483" t="s">
        <v>520</v>
      </c>
      <c r="B245" s="483" t="s">
        <v>107</v>
      </c>
      <c r="C245" s="483" t="s">
        <v>243</v>
      </c>
      <c r="D245" s="484"/>
      <c r="E245" s="60" t="s">
        <v>1419</v>
      </c>
      <c r="F245" s="55" t="s">
        <v>1330</v>
      </c>
      <c r="G245" s="55" t="s">
        <v>244</v>
      </c>
      <c r="H245" s="472">
        <v>45427.0</v>
      </c>
      <c r="I245" s="473">
        <v>45644.0</v>
      </c>
      <c r="J245" s="55"/>
      <c r="K245" s="55"/>
      <c r="L245" s="55" t="s">
        <v>1420</v>
      </c>
      <c r="M245" s="55" t="s">
        <v>1281</v>
      </c>
      <c r="N245" s="55"/>
      <c r="O245" s="500" t="str">
        <f> hyperlink(vlookup(lower(M245),'File Links'!E:F, 2, FALSE), SUBSTITUTE(lower(M245), "/", "--") &amp;  ".pdf")</f>
        <v>10.1016--j.psychres.2017.09.048.pdf</v>
      </c>
      <c r="P245" s="48" t="str">
        <f t="array" ref="P245">HYPERLINK(INDEX('File Links'!B:B, MATCH(O245, 'File Links'!C:C, 0)))
</f>
        <v>https://drive.google.com/file/d/1bB5zAUL5oQPM2ClvdBCDeAd5AlkWVp4P/view?usp=drivesdk</v>
      </c>
      <c r="Q245" s="474" t="s">
        <v>1423</v>
      </c>
      <c r="R245" s="55" t="s">
        <v>1424</v>
      </c>
      <c r="S245" s="55"/>
      <c r="T245" s="329"/>
      <c r="U245" s="55"/>
      <c r="V245" s="55" t="s">
        <v>202</v>
      </c>
      <c r="W245" s="45" t="str">
        <f t="array" ref="W245">HYPERLINK(INDEX('File Links'!B:B, MATCH(U245, 'File Links'!C:C, 0)))
</f>
        <v>#N/A</v>
      </c>
      <c r="X245" s="55"/>
      <c r="Y245" s="55" t="s">
        <v>139</v>
      </c>
      <c r="Z245" s="55"/>
      <c r="AA245" s="55" t="s">
        <v>1448</v>
      </c>
      <c r="AB245" s="55"/>
      <c r="AC245" s="55" t="s">
        <v>1449</v>
      </c>
      <c r="AD245" s="498">
        <v>5.0</v>
      </c>
      <c r="AE245" s="498">
        <v>26.0</v>
      </c>
      <c r="AF245" s="498">
        <v>93.0</v>
      </c>
      <c r="AG245" s="329" t="s">
        <v>1051</v>
      </c>
      <c r="AH245" s="498">
        <v>5.0</v>
      </c>
      <c r="AI245" s="498">
        <v>0.001</v>
      </c>
      <c r="AJ245" s="60" t="s">
        <v>127</v>
      </c>
      <c r="AK245" s="55" t="s">
        <v>128</v>
      </c>
      <c r="AL245" s="55" t="s">
        <v>132</v>
      </c>
      <c r="AM245" s="55" t="s">
        <v>165</v>
      </c>
      <c r="AN245" s="498">
        <v>33.0</v>
      </c>
      <c r="AO245" s="498">
        <v>131.98</v>
      </c>
      <c r="AP245" s="55" t="s">
        <v>1051</v>
      </c>
      <c r="AQ245" s="55" t="s">
        <v>1427</v>
      </c>
      <c r="AR245" s="498">
        <v>0.001</v>
      </c>
      <c r="AS245" s="60" t="s">
        <v>127</v>
      </c>
      <c r="AT245" s="60" t="s">
        <v>179</v>
      </c>
      <c r="AU245" s="60" t="s">
        <v>132</v>
      </c>
      <c r="AV245" s="60" t="s">
        <v>165</v>
      </c>
      <c r="AW245" s="60" t="s">
        <v>434</v>
      </c>
      <c r="AX245" s="55"/>
      <c r="AZ245" s="215"/>
      <c r="BA245" s="215"/>
      <c r="BB245" s="215"/>
      <c r="BC245" s="215"/>
      <c r="BD245" s="215"/>
      <c r="BE245" s="215"/>
      <c r="BF245" s="215"/>
      <c r="BG245" s="215"/>
      <c r="BH245" s="215"/>
      <c r="BI245" s="215"/>
      <c r="BJ245" s="215"/>
      <c r="BK245" s="215"/>
      <c r="BL245" s="215"/>
      <c r="BM245" s="215"/>
      <c r="BN245" s="215"/>
      <c r="BO245" s="215"/>
      <c r="BP245" s="215"/>
      <c r="BQ245" s="215"/>
      <c r="BR245" s="215"/>
      <c r="BS245" s="215"/>
      <c r="BT245" s="215"/>
      <c r="BU245" s="215"/>
      <c r="BV245" s="215"/>
      <c r="BW245" s="215"/>
      <c r="BX245" s="215"/>
      <c r="BY245" s="215"/>
      <c r="BZ245" s="215"/>
      <c r="CA245" s="215"/>
      <c r="CB245" s="215"/>
      <c r="CC245" s="215"/>
      <c r="CD245" s="215"/>
      <c r="CE245" s="215"/>
      <c r="CF245" s="215"/>
      <c r="CG245" s="215"/>
      <c r="CH245" s="215"/>
      <c r="CI245" s="215"/>
      <c r="CJ245" s="215"/>
      <c r="CK245" s="215"/>
      <c r="CL245" s="215"/>
      <c r="CM245" s="215"/>
      <c r="CN245" s="215"/>
      <c r="CO245" s="215"/>
      <c r="CP245" s="215"/>
      <c r="CQ245" s="215"/>
      <c r="CR245" s="215"/>
      <c r="CS245" s="215"/>
      <c r="CT245" s="215"/>
      <c r="CU245" s="215"/>
      <c r="CV245" s="215"/>
      <c r="CW245" s="215"/>
      <c r="CX245" s="215"/>
      <c r="CY245" s="215"/>
      <c r="CZ245" s="215"/>
      <c r="DA245" s="215"/>
      <c r="DB245" s="215"/>
      <c r="DC245" s="215"/>
      <c r="DD245" s="215"/>
      <c r="DE245" s="215"/>
      <c r="DF245" s="215"/>
      <c r="DG245" s="215"/>
    </row>
    <row r="246" ht="20.25" customHeight="1">
      <c r="A246" s="483" t="s">
        <v>520</v>
      </c>
      <c r="B246" s="483" t="s">
        <v>107</v>
      </c>
      <c r="C246" s="483" t="s">
        <v>243</v>
      </c>
      <c r="D246" s="484"/>
      <c r="E246" s="60" t="s">
        <v>1419</v>
      </c>
      <c r="F246" s="55" t="s">
        <v>1335</v>
      </c>
      <c r="G246" s="55" t="s">
        <v>244</v>
      </c>
      <c r="H246" s="472">
        <v>45427.0</v>
      </c>
      <c r="I246" s="473">
        <v>45644.0</v>
      </c>
      <c r="J246" s="55"/>
      <c r="K246" s="55"/>
      <c r="L246" s="55" t="s">
        <v>1420</v>
      </c>
      <c r="M246" s="55" t="s">
        <v>1281</v>
      </c>
      <c r="N246" s="55"/>
      <c r="O246" s="500" t="str">
        <f> hyperlink(vlookup(lower(M246),'File Links'!E:F, 2, FALSE), SUBSTITUTE(lower(M246), "/", "--") &amp;  ".pdf")</f>
        <v>10.1016--j.psychres.2017.09.048.pdf</v>
      </c>
      <c r="P246" s="48" t="str">
        <f t="array" ref="P246">HYPERLINK(INDEX('File Links'!B:B, MATCH(O246, 'File Links'!C:C, 0)))
</f>
        <v>https://drive.google.com/file/d/1bB5zAUL5oQPM2ClvdBCDeAd5AlkWVp4P/view?usp=drivesdk</v>
      </c>
      <c r="Q246" s="474" t="s">
        <v>1423</v>
      </c>
      <c r="R246" s="55" t="s">
        <v>1424</v>
      </c>
      <c r="S246" s="55"/>
      <c r="T246" s="329"/>
      <c r="U246" s="55"/>
      <c r="V246" s="55" t="s">
        <v>202</v>
      </c>
      <c r="W246" s="45" t="str">
        <f t="array" ref="W246">HYPERLINK(INDEX('File Links'!B:B, MATCH(U246, 'File Links'!C:C, 0)))
</f>
        <v>#N/A</v>
      </c>
      <c r="X246" s="55"/>
      <c r="Y246" s="55" t="s">
        <v>139</v>
      </c>
      <c r="Z246" s="55"/>
      <c r="AA246" s="55" t="s">
        <v>1450</v>
      </c>
      <c r="AB246" s="55"/>
      <c r="AC246" s="55" t="s">
        <v>1451</v>
      </c>
      <c r="AD246" s="498">
        <v>5.0</v>
      </c>
      <c r="AE246" s="498">
        <v>26.0</v>
      </c>
      <c r="AF246" s="498">
        <v>99.5</v>
      </c>
      <c r="AG246" s="329" t="s">
        <v>1051</v>
      </c>
      <c r="AH246" s="498">
        <v>5.0</v>
      </c>
      <c r="AI246" s="498">
        <v>0.001</v>
      </c>
      <c r="AJ246" s="60" t="s">
        <v>127</v>
      </c>
      <c r="AK246" s="55" t="s">
        <v>128</v>
      </c>
      <c r="AL246" s="55" t="s">
        <v>132</v>
      </c>
      <c r="AM246" s="55" t="s">
        <v>165</v>
      </c>
      <c r="AN246" s="498">
        <v>33.0</v>
      </c>
      <c r="AO246" s="498">
        <v>105.87</v>
      </c>
      <c r="AP246" s="55" t="s">
        <v>1051</v>
      </c>
      <c r="AQ246" s="55" t="s">
        <v>1427</v>
      </c>
      <c r="AR246" s="498">
        <v>0.001</v>
      </c>
      <c r="AS246" s="60" t="s">
        <v>127</v>
      </c>
      <c r="AT246" s="60" t="s">
        <v>179</v>
      </c>
      <c r="AU246" s="60" t="s">
        <v>132</v>
      </c>
      <c r="AV246" s="60" t="s">
        <v>165</v>
      </c>
      <c r="AW246" s="60" t="s">
        <v>434</v>
      </c>
      <c r="AX246" s="55"/>
      <c r="AZ246" s="215"/>
      <c r="BA246" s="215"/>
      <c r="BB246" s="215"/>
      <c r="BC246" s="215"/>
      <c r="BD246" s="215"/>
      <c r="BE246" s="215"/>
      <c r="BF246" s="215"/>
      <c r="BG246" s="215"/>
      <c r="BH246" s="215"/>
      <c r="BI246" s="215"/>
      <c r="BJ246" s="215"/>
      <c r="BK246" s="215"/>
      <c r="BL246" s="215"/>
      <c r="BM246" s="215"/>
      <c r="BN246" s="215"/>
      <c r="BO246" s="215"/>
      <c r="BP246" s="215"/>
      <c r="BQ246" s="215"/>
      <c r="BR246" s="215"/>
      <c r="BS246" s="215"/>
      <c r="BT246" s="215"/>
      <c r="BU246" s="215"/>
      <c r="BV246" s="215"/>
      <c r="BW246" s="215"/>
      <c r="BX246" s="215"/>
      <c r="BY246" s="215"/>
      <c r="BZ246" s="215"/>
      <c r="CA246" s="215"/>
      <c r="CB246" s="215"/>
      <c r="CC246" s="215"/>
      <c r="CD246" s="215"/>
      <c r="CE246" s="215"/>
      <c r="CF246" s="215"/>
      <c r="CG246" s="215"/>
      <c r="CH246" s="215"/>
      <c r="CI246" s="215"/>
      <c r="CJ246" s="215"/>
      <c r="CK246" s="215"/>
      <c r="CL246" s="215"/>
      <c r="CM246" s="215"/>
      <c r="CN246" s="215"/>
      <c r="CO246" s="215"/>
      <c r="CP246" s="215"/>
      <c r="CQ246" s="215"/>
      <c r="CR246" s="215"/>
      <c r="CS246" s="215"/>
      <c r="CT246" s="215"/>
      <c r="CU246" s="215"/>
      <c r="CV246" s="215"/>
      <c r="CW246" s="215"/>
      <c r="CX246" s="215"/>
      <c r="CY246" s="215"/>
      <c r="CZ246" s="215"/>
      <c r="DA246" s="215"/>
      <c r="DB246" s="215"/>
      <c r="DC246" s="215"/>
      <c r="DD246" s="215"/>
      <c r="DE246" s="215"/>
      <c r="DF246" s="215"/>
      <c r="DG246" s="215"/>
    </row>
    <row r="247" ht="20.25" customHeight="1">
      <c r="A247" s="483" t="s">
        <v>520</v>
      </c>
      <c r="B247" s="483" t="s">
        <v>107</v>
      </c>
      <c r="C247" s="483" t="s">
        <v>243</v>
      </c>
      <c r="D247" s="484"/>
      <c r="E247" s="60" t="s">
        <v>1419</v>
      </c>
      <c r="F247" s="55" t="s">
        <v>1341</v>
      </c>
      <c r="G247" s="55" t="s">
        <v>244</v>
      </c>
      <c r="H247" s="472">
        <v>45427.0</v>
      </c>
      <c r="I247" s="473">
        <v>45644.0</v>
      </c>
      <c r="J247" s="55"/>
      <c r="K247" s="55"/>
      <c r="L247" s="55" t="s">
        <v>1420</v>
      </c>
      <c r="M247" s="55" t="s">
        <v>1281</v>
      </c>
      <c r="N247" s="55"/>
      <c r="O247" s="500" t="str">
        <f> hyperlink(vlookup(lower(M247),'File Links'!E:F, 2, FALSE), SUBSTITUTE(lower(M247), "/", "--") &amp;  ".pdf")</f>
        <v>10.1016--j.psychres.2017.09.048.pdf</v>
      </c>
      <c r="P247" s="48" t="str">
        <f t="array" ref="P247">HYPERLINK(INDEX('File Links'!B:B, MATCH(O247, 'File Links'!C:C, 0)))
</f>
        <v>https://drive.google.com/file/d/1bB5zAUL5oQPM2ClvdBCDeAd5AlkWVp4P/view?usp=drivesdk</v>
      </c>
      <c r="Q247" s="474" t="s">
        <v>1423</v>
      </c>
      <c r="R247" s="55" t="s">
        <v>1424</v>
      </c>
      <c r="S247" s="55"/>
      <c r="T247" s="329"/>
      <c r="U247" s="55"/>
      <c r="V247" s="55" t="s">
        <v>202</v>
      </c>
      <c r="W247" s="45" t="str">
        <f t="array" ref="W247">HYPERLINK(INDEX('File Links'!B:B, MATCH(U247, 'File Links'!C:C, 0)))
</f>
        <v>#N/A</v>
      </c>
      <c r="X247" s="55"/>
      <c r="Y247" s="55" t="s">
        <v>139</v>
      </c>
      <c r="Z247" s="55"/>
      <c r="AA247" s="55" t="s">
        <v>1444</v>
      </c>
      <c r="AB247" s="55"/>
      <c r="AC247" s="55" t="s">
        <v>1376</v>
      </c>
      <c r="AD247" s="498">
        <v>5.0</v>
      </c>
      <c r="AE247" s="498">
        <v>26.0</v>
      </c>
      <c r="AF247" s="498" t="s">
        <v>1452</v>
      </c>
      <c r="AG247" s="329" t="s">
        <v>1051</v>
      </c>
      <c r="AH247" s="498">
        <v>5.0</v>
      </c>
      <c r="AI247" s="498">
        <v>0.5</v>
      </c>
      <c r="AJ247" s="60" t="s">
        <v>329</v>
      </c>
      <c r="AK247" s="55" t="s">
        <v>128</v>
      </c>
      <c r="AL247" s="55" t="s">
        <v>132</v>
      </c>
      <c r="AM247" s="55" t="s">
        <v>165</v>
      </c>
      <c r="AN247" s="498">
        <v>33.0</v>
      </c>
      <c r="AO247" s="498" t="s">
        <v>1447</v>
      </c>
      <c r="AP247" s="55" t="s">
        <v>1051</v>
      </c>
      <c r="AQ247" s="55" t="s">
        <v>1427</v>
      </c>
      <c r="AR247" s="498">
        <v>0.05</v>
      </c>
      <c r="AS247" s="60" t="s">
        <v>329</v>
      </c>
      <c r="AT247" s="60" t="s">
        <v>179</v>
      </c>
      <c r="AU247" s="60" t="s">
        <v>132</v>
      </c>
      <c r="AV247" s="60" t="s">
        <v>165</v>
      </c>
      <c r="AW247" s="60" t="s">
        <v>434</v>
      </c>
      <c r="AX247" s="55"/>
      <c r="AZ247" s="215"/>
      <c r="BA247" s="215"/>
      <c r="BB247" s="215"/>
      <c r="BC247" s="215"/>
      <c r="BD247" s="215"/>
      <c r="BE247" s="215"/>
      <c r="BF247" s="215"/>
      <c r="BG247" s="215"/>
      <c r="BH247" s="215"/>
      <c r="BI247" s="215"/>
      <c r="BJ247" s="215"/>
      <c r="BK247" s="215"/>
      <c r="BL247" s="215"/>
      <c r="BM247" s="215"/>
      <c r="BN247" s="215"/>
      <c r="BO247" s="215"/>
      <c r="BP247" s="215"/>
      <c r="BQ247" s="215"/>
      <c r="BR247" s="215"/>
      <c r="BS247" s="215"/>
      <c r="BT247" s="215"/>
      <c r="BU247" s="215"/>
      <c r="BV247" s="215"/>
      <c r="BW247" s="215"/>
      <c r="BX247" s="215"/>
      <c r="BY247" s="215"/>
      <c r="BZ247" s="215"/>
      <c r="CA247" s="215"/>
      <c r="CB247" s="215"/>
      <c r="CC247" s="215"/>
      <c r="CD247" s="215"/>
      <c r="CE247" s="215"/>
      <c r="CF247" s="215"/>
      <c r="CG247" s="215"/>
      <c r="CH247" s="215"/>
      <c r="CI247" s="215"/>
      <c r="CJ247" s="215"/>
      <c r="CK247" s="215"/>
      <c r="CL247" s="215"/>
      <c r="CM247" s="215"/>
      <c r="CN247" s="215"/>
      <c r="CO247" s="215"/>
      <c r="CP247" s="215"/>
      <c r="CQ247" s="215"/>
      <c r="CR247" s="215"/>
      <c r="CS247" s="215"/>
      <c r="CT247" s="215"/>
      <c r="CU247" s="215"/>
      <c r="CV247" s="215"/>
      <c r="CW247" s="215"/>
      <c r="CX247" s="215"/>
      <c r="CY247" s="215"/>
      <c r="CZ247" s="215"/>
      <c r="DA247" s="215"/>
      <c r="DB247" s="215"/>
      <c r="DC247" s="215"/>
      <c r="DD247" s="215"/>
      <c r="DE247" s="215"/>
      <c r="DF247" s="215"/>
      <c r="DG247" s="215"/>
    </row>
    <row r="248" ht="20.25" customHeight="1">
      <c r="A248" s="483" t="s">
        <v>520</v>
      </c>
      <c r="B248" s="483" t="s">
        <v>107</v>
      </c>
      <c r="C248" s="483" t="s">
        <v>280</v>
      </c>
      <c r="D248" s="484"/>
      <c r="E248" s="143" t="s">
        <v>1419</v>
      </c>
      <c r="F248" s="139" t="s">
        <v>1277</v>
      </c>
      <c r="G248" s="139" t="s">
        <v>283</v>
      </c>
      <c r="H248" s="141">
        <v>45427.0</v>
      </c>
      <c r="I248" s="141">
        <v>45685.0</v>
      </c>
      <c r="J248" s="115" t="s">
        <v>1279</v>
      </c>
      <c r="K248" s="60"/>
      <c r="L248" s="143" t="s">
        <v>1420</v>
      </c>
      <c r="M248" s="143" t="s">
        <v>1281</v>
      </c>
      <c r="N248" s="144"/>
      <c r="O248" s="302" t="s">
        <v>1453</v>
      </c>
      <c r="P248" s="48" t="str">
        <f t="array" ref="P248">HYPERLINK(INDEX('File Links'!B:B, MATCH(O248, 'File Links'!C:C, 0)))
</f>
        <v>https://drive.google.com/file/d/1bB5zAUL5oQPM2ClvdBCDeAd5AlkWVp4P/view?usp=drivesdk</v>
      </c>
      <c r="Q248" s="115" t="s">
        <v>1421</v>
      </c>
      <c r="R248" s="60"/>
      <c r="S248" s="60"/>
      <c r="T248" s="144"/>
      <c r="U248" s="302" t="s">
        <v>351</v>
      </c>
      <c r="V248" s="115" t="s">
        <v>1283</v>
      </c>
      <c r="W248" s="45" t="str">
        <f t="array" ref="W248">HYPERLINK(INDEX('File Links'!B:B, MATCH(U248, 'File Links'!C:C, 0)))
</f>
        <v>#N/A</v>
      </c>
      <c r="Y248" s="139" t="s">
        <v>139</v>
      </c>
      <c r="Z248" s="115" t="s">
        <v>1454</v>
      </c>
      <c r="AA248" s="115" t="s">
        <v>1285</v>
      </c>
      <c r="AB248" s="115" t="s">
        <v>1286</v>
      </c>
      <c r="AC248" s="153" t="s">
        <v>1287</v>
      </c>
      <c r="AD248" s="149" t="s">
        <v>861</v>
      </c>
      <c r="AE248" s="149">
        <v>89.0</v>
      </c>
      <c r="AF248" s="149">
        <v>0.822</v>
      </c>
      <c r="AG248" s="139" t="s">
        <v>130</v>
      </c>
      <c r="AH248" s="115" t="s">
        <v>861</v>
      </c>
      <c r="AI248" s="154">
        <v>0.001</v>
      </c>
      <c r="AJ248" s="139" t="s">
        <v>127</v>
      </c>
      <c r="AK248" s="139" t="s">
        <v>128</v>
      </c>
      <c r="AL248" s="115" t="s">
        <v>132</v>
      </c>
      <c r="AM248" s="55"/>
      <c r="AN248" s="149">
        <v>74.0</v>
      </c>
      <c r="AO248" s="149">
        <v>0.243</v>
      </c>
      <c r="AP248" s="139" t="s">
        <v>130</v>
      </c>
      <c r="AQ248" s="115" t="s">
        <v>1288</v>
      </c>
      <c r="AR248" s="154">
        <v>0.001</v>
      </c>
      <c r="AS248" s="139" t="s">
        <v>127</v>
      </c>
      <c r="AT248" s="139" t="s">
        <v>179</v>
      </c>
      <c r="AU248" s="115" t="s">
        <v>132</v>
      </c>
      <c r="AV248" s="303"/>
      <c r="AW248" s="115" t="s">
        <v>434</v>
      </c>
      <c r="BB248" s="95"/>
      <c r="BC248" s="95"/>
      <c r="BD248" s="95"/>
      <c r="BE248" s="95"/>
      <c r="BF248" s="95"/>
      <c r="BG248" s="95"/>
      <c r="BH248" s="95"/>
      <c r="BI248" s="95"/>
      <c r="BJ248" s="95"/>
      <c r="BK248" s="95"/>
      <c r="BL248" s="95"/>
      <c r="BM248" s="95"/>
      <c r="BN248" s="95"/>
      <c r="BO248" s="95"/>
      <c r="BP248" s="95"/>
      <c r="BQ248" s="95"/>
      <c r="BR248" s="95"/>
      <c r="BS248" s="95"/>
      <c r="BT248" s="95"/>
      <c r="BU248" s="95"/>
      <c r="BV248" s="95"/>
      <c r="BW248" s="95"/>
      <c r="BX248" s="95"/>
      <c r="BY248" s="95"/>
      <c r="BZ248" s="95"/>
      <c r="CA248" s="95"/>
      <c r="CB248" s="95"/>
      <c r="CC248" s="95"/>
      <c r="CD248" s="95"/>
      <c r="CE248" s="95"/>
      <c r="CF248" s="95"/>
      <c r="CG248" s="95"/>
      <c r="CH248" s="95"/>
      <c r="CI248" s="95"/>
      <c r="CJ248" s="95"/>
      <c r="CK248" s="95"/>
      <c r="CL248" s="95"/>
      <c r="CM248" s="95"/>
      <c r="CN248" s="95"/>
      <c r="CO248" s="95"/>
      <c r="CP248" s="95"/>
      <c r="CQ248" s="95"/>
      <c r="CR248" s="95"/>
      <c r="CS248" s="95"/>
      <c r="CT248" s="95"/>
      <c r="CU248" s="95"/>
      <c r="CV248" s="95"/>
      <c r="CW248" s="95"/>
      <c r="CX248" s="95"/>
      <c r="CY248" s="95"/>
      <c r="CZ248" s="95"/>
      <c r="DA248" s="95"/>
      <c r="DB248" s="95"/>
      <c r="DC248" s="95"/>
      <c r="DD248" s="95"/>
      <c r="DE248" s="95"/>
      <c r="DF248" s="95"/>
      <c r="DG248" s="95"/>
    </row>
    <row r="249" ht="20.25" customHeight="1">
      <c r="A249" s="424" t="s">
        <v>106</v>
      </c>
      <c r="B249" s="424" t="s">
        <v>107</v>
      </c>
      <c r="C249" s="424" t="s">
        <v>1455</v>
      </c>
      <c r="D249" s="425"/>
      <c r="E249" s="191" t="s">
        <v>1456</v>
      </c>
      <c r="F249" s="112" t="s">
        <v>1457</v>
      </c>
      <c r="G249" s="112" t="s">
        <v>1458</v>
      </c>
      <c r="H249" s="502">
        <v>45633.0</v>
      </c>
      <c r="I249" s="503">
        <v>45663.0</v>
      </c>
      <c r="J249" s="119"/>
      <c r="K249" s="202" t="s">
        <v>1459</v>
      </c>
      <c r="L249" s="112" t="s">
        <v>1460</v>
      </c>
      <c r="M249" s="112" t="s">
        <v>1461</v>
      </c>
      <c r="N249" s="119"/>
      <c r="O249" s="212" t="str">
        <f>SUBSTITUTE(LOWER(M249), "/", "--") &amp;  ".pdf"</f>
        <v>10.1177--0267658310386439.pdf</v>
      </c>
      <c r="P249" s="48" t="str">
        <f t="array" ref="P249">HYPERLINK(INDEX('File Links'!B:B, MATCH(O249, 'File Links'!C:C, 0)))
</f>
        <v>https://drive.google.com/file/d/1c_xOizbgC83hFcsc5jmN-idvU1vfACNB/view?usp=drivesdk</v>
      </c>
      <c r="Q249" s="112" t="s">
        <v>1462</v>
      </c>
      <c r="R249" s="112" t="s">
        <v>1463</v>
      </c>
      <c r="S249" s="119"/>
      <c r="T249" s="311"/>
      <c r="U249" s="112" t="str">
        <f>HYPERLINK(VLOOKUP(LOWER(R249),#REF!, 2, FALSE), SUBSTITUTE(LOWER(R249), "/", "--") &amp;  ".pdf")</f>
        <v>10.1017--s0272263124000342.pdf</v>
      </c>
      <c r="V249" s="121" t="s">
        <v>1464</v>
      </c>
      <c r="W249" s="50" t="str">
        <f t="array" ref="W249">HYPERLINK(INDEX('File Links'!B:B, MATCH(U249, 'File Links'!C:C, 0)))
</f>
        <v>https://drive.google.com/file/d/1fNwzy4f6SEAeVccICF8BD0SDAIH7uPVr/view?usp=drivesdk</v>
      </c>
      <c r="X249" s="119"/>
      <c r="Y249" s="112" t="s">
        <v>287</v>
      </c>
      <c r="Z249" s="121" t="s">
        <v>1465</v>
      </c>
      <c r="AA249" s="121" t="s">
        <v>1466</v>
      </c>
      <c r="AB249" s="112" t="s">
        <v>1467</v>
      </c>
      <c r="AC249" s="112" t="s">
        <v>1468</v>
      </c>
      <c r="AD249" s="313">
        <v>118.0</v>
      </c>
      <c r="AE249" s="117">
        <v>60.0</v>
      </c>
      <c r="AF249" s="354" t="s">
        <v>1469</v>
      </c>
      <c r="AG249" s="353" t="s">
        <v>162</v>
      </c>
      <c r="AH249" s="504"/>
      <c r="AI249" s="505">
        <v>0.901</v>
      </c>
      <c r="AJ249" s="506" t="s">
        <v>164</v>
      </c>
      <c r="AK249" s="504" t="s">
        <v>179</v>
      </c>
      <c r="AL249" s="119" t="s">
        <v>132</v>
      </c>
      <c r="AM249" s="119"/>
      <c r="AN249" s="117">
        <v>211.0</v>
      </c>
      <c r="AO249" s="112" t="s">
        <v>1470</v>
      </c>
      <c r="AP249" s="112" t="s">
        <v>162</v>
      </c>
      <c r="AQ249" s="119"/>
      <c r="AR249" s="117">
        <v>0.05</v>
      </c>
      <c r="AS249" s="111" t="s">
        <v>127</v>
      </c>
      <c r="AT249" s="111" t="s">
        <v>179</v>
      </c>
      <c r="AU249" s="111" t="s">
        <v>132</v>
      </c>
      <c r="AV249" s="111"/>
      <c r="AW249" s="127" t="s">
        <v>134</v>
      </c>
      <c r="AX249" s="115" t="s">
        <v>1459</v>
      </c>
      <c r="AY249" s="110" t="s">
        <v>135</v>
      </c>
      <c r="BB249" s="64"/>
      <c r="BC249" s="64"/>
      <c r="BD249" s="64"/>
      <c r="BE249" s="64"/>
      <c r="BF249" s="64"/>
      <c r="BG249" s="64"/>
      <c r="BH249" s="64"/>
      <c r="BI249" s="64"/>
      <c r="BJ249" s="64"/>
      <c r="BK249" s="64"/>
      <c r="BL249" s="64"/>
      <c r="BM249" s="64"/>
      <c r="BN249" s="64"/>
      <c r="BO249" s="64"/>
      <c r="BP249" s="64"/>
      <c r="BQ249" s="64"/>
      <c r="BR249" s="64"/>
      <c r="BS249" s="64"/>
      <c r="BT249" s="64"/>
      <c r="BU249" s="64"/>
      <c r="BV249" s="64"/>
      <c r="BW249" s="64"/>
      <c r="BX249" s="64"/>
      <c r="BY249" s="64"/>
      <c r="BZ249" s="64"/>
      <c r="CA249" s="64"/>
      <c r="CB249" s="64"/>
      <c r="CC249" s="64"/>
      <c r="CD249" s="64"/>
      <c r="CE249" s="64"/>
      <c r="CF249" s="64"/>
      <c r="CG249" s="64"/>
      <c r="CH249" s="64"/>
      <c r="CI249" s="64"/>
      <c r="CJ249" s="64"/>
      <c r="CK249" s="64"/>
      <c r="CL249" s="64"/>
      <c r="CM249" s="64"/>
      <c r="CN249" s="64"/>
      <c r="CO249" s="64"/>
      <c r="CP249" s="64"/>
      <c r="CQ249" s="64"/>
      <c r="CR249" s="64"/>
      <c r="CS249" s="64"/>
      <c r="CT249" s="64"/>
      <c r="CU249" s="64"/>
      <c r="CV249" s="64"/>
      <c r="CW249" s="64"/>
      <c r="CX249" s="64"/>
      <c r="CY249" s="64"/>
      <c r="CZ249" s="64"/>
      <c r="DA249" s="64"/>
      <c r="DB249" s="64"/>
      <c r="DC249" s="64"/>
      <c r="DD249" s="64"/>
      <c r="DE249" s="64"/>
      <c r="DF249" s="64"/>
      <c r="DG249" s="64"/>
    </row>
    <row r="250" ht="20.25" customHeight="1">
      <c r="A250" s="189" t="s">
        <v>143</v>
      </c>
      <c r="B250" s="189" t="s">
        <v>107</v>
      </c>
      <c r="C250" s="189" t="s">
        <v>1471</v>
      </c>
      <c r="D250" s="190"/>
      <c r="E250" s="191" t="s">
        <v>1456</v>
      </c>
      <c r="F250" s="99" t="s">
        <v>1457</v>
      </c>
      <c r="G250" s="99" t="s">
        <v>1472</v>
      </c>
      <c r="H250" s="391">
        <v>45636.0</v>
      </c>
      <c r="I250" s="507">
        <v>45663.0</v>
      </c>
      <c r="J250" s="392" t="s">
        <v>1473</v>
      </c>
      <c r="K250" s="101"/>
      <c r="L250" s="392" t="s">
        <v>1474</v>
      </c>
      <c r="M250" s="99" t="s">
        <v>1461</v>
      </c>
      <c r="N250" s="134">
        <v>1.0</v>
      </c>
      <c r="O250" s="107" t="str">
        <f> SUBSTITUTE(lower(M250), "/", "--") &amp;  ".pdf"</f>
        <v>10.1177--0267658310386439.pdf</v>
      </c>
      <c r="P250" s="48" t="str">
        <f t="array" ref="P250">HYPERLINK(INDEX('File Links'!B:B, MATCH(O250, 'File Links'!C:C, 0)))
</f>
        <v>https://drive.google.com/file/d/1c_xOizbgC83hFcsc5jmN-idvU1vfACNB/view?usp=drivesdk</v>
      </c>
      <c r="Q250" s="392" t="s">
        <v>1475</v>
      </c>
      <c r="R250" s="392" t="s">
        <v>1463</v>
      </c>
      <c r="S250" s="101"/>
      <c r="T250" s="120">
        <v>1.0</v>
      </c>
      <c r="U250" s="99" t="str">
        <f> hyperlink(vlookup(lower(R250),#REF!, 2, FALSE), SUBSTITUTE(lower(R250), "/", "--") &amp;  ".pdf")</f>
        <v>10.1017--s0272263124000342.pdf</v>
      </c>
      <c r="V250" s="126" t="s">
        <v>1464</v>
      </c>
      <c r="W250" s="50" t="str">
        <f t="array" ref="W250">HYPERLINK(INDEX('File Links'!B:B, MATCH(U250, 'File Links'!C:C, 0)))
</f>
        <v>https://drive.google.com/file/d/1fNwzy4f6SEAeVccICF8BD0SDAIH7uPVr/view?usp=drivesdk</v>
      </c>
      <c r="X250" s="101"/>
      <c r="Y250" s="99" t="s">
        <v>287</v>
      </c>
      <c r="Z250" s="126" t="s">
        <v>1465</v>
      </c>
      <c r="AA250" s="126" t="s">
        <v>1466</v>
      </c>
      <c r="AB250" s="101" t="s">
        <v>1476</v>
      </c>
      <c r="AC250" s="99" t="s">
        <v>1477</v>
      </c>
      <c r="AD250" s="104">
        <v>12.0</v>
      </c>
      <c r="AE250" s="104">
        <v>60.0</v>
      </c>
      <c r="AF250" s="180" t="s">
        <v>1469</v>
      </c>
      <c r="AG250" s="184" t="s">
        <v>162</v>
      </c>
      <c r="AH250" s="508" t="s">
        <v>609</v>
      </c>
      <c r="AI250" s="187">
        <v>0.901</v>
      </c>
      <c r="AJ250" s="188" t="s">
        <v>164</v>
      </c>
      <c r="AK250" s="183" t="s">
        <v>179</v>
      </c>
      <c r="AL250" s="180" t="s">
        <v>132</v>
      </c>
      <c r="AM250" s="128" t="s">
        <v>165</v>
      </c>
      <c r="AN250" s="187">
        <v>211.0</v>
      </c>
      <c r="AO250" s="509" t="s">
        <v>1470</v>
      </c>
      <c r="AP250" s="183" t="s">
        <v>162</v>
      </c>
      <c r="AQ250" s="99" t="s">
        <v>621</v>
      </c>
      <c r="AR250" s="104">
        <v>0.05</v>
      </c>
      <c r="AS250" s="108" t="s">
        <v>127</v>
      </c>
      <c r="AT250" s="108" t="s">
        <v>179</v>
      </c>
      <c r="AU250" s="108" t="s">
        <v>132</v>
      </c>
      <c r="AV250" s="41" t="s">
        <v>165</v>
      </c>
      <c r="AW250" s="108" t="s">
        <v>134</v>
      </c>
      <c r="AX250" s="55"/>
      <c r="AY250" s="110" t="s">
        <v>135</v>
      </c>
      <c r="BB250" s="95"/>
      <c r="BC250" s="95"/>
      <c r="BD250" s="95"/>
      <c r="BE250" s="95"/>
      <c r="BF250" s="95"/>
      <c r="BG250" s="95"/>
      <c r="BH250" s="95"/>
      <c r="BI250" s="95"/>
      <c r="BJ250" s="95"/>
      <c r="BK250" s="95"/>
      <c r="BL250" s="95"/>
      <c r="BM250" s="95"/>
      <c r="BN250" s="95"/>
      <c r="BO250" s="95"/>
      <c r="BP250" s="95"/>
      <c r="BQ250" s="95"/>
      <c r="BR250" s="95"/>
      <c r="BS250" s="95"/>
      <c r="BT250" s="95"/>
      <c r="BU250" s="95"/>
      <c r="BV250" s="95"/>
      <c r="BW250" s="95"/>
      <c r="BX250" s="95"/>
      <c r="BY250" s="95"/>
      <c r="BZ250" s="95"/>
      <c r="CA250" s="95"/>
      <c r="CB250" s="95"/>
      <c r="CC250" s="95"/>
      <c r="CD250" s="95"/>
      <c r="CE250" s="95"/>
      <c r="CF250" s="95"/>
      <c r="CG250" s="95"/>
      <c r="CH250" s="95"/>
      <c r="CI250" s="95"/>
      <c r="CJ250" s="95"/>
      <c r="CK250" s="95"/>
      <c r="CL250" s="95"/>
      <c r="CM250" s="95"/>
      <c r="CN250" s="95"/>
      <c r="CO250" s="95"/>
      <c r="CP250" s="95"/>
      <c r="CQ250" s="95"/>
      <c r="CR250" s="95"/>
      <c r="CS250" s="95"/>
      <c r="CT250" s="95"/>
      <c r="CU250" s="95"/>
      <c r="CV250" s="95"/>
      <c r="CW250" s="95"/>
      <c r="CX250" s="95"/>
      <c r="CY250" s="95"/>
      <c r="CZ250" s="95"/>
      <c r="DA250" s="95"/>
      <c r="DB250" s="95"/>
      <c r="DC250" s="95"/>
      <c r="DD250" s="95"/>
      <c r="DE250" s="95"/>
      <c r="DF250" s="95"/>
      <c r="DG250" s="95"/>
    </row>
    <row r="251" ht="20.25" customHeight="1">
      <c r="A251" s="424" t="s">
        <v>143</v>
      </c>
      <c r="B251" s="424" t="s">
        <v>107</v>
      </c>
      <c r="C251" s="424" t="s">
        <v>1455</v>
      </c>
      <c r="D251" s="425"/>
      <c r="E251" s="191" t="s">
        <v>1456</v>
      </c>
      <c r="F251" s="112" t="s">
        <v>1478</v>
      </c>
      <c r="G251" s="112" t="s">
        <v>1458</v>
      </c>
      <c r="H251" s="502">
        <v>45633.0</v>
      </c>
      <c r="I251" s="503">
        <v>45663.0</v>
      </c>
      <c r="J251" s="119"/>
      <c r="K251" s="119"/>
      <c r="L251" s="112" t="s">
        <v>1460</v>
      </c>
      <c r="M251" s="112" t="s">
        <v>1461</v>
      </c>
      <c r="N251" s="128">
        <v>1.0</v>
      </c>
      <c r="O251" s="212" t="str">
        <f>SUBSTITUTE(LOWER(M251), "/", "--") &amp;  ".pdf"</f>
        <v>10.1177--0267658310386439.pdf</v>
      </c>
      <c r="P251" s="48" t="str">
        <f t="array" ref="P251">HYPERLINK(INDEX('File Links'!B:B, MATCH(O251, 'File Links'!C:C, 0)))
</f>
        <v>https://drive.google.com/file/d/1c_xOizbgC83hFcsc5jmN-idvU1vfACNB/view?usp=drivesdk</v>
      </c>
      <c r="Q251" s="112" t="s">
        <v>1462</v>
      </c>
      <c r="R251" s="112" t="s">
        <v>1463</v>
      </c>
      <c r="S251" s="119"/>
      <c r="T251" s="120">
        <v>1.0</v>
      </c>
      <c r="U251" s="112" t="str">
        <f>HYPERLINK(VLOOKUP(LOWER(R251),#REF!, 2, FALSE), SUBSTITUTE(LOWER(R251), "/", "--") &amp;  ".pdf")</f>
        <v>10.1017--s0272263124000342.pdf</v>
      </c>
      <c r="V251" s="121" t="s">
        <v>1464</v>
      </c>
      <c r="W251" s="50" t="str">
        <f t="array" ref="W251">HYPERLINK(INDEX('File Links'!B:B, MATCH(U251, 'File Links'!C:C, 0)))
</f>
        <v>https://drive.google.com/file/d/1fNwzy4f6SEAeVccICF8BD0SDAIH7uPVr/view?usp=drivesdk</v>
      </c>
      <c r="X251" s="119"/>
      <c r="Y251" s="112" t="s">
        <v>287</v>
      </c>
      <c r="Z251" s="121" t="s">
        <v>1465</v>
      </c>
      <c r="AA251" s="121" t="s">
        <v>1466</v>
      </c>
      <c r="AB251" s="112" t="s">
        <v>1479</v>
      </c>
      <c r="AC251" s="112" t="s">
        <v>1480</v>
      </c>
      <c r="AD251" s="313">
        <v>118.0</v>
      </c>
      <c r="AE251" s="117">
        <v>60.0</v>
      </c>
      <c r="AF251" s="192" t="s">
        <v>1481</v>
      </c>
      <c r="AG251" s="510" t="s">
        <v>162</v>
      </c>
      <c r="AH251" s="511"/>
      <c r="AI251" s="512">
        <v>0.917</v>
      </c>
      <c r="AJ251" s="194" t="s">
        <v>164</v>
      </c>
      <c r="AK251" s="428" t="s">
        <v>179</v>
      </c>
      <c r="AL251" s="428" t="s">
        <v>132</v>
      </c>
      <c r="AM251" s="128" t="s">
        <v>165</v>
      </c>
      <c r="AN251" s="512">
        <v>211.0</v>
      </c>
      <c r="AO251" s="192" t="s">
        <v>1482</v>
      </c>
      <c r="AP251" s="192" t="s">
        <v>162</v>
      </c>
      <c r="AQ251" s="220"/>
      <c r="AR251" s="221">
        <v>0.05</v>
      </c>
      <c r="AS251" s="226" t="s">
        <v>127</v>
      </c>
      <c r="AT251" s="111" t="s">
        <v>179</v>
      </c>
      <c r="AU251" s="111" t="s">
        <v>132</v>
      </c>
      <c r="AV251" s="41" t="s">
        <v>165</v>
      </c>
      <c r="AW251" s="127" t="s">
        <v>134</v>
      </c>
      <c r="AX251" s="55"/>
      <c r="AY251" s="110" t="s">
        <v>135</v>
      </c>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c r="CD251" s="64"/>
      <c r="CE251" s="64"/>
      <c r="CF251" s="64"/>
      <c r="CG251" s="64"/>
      <c r="CH251" s="64"/>
      <c r="CI251" s="64"/>
      <c r="CJ251" s="64"/>
      <c r="CK251" s="64"/>
      <c r="CL251" s="64"/>
      <c r="CM251" s="64"/>
      <c r="CN251" s="64"/>
      <c r="CO251" s="64"/>
      <c r="CP251" s="64"/>
      <c r="CQ251" s="64"/>
      <c r="CR251" s="64"/>
      <c r="CS251" s="64"/>
      <c r="CT251" s="64"/>
      <c r="CU251" s="64"/>
      <c r="CV251" s="64"/>
      <c r="CW251" s="64"/>
      <c r="CX251" s="64"/>
      <c r="CY251" s="64"/>
      <c r="CZ251" s="64"/>
      <c r="DA251" s="64"/>
      <c r="DB251" s="64"/>
      <c r="DC251" s="64"/>
      <c r="DD251" s="64"/>
      <c r="DE251" s="64"/>
      <c r="DF251" s="64"/>
      <c r="DG251" s="64"/>
    </row>
    <row r="252" ht="20.25" customHeight="1">
      <c r="A252" s="189" t="s">
        <v>143</v>
      </c>
      <c r="B252" s="189" t="s">
        <v>107</v>
      </c>
      <c r="C252" s="189" t="s">
        <v>1471</v>
      </c>
      <c r="D252" s="190"/>
      <c r="E252" s="191" t="s">
        <v>1456</v>
      </c>
      <c r="F252" s="99" t="s">
        <v>1478</v>
      </c>
      <c r="G252" s="99" t="s">
        <v>1472</v>
      </c>
      <c r="H252" s="391">
        <v>45636.0</v>
      </c>
      <c r="I252" s="507">
        <v>45663.0</v>
      </c>
      <c r="J252" s="99" t="s">
        <v>1483</v>
      </c>
      <c r="K252" s="101"/>
      <c r="L252" s="392" t="s">
        <v>1484</v>
      </c>
      <c r="M252" s="99" t="s">
        <v>1461</v>
      </c>
      <c r="N252" s="134">
        <v>1.0</v>
      </c>
      <c r="O252" s="107" t="str">
        <f> SUBSTITUTE(lower(M252), "/", "--") &amp;  ".pdf"</f>
        <v>10.1177--0267658310386439.pdf</v>
      </c>
      <c r="P252" s="48" t="str">
        <f t="array" ref="P252">HYPERLINK(INDEX('File Links'!B:B, MATCH(O252, 'File Links'!C:C, 0)))
</f>
        <v>https://drive.google.com/file/d/1c_xOizbgC83hFcsc5jmN-idvU1vfACNB/view?usp=drivesdk</v>
      </c>
      <c r="Q252" s="392" t="s">
        <v>1485</v>
      </c>
      <c r="R252" s="392" t="s">
        <v>1463</v>
      </c>
      <c r="S252" s="101"/>
      <c r="T252" s="120">
        <v>1.0</v>
      </c>
      <c r="U252" s="99" t="str">
        <f> hyperlink(vlookup(lower(R252),#REF!, 2, FALSE), SUBSTITUTE(lower(R252), "/", "--") &amp;  ".pdf")</f>
        <v>10.1017--s0272263124000342.pdf</v>
      </c>
      <c r="V252" s="126" t="s">
        <v>1464</v>
      </c>
      <c r="W252" s="50" t="str">
        <f t="array" ref="W252">HYPERLINK(INDEX('File Links'!B:B, MATCH(U252, 'File Links'!C:C, 0)))
</f>
        <v>https://drive.google.com/file/d/1fNwzy4f6SEAeVccICF8BD0SDAIH7uPVr/view?usp=drivesdk</v>
      </c>
      <c r="X252" s="101"/>
      <c r="Y252" s="99" t="s">
        <v>287</v>
      </c>
      <c r="Z252" s="126" t="s">
        <v>1465</v>
      </c>
      <c r="AA252" s="126" t="s">
        <v>1466</v>
      </c>
      <c r="AB252" s="101" t="s">
        <v>1476</v>
      </c>
      <c r="AC252" s="99" t="s">
        <v>1486</v>
      </c>
      <c r="AD252" s="104">
        <v>12.0</v>
      </c>
      <c r="AE252" s="104">
        <v>60.0</v>
      </c>
      <c r="AF252" s="180" t="s">
        <v>1487</v>
      </c>
      <c r="AG252" s="184" t="s">
        <v>162</v>
      </c>
      <c r="AH252" s="508" t="s">
        <v>609</v>
      </c>
      <c r="AI252" s="187">
        <v>0.669</v>
      </c>
      <c r="AJ252" s="179" t="s">
        <v>164</v>
      </c>
      <c r="AK252" s="183" t="s">
        <v>179</v>
      </c>
      <c r="AL252" s="180" t="s">
        <v>132</v>
      </c>
      <c r="AM252" s="128" t="s">
        <v>165</v>
      </c>
      <c r="AN252" s="187">
        <v>211.0</v>
      </c>
      <c r="AO252" s="509" t="s">
        <v>1488</v>
      </c>
      <c r="AP252" s="183" t="s">
        <v>162</v>
      </c>
      <c r="AQ252" s="99" t="s">
        <v>627</v>
      </c>
      <c r="AR252" s="104">
        <v>0.64</v>
      </c>
      <c r="AS252" s="108" t="s">
        <v>164</v>
      </c>
      <c r="AT252" s="108" t="s">
        <v>179</v>
      </c>
      <c r="AU252" s="108" t="s">
        <v>132</v>
      </c>
      <c r="AV252" s="41" t="s">
        <v>165</v>
      </c>
      <c r="AW252" s="98" t="s">
        <v>134</v>
      </c>
      <c r="AX252" s="55"/>
      <c r="AY252" s="110" t="s">
        <v>135</v>
      </c>
      <c r="BB252" s="95"/>
      <c r="BC252" s="95"/>
      <c r="BD252" s="95"/>
      <c r="BE252" s="95"/>
      <c r="BF252" s="95"/>
      <c r="BG252" s="95"/>
      <c r="BH252" s="95"/>
      <c r="BI252" s="95"/>
      <c r="BJ252" s="95"/>
      <c r="BK252" s="95"/>
      <c r="BL252" s="95"/>
      <c r="BM252" s="95"/>
      <c r="BN252" s="95"/>
      <c r="BO252" s="95"/>
      <c r="BP252" s="95"/>
      <c r="BQ252" s="95"/>
      <c r="BR252" s="95"/>
      <c r="BS252" s="95"/>
      <c r="BT252" s="95"/>
      <c r="BU252" s="95"/>
      <c r="BV252" s="95"/>
      <c r="BW252" s="95"/>
      <c r="BX252" s="95"/>
      <c r="BY252" s="95"/>
      <c r="BZ252" s="95"/>
      <c r="CA252" s="95"/>
      <c r="CB252" s="95"/>
      <c r="CC252" s="95"/>
      <c r="CD252" s="95"/>
      <c r="CE252" s="95"/>
      <c r="CF252" s="95"/>
      <c r="CG252" s="95"/>
      <c r="CH252" s="95"/>
      <c r="CI252" s="95"/>
      <c r="CJ252" s="95"/>
      <c r="CK252" s="95"/>
      <c r="CL252" s="95"/>
      <c r="CM252" s="95"/>
      <c r="CN252" s="95"/>
      <c r="CO252" s="95"/>
      <c r="CP252" s="95"/>
      <c r="CQ252" s="95"/>
      <c r="CR252" s="95"/>
      <c r="CS252" s="95"/>
      <c r="CT252" s="95"/>
      <c r="CU252" s="95"/>
      <c r="CV252" s="95"/>
      <c r="CW252" s="95"/>
      <c r="CX252" s="95"/>
      <c r="CY252" s="95"/>
      <c r="CZ252" s="95"/>
      <c r="DA252" s="95"/>
      <c r="DB252" s="95"/>
      <c r="DC252" s="95"/>
      <c r="DD252" s="95"/>
      <c r="DE252" s="95"/>
      <c r="DF252" s="95"/>
      <c r="DG252" s="95"/>
    </row>
    <row r="253" ht="20.25" customHeight="1">
      <c r="A253" s="424" t="s">
        <v>106</v>
      </c>
      <c r="B253" s="424" t="s">
        <v>107</v>
      </c>
      <c r="C253" s="424" t="s">
        <v>1455</v>
      </c>
      <c r="D253" s="425"/>
      <c r="E253" s="191" t="s">
        <v>1456</v>
      </c>
      <c r="F253" s="112" t="s">
        <v>1489</v>
      </c>
      <c r="G253" s="112" t="s">
        <v>1458</v>
      </c>
      <c r="H253" s="502">
        <v>45633.0</v>
      </c>
      <c r="I253" s="503">
        <v>45663.0</v>
      </c>
      <c r="J253" s="119"/>
      <c r="K253" s="119"/>
      <c r="L253" s="112" t="s">
        <v>1460</v>
      </c>
      <c r="M253" s="112" t="s">
        <v>1461</v>
      </c>
      <c r="N253" s="119"/>
      <c r="O253" s="212" t="str">
        <f>SUBSTITUTE(LOWER(M253), "/", "--") &amp;  ".pdf"</f>
        <v>10.1177--0267658310386439.pdf</v>
      </c>
      <c r="P253" s="48" t="str">
        <f t="array" ref="P253">HYPERLINK(INDEX('File Links'!B:B, MATCH(O253, 'File Links'!C:C, 0)))
</f>
        <v>https://drive.google.com/file/d/1c_xOizbgC83hFcsc5jmN-idvU1vfACNB/view?usp=drivesdk</v>
      </c>
      <c r="Q253" s="112" t="s">
        <v>1462</v>
      </c>
      <c r="R253" s="112" t="s">
        <v>1463</v>
      </c>
      <c r="S253" s="119"/>
      <c r="T253" s="311"/>
      <c r="U253" s="112" t="str">
        <f>HYPERLINK(VLOOKUP(LOWER(R253),#REF!, 2, FALSE), SUBSTITUTE(LOWER(R253), "/", "--") &amp;  ".pdf")</f>
        <v>10.1017--s0272263124000342.pdf</v>
      </c>
      <c r="V253" s="121" t="s">
        <v>1464</v>
      </c>
      <c r="W253" s="50" t="str">
        <f t="array" ref="W253">HYPERLINK(INDEX('File Links'!B:B, MATCH(U253, 'File Links'!C:C, 0)))
</f>
        <v>https://drive.google.com/file/d/1fNwzy4f6SEAeVccICF8BD0SDAIH7uPVr/view?usp=drivesdk</v>
      </c>
      <c r="X253" s="119"/>
      <c r="Y253" s="112" t="s">
        <v>287</v>
      </c>
      <c r="Z253" s="121" t="s">
        <v>1465</v>
      </c>
      <c r="AA253" s="121" t="s">
        <v>1466</v>
      </c>
      <c r="AB253" s="112" t="s">
        <v>1490</v>
      </c>
      <c r="AC253" s="112" t="s">
        <v>1491</v>
      </c>
      <c r="AD253" s="313">
        <v>118.0</v>
      </c>
      <c r="AE253" s="117">
        <v>60.0</v>
      </c>
      <c r="AF253" s="513" t="s">
        <v>1487</v>
      </c>
      <c r="AG253" s="514" t="s">
        <v>162</v>
      </c>
      <c r="AH253" s="515"/>
      <c r="AI253" s="516">
        <v>0.669</v>
      </c>
      <c r="AJ253" s="517" t="s">
        <v>164</v>
      </c>
      <c r="AK253" s="515" t="s">
        <v>179</v>
      </c>
      <c r="AL253" s="515" t="s">
        <v>132</v>
      </c>
      <c r="AM253" s="515"/>
      <c r="AN253" s="516">
        <v>211.0</v>
      </c>
      <c r="AO253" s="513" t="s">
        <v>1488</v>
      </c>
      <c r="AP253" s="513" t="s">
        <v>162</v>
      </c>
      <c r="AQ253" s="515"/>
      <c r="AR253" s="516">
        <v>0.64</v>
      </c>
      <c r="AS253" s="517" t="s">
        <v>164</v>
      </c>
      <c r="AT253" s="111" t="s">
        <v>179</v>
      </c>
      <c r="AU253" s="111" t="s">
        <v>132</v>
      </c>
      <c r="AV253" s="111"/>
      <c r="AW253" s="127" t="s">
        <v>134</v>
      </c>
      <c r="AX253" s="55"/>
      <c r="AY253" s="110" t="s">
        <v>135</v>
      </c>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c r="CY253" s="64"/>
      <c r="CZ253" s="64"/>
      <c r="DA253" s="64"/>
      <c r="DB253" s="64"/>
      <c r="DC253" s="64"/>
      <c r="DD253" s="64"/>
      <c r="DE253" s="64"/>
      <c r="DF253" s="64"/>
      <c r="DG253" s="64"/>
    </row>
    <row r="254" ht="20.25" customHeight="1">
      <c r="A254" s="189" t="s">
        <v>143</v>
      </c>
      <c r="B254" s="189" t="s">
        <v>107</v>
      </c>
      <c r="C254" s="189" t="s">
        <v>1471</v>
      </c>
      <c r="D254" s="190"/>
      <c r="E254" s="191" t="s">
        <v>1456</v>
      </c>
      <c r="F254" s="99" t="s">
        <v>1489</v>
      </c>
      <c r="G254" s="99" t="s">
        <v>1472</v>
      </c>
      <c r="H254" s="391">
        <v>45636.0</v>
      </c>
      <c r="I254" s="507">
        <v>45663.0</v>
      </c>
      <c r="J254" s="99" t="s">
        <v>1492</v>
      </c>
      <c r="K254" s="101"/>
      <c r="L254" s="392" t="s">
        <v>1493</v>
      </c>
      <c r="M254" s="99" t="s">
        <v>1461</v>
      </c>
      <c r="N254" s="134">
        <v>1.0</v>
      </c>
      <c r="O254" s="107" t="str">
        <f> SUBSTITUTE(lower(M254), "/", "--") &amp;  ".pdf"</f>
        <v>10.1177--0267658310386439.pdf</v>
      </c>
      <c r="P254" s="48" t="str">
        <f t="array" ref="P254">HYPERLINK(INDEX('File Links'!B:B, MATCH(O254, 'File Links'!C:C, 0)))
</f>
        <v>https://drive.google.com/file/d/1c_xOizbgC83hFcsc5jmN-idvU1vfACNB/view?usp=drivesdk</v>
      </c>
      <c r="Q254" s="392" t="s">
        <v>1494</v>
      </c>
      <c r="R254" s="518" t="s">
        <v>1463</v>
      </c>
      <c r="S254" s="101"/>
      <c r="T254" s="120">
        <v>1.0</v>
      </c>
      <c r="U254" s="99" t="str">
        <f> hyperlink(vlookup(lower(R254),#REF!, 2, FALSE), SUBSTITUTE(lower(R254), "/", "--") &amp;  ".pdf")</f>
        <v>10.1017--s0272263124000342.pdf</v>
      </c>
      <c r="V254" s="126" t="s">
        <v>1464</v>
      </c>
      <c r="W254" s="50" t="str">
        <f t="array" ref="W254">HYPERLINK(INDEX('File Links'!B:B, MATCH(U254, 'File Links'!C:C, 0)))
</f>
        <v>https://drive.google.com/file/d/1fNwzy4f6SEAeVccICF8BD0SDAIH7uPVr/view?usp=drivesdk</v>
      </c>
      <c r="X254" s="101"/>
      <c r="Y254" s="99" t="s">
        <v>287</v>
      </c>
      <c r="Z254" s="126" t="s">
        <v>1465</v>
      </c>
      <c r="AA254" s="126" t="s">
        <v>1466</v>
      </c>
      <c r="AB254" s="101" t="s">
        <v>1476</v>
      </c>
      <c r="AC254" s="99" t="s">
        <v>1495</v>
      </c>
      <c r="AD254" s="99" t="s">
        <v>1496</v>
      </c>
      <c r="AE254" s="104">
        <v>60.0</v>
      </c>
      <c r="AF254" s="192" t="s">
        <v>1497</v>
      </c>
      <c r="AG254" s="510" t="s">
        <v>162</v>
      </c>
      <c r="AH254" s="196" t="s">
        <v>432</v>
      </c>
      <c r="AI254" s="512">
        <v>0.751</v>
      </c>
      <c r="AJ254" s="194" t="s">
        <v>164</v>
      </c>
      <c r="AK254" s="428" t="s">
        <v>179</v>
      </c>
      <c r="AL254" s="192" t="s">
        <v>132</v>
      </c>
      <c r="AM254" s="128" t="s">
        <v>165</v>
      </c>
      <c r="AN254" s="512">
        <v>215.0</v>
      </c>
      <c r="AO254" s="519" t="s">
        <v>1498</v>
      </c>
      <c r="AP254" s="428" t="s">
        <v>162</v>
      </c>
      <c r="AQ254" s="192" t="s">
        <v>627</v>
      </c>
      <c r="AR254" s="512">
        <v>0.05</v>
      </c>
      <c r="AS254" s="191" t="s">
        <v>127</v>
      </c>
      <c r="AT254" s="191" t="s">
        <v>179</v>
      </c>
      <c r="AU254" s="108" t="s">
        <v>132</v>
      </c>
      <c r="AV254" s="41" t="s">
        <v>165</v>
      </c>
      <c r="AW254" s="98" t="s">
        <v>134</v>
      </c>
      <c r="AX254" s="55"/>
      <c r="AY254" s="110" t="s">
        <v>135</v>
      </c>
      <c r="BB254" s="95"/>
      <c r="BC254" s="95"/>
      <c r="BD254" s="95"/>
      <c r="BE254" s="95"/>
      <c r="BF254" s="95"/>
      <c r="BG254" s="95"/>
      <c r="BH254" s="95"/>
      <c r="BI254" s="95"/>
      <c r="BJ254" s="95"/>
      <c r="BK254" s="95"/>
      <c r="BL254" s="95"/>
      <c r="BM254" s="95"/>
      <c r="BN254" s="95"/>
      <c r="BO254" s="95"/>
      <c r="BP254" s="95"/>
      <c r="BQ254" s="95"/>
      <c r="BR254" s="95"/>
      <c r="BS254" s="95"/>
      <c r="BT254" s="95"/>
      <c r="BU254" s="95"/>
      <c r="BV254" s="95"/>
      <c r="BW254" s="95"/>
      <c r="BX254" s="95"/>
      <c r="BY254" s="95"/>
      <c r="BZ254" s="95"/>
      <c r="CA254" s="95"/>
      <c r="CB254" s="95"/>
      <c r="CC254" s="95"/>
      <c r="CD254" s="95"/>
      <c r="CE254" s="95"/>
      <c r="CF254" s="95"/>
      <c r="CG254" s="95"/>
      <c r="CH254" s="95"/>
      <c r="CI254" s="95"/>
      <c r="CJ254" s="95"/>
      <c r="CK254" s="95"/>
      <c r="CL254" s="95"/>
      <c r="CM254" s="95"/>
      <c r="CN254" s="95"/>
      <c r="CO254" s="95"/>
      <c r="CP254" s="95"/>
      <c r="CQ254" s="95"/>
      <c r="CR254" s="95"/>
      <c r="CS254" s="95"/>
      <c r="CT254" s="95"/>
      <c r="CU254" s="95"/>
      <c r="CV254" s="95"/>
      <c r="CW254" s="95"/>
      <c r="CX254" s="95"/>
      <c r="CY254" s="95"/>
      <c r="CZ254" s="95"/>
      <c r="DA254" s="95"/>
      <c r="DB254" s="95"/>
      <c r="DC254" s="95"/>
      <c r="DD254" s="95"/>
      <c r="DE254" s="95"/>
      <c r="DF254" s="95"/>
      <c r="DG254" s="95"/>
    </row>
    <row r="255" ht="20.25" customHeight="1">
      <c r="A255" s="424" t="s">
        <v>106</v>
      </c>
      <c r="B255" s="424" t="s">
        <v>107</v>
      </c>
      <c r="C255" s="424" t="s">
        <v>1455</v>
      </c>
      <c r="D255" s="425"/>
      <c r="E255" s="191" t="s">
        <v>1456</v>
      </c>
      <c r="F255" s="112" t="s">
        <v>1499</v>
      </c>
      <c r="G255" s="112" t="s">
        <v>1458</v>
      </c>
      <c r="H255" s="502">
        <v>45633.0</v>
      </c>
      <c r="I255" s="503">
        <v>45663.0</v>
      </c>
      <c r="J255" s="119"/>
      <c r="K255" s="119"/>
      <c r="L255" s="112" t="s">
        <v>1460</v>
      </c>
      <c r="M255" s="112" t="s">
        <v>1461</v>
      </c>
      <c r="N255" s="119"/>
      <c r="O255" s="212" t="str">
        <f>SUBSTITUTE(LOWER(M255), "/", "--") &amp;  ".pdf"</f>
        <v>10.1177--0267658310386439.pdf</v>
      </c>
      <c r="P255" s="48" t="str">
        <f t="array" ref="P255">HYPERLINK(INDEX('File Links'!B:B, MATCH(O255, 'File Links'!C:C, 0)))
</f>
        <v>https://drive.google.com/file/d/1c_xOizbgC83hFcsc5jmN-idvU1vfACNB/view?usp=drivesdk</v>
      </c>
      <c r="Q255" s="112" t="s">
        <v>1462</v>
      </c>
      <c r="R255" s="112" t="s">
        <v>1463</v>
      </c>
      <c r="S255" s="119"/>
      <c r="T255" s="311"/>
      <c r="U255" s="112" t="str">
        <f>HYPERLINK(VLOOKUP(LOWER(R255),#REF!, 2, FALSE), SUBSTITUTE(LOWER(R255), "/", "--") &amp;  ".pdf")</f>
        <v>10.1017--s0272263124000342.pdf</v>
      </c>
      <c r="V255" s="121" t="s">
        <v>1464</v>
      </c>
      <c r="W255" s="50" t="str">
        <f t="array" ref="W255">HYPERLINK(INDEX('File Links'!B:B, MATCH(U255, 'File Links'!C:C, 0)))
</f>
        <v>https://drive.google.com/file/d/1fNwzy4f6SEAeVccICF8BD0SDAIH7uPVr/view?usp=drivesdk</v>
      </c>
      <c r="X255" s="119"/>
      <c r="Y255" s="112" t="s">
        <v>287</v>
      </c>
      <c r="Z255" s="121" t="s">
        <v>1465</v>
      </c>
      <c r="AA255" s="121" t="s">
        <v>1466</v>
      </c>
      <c r="AB255" s="112" t="s">
        <v>1500</v>
      </c>
      <c r="AC255" s="112" t="s">
        <v>1501</v>
      </c>
      <c r="AD255" s="313">
        <v>119.0</v>
      </c>
      <c r="AE255" s="117">
        <v>60.0</v>
      </c>
      <c r="AF255" s="513" t="s">
        <v>1497</v>
      </c>
      <c r="AG255" s="514" t="s">
        <v>162</v>
      </c>
      <c r="AH255" s="515"/>
      <c r="AI255" s="516">
        <v>0.751</v>
      </c>
      <c r="AJ255" s="517" t="s">
        <v>164</v>
      </c>
      <c r="AK255" s="515" t="s">
        <v>179</v>
      </c>
      <c r="AL255" s="515" t="s">
        <v>132</v>
      </c>
      <c r="AM255" s="515"/>
      <c r="AN255" s="516">
        <v>215.0</v>
      </c>
      <c r="AO255" s="513" t="s">
        <v>1498</v>
      </c>
      <c r="AP255" s="513" t="s">
        <v>162</v>
      </c>
      <c r="AQ255" s="515"/>
      <c r="AR255" s="117">
        <v>0.05</v>
      </c>
      <c r="AS255" s="111" t="s">
        <v>127</v>
      </c>
      <c r="AT255" s="111" t="s">
        <v>179</v>
      </c>
      <c r="AU255" s="111" t="s">
        <v>132</v>
      </c>
      <c r="AV255" s="111"/>
      <c r="AW255" s="127" t="s">
        <v>134</v>
      </c>
      <c r="AX255" s="55"/>
      <c r="AY255" s="110" t="s">
        <v>135</v>
      </c>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c r="CD255" s="64"/>
      <c r="CE255" s="64"/>
      <c r="CF255" s="64"/>
      <c r="CG255" s="64"/>
      <c r="CH255" s="64"/>
      <c r="CI255" s="64"/>
      <c r="CJ255" s="64"/>
      <c r="CK255" s="64"/>
      <c r="CL255" s="64"/>
      <c r="CM255" s="64"/>
      <c r="CN255" s="64"/>
      <c r="CO255" s="64"/>
      <c r="CP255" s="64"/>
      <c r="CQ255" s="64"/>
      <c r="CR255" s="64"/>
      <c r="CS255" s="64"/>
      <c r="CT255" s="64"/>
      <c r="CU255" s="64"/>
      <c r="CV255" s="64"/>
      <c r="CW255" s="64"/>
      <c r="CX255" s="64"/>
      <c r="CY255" s="64"/>
      <c r="CZ255" s="64"/>
      <c r="DA255" s="64"/>
      <c r="DB255" s="64"/>
      <c r="DC255" s="64"/>
      <c r="DD255" s="64"/>
      <c r="DE255" s="64"/>
      <c r="DF255" s="64"/>
      <c r="DG255" s="64"/>
    </row>
    <row r="256" ht="20.25" customHeight="1">
      <c r="A256" s="189" t="s">
        <v>143</v>
      </c>
      <c r="B256" s="189" t="s">
        <v>107</v>
      </c>
      <c r="C256" s="189" t="s">
        <v>1471</v>
      </c>
      <c r="D256" s="190"/>
      <c r="E256" s="191" t="s">
        <v>1456</v>
      </c>
      <c r="F256" s="99" t="s">
        <v>1499</v>
      </c>
      <c r="G256" s="99" t="s">
        <v>1472</v>
      </c>
      <c r="H256" s="391">
        <v>45636.0</v>
      </c>
      <c r="I256" s="507">
        <v>45663.0</v>
      </c>
      <c r="J256" s="99" t="s">
        <v>1502</v>
      </c>
      <c r="K256" s="101"/>
      <c r="L256" s="392" t="s">
        <v>1503</v>
      </c>
      <c r="M256" s="99" t="s">
        <v>1461</v>
      </c>
      <c r="N256" s="134">
        <v>1.0</v>
      </c>
      <c r="O256" s="107" t="str">
        <f> SUBSTITUTE(lower(M256), "/", "--") &amp;  ".pdf"</f>
        <v>10.1177--0267658310386439.pdf</v>
      </c>
      <c r="P256" s="48" t="str">
        <f t="array" ref="P256">HYPERLINK(INDEX('File Links'!B:B, MATCH(O256, 'File Links'!C:C, 0)))
</f>
        <v>https://drive.google.com/file/d/1c_xOizbgC83hFcsc5jmN-idvU1vfACNB/view?usp=drivesdk</v>
      </c>
      <c r="Q256" s="392" t="s">
        <v>1504</v>
      </c>
      <c r="R256" s="518" t="s">
        <v>1463</v>
      </c>
      <c r="S256" s="101"/>
      <c r="T256" s="120">
        <v>1.0</v>
      </c>
      <c r="U256" s="99" t="str">
        <f> hyperlink(vlookup(lower(R256),#REF!, 2, FALSE), SUBSTITUTE(lower(R256), "/", "--") &amp;  ".pdf")</f>
        <v>10.1017--s0272263124000342.pdf</v>
      </c>
      <c r="V256" s="126" t="s">
        <v>1464</v>
      </c>
      <c r="W256" s="50" t="str">
        <f t="array" ref="W256">HYPERLINK(INDEX('File Links'!B:B, MATCH(U256, 'File Links'!C:C, 0)))
</f>
        <v>https://drive.google.com/file/d/1fNwzy4f6SEAeVccICF8BD0SDAIH7uPVr/view?usp=drivesdk</v>
      </c>
      <c r="X256" s="101"/>
      <c r="Y256" s="99" t="s">
        <v>287</v>
      </c>
      <c r="Z256" s="126" t="s">
        <v>1465</v>
      </c>
      <c r="AA256" s="126" t="s">
        <v>1466</v>
      </c>
      <c r="AB256" s="101" t="s">
        <v>1476</v>
      </c>
      <c r="AC256" s="99" t="s">
        <v>1505</v>
      </c>
      <c r="AD256" s="99" t="s">
        <v>1496</v>
      </c>
      <c r="AE256" s="104">
        <v>60.0</v>
      </c>
      <c r="AF256" s="192" t="s">
        <v>1506</v>
      </c>
      <c r="AG256" s="510" t="s">
        <v>162</v>
      </c>
      <c r="AH256" s="196" t="s">
        <v>432</v>
      </c>
      <c r="AI256" s="512">
        <v>0.763</v>
      </c>
      <c r="AJ256" s="194" t="s">
        <v>164</v>
      </c>
      <c r="AK256" s="428" t="s">
        <v>179</v>
      </c>
      <c r="AL256" s="192" t="s">
        <v>132</v>
      </c>
      <c r="AM256" s="128" t="s">
        <v>165</v>
      </c>
      <c r="AN256" s="512">
        <v>215.0</v>
      </c>
      <c r="AO256" s="519" t="s">
        <v>1507</v>
      </c>
      <c r="AP256" s="428" t="s">
        <v>162</v>
      </c>
      <c r="AQ256" s="192" t="s">
        <v>627</v>
      </c>
      <c r="AR256" s="512">
        <v>0.05</v>
      </c>
      <c r="AS256" s="191" t="s">
        <v>164</v>
      </c>
      <c r="AT256" s="191" t="s">
        <v>179</v>
      </c>
      <c r="AU256" s="108" t="s">
        <v>132</v>
      </c>
      <c r="AV256" s="41" t="s">
        <v>165</v>
      </c>
      <c r="AW256" s="98" t="s">
        <v>134</v>
      </c>
      <c r="AX256" s="55"/>
      <c r="AY256" s="110" t="s">
        <v>135</v>
      </c>
      <c r="BB256" s="64"/>
      <c r="BC256" s="64"/>
      <c r="BD256" s="64"/>
      <c r="BE256" s="64"/>
      <c r="BF256" s="64"/>
      <c r="BG256" s="64"/>
      <c r="BH256" s="64"/>
      <c r="BI256" s="64"/>
      <c r="BJ256" s="64"/>
      <c r="BK256" s="64"/>
      <c r="BL256" s="64"/>
      <c r="BM256" s="64"/>
      <c r="BN256" s="64"/>
      <c r="BO256" s="64"/>
      <c r="BP256" s="64"/>
      <c r="BQ256" s="64"/>
      <c r="BR256" s="64"/>
      <c r="BS256" s="64"/>
      <c r="BT256" s="64"/>
      <c r="BU256" s="64"/>
      <c r="BV256" s="64"/>
      <c r="BW256" s="64"/>
      <c r="BX256" s="64"/>
      <c r="BY256" s="64"/>
      <c r="BZ256" s="64"/>
      <c r="CA256" s="64"/>
      <c r="CB256" s="64"/>
      <c r="CC256" s="64"/>
      <c r="CD256" s="64"/>
      <c r="CE256" s="64"/>
      <c r="CF256" s="64"/>
      <c r="CG256" s="64"/>
      <c r="CH256" s="64"/>
      <c r="CI256" s="64"/>
      <c r="CJ256" s="64"/>
      <c r="CK256" s="64"/>
      <c r="CL256" s="64"/>
      <c r="CM256" s="64"/>
      <c r="CN256" s="64"/>
      <c r="CO256" s="64"/>
      <c r="CP256" s="64"/>
      <c r="CQ256" s="64"/>
      <c r="CR256" s="64"/>
      <c r="CS256" s="64"/>
      <c r="CT256" s="64"/>
      <c r="CU256" s="64"/>
      <c r="CV256" s="64"/>
      <c r="CW256" s="64"/>
      <c r="CX256" s="64"/>
      <c r="CY256" s="64"/>
      <c r="CZ256" s="64"/>
      <c r="DA256" s="64"/>
      <c r="DB256" s="64"/>
      <c r="DC256" s="64"/>
      <c r="DD256" s="64"/>
      <c r="DE256" s="64"/>
      <c r="DF256" s="64"/>
      <c r="DG256" s="64"/>
    </row>
    <row r="257" ht="20.25" customHeight="1">
      <c r="A257" s="424" t="s">
        <v>143</v>
      </c>
      <c r="B257" s="424" t="s">
        <v>107</v>
      </c>
      <c r="C257" s="424" t="s">
        <v>1455</v>
      </c>
      <c r="D257" s="425"/>
      <c r="E257" s="191" t="s">
        <v>1456</v>
      </c>
      <c r="F257" s="112" t="s">
        <v>1508</v>
      </c>
      <c r="G257" s="112" t="s">
        <v>1458</v>
      </c>
      <c r="H257" s="502">
        <v>45633.0</v>
      </c>
      <c r="I257" s="503">
        <v>45663.0</v>
      </c>
      <c r="J257" s="119"/>
      <c r="K257" s="119"/>
      <c r="L257" s="112" t="s">
        <v>1460</v>
      </c>
      <c r="M257" s="112" t="s">
        <v>1461</v>
      </c>
      <c r="N257" s="128">
        <v>1.0</v>
      </c>
      <c r="O257" s="212" t="str">
        <f t="shared" ref="O257:O259" si="1">SUBSTITUTE(LOWER(M257), "/", "--") &amp;  ".pdf"</f>
        <v>10.1177--0267658310386439.pdf</v>
      </c>
      <c r="P257" s="48" t="str">
        <f t="array" ref="P257">HYPERLINK(INDEX('File Links'!B:B, MATCH(O257, 'File Links'!C:C, 0)))
</f>
        <v>https://drive.google.com/file/d/1c_xOizbgC83hFcsc5jmN-idvU1vfACNB/view?usp=drivesdk</v>
      </c>
      <c r="Q257" s="112" t="s">
        <v>1462</v>
      </c>
      <c r="R257" s="112" t="s">
        <v>1463</v>
      </c>
      <c r="S257" s="119"/>
      <c r="T257" s="120">
        <v>1.0</v>
      </c>
      <c r="U257" s="112" t="str">
        <f t="shared" ref="U257:U259" si="2">HYPERLINK(VLOOKUP(LOWER(R257),#REF!, 2, FALSE), SUBSTITUTE(LOWER(R257), "/", "--") &amp;  ".pdf")</f>
        <v>10.1017--s0272263124000342.pdf</v>
      </c>
      <c r="V257" s="121" t="s">
        <v>1464</v>
      </c>
      <c r="W257" s="50" t="str">
        <f t="array" ref="W257">HYPERLINK(INDEX('File Links'!B:B, MATCH(U257, 'File Links'!C:C, 0)))
</f>
        <v>https://drive.google.com/file/d/1fNwzy4f6SEAeVccICF8BD0SDAIH7uPVr/view?usp=drivesdk</v>
      </c>
      <c r="X257" s="119"/>
      <c r="Y257" s="112" t="s">
        <v>287</v>
      </c>
      <c r="Z257" s="121" t="s">
        <v>1465</v>
      </c>
      <c r="AA257" s="121" t="s">
        <v>1466</v>
      </c>
      <c r="AB257" s="112" t="s">
        <v>1509</v>
      </c>
      <c r="AC257" s="112" t="s">
        <v>1510</v>
      </c>
      <c r="AD257" s="313">
        <v>119.0</v>
      </c>
      <c r="AE257" s="117">
        <v>60.0</v>
      </c>
      <c r="AF257" s="192" t="s">
        <v>1511</v>
      </c>
      <c r="AG257" s="510" t="s">
        <v>162</v>
      </c>
      <c r="AH257" s="511"/>
      <c r="AI257" s="512">
        <v>0.118</v>
      </c>
      <c r="AJ257" s="194" t="s">
        <v>164</v>
      </c>
      <c r="AK257" s="428" t="s">
        <v>179</v>
      </c>
      <c r="AL257" s="428" t="s">
        <v>132</v>
      </c>
      <c r="AM257" s="128" t="s">
        <v>165</v>
      </c>
      <c r="AN257" s="512">
        <v>215.0</v>
      </c>
      <c r="AO257" s="192" t="s">
        <v>1512</v>
      </c>
      <c r="AP257" s="192" t="s">
        <v>162</v>
      </c>
      <c r="AQ257" s="119"/>
      <c r="AR257" s="117">
        <v>0.05</v>
      </c>
      <c r="AS257" s="111" t="s">
        <v>127</v>
      </c>
      <c r="AT257" s="111" t="s">
        <v>179</v>
      </c>
      <c r="AU257" s="111" t="s">
        <v>132</v>
      </c>
      <c r="AV257" s="41" t="s">
        <v>165</v>
      </c>
      <c r="AW257" s="127" t="s">
        <v>134</v>
      </c>
      <c r="AX257" s="55"/>
      <c r="AY257" s="110" t="s">
        <v>135</v>
      </c>
    </row>
    <row r="258" ht="20.25" customHeight="1">
      <c r="A258" s="424" t="s">
        <v>106</v>
      </c>
      <c r="B258" s="424" t="s">
        <v>107</v>
      </c>
      <c r="C258" s="424" t="s">
        <v>1455</v>
      </c>
      <c r="D258" s="425"/>
      <c r="E258" s="191" t="s">
        <v>1456</v>
      </c>
      <c r="F258" s="112" t="s">
        <v>1513</v>
      </c>
      <c r="G258" s="112" t="s">
        <v>1458</v>
      </c>
      <c r="H258" s="502">
        <v>45428.0</v>
      </c>
      <c r="I258" s="502">
        <v>45633.0</v>
      </c>
      <c r="J258" s="119"/>
      <c r="K258" s="119"/>
      <c r="L258" s="112" t="s">
        <v>1460</v>
      </c>
      <c r="M258" s="112" t="s">
        <v>1461</v>
      </c>
      <c r="N258" s="119"/>
      <c r="O258" s="212" t="str">
        <f t="shared" si="1"/>
        <v>10.1177--0267658310386439.pdf</v>
      </c>
      <c r="P258" s="48" t="str">
        <f t="array" ref="P258">HYPERLINK(INDEX('File Links'!B:B, MATCH(O258, 'File Links'!C:C, 0)))
</f>
        <v>https://drive.google.com/file/d/1c_xOizbgC83hFcsc5jmN-idvU1vfACNB/view?usp=drivesdk</v>
      </c>
      <c r="Q258" s="112" t="s">
        <v>1462</v>
      </c>
      <c r="R258" s="112" t="s">
        <v>1463</v>
      </c>
      <c r="S258" s="119"/>
      <c r="T258" s="311"/>
      <c r="U258" s="112" t="str">
        <f t="shared" si="2"/>
        <v>10.1017--s0272263124000342.pdf</v>
      </c>
      <c r="V258" s="121" t="s">
        <v>1464</v>
      </c>
      <c r="W258" s="50" t="str">
        <f t="array" ref="W258">HYPERLINK(INDEX('File Links'!B:B, MATCH(U258, 'File Links'!C:C, 0)))
</f>
        <v>https://drive.google.com/file/d/1fNwzy4f6SEAeVccICF8BD0SDAIH7uPVr/view?usp=drivesdk</v>
      </c>
      <c r="X258" s="119"/>
      <c r="Y258" s="112" t="s">
        <v>287</v>
      </c>
      <c r="Z258" s="121" t="s">
        <v>1465</v>
      </c>
      <c r="AA258" s="121" t="s">
        <v>1466</v>
      </c>
      <c r="AB258" s="112" t="s">
        <v>1514</v>
      </c>
      <c r="AC258" s="520" t="s">
        <v>1515</v>
      </c>
      <c r="AD258" s="117">
        <v>119.0</v>
      </c>
      <c r="AE258" s="117">
        <v>60.0</v>
      </c>
      <c r="AF258" s="513" t="s">
        <v>1506</v>
      </c>
      <c r="AG258" s="514" t="s">
        <v>162</v>
      </c>
      <c r="AH258" s="515"/>
      <c r="AI258" s="516">
        <v>0.763</v>
      </c>
      <c r="AJ258" s="517" t="s">
        <v>164</v>
      </c>
      <c r="AK258" s="515" t="s">
        <v>179</v>
      </c>
      <c r="AL258" s="515" t="s">
        <v>132</v>
      </c>
      <c r="AM258" s="515"/>
      <c r="AN258" s="516">
        <v>215.0</v>
      </c>
      <c r="AO258" s="513" t="s">
        <v>1516</v>
      </c>
      <c r="AP258" s="513" t="s">
        <v>162</v>
      </c>
      <c r="AQ258" s="515"/>
      <c r="AR258" s="516">
        <v>0.5</v>
      </c>
      <c r="AS258" s="517" t="s">
        <v>164</v>
      </c>
      <c r="AT258" s="111" t="s">
        <v>179</v>
      </c>
      <c r="AU258" s="111" t="s">
        <v>132</v>
      </c>
      <c r="AV258" s="111"/>
      <c r="AW258" s="127" t="s">
        <v>134</v>
      </c>
      <c r="AX258" s="55"/>
      <c r="AY258" s="110" t="s">
        <v>135</v>
      </c>
    </row>
    <row r="259" ht="20.25" customHeight="1">
      <c r="A259" s="96" t="s">
        <v>279</v>
      </c>
      <c r="B259" s="96" t="s">
        <v>107</v>
      </c>
      <c r="C259" s="96" t="s">
        <v>1455</v>
      </c>
      <c r="D259" s="97"/>
      <c r="E259" s="108" t="s">
        <v>1517</v>
      </c>
      <c r="F259" s="99" t="s">
        <v>1518</v>
      </c>
      <c r="G259" s="99" t="s">
        <v>1458</v>
      </c>
      <c r="H259" s="521">
        <v>45428.0</v>
      </c>
      <c r="I259" s="521">
        <v>45636.0</v>
      </c>
      <c r="J259" s="101"/>
      <c r="K259" s="101"/>
      <c r="L259" s="99" t="s">
        <v>1519</v>
      </c>
      <c r="M259" s="99" t="s">
        <v>1520</v>
      </c>
      <c r="N259" s="101"/>
      <c r="O259" s="107" t="str">
        <f t="shared" si="1"/>
        <v>10.1111--1467-6281.00073.pdf</v>
      </c>
      <c r="P259" s="48" t="str">
        <f t="array" ref="P259">HYPERLINK(INDEX('File Links'!B:B, MATCH(O259, 'File Links'!C:C, 0)))
</f>
        <v>https://drive.google.com/file/d/1Bqp5tbqcsNPKH_QuWEI9mWZ1-DAWptGv/view?usp=drivesdk</v>
      </c>
      <c r="Q259" s="99" t="s">
        <v>1521</v>
      </c>
      <c r="R259" s="99" t="s">
        <v>1522</v>
      </c>
      <c r="S259" s="101"/>
      <c r="T259" s="106"/>
      <c r="U259" s="99" t="str">
        <f t="shared" si="2"/>
        <v>10.1108--s1574-076520240000026005.pdf</v>
      </c>
      <c r="V259" s="392" t="s">
        <v>1523</v>
      </c>
      <c r="W259" s="45" t="str">
        <f t="array" ref="W259">HYPERLINK(INDEX('File Links'!B:B, MATCH(U259, 'File Links'!C:C, 0)))
</f>
        <v>#N/A</v>
      </c>
      <c r="X259" s="101"/>
      <c r="Y259" s="99" t="s">
        <v>220</v>
      </c>
      <c r="Z259" s="99" t="s">
        <v>1524</v>
      </c>
      <c r="AA259" s="99" t="s">
        <v>1525</v>
      </c>
      <c r="AB259" s="99" t="s">
        <v>1526</v>
      </c>
      <c r="AC259" s="99" t="s">
        <v>1527</v>
      </c>
      <c r="AD259" s="104">
        <v>9.0</v>
      </c>
      <c r="AE259" s="104">
        <v>250.0</v>
      </c>
      <c r="AF259" s="99" t="s">
        <v>1528</v>
      </c>
      <c r="AG259" s="107" t="s">
        <v>162</v>
      </c>
      <c r="AH259" s="101"/>
      <c r="AI259" s="104">
        <v>0.0025</v>
      </c>
      <c r="AJ259" s="98" t="s">
        <v>164</v>
      </c>
      <c r="AK259" s="101" t="s">
        <v>211</v>
      </c>
      <c r="AL259" s="101" t="s">
        <v>129</v>
      </c>
      <c r="AM259" s="101"/>
      <c r="AN259" s="104">
        <v>198.0</v>
      </c>
      <c r="AO259" s="99" t="s">
        <v>1529</v>
      </c>
      <c r="AP259" s="99" t="s">
        <v>162</v>
      </c>
      <c r="AQ259" s="101"/>
      <c r="AR259" s="104">
        <v>0.021</v>
      </c>
      <c r="AS259" s="98" t="s">
        <v>164</v>
      </c>
      <c r="AT259" s="98" t="s">
        <v>211</v>
      </c>
      <c r="AU259" s="98" t="s">
        <v>129</v>
      </c>
      <c r="AV259" s="98"/>
      <c r="AW259" s="108" t="s">
        <v>134</v>
      </c>
      <c r="AX259" s="55"/>
      <c r="AY259" s="64"/>
    </row>
    <row r="260" ht="20.25" customHeight="1">
      <c r="A260" s="110" t="s">
        <v>279</v>
      </c>
      <c r="B260" s="110" t="s">
        <v>107</v>
      </c>
      <c r="C260" s="110" t="s">
        <v>1471</v>
      </c>
      <c r="D260" s="95"/>
      <c r="E260" s="127" t="s">
        <v>1517</v>
      </c>
      <c r="F260" s="112" t="s">
        <v>1518</v>
      </c>
      <c r="G260" s="112" t="s">
        <v>1530</v>
      </c>
      <c r="H260" s="310">
        <v>45428.0</v>
      </c>
      <c r="I260" s="113">
        <v>45640.0</v>
      </c>
      <c r="J260" s="112" t="s">
        <v>1531</v>
      </c>
      <c r="K260" s="119"/>
      <c r="L260" s="112" t="s">
        <v>1519</v>
      </c>
      <c r="M260" s="112" t="s">
        <v>1520</v>
      </c>
      <c r="N260" s="119"/>
      <c r="O260" s="212" t="str">
        <f> SUBSTITUTE(lower(M260), "/", "--") &amp;  ".pdf"</f>
        <v>10.1111--1467-6281.00073.pdf</v>
      </c>
      <c r="P260" s="48" t="str">
        <f t="array" ref="P260">HYPERLINK(INDEX('File Links'!B:B, MATCH(O260, 'File Links'!C:C, 0)))
</f>
        <v>https://drive.google.com/file/d/1Bqp5tbqcsNPKH_QuWEI9mWZ1-DAWptGv/view?usp=drivesdk</v>
      </c>
      <c r="Q260" s="522" t="s">
        <v>1532</v>
      </c>
      <c r="R260" s="119"/>
      <c r="S260" s="119"/>
      <c r="T260" s="311"/>
      <c r="U260" s="112" t="str">
        <f> hyperlink(vlookup(lower(R260),#REF!, 2, FALSE), SUBSTITUTE(lower(R260), "/", "--") &amp;  ".pdf")</f>
        <v>.pdf</v>
      </c>
      <c r="V260" s="119"/>
      <c r="W260" s="45" t="str">
        <f t="array" ref="W260">HYPERLINK(INDEX('File Links'!B:B, MATCH(U260, 'File Links'!C:C, 0)))
</f>
        <v>#N/A</v>
      </c>
      <c r="X260" s="119"/>
      <c r="Y260" s="119"/>
      <c r="Z260" s="119"/>
      <c r="AA260" s="119"/>
      <c r="AB260" s="119"/>
      <c r="AC260" s="119"/>
      <c r="AD260" s="119"/>
      <c r="AE260" s="119"/>
      <c r="AF260" s="119"/>
      <c r="AG260" s="311"/>
      <c r="AH260" s="119"/>
      <c r="AI260" s="119"/>
      <c r="AJ260" s="111"/>
      <c r="AK260" s="119"/>
      <c r="AL260" s="119"/>
      <c r="AM260" s="119"/>
      <c r="AN260" s="119"/>
      <c r="AO260" s="119"/>
      <c r="AP260" s="119"/>
      <c r="AQ260" s="119"/>
      <c r="AR260" s="119"/>
      <c r="AS260" s="111"/>
      <c r="AT260" s="111"/>
      <c r="AU260" s="111"/>
      <c r="AV260" s="111"/>
      <c r="AW260" s="111"/>
      <c r="AX260" s="55"/>
      <c r="AY260" s="95"/>
    </row>
    <row r="261" ht="20.25" customHeight="1">
      <c r="A261" s="96" t="s">
        <v>279</v>
      </c>
      <c r="B261" s="96" t="s">
        <v>107</v>
      </c>
      <c r="C261" s="96" t="s">
        <v>1455</v>
      </c>
      <c r="D261" s="97"/>
      <c r="E261" s="127" t="s">
        <v>1517</v>
      </c>
      <c r="F261" s="99" t="s">
        <v>1533</v>
      </c>
      <c r="G261" s="99" t="s">
        <v>1458</v>
      </c>
      <c r="H261" s="521">
        <v>45636.0</v>
      </c>
      <c r="I261" s="521">
        <v>45636.0</v>
      </c>
      <c r="J261" s="101"/>
      <c r="K261" s="101"/>
      <c r="L261" s="99" t="s">
        <v>1534</v>
      </c>
      <c r="M261" s="99" t="s">
        <v>1520</v>
      </c>
      <c r="N261" s="101"/>
      <c r="O261" s="107" t="str">
        <f t="shared" ref="O261:O263" si="3">SUBSTITUTE(LOWER(M261), "/", "--") &amp;  ".pdf"</f>
        <v>10.1111--1467-6281.00073.pdf</v>
      </c>
      <c r="P261" s="48" t="str">
        <f t="array" ref="P261">HYPERLINK(INDEX('File Links'!B:B, MATCH(O261, 'File Links'!C:C, 0)))
</f>
        <v>https://drive.google.com/file/d/1Bqp5tbqcsNPKH_QuWEI9mWZ1-DAWptGv/view?usp=drivesdk</v>
      </c>
      <c r="Q261" s="99" t="s">
        <v>1521</v>
      </c>
      <c r="R261" s="99" t="s">
        <v>1522</v>
      </c>
      <c r="S261" s="101"/>
      <c r="T261" s="106"/>
      <c r="U261" s="99" t="str">
        <f t="shared" ref="U261:U263" si="4">HYPERLINK(VLOOKUP(LOWER(R261),#REF!, 2, FALSE), SUBSTITUTE(LOWER(R261), "/", "--") &amp;  ".pdf")</f>
        <v>10.1108--s1574-076520240000026005.pdf</v>
      </c>
      <c r="V261" s="99" t="s">
        <v>1523</v>
      </c>
      <c r="W261" s="45" t="str">
        <f t="array" ref="W261">HYPERLINK(INDEX('File Links'!B:B, MATCH(U261, 'File Links'!C:C, 0)))
</f>
        <v>#N/A</v>
      </c>
      <c r="X261" s="101"/>
      <c r="Y261" s="99" t="s">
        <v>220</v>
      </c>
      <c r="Z261" s="99" t="s">
        <v>1524</v>
      </c>
      <c r="AA261" s="99" t="s">
        <v>1525</v>
      </c>
      <c r="AB261" s="99" t="s">
        <v>1535</v>
      </c>
      <c r="AC261" s="99" t="s">
        <v>1536</v>
      </c>
      <c r="AD261" s="104">
        <v>9.0</v>
      </c>
      <c r="AE261" s="104">
        <v>250.0</v>
      </c>
      <c r="AF261" s="99" t="s">
        <v>1537</v>
      </c>
      <c r="AG261" s="107" t="s">
        <v>162</v>
      </c>
      <c r="AH261" s="101"/>
      <c r="AI261" s="104">
        <v>1.0E-4</v>
      </c>
      <c r="AJ261" s="98" t="s">
        <v>127</v>
      </c>
      <c r="AK261" s="101" t="s">
        <v>179</v>
      </c>
      <c r="AL261" s="101" t="s">
        <v>129</v>
      </c>
      <c r="AM261" s="101"/>
      <c r="AN261" s="104">
        <v>198.0</v>
      </c>
      <c r="AO261" s="99" t="s">
        <v>1538</v>
      </c>
      <c r="AP261" s="99" t="s">
        <v>162</v>
      </c>
      <c r="AQ261" s="101"/>
      <c r="AR261" s="104">
        <v>1.0E-4</v>
      </c>
      <c r="AS261" s="98" t="s">
        <v>127</v>
      </c>
      <c r="AT261" s="98" t="s">
        <v>211</v>
      </c>
      <c r="AU261" s="98" t="s">
        <v>129</v>
      </c>
      <c r="AV261" s="98"/>
      <c r="AW261" s="108" t="s">
        <v>134</v>
      </c>
      <c r="AX261" s="55"/>
      <c r="AY261" s="64"/>
    </row>
    <row r="262" ht="20.25" customHeight="1">
      <c r="A262" s="96" t="s">
        <v>279</v>
      </c>
      <c r="B262" s="96" t="s">
        <v>107</v>
      </c>
      <c r="C262" s="96" t="s">
        <v>1455</v>
      </c>
      <c r="D262" s="97"/>
      <c r="E262" s="127" t="s">
        <v>1517</v>
      </c>
      <c r="F262" s="99" t="s">
        <v>1539</v>
      </c>
      <c r="G262" s="99" t="s">
        <v>1458</v>
      </c>
      <c r="H262" s="521">
        <v>45636.0</v>
      </c>
      <c r="I262" s="521">
        <v>45636.0</v>
      </c>
      <c r="J262" s="523" t="s">
        <v>1540</v>
      </c>
      <c r="K262" s="101"/>
      <c r="L262" s="99" t="s">
        <v>1541</v>
      </c>
      <c r="M262" s="99" t="s">
        <v>1520</v>
      </c>
      <c r="N262" s="101"/>
      <c r="O262" s="107" t="str">
        <f t="shared" si="3"/>
        <v>10.1111--1467-6281.00073.pdf</v>
      </c>
      <c r="P262" s="48" t="str">
        <f t="array" ref="P262">HYPERLINK(INDEX('File Links'!B:B, MATCH(O262, 'File Links'!C:C, 0)))
</f>
        <v>https://drive.google.com/file/d/1Bqp5tbqcsNPKH_QuWEI9mWZ1-DAWptGv/view?usp=drivesdk</v>
      </c>
      <c r="Q262" s="99" t="s">
        <v>1521</v>
      </c>
      <c r="R262" s="99" t="s">
        <v>1522</v>
      </c>
      <c r="S262" s="101"/>
      <c r="T262" s="106"/>
      <c r="U262" s="99" t="str">
        <f t="shared" si="4"/>
        <v>10.1108--s1574-076520240000026005.pdf</v>
      </c>
      <c r="V262" s="99" t="s">
        <v>1523</v>
      </c>
      <c r="W262" s="45" t="str">
        <f t="array" ref="W262">HYPERLINK(INDEX('File Links'!B:B, MATCH(U262, 'File Links'!C:C, 0)))
</f>
        <v>#N/A</v>
      </c>
      <c r="X262" s="101"/>
      <c r="Y262" s="99" t="s">
        <v>220</v>
      </c>
      <c r="Z262" s="99" t="s">
        <v>1524</v>
      </c>
      <c r="AA262" s="99" t="s">
        <v>1525</v>
      </c>
      <c r="AB262" s="99" t="s">
        <v>1542</v>
      </c>
      <c r="AC262" s="99" t="s">
        <v>1543</v>
      </c>
      <c r="AD262" s="104">
        <v>8.0</v>
      </c>
      <c r="AE262" s="104">
        <v>250.0</v>
      </c>
      <c r="AF262" s="524" t="s">
        <v>768</v>
      </c>
      <c r="AG262" s="107" t="s">
        <v>1544</v>
      </c>
      <c r="AH262" s="101"/>
      <c r="AI262" s="99" t="s">
        <v>768</v>
      </c>
      <c r="AJ262" s="103" t="s">
        <v>165</v>
      </c>
      <c r="AK262" s="99" t="s">
        <v>768</v>
      </c>
      <c r="AL262" s="99" t="s">
        <v>768</v>
      </c>
      <c r="AM262" s="101"/>
      <c r="AN262" s="104">
        <v>198.0</v>
      </c>
      <c r="AO262" s="99" t="s">
        <v>768</v>
      </c>
      <c r="AP262" s="99" t="s">
        <v>1545</v>
      </c>
      <c r="AQ262" s="101"/>
      <c r="AR262" s="99" t="s">
        <v>768</v>
      </c>
      <c r="AS262" s="108" t="s">
        <v>768</v>
      </c>
      <c r="AT262" s="108" t="s">
        <v>768</v>
      </c>
      <c r="AU262" s="108" t="s">
        <v>768</v>
      </c>
      <c r="AV262" s="98"/>
      <c r="AW262" s="108" t="s">
        <v>134</v>
      </c>
      <c r="AX262" s="55"/>
      <c r="AY262" s="64"/>
    </row>
    <row r="263" ht="20.25" customHeight="1">
      <c r="A263" s="40" t="s">
        <v>106</v>
      </c>
      <c r="B263" s="40" t="s">
        <v>107</v>
      </c>
      <c r="C263" s="40" t="s">
        <v>1455</v>
      </c>
      <c r="D263" s="58"/>
      <c r="E263" s="525" t="s">
        <v>1546</v>
      </c>
      <c r="F263" s="526" t="s">
        <v>1547</v>
      </c>
      <c r="G263" s="526" t="s">
        <v>1548</v>
      </c>
      <c r="H263" s="527">
        <v>45433.0</v>
      </c>
      <c r="I263" s="527">
        <v>41983.0</v>
      </c>
      <c r="J263" s="526" t="s">
        <v>1549</v>
      </c>
      <c r="K263" s="436"/>
      <c r="L263" s="526" t="s">
        <v>1550</v>
      </c>
      <c r="M263" s="526" t="s">
        <v>1551</v>
      </c>
      <c r="N263" s="436"/>
      <c r="O263" s="528" t="str">
        <f t="shared" si="3"/>
        <v>10.1037--a0025345.pdf</v>
      </c>
      <c r="P263" s="48" t="str">
        <f t="array" ref="P263">HYPERLINK(INDEX('File Links'!B:B, MATCH(O263, 'File Links'!C:C, 0)))
</f>
        <v>https://drive.google.com/file/d/1Dm7RxWVN3iiT5GipgY8Gq3dl65EkIYDu/view?usp=drivesdk</v>
      </c>
      <c r="Q263" s="526" t="s">
        <v>1552</v>
      </c>
      <c r="R263" s="526" t="s">
        <v>1553</v>
      </c>
      <c r="S263" s="436"/>
      <c r="T263" s="529"/>
      <c r="U263" s="526" t="str">
        <f t="shared" si="4"/>
        <v>10.1017--pds.2024.14.pdf</v>
      </c>
      <c r="V263" s="530" t="s">
        <v>1554</v>
      </c>
      <c r="W263" s="50" t="str">
        <f t="array" ref="W263">HYPERLINK(INDEX('File Links'!B:B, MATCH(U263, 'File Links'!C:C, 0)))
</f>
        <v>https://drive.google.com/file/d/14Gn77igqT7z48cFv6fyuoc9vsjaDleJT/view?usp=drivesdk</v>
      </c>
      <c r="X263" s="436"/>
      <c r="Y263" s="436"/>
      <c r="Z263" s="436"/>
      <c r="AA263" s="436"/>
      <c r="AB263" s="436"/>
      <c r="AC263" s="436"/>
      <c r="AD263" s="436"/>
      <c r="AE263" s="436"/>
      <c r="AF263" s="436"/>
      <c r="AG263" s="529"/>
      <c r="AH263" s="436"/>
      <c r="AI263" s="436"/>
      <c r="AJ263" s="511"/>
      <c r="AK263" s="436"/>
      <c r="AL263" s="436"/>
      <c r="AM263" s="436"/>
      <c r="AN263" s="436"/>
      <c r="AO263" s="436"/>
      <c r="AP263" s="436"/>
      <c r="AQ263" s="436"/>
      <c r="AR263" s="436"/>
      <c r="AS263" s="511"/>
      <c r="AT263" s="511"/>
      <c r="AU263" s="511"/>
      <c r="AV263" s="511"/>
      <c r="AW263" s="511"/>
      <c r="AX263" s="55"/>
      <c r="AY263" s="41" t="s">
        <v>135</v>
      </c>
    </row>
    <row r="264" ht="20.25" hidden="1" customHeight="1">
      <c r="A264" s="41" t="s">
        <v>106</v>
      </c>
      <c r="B264" s="41" t="s">
        <v>107</v>
      </c>
      <c r="C264" s="41" t="s">
        <v>1471</v>
      </c>
      <c r="E264" s="147" t="s">
        <v>1546</v>
      </c>
      <c r="F264" s="52" t="s">
        <v>1547</v>
      </c>
      <c r="G264" s="52" t="s">
        <v>1530</v>
      </c>
      <c r="H264" s="140">
        <v>45433.0</v>
      </c>
      <c r="I264" s="409">
        <v>45640.0</v>
      </c>
      <c r="J264" s="52" t="s">
        <v>1555</v>
      </c>
      <c r="K264" s="55"/>
      <c r="L264" s="52" t="s">
        <v>1550</v>
      </c>
      <c r="M264" s="52" t="s">
        <v>1551</v>
      </c>
      <c r="N264" s="55"/>
      <c r="O264" s="330" t="str">
        <f> SUBSTITUTE(lower(M264), "/", "--") &amp;  ".pdf"</f>
        <v>10.1037--a0025345.pdf</v>
      </c>
      <c r="P264" s="48" t="str">
        <f t="array" ref="P264">HYPERLINK(INDEX('File Links'!B:B, MATCH(O264, 'File Links'!C:C, 0)))
</f>
        <v>https://drive.google.com/file/d/1Dm7RxWVN3iiT5GipgY8Gq3dl65EkIYDu/view?usp=drivesdk</v>
      </c>
      <c r="Q264" s="48" t="s">
        <v>1556</v>
      </c>
      <c r="R264" s="48" t="s">
        <v>1553</v>
      </c>
      <c r="S264" s="55"/>
      <c r="T264" s="329"/>
      <c r="U264" s="52" t="str">
        <f> hyperlink(vlookup(lower(R264),#REF!, 2, FALSE), SUBSTITUTE(lower(R264), "/", "--") &amp;  ".pdf")</f>
        <v>10.1017--pds.2024.14.pdf</v>
      </c>
      <c r="V264" s="55"/>
      <c r="W264" s="50" t="str">
        <f t="array" ref="W264">HYPERLINK(INDEX('File Links'!B:B, MATCH(U264, 'File Links'!C:C, 0)))
</f>
        <v>https://drive.google.com/file/d/14Gn77igqT7z48cFv6fyuoc9vsjaDleJT/view?usp=drivesdk</v>
      </c>
      <c r="X264" s="52" t="s">
        <v>1555</v>
      </c>
      <c r="Y264" s="55"/>
      <c r="Z264" s="55"/>
      <c r="AA264" s="55"/>
      <c r="AB264" s="55"/>
      <c r="AC264" s="55"/>
      <c r="AD264" s="55"/>
      <c r="AE264" s="55"/>
      <c r="AF264" s="55"/>
      <c r="AG264" s="329"/>
      <c r="AH264" s="55"/>
      <c r="AI264" s="55"/>
      <c r="AJ264" s="60"/>
      <c r="AK264" s="55"/>
      <c r="AL264" s="55"/>
      <c r="AM264" s="55"/>
      <c r="AN264" s="55"/>
      <c r="AO264" s="55"/>
      <c r="AP264" s="55"/>
      <c r="AQ264" s="55"/>
      <c r="AR264" s="55"/>
      <c r="AS264" s="60"/>
      <c r="AT264" s="60"/>
      <c r="AU264" s="60"/>
      <c r="AV264" s="60"/>
      <c r="AW264" s="60"/>
      <c r="AX264" s="55"/>
      <c r="AY264" s="41" t="s">
        <v>135</v>
      </c>
      <c r="BB264" s="64"/>
      <c r="BC264" s="64"/>
      <c r="BD264" s="64"/>
      <c r="BE264" s="64"/>
      <c r="BF264" s="64"/>
      <c r="BG264" s="64"/>
      <c r="BH264" s="64"/>
      <c r="BI264" s="64"/>
      <c r="BJ264" s="64"/>
      <c r="BK264" s="64"/>
      <c r="BL264" s="64"/>
      <c r="BM264" s="64"/>
      <c r="BN264" s="64"/>
      <c r="BO264" s="64"/>
      <c r="BP264" s="64"/>
      <c r="BQ264" s="64"/>
      <c r="BR264" s="64"/>
      <c r="BS264" s="64"/>
      <c r="BT264" s="64"/>
      <c r="BU264" s="64"/>
      <c r="BV264" s="64"/>
      <c r="BW264" s="64"/>
      <c r="BX264" s="64"/>
      <c r="BY264" s="64"/>
      <c r="BZ264" s="64"/>
      <c r="CA264" s="64"/>
      <c r="CB264" s="64"/>
      <c r="CC264" s="64"/>
      <c r="CD264" s="64"/>
      <c r="CE264" s="64"/>
      <c r="CF264" s="64"/>
      <c r="CG264" s="64"/>
      <c r="CH264" s="64"/>
      <c r="CI264" s="64"/>
      <c r="CJ264" s="64"/>
      <c r="CK264" s="64"/>
      <c r="CL264" s="64"/>
      <c r="CM264" s="64"/>
      <c r="CN264" s="64"/>
      <c r="CO264" s="64"/>
      <c r="CP264" s="64"/>
      <c r="CQ264" s="64"/>
      <c r="CR264" s="64"/>
      <c r="CS264" s="64"/>
      <c r="CT264" s="64"/>
      <c r="CU264" s="64"/>
      <c r="CV264" s="64"/>
      <c r="CW264" s="64"/>
      <c r="CX264" s="64"/>
      <c r="CY264" s="64"/>
      <c r="CZ264" s="64"/>
      <c r="DA264" s="64"/>
      <c r="DB264" s="64"/>
      <c r="DC264" s="64"/>
      <c r="DD264" s="64"/>
      <c r="DE264" s="64"/>
      <c r="DF264" s="64"/>
      <c r="DG264" s="64"/>
    </row>
    <row r="265" ht="20.25" customHeight="1">
      <c r="A265" s="316" t="s">
        <v>520</v>
      </c>
      <c r="B265" s="316" t="s">
        <v>107</v>
      </c>
      <c r="C265" s="316" t="s">
        <v>341</v>
      </c>
      <c r="D265" s="215"/>
      <c r="E265" s="60" t="s">
        <v>1557</v>
      </c>
      <c r="F265" s="52" t="s">
        <v>1558</v>
      </c>
      <c r="G265" s="52" t="s">
        <v>344</v>
      </c>
      <c r="H265" s="140">
        <v>45427.0</v>
      </c>
      <c r="I265" s="140">
        <v>45636.0</v>
      </c>
      <c r="J265" s="55"/>
      <c r="K265" s="55"/>
      <c r="L265" s="52" t="s">
        <v>1559</v>
      </c>
      <c r="M265" s="352" t="s">
        <v>1560</v>
      </c>
      <c r="N265" s="52" t="s">
        <v>1561</v>
      </c>
      <c r="O265" s="353" t="s">
        <v>1562</v>
      </c>
      <c r="P265" s="48" t="str">
        <f t="array" ref="P265">HYPERLINK(INDEX('File Links'!B:B, MATCH(O265, 'File Links'!C:C, 0)))
</f>
        <v>https://drive.google.com/file/d/1_YiZ9ym1etIoqiYTErFO56HCfNn-rWNe/view?usp=drivesdk</v>
      </c>
      <c r="Q265" s="52" t="s">
        <v>1563</v>
      </c>
      <c r="R265" s="52" t="s">
        <v>1564</v>
      </c>
      <c r="S265" s="55"/>
      <c r="T265" s="329"/>
      <c r="U265" s="354" t="s">
        <v>351</v>
      </c>
      <c r="V265" s="52" t="s">
        <v>604</v>
      </c>
      <c r="W265" s="45" t="str">
        <f t="array" ref="W265">HYPERLINK(INDEX('File Links'!B:B, MATCH(U265, 'File Links'!C:C, 0)))
</f>
        <v>#N/A</v>
      </c>
      <c r="X265" s="55"/>
      <c r="Y265" s="52" t="s">
        <v>220</v>
      </c>
      <c r="Z265" s="52" t="s">
        <v>1565</v>
      </c>
      <c r="AA265" s="352" t="s">
        <v>1566</v>
      </c>
      <c r="AB265" s="352" t="s">
        <v>1567</v>
      </c>
      <c r="AC265" s="352" t="s">
        <v>1568</v>
      </c>
      <c r="AD265" s="355">
        <v>150.0</v>
      </c>
      <c r="AE265" s="355">
        <v>405.0</v>
      </c>
      <c r="AF265" s="355">
        <v>0.042</v>
      </c>
      <c r="AG265" s="330" t="s">
        <v>130</v>
      </c>
      <c r="AH265" s="52" t="s">
        <v>1569</v>
      </c>
      <c r="AI265" s="355">
        <v>0.001</v>
      </c>
      <c r="AJ265" s="147" t="s">
        <v>127</v>
      </c>
      <c r="AK265" s="52" t="s">
        <v>179</v>
      </c>
      <c r="AL265" s="55" t="s">
        <v>129</v>
      </c>
      <c r="AM265" s="52" t="s">
        <v>165</v>
      </c>
      <c r="AN265" s="355">
        <v>321.0</v>
      </c>
      <c r="AO265" s="355">
        <v>0.08</v>
      </c>
      <c r="AP265" s="52" t="s">
        <v>130</v>
      </c>
      <c r="AQ265" s="52" t="s">
        <v>624</v>
      </c>
      <c r="AR265" s="355">
        <v>0.01</v>
      </c>
      <c r="AS265" s="147" t="s">
        <v>127</v>
      </c>
      <c r="AT265" s="147" t="s">
        <v>179</v>
      </c>
      <c r="AU265" s="60" t="s">
        <v>129</v>
      </c>
      <c r="AV265" s="410" t="s">
        <v>1570</v>
      </c>
      <c r="AW265" s="531" t="s">
        <v>134</v>
      </c>
      <c r="AX265" s="55"/>
      <c r="BB265" s="95"/>
      <c r="BC265" s="95"/>
      <c r="BD265" s="95"/>
      <c r="BE265" s="95"/>
      <c r="BF265" s="95"/>
      <c r="BG265" s="95"/>
      <c r="BH265" s="95"/>
      <c r="BI265" s="95"/>
      <c r="BJ265" s="95"/>
      <c r="BK265" s="95"/>
      <c r="BL265" s="95"/>
      <c r="BM265" s="95"/>
      <c r="BN265" s="95"/>
      <c r="BO265" s="95"/>
      <c r="BP265" s="95"/>
      <c r="BQ265" s="95"/>
      <c r="BR265" s="95"/>
      <c r="BS265" s="95"/>
      <c r="BT265" s="95"/>
      <c r="BU265" s="95"/>
      <c r="BV265" s="95"/>
      <c r="BW265" s="95"/>
      <c r="BX265" s="95"/>
      <c r="BY265" s="95"/>
      <c r="BZ265" s="95"/>
      <c r="CA265" s="95"/>
      <c r="CB265" s="95"/>
      <c r="CC265" s="95"/>
      <c r="CD265" s="95"/>
      <c r="CE265" s="95"/>
      <c r="CF265" s="95"/>
      <c r="CG265" s="95"/>
      <c r="CH265" s="95"/>
      <c r="CI265" s="95"/>
      <c r="CJ265" s="95"/>
      <c r="CK265" s="95"/>
      <c r="CL265" s="95"/>
      <c r="CM265" s="95"/>
      <c r="CN265" s="95"/>
      <c r="CO265" s="95"/>
      <c r="CP265" s="95"/>
      <c r="CQ265" s="95"/>
      <c r="CR265" s="95"/>
      <c r="CS265" s="95"/>
      <c r="CT265" s="95"/>
      <c r="CU265" s="95"/>
      <c r="CV265" s="95"/>
      <c r="CW265" s="95"/>
      <c r="CX265" s="95"/>
      <c r="CY265" s="95"/>
      <c r="CZ265" s="95"/>
      <c r="DA265" s="95"/>
      <c r="DB265" s="95"/>
      <c r="DC265" s="95"/>
      <c r="DD265" s="95"/>
      <c r="DE265" s="95"/>
      <c r="DF265" s="95"/>
      <c r="DG265" s="95"/>
    </row>
    <row r="266" ht="20.25" customHeight="1">
      <c r="A266" s="316" t="s">
        <v>520</v>
      </c>
      <c r="B266" s="316" t="s">
        <v>107</v>
      </c>
      <c r="C266" s="316" t="s">
        <v>341</v>
      </c>
      <c r="D266" s="215"/>
      <c r="E266" s="60" t="s">
        <v>1557</v>
      </c>
      <c r="F266" s="52" t="s">
        <v>1571</v>
      </c>
      <c r="G266" s="52" t="s">
        <v>344</v>
      </c>
      <c r="H266" s="140">
        <v>45427.0</v>
      </c>
      <c r="I266" s="140">
        <v>45636.0</v>
      </c>
      <c r="J266" s="55"/>
      <c r="K266" s="55"/>
      <c r="L266" s="52" t="s">
        <v>1559</v>
      </c>
      <c r="M266" s="352" t="s">
        <v>1560</v>
      </c>
      <c r="N266" s="355">
        <v>6.0</v>
      </c>
      <c r="O266" s="353" t="s">
        <v>1562</v>
      </c>
      <c r="P266" s="48" t="str">
        <f t="array" ref="P266">HYPERLINK(INDEX('File Links'!B:B, MATCH(O266, 'File Links'!C:C, 0)))
</f>
        <v>https://drive.google.com/file/d/1_YiZ9ym1etIoqiYTErFO56HCfNn-rWNe/view?usp=drivesdk</v>
      </c>
      <c r="Q266" s="52" t="s">
        <v>1563</v>
      </c>
      <c r="R266" s="52" t="s">
        <v>1564</v>
      </c>
      <c r="S266" s="55"/>
      <c r="T266" s="329"/>
      <c r="U266" s="354" t="s">
        <v>351</v>
      </c>
      <c r="V266" s="52" t="s">
        <v>604</v>
      </c>
      <c r="W266" s="45" t="str">
        <f t="array" ref="W266">HYPERLINK(INDEX('File Links'!B:B, MATCH(U266, 'File Links'!C:C, 0)))
</f>
        <v>#N/A</v>
      </c>
      <c r="X266" s="55"/>
      <c r="Y266" s="52" t="s">
        <v>220</v>
      </c>
      <c r="Z266" s="52" t="s">
        <v>1565</v>
      </c>
      <c r="AA266" s="352" t="s">
        <v>1566</v>
      </c>
      <c r="AB266" s="352" t="s">
        <v>1567</v>
      </c>
      <c r="AC266" s="352" t="s">
        <v>1572</v>
      </c>
      <c r="AD266" s="355">
        <v>159.0</v>
      </c>
      <c r="AE266" s="355">
        <v>97.0</v>
      </c>
      <c r="AF266" s="355">
        <v>0.48</v>
      </c>
      <c r="AG266" s="330" t="s">
        <v>166</v>
      </c>
      <c r="AH266" s="52" t="s">
        <v>1573</v>
      </c>
      <c r="AI266" s="355">
        <v>0.023</v>
      </c>
      <c r="AJ266" s="147" t="s">
        <v>164</v>
      </c>
      <c r="AK266" s="52" t="s">
        <v>179</v>
      </c>
      <c r="AL266" s="55" t="s">
        <v>129</v>
      </c>
      <c r="AM266" s="52" t="s">
        <v>165</v>
      </c>
      <c r="AN266" s="355">
        <v>321.0</v>
      </c>
      <c r="AO266" s="355">
        <v>0.36</v>
      </c>
      <c r="AP266" s="52" t="s">
        <v>166</v>
      </c>
      <c r="AQ266" s="52" t="s">
        <v>1574</v>
      </c>
      <c r="AR266" s="355">
        <v>0.01</v>
      </c>
      <c r="AS266" s="147" t="s">
        <v>127</v>
      </c>
      <c r="AT266" s="147" t="s">
        <v>179</v>
      </c>
      <c r="AU266" s="60" t="s">
        <v>129</v>
      </c>
      <c r="AV266" s="410" t="s">
        <v>1570</v>
      </c>
      <c r="AW266" s="531" t="s">
        <v>134</v>
      </c>
      <c r="AX266" s="55"/>
      <c r="BB266" s="95"/>
      <c r="BC266" s="95"/>
      <c r="BD266" s="95"/>
      <c r="BE266" s="95"/>
      <c r="BF266" s="95"/>
      <c r="BG266" s="95"/>
      <c r="BH266" s="95"/>
      <c r="BI266" s="95"/>
      <c r="BJ266" s="95"/>
      <c r="BK266" s="95"/>
      <c r="BL266" s="95"/>
      <c r="BM266" s="95"/>
      <c r="BN266" s="95"/>
      <c r="BO266" s="95"/>
      <c r="BP266" s="95"/>
      <c r="BQ266" s="95"/>
      <c r="BR266" s="95"/>
      <c r="BS266" s="95"/>
      <c r="BT266" s="95"/>
      <c r="BU266" s="95"/>
      <c r="BV266" s="95"/>
      <c r="BW266" s="95"/>
      <c r="BX266" s="95"/>
      <c r="BY266" s="95"/>
      <c r="BZ266" s="95"/>
      <c r="CA266" s="95"/>
      <c r="CB266" s="95"/>
      <c r="CC266" s="95"/>
      <c r="CD266" s="95"/>
      <c r="CE266" s="95"/>
      <c r="CF266" s="95"/>
      <c r="CG266" s="95"/>
      <c r="CH266" s="95"/>
      <c r="CI266" s="95"/>
      <c r="CJ266" s="95"/>
      <c r="CK266" s="95"/>
      <c r="CL266" s="95"/>
      <c r="CM266" s="95"/>
      <c r="CN266" s="95"/>
      <c r="CO266" s="95"/>
      <c r="CP266" s="95"/>
      <c r="CQ266" s="95"/>
      <c r="CR266" s="95"/>
      <c r="CS266" s="95"/>
      <c r="CT266" s="95"/>
      <c r="CU266" s="95"/>
      <c r="CV266" s="95"/>
      <c r="CW266" s="95"/>
      <c r="CX266" s="95"/>
      <c r="CY266" s="95"/>
      <c r="CZ266" s="95"/>
      <c r="DA266" s="95"/>
      <c r="DB266" s="95"/>
      <c r="DC266" s="95"/>
      <c r="DD266" s="95"/>
      <c r="DE266" s="95"/>
      <c r="DF266" s="95"/>
      <c r="DG266" s="95"/>
    </row>
    <row r="267" ht="20.25" customHeight="1">
      <c r="A267" s="316" t="s">
        <v>520</v>
      </c>
      <c r="B267" s="316" t="s">
        <v>107</v>
      </c>
      <c r="C267" s="316" t="s">
        <v>341</v>
      </c>
      <c r="D267" s="215"/>
      <c r="E267" s="60" t="s">
        <v>1557</v>
      </c>
      <c r="F267" s="52" t="s">
        <v>1575</v>
      </c>
      <c r="G267" s="52" t="s">
        <v>344</v>
      </c>
      <c r="H267" s="140">
        <v>45427.0</v>
      </c>
      <c r="I267" s="140">
        <v>45636.0</v>
      </c>
      <c r="J267" s="55"/>
      <c r="K267" s="55"/>
      <c r="L267" s="52" t="s">
        <v>1559</v>
      </c>
      <c r="M267" s="352" t="s">
        <v>1560</v>
      </c>
      <c r="N267" s="355">
        <v>6.0</v>
      </c>
      <c r="O267" s="353" t="s">
        <v>1562</v>
      </c>
      <c r="P267" s="48" t="str">
        <f t="array" ref="P267">HYPERLINK(INDEX('File Links'!B:B, MATCH(O267, 'File Links'!C:C, 0)))
</f>
        <v>https://drive.google.com/file/d/1_YiZ9ym1etIoqiYTErFO56HCfNn-rWNe/view?usp=drivesdk</v>
      </c>
      <c r="Q267" s="52" t="s">
        <v>1563</v>
      </c>
      <c r="R267" s="52" t="s">
        <v>1564</v>
      </c>
      <c r="S267" s="55"/>
      <c r="T267" s="329"/>
      <c r="U267" s="354" t="s">
        <v>351</v>
      </c>
      <c r="V267" s="52" t="s">
        <v>604</v>
      </c>
      <c r="W267" s="45" t="str">
        <f t="array" ref="W267">HYPERLINK(INDEX('File Links'!B:B, MATCH(U267, 'File Links'!C:C, 0)))
</f>
        <v>#N/A</v>
      </c>
      <c r="X267" s="55"/>
      <c r="Y267" s="52" t="s">
        <v>220</v>
      </c>
      <c r="Z267" s="52" t="s">
        <v>1565</v>
      </c>
      <c r="AA267" s="352" t="s">
        <v>1566</v>
      </c>
      <c r="AB267" s="352" t="s">
        <v>1576</v>
      </c>
      <c r="AC267" s="352" t="s">
        <v>1577</v>
      </c>
      <c r="AD267" s="355">
        <v>160.0</v>
      </c>
      <c r="AE267" s="355">
        <v>97.0</v>
      </c>
      <c r="AF267" s="355">
        <v>0.21</v>
      </c>
      <c r="AG267" s="330" t="s">
        <v>1578</v>
      </c>
      <c r="AH267" s="52" t="s">
        <v>1579</v>
      </c>
      <c r="AI267" s="355">
        <v>0.05</v>
      </c>
      <c r="AJ267" s="147" t="s">
        <v>127</v>
      </c>
      <c r="AK267" s="52" t="s">
        <v>179</v>
      </c>
      <c r="AL267" s="55"/>
      <c r="AM267" s="52" t="s">
        <v>165</v>
      </c>
      <c r="AN267" s="355">
        <v>321.0</v>
      </c>
      <c r="AO267" s="355">
        <v>-0.04</v>
      </c>
      <c r="AP267" s="52" t="s">
        <v>1006</v>
      </c>
      <c r="AQ267" s="52" t="s">
        <v>1580</v>
      </c>
      <c r="AR267" s="355">
        <v>0.05</v>
      </c>
      <c r="AS267" s="147" t="s">
        <v>127</v>
      </c>
      <c r="AT267" s="147" t="s">
        <v>179</v>
      </c>
      <c r="AU267" s="60"/>
      <c r="AV267" s="410" t="s">
        <v>1570</v>
      </c>
      <c r="AW267" s="531" t="s">
        <v>134</v>
      </c>
      <c r="AX267" s="55"/>
      <c r="BB267" s="95"/>
      <c r="BC267" s="95"/>
      <c r="BD267" s="95"/>
      <c r="BE267" s="95"/>
      <c r="BF267" s="95"/>
      <c r="BG267" s="95"/>
      <c r="BH267" s="95"/>
      <c r="BI267" s="95"/>
      <c r="BJ267" s="95"/>
      <c r="BK267" s="95"/>
      <c r="BL267" s="95"/>
      <c r="BM267" s="95"/>
      <c r="BN267" s="95"/>
      <c r="BO267" s="95"/>
      <c r="BP267" s="95"/>
      <c r="BQ267" s="95"/>
      <c r="BR267" s="95"/>
      <c r="BS267" s="95"/>
      <c r="BT267" s="95"/>
      <c r="BU267" s="95"/>
      <c r="BV267" s="95"/>
      <c r="BW267" s="95"/>
      <c r="BX267" s="95"/>
      <c r="BY267" s="95"/>
      <c r="BZ267" s="95"/>
      <c r="CA267" s="95"/>
      <c r="CB267" s="95"/>
      <c r="CC267" s="95"/>
      <c r="CD267" s="95"/>
      <c r="CE267" s="95"/>
      <c r="CF267" s="95"/>
      <c r="CG267" s="95"/>
      <c r="CH267" s="95"/>
      <c r="CI267" s="95"/>
      <c r="CJ267" s="95"/>
      <c r="CK267" s="95"/>
      <c r="CL267" s="95"/>
      <c r="CM267" s="95"/>
      <c r="CN267" s="95"/>
      <c r="CO267" s="95"/>
      <c r="CP267" s="95"/>
      <c r="CQ267" s="95"/>
      <c r="CR267" s="95"/>
      <c r="CS267" s="95"/>
      <c r="CT267" s="95"/>
      <c r="CU267" s="95"/>
      <c r="CV267" s="95"/>
      <c r="CW267" s="95"/>
      <c r="CX267" s="95"/>
      <c r="CY267" s="95"/>
      <c r="CZ267" s="95"/>
      <c r="DA267" s="95"/>
      <c r="DB267" s="95"/>
      <c r="DC267" s="95"/>
      <c r="DD267" s="95"/>
      <c r="DE267" s="95"/>
      <c r="DF267" s="95"/>
      <c r="DG267" s="95"/>
    </row>
    <row r="268" ht="20.25" customHeight="1">
      <c r="A268" s="316" t="s">
        <v>520</v>
      </c>
      <c r="B268" s="316" t="s">
        <v>107</v>
      </c>
      <c r="C268" s="316" t="s">
        <v>341</v>
      </c>
      <c r="D268" s="215"/>
      <c r="E268" s="60" t="s">
        <v>1557</v>
      </c>
      <c r="F268" s="52" t="s">
        <v>1581</v>
      </c>
      <c r="G268" s="52" t="s">
        <v>344</v>
      </c>
      <c r="H268" s="140">
        <v>45427.0</v>
      </c>
      <c r="I268" s="140">
        <v>45636.0</v>
      </c>
      <c r="J268" s="55"/>
      <c r="K268" s="55"/>
      <c r="L268" s="52" t="s">
        <v>1559</v>
      </c>
      <c r="M268" s="352" t="s">
        <v>1560</v>
      </c>
      <c r="N268" s="355">
        <v>6.0</v>
      </c>
      <c r="O268" s="353" t="s">
        <v>1562</v>
      </c>
      <c r="P268" s="48" t="str">
        <f t="array" ref="P268">HYPERLINK(INDEX('File Links'!B:B, MATCH(O268, 'File Links'!C:C, 0)))
</f>
        <v>https://drive.google.com/file/d/1_YiZ9ym1etIoqiYTErFO56HCfNn-rWNe/view?usp=drivesdk</v>
      </c>
      <c r="Q268" s="52" t="s">
        <v>1563</v>
      </c>
      <c r="R268" s="52" t="s">
        <v>1564</v>
      </c>
      <c r="S268" s="55"/>
      <c r="T268" s="329"/>
      <c r="U268" s="354" t="s">
        <v>351</v>
      </c>
      <c r="V268" s="52" t="s">
        <v>604</v>
      </c>
      <c r="W268" s="45" t="str">
        <f t="array" ref="W268">HYPERLINK(INDEX('File Links'!B:B, MATCH(U268, 'File Links'!C:C, 0)))
</f>
        <v>#N/A</v>
      </c>
      <c r="X268" s="55"/>
      <c r="Y268" s="52" t="s">
        <v>220</v>
      </c>
      <c r="Z268" s="52" t="s">
        <v>1565</v>
      </c>
      <c r="AA268" s="352" t="s">
        <v>1566</v>
      </c>
      <c r="AB268" s="352" t="s">
        <v>1582</v>
      </c>
      <c r="AC268" s="352" t="s">
        <v>1583</v>
      </c>
      <c r="AD268" s="355">
        <v>160.0</v>
      </c>
      <c r="AE268" s="355">
        <v>97.0</v>
      </c>
      <c r="AF268" s="355">
        <v>0.35</v>
      </c>
      <c r="AG268" s="330" t="s">
        <v>1578</v>
      </c>
      <c r="AH268" s="52" t="s">
        <v>1579</v>
      </c>
      <c r="AI268" s="355">
        <v>0.05</v>
      </c>
      <c r="AJ268" s="147" t="s">
        <v>127</v>
      </c>
      <c r="AK268" s="52" t="s">
        <v>179</v>
      </c>
      <c r="AL268" s="55"/>
      <c r="AM268" s="52" t="s">
        <v>165</v>
      </c>
      <c r="AN268" s="355">
        <v>321.0</v>
      </c>
      <c r="AO268" s="355">
        <v>-0.03</v>
      </c>
      <c r="AP268" s="52" t="s">
        <v>1006</v>
      </c>
      <c r="AQ268" s="52" t="s">
        <v>1276</v>
      </c>
      <c r="AR268" s="355">
        <v>0.05</v>
      </c>
      <c r="AS268" s="147" t="s">
        <v>127</v>
      </c>
      <c r="AT268" s="147" t="s">
        <v>179</v>
      </c>
      <c r="AU268" s="60"/>
      <c r="AV268" s="410" t="s">
        <v>1570</v>
      </c>
      <c r="AW268" s="531" t="s">
        <v>134</v>
      </c>
      <c r="AX268" s="55"/>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c r="CY268" s="64"/>
      <c r="CZ268" s="64"/>
      <c r="DA268" s="64"/>
      <c r="DB268" s="64"/>
      <c r="DC268" s="64"/>
      <c r="DD268" s="64"/>
      <c r="DE268" s="64"/>
      <c r="DF268" s="64"/>
      <c r="DG268" s="64"/>
    </row>
    <row r="269" ht="20.25" customHeight="1">
      <c r="A269" s="316" t="s">
        <v>520</v>
      </c>
      <c r="B269" s="316" t="s">
        <v>107</v>
      </c>
      <c r="C269" s="316" t="s">
        <v>214</v>
      </c>
      <c r="D269" s="215"/>
      <c r="E269" s="255" t="s">
        <v>1557</v>
      </c>
      <c r="F269" s="43" t="s">
        <v>1584</v>
      </c>
      <c r="G269" s="356" t="s">
        <v>214</v>
      </c>
      <c r="H269" s="357">
        <v>45685.0</v>
      </c>
      <c r="I269" s="357">
        <v>45686.0</v>
      </c>
      <c r="J269" s="42"/>
      <c r="K269" s="42"/>
      <c r="L269" s="356" t="s">
        <v>1559</v>
      </c>
      <c r="M269" s="356" t="s">
        <v>1560</v>
      </c>
      <c r="N269" s="42"/>
      <c r="O269" s="145" t="s">
        <v>1562</v>
      </c>
      <c r="P269" s="48" t="str">
        <f t="array" ref="P269">HYPERLINK(INDEX('File Links'!B:B, MATCH(O269, 'File Links'!C:C, 0)))
</f>
        <v>https://drive.google.com/file/d/1_YiZ9ym1etIoqiYTErFO56HCfNn-rWNe/view?usp=drivesdk</v>
      </c>
      <c r="Q269" s="356" t="s">
        <v>1563</v>
      </c>
      <c r="R269" s="42"/>
      <c r="S269" s="42"/>
      <c r="T269" s="42"/>
      <c r="U269" s="145" t="s">
        <v>351</v>
      </c>
      <c r="V269" s="356" t="s">
        <v>155</v>
      </c>
      <c r="W269" s="45" t="str">
        <f t="array" ref="W269">HYPERLINK(INDEX('File Links'!B:B, MATCH(U269, 'File Links'!C:C, 0)))
</f>
        <v>#N/A</v>
      </c>
      <c r="X269" s="42"/>
      <c r="Y269" s="356" t="s">
        <v>1585</v>
      </c>
      <c r="Z269" s="356" t="s">
        <v>1586</v>
      </c>
      <c r="AA269" s="356" t="s">
        <v>1587</v>
      </c>
      <c r="AB269" s="356" t="s">
        <v>1588</v>
      </c>
      <c r="AC269" s="356" t="s">
        <v>1589</v>
      </c>
      <c r="AD269" s="360">
        <v>149.0</v>
      </c>
      <c r="AE269" s="360">
        <v>405.0</v>
      </c>
      <c r="AF269" s="358">
        <v>0.55</v>
      </c>
      <c r="AG269" s="356" t="s">
        <v>166</v>
      </c>
      <c r="AH269" s="356" t="s">
        <v>1590</v>
      </c>
      <c r="AI269" s="359">
        <v>0.001</v>
      </c>
      <c r="AJ269" s="43" t="s">
        <v>127</v>
      </c>
      <c r="AK269" s="43" t="s">
        <v>128</v>
      </c>
      <c r="AL269" s="356" t="s">
        <v>129</v>
      </c>
      <c r="AM269" s="43" t="s">
        <v>165</v>
      </c>
      <c r="AN269" s="360">
        <v>154.0</v>
      </c>
      <c r="AO269" s="360">
        <v>0.57</v>
      </c>
      <c r="AP269" s="356" t="s">
        <v>166</v>
      </c>
      <c r="AQ269" s="356" t="s">
        <v>1591</v>
      </c>
      <c r="AR269" s="360">
        <v>0.001</v>
      </c>
      <c r="AS269" s="356" t="s">
        <v>164</v>
      </c>
      <c r="AT269" s="356" t="s">
        <v>128</v>
      </c>
      <c r="AU269" s="356" t="s">
        <v>129</v>
      </c>
      <c r="AV269" s="532" t="s">
        <v>1592</v>
      </c>
      <c r="AW269" s="533" t="s">
        <v>134</v>
      </c>
      <c r="BB269" s="64"/>
      <c r="BC269" s="64"/>
      <c r="BD269" s="64"/>
      <c r="BE269" s="64"/>
      <c r="BF269" s="64"/>
      <c r="BG269" s="64"/>
      <c r="BH269" s="64"/>
      <c r="BI269" s="64"/>
      <c r="BJ269" s="64"/>
      <c r="BK269" s="64"/>
      <c r="BL269" s="64"/>
      <c r="BM269" s="64"/>
      <c r="BN269" s="64"/>
      <c r="BO269" s="64"/>
      <c r="BP269" s="64"/>
      <c r="BQ269" s="64"/>
      <c r="BR269" s="64"/>
      <c r="BS269" s="64"/>
      <c r="BT269" s="64"/>
      <c r="BU269" s="64"/>
      <c r="BV269" s="64"/>
      <c r="BW269" s="64"/>
      <c r="BX269" s="64"/>
      <c r="BY269" s="64"/>
      <c r="BZ269" s="64"/>
      <c r="CA269" s="64"/>
      <c r="CB269" s="64"/>
      <c r="CC269" s="64"/>
      <c r="CD269" s="64"/>
      <c r="CE269" s="64"/>
      <c r="CF269" s="64"/>
      <c r="CG269" s="64"/>
      <c r="CH269" s="64"/>
      <c r="CI269" s="64"/>
      <c r="CJ269" s="64"/>
      <c r="CK269" s="64"/>
      <c r="CL269" s="64"/>
      <c r="CM269" s="64"/>
      <c r="CN269" s="64"/>
      <c r="CO269" s="64"/>
      <c r="CP269" s="64"/>
      <c r="CQ269" s="64"/>
      <c r="CR269" s="64"/>
      <c r="CS269" s="64"/>
      <c r="CT269" s="64"/>
      <c r="CU269" s="64"/>
      <c r="CV269" s="64"/>
      <c r="CW269" s="64"/>
      <c r="CX269" s="64"/>
      <c r="CY269" s="64"/>
      <c r="CZ269" s="64"/>
      <c r="DA269" s="64"/>
      <c r="DB269" s="64"/>
      <c r="DC269" s="64"/>
      <c r="DD269" s="64"/>
      <c r="DE269" s="64"/>
      <c r="DF269" s="64"/>
      <c r="DG269" s="64"/>
    </row>
    <row r="270" ht="20.25" customHeight="1">
      <c r="A270" s="316" t="s">
        <v>520</v>
      </c>
      <c r="B270" s="316" t="s">
        <v>107</v>
      </c>
      <c r="C270" s="316" t="s">
        <v>214</v>
      </c>
      <c r="D270" s="215"/>
      <c r="E270" s="255" t="s">
        <v>1557</v>
      </c>
      <c r="F270" s="534" t="s">
        <v>1571</v>
      </c>
      <c r="G270" s="356" t="s">
        <v>214</v>
      </c>
      <c r="H270" s="357">
        <v>45685.0</v>
      </c>
      <c r="I270" s="357">
        <v>45686.0</v>
      </c>
      <c r="J270" s="42"/>
      <c r="K270" s="42"/>
      <c r="L270" s="533" t="s">
        <v>1593</v>
      </c>
      <c r="M270" s="42"/>
      <c r="N270" s="42"/>
      <c r="O270" s="145" t="s">
        <v>1562</v>
      </c>
      <c r="P270" s="48" t="str">
        <f t="array" ref="P270">HYPERLINK(INDEX('File Links'!B:B, MATCH(O270, 'File Links'!C:C, 0)))
</f>
        <v>https://drive.google.com/file/d/1_YiZ9ym1etIoqiYTErFO56HCfNn-rWNe/view?usp=drivesdk</v>
      </c>
      <c r="Q270" s="356" t="s">
        <v>1563</v>
      </c>
      <c r="R270" s="42"/>
      <c r="S270" s="42"/>
      <c r="T270" s="42"/>
      <c r="U270" s="506"/>
      <c r="V270" s="356" t="s">
        <v>155</v>
      </c>
      <c r="W270" s="45" t="str">
        <f t="array" ref="W270">HYPERLINK(INDEX('File Links'!B:B, MATCH(U270, 'File Links'!C:C, 0)))
</f>
        <v>#N/A</v>
      </c>
      <c r="X270" s="42"/>
      <c r="Y270" s="356" t="s">
        <v>1585</v>
      </c>
      <c r="Z270" s="356" t="s">
        <v>1586</v>
      </c>
      <c r="AA270" s="356" t="s">
        <v>1587</v>
      </c>
      <c r="AB270" s="356" t="s">
        <v>1594</v>
      </c>
      <c r="AC270" s="356" t="s">
        <v>1589</v>
      </c>
      <c r="AD270" s="360">
        <v>159.0</v>
      </c>
      <c r="AE270" s="360">
        <v>97.0</v>
      </c>
      <c r="AF270" s="42" t="s">
        <v>1595</v>
      </c>
      <c r="AG270" s="356" t="s">
        <v>1006</v>
      </c>
      <c r="AH270" s="356" t="s">
        <v>1573</v>
      </c>
      <c r="AI270" s="359">
        <v>0.016</v>
      </c>
      <c r="AJ270" s="43" t="s">
        <v>164</v>
      </c>
      <c r="AK270" s="43" t="s">
        <v>128</v>
      </c>
      <c r="AL270" s="356" t="s">
        <v>129</v>
      </c>
      <c r="AM270" s="43" t="s">
        <v>165</v>
      </c>
      <c r="AN270" s="360">
        <v>321.0</v>
      </c>
      <c r="AO270" s="360">
        <v>0.36</v>
      </c>
      <c r="AP270" s="356" t="s">
        <v>166</v>
      </c>
      <c r="AQ270" s="356" t="s">
        <v>1591</v>
      </c>
      <c r="AR270" s="360">
        <v>0.002</v>
      </c>
      <c r="AS270" s="356" t="s">
        <v>164</v>
      </c>
      <c r="AT270" s="356" t="s">
        <v>128</v>
      </c>
      <c r="AU270" s="356" t="s">
        <v>129</v>
      </c>
      <c r="AV270" s="532" t="s">
        <v>1592</v>
      </c>
      <c r="AW270" s="533" t="s">
        <v>134</v>
      </c>
      <c r="BB270" s="64"/>
      <c r="BC270" s="64"/>
      <c r="BD270" s="64"/>
      <c r="BE270" s="64"/>
      <c r="BF270" s="64"/>
      <c r="BG270" s="64"/>
      <c r="BH270" s="64"/>
      <c r="BI270" s="64"/>
      <c r="BJ270" s="64"/>
      <c r="BK270" s="64"/>
      <c r="BL270" s="64"/>
      <c r="BM270" s="64"/>
      <c r="BN270" s="64"/>
      <c r="BO270" s="64"/>
      <c r="BP270" s="64"/>
      <c r="BQ270" s="64"/>
      <c r="BR270" s="64"/>
      <c r="BS270" s="64"/>
      <c r="BT270" s="64"/>
      <c r="BU270" s="64"/>
      <c r="BV270" s="64"/>
      <c r="BW270" s="64"/>
      <c r="BX270" s="64"/>
      <c r="BY270" s="64"/>
      <c r="BZ270" s="64"/>
      <c r="CA270" s="64"/>
      <c r="CB270" s="64"/>
      <c r="CC270" s="64"/>
      <c r="CD270" s="64"/>
      <c r="CE270" s="64"/>
      <c r="CF270" s="64"/>
      <c r="CG270" s="64"/>
      <c r="CH270" s="64"/>
      <c r="CI270" s="64"/>
      <c r="CJ270" s="64"/>
      <c r="CK270" s="64"/>
      <c r="CL270" s="64"/>
      <c r="CM270" s="64"/>
      <c r="CN270" s="64"/>
      <c r="CO270" s="64"/>
      <c r="CP270" s="64"/>
      <c r="CQ270" s="64"/>
      <c r="CR270" s="64"/>
      <c r="CS270" s="64"/>
      <c r="CT270" s="64"/>
      <c r="CU270" s="64"/>
      <c r="CV270" s="64"/>
      <c r="CW270" s="64"/>
      <c r="CX270" s="64"/>
      <c r="CY270" s="64"/>
      <c r="CZ270" s="64"/>
      <c r="DA270" s="64"/>
      <c r="DB270" s="64"/>
      <c r="DC270" s="64"/>
      <c r="DD270" s="64"/>
      <c r="DE270" s="64"/>
      <c r="DF270" s="64"/>
      <c r="DG270" s="64"/>
    </row>
    <row r="271" ht="20.25" customHeight="1">
      <c r="A271" s="535" t="s">
        <v>106</v>
      </c>
      <c r="B271" s="535" t="s">
        <v>107</v>
      </c>
      <c r="C271" s="535" t="s">
        <v>1251</v>
      </c>
      <c r="D271" s="536"/>
      <c r="E271" s="537" t="s">
        <v>1596</v>
      </c>
      <c r="F271" s="520" t="s">
        <v>1597</v>
      </c>
      <c r="G271" s="520" t="s">
        <v>1254</v>
      </c>
      <c r="H271" s="538">
        <v>45641.0</v>
      </c>
      <c r="I271" s="539">
        <v>45670.0</v>
      </c>
      <c r="J271" s="540"/>
      <c r="K271" s="541" t="s">
        <v>1598</v>
      </c>
      <c r="L271" s="520" t="s">
        <v>1599</v>
      </c>
      <c r="M271" s="520"/>
      <c r="N271" s="542">
        <v>1.0</v>
      </c>
      <c r="O271" s="543" t="s">
        <v>1600</v>
      </c>
      <c r="P271" s="544" t="str">
        <f t="array" ref="P271">HYPERLINK(INDEX('File Links'!B:B, MATCH(O271, 'File Links'!C:C, 0)))
</f>
        <v>#N/A</v>
      </c>
      <c r="Q271" s="520" t="s">
        <v>1601</v>
      </c>
      <c r="R271" s="520"/>
      <c r="S271" s="545" t="s">
        <v>1602</v>
      </c>
      <c r="T271" s="546">
        <v>1.0</v>
      </c>
      <c r="U271" s="520" t="s">
        <v>351</v>
      </c>
      <c r="V271" s="520" t="s">
        <v>1603</v>
      </c>
      <c r="W271" s="45" t="str">
        <f t="array" ref="W271">HYPERLINK(INDEX('File Links'!B:B, MATCH(U271, 'File Links'!C:C, 0)))
</f>
        <v>#N/A</v>
      </c>
      <c r="X271" s="540"/>
      <c r="Y271" s="520" t="s">
        <v>235</v>
      </c>
      <c r="Z271" s="540"/>
      <c r="AA271" s="520" t="s">
        <v>165</v>
      </c>
      <c r="AB271" s="540"/>
      <c r="AC271" s="540"/>
      <c r="AD271" s="540"/>
      <c r="AE271" s="542">
        <v>101.0</v>
      </c>
      <c r="AF271" s="540"/>
      <c r="AG271" s="547"/>
      <c r="AH271" s="540"/>
      <c r="AI271" s="540"/>
      <c r="AJ271" s="537"/>
      <c r="AK271" s="540"/>
      <c r="AL271" s="540"/>
      <c r="AM271" s="540"/>
      <c r="AN271" s="542">
        <v>103.0</v>
      </c>
      <c r="AO271" s="540"/>
      <c r="AP271" s="540"/>
      <c r="AQ271" s="540"/>
      <c r="AR271" s="540"/>
      <c r="AS271" s="537"/>
      <c r="AT271" s="537"/>
      <c r="AU271" s="537"/>
      <c r="AV271" s="537"/>
      <c r="AW271" s="537"/>
      <c r="AX271" s="548" t="s">
        <v>1598</v>
      </c>
      <c r="AY271" s="110" t="s">
        <v>135</v>
      </c>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c r="CD271" s="64"/>
      <c r="CE271" s="64"/>
      <c r="CF271" s="64"/>
      <c r="CG271" s="64"/>
      <c r="CH271" s="64"/>
      <c r="CI271" s="64"/>
      <c r="CJ271" s="64"/>
      <c r="CK271" s="64"/>
      <c r="CL271" s="64"/>
      <c r="CM271" s="64"/>
      <c r="CN271" s="64"/>
      <c r="CO271" s="64"/>
      <c r="CP271" s="64"/>
      <c r="CQ271" s="64"/>
      <c r="CR271" s="64"/>
      <c r="CS271" s="64"/>
      <c r="CT271" s="64"/>
      <c r="CU271" s="64"/>
      <c r="CV271" s="64"/>
      <c r="CW271" s="64"/>
      <c r="CX271" s="64"/>
      <c r="CY271" s="64"/>
      <c r="CZ271" s="64"/>
      <c r="DA271" s="64"/>
      <c r="DB271" s="64"/>
      <c r="DC271" s="64"/>
      <c r="DD271" s="64"/>
      <c r="DE271" s="64"/>
      <c r="DF271" s="64"/>
      <c r="DG271" s="64"/>
    </row>
    <row r="272" ht="20.25" customHeight="1">
      <c r="A272" s="549" t="s">
        <v>143</v>
      </c>
      <c r="B272" s="549" t="s">
        <v>107</v>
      </c>
      <c r="C272" s="549" t="s">
        <v>280</v>
      </c>
      <c r="D272" s="550"/>
      <c r="E272" s="551" t="s">
        <v>1596</v>
      </c>
      <c r="F272" s="523" t="s">
        <v>1597</v>
      </c>
      <c r="G272" s="551" t="s">
        <v>135</v>
      </c>
      <c r="H272" s="552">
        <v>45670.0</v>
      </c>
      <c r="I272" s="539">
        <v>45670.0</v>
      </c>
      <c r="J272" s="551"/>
      <c r="K272" s="553"/>
      <c r="L272" s="554" t="s">
        <v>1604</v>
      </c>
      <c r="M272" s="555"/>
      <c r="N272" s="553">
        <v>1.0</v>
      </c>
      <c r="O272" s="551" t="s">
        <v>1605</v>
      </c>
      <c r="P272" s="48" t="str">
        <f t="array" ref="P272">HYPERLINK(INDEX('File Links'!B:B, MATCH(O272, 'File Links'!C:C, 0)))
</f>
        <v>https://drive.google.com/file/d/13W9ZIRuUntMYZ1V5eqz7utx5OSyGY3y3/view?usp=drivesdk</v>
      </c>
      <c r="Q272" s="556" t="s">
        <v>1606</v>
      </c>
      <c r="R272" s="555"/>
      <c r="S272" s="554" t="s">
        <v>1607</v>
      </c>
      <c r="T272" s="120">
        <v>1.0</v>
      </c>
      <c r="U272" s="551" t="s">
        <v>1608</v>
      </c>
      <c r="V272" s="551" t="s">
        <v>1609</v>
      </c>
      <c r="W272" s="50" t="str">
        <f t="array" ref="W272">HYPERLINK(INDEX('File Links'!B:B, MATCH(U272, 'File Links'!C:C, 0)))
</f>
        <v>https://drive.google.com/file/d/1Fg206MUtjoN9d31kEAQ7bIDHvbUqwyGY/view?usp=drivesdk</v>
      </c>
      <c r="X272" s="555"/>
      <c r="Y272" s="551" t="s">
        <v>1610</v>
      </c>
      <c r="Z272" s="551" t="s">
        <v>1611</v>
      </c>
      <c r="AA272" s="555" t="s">
        <v>1612</v>
      </c>
      <c r="AB272" s="551" t="s">
        <v>1613</v>
      </c>
      <c r="AC272" s="557" t="s">
        <v>1614</v>
      </c>
      <c r="AD272" s="558">
        <v>52.0</v>
      </c>
      <c r="AE272" s="558">
        <v>101.0</v>
      </c>
      <c r="AF272" s="559">
        <v>0.79</v>
      </c>
      <c r="AG272" s="557" t="s">
        <v>208</v>
      </c>
      <c r="AH272" s="557" t="s">
        <v>1615</v>
      </c>
      <c r="AI272" s="559">
        <v>0.01</v>
      </c>
      <c r="AJ272" s="147" t="s">
        <v>127</v>
      </c>
      <c r="AK272" s="523" t="s">
        <v>179</v>
      </c>
      <c r="AL272" s="555" t="s">
        <v>129</v>
      </c>
      <c r="AM272" s="128" t="s">
        <v>165</v>
      </c>
      <c r="AN272" s="558">
        <v>103.0</v>
      </c>
      <c r="AO272" s="559">
        <v>0.76</v>
      </c>
      <c r="AP272" s="557" t="s">
        <v>208</v>
      </c>
      <c r="AQ272" s="560">
        <v>63.0</v>
      </c>
      <c r="AR272" s="559">
        <v>0.001</v>
      </c>
      <c r="AS272" s="147" t="s">
        <v>127</v>
      </c>
      <c r="AT272" s="551" t="s">
        <v>179</v>
      </c>
      <c r="AU272" s="555" t="s">
        <v>129</v>
      </c>
      <c r="AV272" s="41" t="s">
        <v>165</v>
      </c>
      <c r="AW272" s="555" t="s">
        <v>134</v>
      </c>
      <c r="AX272" s="548"/>
      <c r="AY272" s="110" t="s">
        <v>135</v>
      </c>
      <c r="BB272" s="64"/>
      <c r="BC272" s="64"/>
      <c r="BD272" s="64"/>
      <c r="BE272" s="64"/>
      <c r="BF272" s="64"/>
      <c r="BG272" s="64"/>
      <c r="BH272" s="64"/>
      <c r="BI272" s="64"/>
      <c r="BJ272" s="64"/>
      <c r="BK272" s="64"/>
      <c r="BL272" s="64"/>
      <c r="BM272" s="64"/>
      <c r="BN272" s="64"/>
      <c r="BO272" s="64"/>
      <c r="BP272" s="64"/>
      <c r="BQ272" s="64"/>
      <c r="BR272" s="64"/>
      <c r="BS272" s="64"/>
      <c r="BT272" s="64"/>
      <c r="BU272" s="64"/>
      <c r="BV272" s="64"/>
      <c r="BW272" s="64"/>
      <c r="BX272" s="64"/>
      <c r="BY272" s="64"/>
      <c r="BZ272" s="64"/>
      <c r="CA272" s="64"/>
      <c r="CB272" s="64"/>
      <c r="CC272" s="64"/>
      <c r="CD272" s="64"/>
      <c r="CE272" s="64"/>
      <c r="CF272" s="64"/>
      <c r="CG272" s="64"/>
      <c r="CH272" s="64"/>
      <c r="CI272" s="64"/>
      <c r="CJ272" s="64"/>
      <c r="CK272" s="64"/>
      <c r="CL272" s="64"/>
      <c r="CM272" s="64"/>
      <c r="CN272" s="64"/>
      <c r="CO272" s="64"/>
      <c r="CP272" s="64"/>
      <c r="CQ272" s="64"/>
      <c r="CR272" s="64"/>
      <c r="CS272" s="64"/>
      <c r="CT272" s="64"/>
      <c r="CU272" s="64"/>
      <c r="CV272" s="64"/>
      <c r="CW272" s="64"/>
      <c r="CX272" s="64"/>
      <c r="CY272" s="64"/>
      <c r="CZ272" s="64"/>
      <c r="DA272" s="64"/>
      <c r="DB272" s="64"/>
      <c r="DC272" s="64"/>
      <c r="DD272" s="64"/>
      <c r="DE272" s="64"/>
      <c r="DF272" s="64"/>
      <c r="DG272" s="64"/>
    </row>
    <row r="273" ht="20.25" customHeight="1">
      <c r="A273" s="549" t="s">
        <v>143</v>
      </c>
      <c r="B273" s="549" t="s">
        <v>107</v>
      </c>
      <c r="C273" s="549" t="s">
        <v>280</v>
      </c>
      <c r="D273" s="550"/>
      <c r="E273" s="551" t="s">
        <v>1596</v>
      </c>
      <c r="F273" s="523" t="s">
        <v>1597</v>
      </c>
      <c r="G273" s="551" t="s">
        <v>1616</v>
      </c>
      <c r="H273" s="561">
        <v>45634.0</v>
      </c>
      <c r="I273" s="539">
        <v>45670.0</v>
      </c>
      <c r="J273" s="551" t="s">
        <v>1617</v>
      </c>
      <c r="K273" s="553"/>
      <c r="L273" s="554" t="s">
        <v>1618</v>
      </c>
      <c r="M273" s="555"/>
      <c r="N273" s="553">
        <v>1.0</v>
      </c>
      <c r="O273" s="551" t="s">
        <v>1605</v>
      </c>
      <c r="P273" s="48" t="str">
        <f t="array" ref="P273">HYPERLINK(INDEX('File Links'!B:B, MATCH(O273, 'File Links'!C:C, 0)))
</f>
        <v>https://drive.google.com/file/d/13W9ZIRuUntMYZ1V5eqz7utx5OSyGY3y3/view?usp=drivesdk</v>
      </c>
      <c r="Q273" s="556" t="s">
        <v>1619</v>
      </c>
      <c r="R273" s="555"/>
      <c r="S273" s="554" t="s">
        <v>1607</v>
      </c>
      <c r="T273" s="120">
        <v>1.0</v>
      </c>
      <c r="U273" s="551" t="s">
        <v>1608</v>
      </c>
      <c r="V273" s="551" t="s">
        <v>1609</v>
      </c>
      <c r="W273" s="50" t="str">
        <f t="array" ref="W273">HYPERLINK(INDEX('File Links'!B:B, MATCH(U273, 'File Links'!C:C, 0)))
</f>
        <v>https://drive.google.com/file/d/1Fg206MUtjoN9d31kEAQ7bIDHvbUqwyGY/view?usp=drivesdk</v>
      </c>
      <c r="X273" s="555"/>
      <c r="Y273" s="551" t="s">
        <v>1610</v>
      </c>
      <c r="Z273" s="551" t="s">
        <v>1611</v>
      </c>
      <c r="AA273" s="555" t="s">
        <v>1612</v>
      </c>
      <c r="AB273" s="551" t="s">
        <v>1613</v>
      </c>
      <c r="AC273" s="557" t="s">
        <v>1620</v>
      </c>
      <c r="AD273" s="559">
        <v>57.0</v>
      </c>
      <c r="AE273" s="558">
        <v>101.0</v>
      </c>
      <c r="AF273" s="558">
        <v>0.18</v>
      </c>
      <c r="AG273" s="562" t="s">
        <v>166</v>
      </c>
      <c r="AH273" s="557" t="s">
        <v>1621</v>
      </c>
      <c r="AI273" s="563">
        <v>0.0717</v>
      </c>
      <c r="AJ273" s="551" t="s">
        <v>164</v>
      </c>
      <c r="AK273" s="523" t="s">
        <v>179</v>
      </c>
      <c r="AL273" s="555" t="s">
        <v>129</v>
      </c>
      <c r="AM273" s="128" t="s">
        <v>165</v>
      </c>
      <c r="AN273" s="558">
        <v>103.0</v>
      </c>
      <c r="AO273" s="558">
        <v>0.25</v>
      </c>
      <c r="AP273" s="551" t="s">
        <v>166</v>
      </c>
      <c r="AQ273" s="551" t="s">
        <v>1622</v>
      </c>
      <c r="AR273" s="558">
        <v>0.01</v>
      </c>
      <c r="AS273" s="551" t="s">
        <v>164</v>
      </c>
      <c r="AT273" s="551" t="s">
        <v>179</v>
      </c>
      <c r="AU273" s="555" t="s">
        <v>129</v>
      </c>
      <c r="AV273" s="41" t="s">
        <v>165</v>
      </c>
      <c r="AW273" s="555" t="s">
        <v>134</v>
      </c>
      <c r="AX273" s="548"/>
      <c r="AY273" s="110" t="s">
        <v>135</v>
      </c>
    </row>
    <row r="274" ht="20.25" customHeight="1">
      <c r="A274" s="549" t="s">
        <v>143</v>
      </c>
      <c r="B274" s="549" t="s">
        <v>107</v>
      </c>
      <c r="C274" s="549" t="s">
        <v>280</v>
      </c>
      <c r="D274" s="550"/>
      <c r="E274" s="551" t="s">
        <v>1596</v>
      </c>
      <c r="F274" s="523" t="s">
        <v>1623</v>
      </c>
      <c r="G274" s="551" t="s">
        <v>1616</v>
      </c>
      <c r="H274" s="561">
        <v>45634.0</v>
      </c>
      <c r="I274" s="539">
        <v>45670.0</v>
      </c>
      <c r="J274" s="551" t="s">
        <v>1617</v>
      </c>
      <c r="K274" s="553"/>
      <c r="L274" s="554" t="s">
        <v>1624</v>
      </c>
      <c r="M274" s="555"/>
      <c r="N274" s="553">
        <v>1.0</v>
      </c>
      <c r="O274" s="551" t="s">
        <v>1605</v>
      </c>
      <c r="P274" s="48" t="str">
        <f t="array" ref="P274">HYPERLINK(INDEX('File Links'!B:B, MATCH(O274, 'File Links'!C:C, 0)))
</f>
        <v>https://drive.google.com/file/d/13W9ZIRuUntMYZ1V5eqz7utx5OSyGY3y3/view?usp=drivesdk</v>
      </c>
      <c r="Q274" s="556" t="s">
        <v>1625</v>
      </c>
      <c r="R274" s="555"/>
      <c r="S274" s="554" t="s">
        <v>1607</v>
      </c>
      <c r="T274" s="120">
        <v>1.0</v>
      </c>
      <c r="U274" s="551" t="s">
        <v>1608</v>
      </c>
      <c r="V274" s="551" t="s">
        <v>1609</v>
      </c>
      <c r="W274" s="50" t="str">
        <f t="array" ref="W274">HYPERLINK(INDEX('File Links'!B:B, MATCH(U274, 'File Links'!C:C, 0)))
</f>
        <v>https://drive.google.com/file/d/1Fg206MUtjoN9d31kEAQ7bIDHvbUqwyGY/view?usp=drivesdk</v>
      </c>
      <c r="X274" s="555"/>
      <c r="Y274" s="551" t="s">
        <v>1610</v>
      </c>
      <c r="Z274" s="551" t="s">
        <v>1626</v>
      </c>
      <c r="AA274" s="555" t="s">
        <v>1627</v>
      </c>
      <c r="AB274" s="551" t="s">
        <v>1628</v>
      </c>
      <c r="AC274" s="557" t="s">
        <v>1629</v>
      </c>
      <c r="AD274" s="559">
        <v>57.0</v>
      </c>
      <c r="AE274" s="564">
        <v>101.0</v>
      </c>
      <c r="AF274" s="558">
        <v>0.09</v>
      </c>
      <c r="AG274" s="562" t="s">
        <v>166</v>
      </c>
      <c r="AH274" s="557" t="s">
        <v>1621</v>
      </c>
      <c r="AI274" s="563">
        <v>0.3451</v>
      </c>
      <c r="AJ274" s="551" t="s">
        <v>164</v>
      </c>
      <c r="AK274" s="523" t="s">
        <v>179</v>
      </c>
      <c r="AL274" s="555" t="s">
        <v>129</v>
      </c>
      <c r="AM274" s="128" t="s">
        <v>165</v>
      </c>
      <c r="AN274" s="558">
        <v>103.0</v>
      </c>
      <c r="AO274" s="558">
        <v>0.09</v>
      </c>
      <c r="AP274" s="551" t="s">
        <v>166</v>
      </c>
      <c r="AQ274" s="551" t="s">
        <v>1622</v>
      </c>
      <c r="AR274" s="558">
        <v>0.38</v>
      </c>
      <c r="AS274" s="551" t="s">
        <v>164</v>
      </c>
      <c r="AT274" s="551" t="s">
        <v>179</v>
      </c>
      <c r="AU274" s="555" t="s">
        <v>129</v>
      </c>
      <c r="AV274" s="41" t="s">
        <v>165</v>
      </c>
      <c r="AW274" s="555" t="s">
        <v>134</v>
      </c>
      <c r="AX274" s="548"/>
      <c r="AY274" s="110" t="s">
        <v>135</v>
      </c>
    </row>
    <row r="275" ht="20.25" customHeight="1">
      <c r="A275" s="549" t="s">
        <v>143</v>
      </c>
      <c r="B275" s="549" t="s">
        <v>107</v>
      </c>
      <c r="C275" s="549" t="s">
        <v>280</v>
      </c>
      <c r="D275" s="550"/>
      <c r="E275" s="551" t="s">
        <v>1596</v>
      </c>
      <c r="F275" s="523" t="s">
        <v>1630</v>
      </c>
      <c r="G275" s="551" t="s">
        <v>283</v>
      </c>
      <c r="H275" s="561">
        <v>45634.0</v>
      </c>
      <c r="I275" s="539">
        <v>45670.0</v>
      </c>
      <c r="J275" s="551" t="s">
        <v>1617</v>
      </c>
      <c r="K275" s="553"/>
      <c r="L275" s="554" t="s">
        <v>1631</v>
      </c>
      <c r="M275" s="555"/>
      <c r="N275" s="553">
        <v>1.0</v>
      </c>
      <c r="O275" s="551" t="s">
        <v>1605</v>
      </c>
      <c r="P275" s="48" t="str">
        <f t="array" ref="P275">HYPERLINK(INDEX('File Links'!B:B, MATCH(O275, 'File Links'!C:C, 0)))
</f>
        <v>https://drive.google.com/file/d/13W9ZIRuUntMYZ1V5eqz7utx5OSyGY3y3/view?usp=drivesdk</v>
      </c>
      <c r="Q275" s="556" t="s">
        <v>1632</v>
      </c>
      <c r="R275" s="555"/>
      <c r="S275" s="554" t="s">
        <v>1607</v>
      </c>
      <c r="T275" s="120">
        <v>1.0</v>
      </c>
      <c r="U275" s="551" t="s">
        <v>1608</v>
      </c>
      <c r="V275" s="551" t="s">
        <v>1609</v>
      </c>
      <c r="W275" s="50" t="str">
        <f t="array" ref="W275">HYPERLINK(INDEX('File Links'!B:B, MATCH(U275, 'File Links'!C:C, 0)))
</f>
        <v>https://drive.google.com/file/d/1Fg206MUtjoN9d31kEAQ7bIDHvbUqwyGY/view?usp=drivesdk</v>
      </c>
      <c r="X275" s="555"/>
      <c r="Y275" s="551" t="s">
        <v>1610</v>
      </c>
      <c r="Z275" s="551" t="s">
        <v>1633</v>
      </c>
      <c r="AA275" s="555" t="s">
        <v>1634</v>
      </c>
      <c r="AB275" s="551" t="s">
        <v>1635</v>
      </c>
      <c r="AC275" s="557" t="s">
        <v>1636</v>
      </c>
      <c r="AD275" s="559">
        <v>57.0</v>
      </c>
      <c r="AE275" s="564">
        <v>101.0</v>
      </c>
      <c r="AF275" s="558">
        <v>0.75</v>
      </c>
      <c r="AG275" s="562" t="s">
        <v>166</v>
      </c>
      <c r="AH275" s="557" t="s">
        <v>1621</v>
      </c>
      <c r="AI275" s="563">
        <v>1.0E-4</v>
      </c>
      <c r="AJ275" s="551" t="s">
        <v>164</v>
      </c>
      <c r="AK275" s="523" t="s">
        <v>179</v>
      </c>
      <c r="AL275" s="555" t="s">
        <v>129</v>
      </c>
      <c r="AM275" s="128" t="s">
        <v>165</v>
      </c>
      <c r="AN275" s="558">
        <v>103.0</v>
      </c>
      <c r="AO275" s="558">
        <v>0.45</v>
      </c>
      <c r="AP275" s="551" t="s">
        <v>166</v>
      </c>
      <c r="AQ275" s="551" t="s">
        <v>1622</v>
      </c>
      <c r="AR275" s="558">
        <v>0.01</v>
      </c>
      <c r="AS275" s="551" t="s">
        <v>127</v>
      </c>
      <c r="AT275" s="551" t="s">
        <v>179</v>
      </c>
      <c r="AU275" s="555" t="s">
        <v>129</v>
      </c>
      <c r="AV275" s="41" t="s">
        <v>165</v>
      </c>
      <c r="AW275" s="555" t="s">
        <v>134</v>
      </c>
      <c r="AX275" s="548"/>
      <c r="AY275" s="110" t="s">
        <v>135</v>
      </c>
      <c r="BB275" s="64"/>
      <c r="BC275" s="64"/>
      <c r="BD275" s="64"/>
      <c r="BE275" s="64"/>
      <c r="BF275" s="64"/>
      <c r="BG275" s="64"/>
      <c r="BH275" s="64"/>
      <c r="BI275" s="64"/>
      <c r="BJ275" s="64"/>
      <c r="BK275" s="64"/>
      <c r="BL275" s="64"/>
      <c r="BM275" s="64"/>
      <c r="BN275" s="64"/>
      <c r="BO275" s="64"/>
      <c r="BP275" s="64"/>
      <c r="BQ275" s="64"/>
      <c r="BR275" s="64"/>
      <c r="BS275" s="64"/>
      <c r="BT275" s="64"/>
      <c r="BU275" s="64"/>
      <c r="BV275" s="64"/>
      <c r="BW275" s="64"/>
      <c r="BX275" s="64"/>
      <c r="BY275" s="64"/>
      <c r="BZ275" s="64"/>
      <c r="CA275" s="64"/>
      <c r="CB275" s="64"/>
      <c r="CC275" s="64"/>
      <c r="CD275" s="64"/>
      <c r="CE275" s="64"/>
      <c r="CF275" s="64"/>
      <c r="CG275" s="64"/>
      <c r="CH275" s="64"/>
      <c r="CI275" s="64"/>
      <c r="CJ275" s="64"/>
      <c r="CK275" s="64"/>
      <c r="CL275" s="64"/>
      <c r="CM275" s="64"/>
      <c r="CN275" s="64"/>
      <c r="CO275" s="64"/>
      <c r="CP275" s="64"/>
      <c r="CQ275" s="64"/>
      <c r="CR275" s="64"/>
      <c r="CS275" s="64"/>
      <c r="CT275" s="64"/>
      <c r="CU275" s="64"/>
      <c r="CV275" s="64"/>
      <c r="CW275" s="64"/>
      <c r="CX275" s="64"/>
      <c r="CY275" s="64"/>
      <c r="CZ275" s="64"/>
      <c r="DA275" s="64"/>
      <c r="DB275" s="64"/>
      <c r="DC275" s="64"/>
      <c r="DD275" s="64"/>
      <c r="DE275" s="64"/>
      <c r="DF275" s="64"/>
      <c r="DG275" s="64"/>
    </row>
    <row r="276" ht="20.25" customHeight="1">
      <c r="A276" s="549" t="s">
        <v>143</v>
      </c>
      <c r="B276" s="549" t="s">
        <v>107</v>
      </c>
      <c r="C276" s="549" t="s">
        <v>280</v>
      </c>
      <c r="D276" s="550"/>
      <c r="E276" s="551" t="s">
        <v>1596</v>
      </c>
      <c r="F276" s="523" t="s">
        <v>1637</v>
      </c>
      <c r="G276" s="551" t="s">
        <v>283</v>
      </c>
      <c r="H276" s="561">
        <v>45634.0</v>
      </c>
      <c r="I276" s="539">
        <v>45670.0</v>
      </c>
      <c r="J276" s="551" t="s">
        <v>1617</v>
      </c>
      <c r="K276" s="553"/>
      <c r="L276" s="554" t="s">
        <v>1638</v>
      </c>
      <c r="M276" s="555"/>
      <c r="N276" s="553">
        <v>1.0</v>
      </c>
      <c r="O276" s="551" t="s">
        <v>1605</v>
      </c>
      <c r="P276" s="48" t="str">
        <f t="array" ref="P276">HYPERLINK(INDEX('File Links'!B:B, MATCH(O276, 'File Links'!C:C, 0)))
</f>
        <v>https://drive.google.com/file/d/13W9ZIRuUntMYZ1V5eqz7utx5OSyGY3y3/view?usp=drivesdk</v>
      </c>
      <c r="Q276" s="556" t="s">
        <v>1639</v>
      </c>
      <c r="R276" s="555"/>
      <c r="S276" s="554" t="s">
        <v>1607</v>
      </c>
      <c r="T276" s="120">
        <v>1.0</v>
      </c>
      <c r="U276" s="551" t="s">
        <v>1608</v>
      </c>
      <c r="V276" s="551" t="s">
        <v>1609</v>
      </c>
      <c r="W276" s="50" t="str">
        <f t="array" ref="W276">HYPERLINK(INDEX('File Links'!B:B, MATCH(U276, 'File Links'!C:C, 0)))
</f>
        <v>https://drive.google.com/file/d/1Fg206MUtjoN9d31kEAQ7bIDHvbUqwyGY/view?usp=drivesdk</v>
      </c>
      <c r="X276" s="555"/>
      <c r="Y276" s="551" t="s">
        <v>1610</v>
      </c>
      <c r="Z276" s="551" t="s">
        <v>1640</v>
      </c>
      <c r="AA276" s="551" t="s">
        <v>1641</v>
      </c>
      <c r="AB276" s="551" t="s">
        <v>1642</v>
      </c>
      <c r="AC276" s="557" t="s">
        <v>1643</v>
      </c>
      <c r="AD276" s="559">
        <v>57.0</v>
      </c>
      <c r="AE276" s="564">
        <v>101.0</v>
      </c>
      <c r="AF276" s="558">
        <v>0.45</v>
      </c>
      <c r="AG276" s="562" t="s">
        <v>166</v>
      </c>
      <c r="AH276" s="557" t="s">
        <v>1621</v>
      </c>
      <c r="AI276" s="563">
        <v>0.0012</v>
      </c>
      <c r="AJ276" s="551" t="s">
        <v>164</v>
      </c>
      <c r="AK276" s="523" t="s">
        <v>179</v>
      </c>
      <c r="AL276" s="555" t="s">
        <v>129</v>
      </c>
      <c r="AM276" s="128" t="s">
        <v>165</v>
      </c>
      <c r="AN276" s="558">
        <v>103.0</v>
      </c>
      <c r="AO276" s="558">
        <v>0.48</v>
      </c>
      <c r="AP276" s="551" t="s">
        <v>166</v>
      </c>
      <c r="AQ276" s="551" t="s">
        <v>1622</v>
      </c>
      <c r="AR276" s="558">
        <v>0.01</v>
      </c>
      <c r="AS276" s="551" t="s">
        <v>127</v>
      </c>
      <c r="AT276" s="551" t="s">
        <v>179</v>
      </c>
      <c r="AU276" s="555" t="s">
        <v>129</v>
      </c>
      <c r="AV276" s="41" t="s">
        <v>165</v>
      </c>
      <c r="AW276" s="555" t="s">
        <v>134</v>
      </c>
      <c r="AX276" s="548"/>
      <c r="AY276" s="110" t="s">
        <v>135</v>
      </c>
      <c r="BB276" s="217"/>
      <c r="BC276" s="217"/>
      <c r="BD276" s="217"/>
      <c r="BE276" s="217"/>
      <c r="BF276" s="217"/>
      <c r="BG276" s="217"/>
      <c r="BH276" s="217"/>
      <c r="BI276" s="217"/>
      <c r="BJ276" s="217"/>
      <c r="BK276" s="217"/>
      <c r="BL276" s="217"/>
      <c r="BM276" s="217"/>
      <c r="BN276" s="217"/>
      <c r="BO276" s="217"/>
      <c r="BP276" s="217"/>
      <c r="BQ276" s="217"/>
      <c r="BR276" s="217"/>
      <c r="BS276" s="217"/>
      <c r="BT276" s="217"/>
      <c r="BU276" s="217"/>
      <c r="BV276" s="217"/>
      <c r="BW276" s="217"/>
      <c r="BX276" s="217"/>
      <c r="BY276" s="217"/>
      <c r="BZ276" s="217"/>
      <c r="CA276" s="217"/>
      <c r="CB276" s="217"/>
      <c r="CC276" s="217"/>
      <c r="CD276" s="217"/>
      <c r="CE276" s="217"/>
      <c r="CF276" s="217"/>
      <c r="CG276" s="217"/>
      <c r="CH276" s="217"/>
      <c r="CI276" s="217"/>
      <c r="CJ276" s="217"/>
      <c r="CK276" s="217"/>
      <c r="CL276" s="217"/>
      <c r="CM276" s="217"/>
      <c r="CN276" s="217"/>
      <c r="CO276" s="217"/>
      <c r="CP276" s="217"/>
      <c r="CQ276" s="217"/>
      <c r="CR276" s="217"/>
      <c r="CS276" s="217"/>
      <c r="CT276" s="217"/>
      <c r="CU276" s="217"/>
      <c r="CV276" s="217"/>
      <c r="CW276" s="217"/>
      <c r="CX276" s="217"/>
      <c r="CY276" s="217"/>
      <c r="CZ276" s="217"/>
      <c r="DA276" s="217"/>
      <c r="DB276" s="217"/>
      <c r="DC276" s="217"/>
      <c r="DD276" s="217"/>
      <c r="DE276" s="217"/>
      <c r="DF276" s="217"/>
      <c r="DG276" s="217"/>
    </row>
    <row r="277" ht="20.25" customHeight="1">
      <c r="A277" s="549" t="s">
        <v>143</v>
      </c>
      <c r="B277" s="549" t="s">
        <v>107</v>
      </c>
      <c r="C277" s="549" t="s">
        <v>280</v>
      </c>
      <c r="D277" s="550"/>
      <c r="E277" s="551" t="s">
        <v>1596</v>
      </c>
      <c r="F277" s="523" t="s">
        <v>1644</v>
      </c>
      <c r="G277" s="551" t="s">
        <v>283</v>
      </c>
      <c r="H277" s="561">
        <v>45634.0</v>
      </c>
      <c r="I277" s="539">
        <v>45670.0</v>
      </c>
      <c r="J277" s="551" t="s">
        <v>1617</v>
      </c>
      <c r="K277" s="541" t="s">
        <v>1645</v>
      </c>
      <c r="L277" s="554" t="s">
        <v>1646</v>
      </c>
      <c r="M277" s="555"/>
      <c r="N277" s="553">
        <v>1.0</v>
      </c>
      <c r="O277" s="551" t="s">
        <v>1605</v>
      </c>
      <c r="P277" s="48" t="str">
        <f t="array" ref="P277">HYPERLINK(INDEX('File Links'!B:B, MATCH(O277, 'File Links'!C:C, 0)))
</f>
        <v>https://drive.google.com/file/d/13W9ZIRuUntMYZ1V5eqz7utx5OSyGY3y3/view?usp=drivesdk</v>
      </c>
      <c r="Q277" s="556" t="s">
        <v>1647</v>
      </c>
      <c r="R277" s="555"/>
      <c r="S277" s="554" t="s">
        <v>1607</v>
      </c>
      <c r="T277" s="120">
        <v>1.0</v>
      </c>
      <c r="U277" s="551" t="s">
        <v>1608</v>
      </c>
      <c r="V277" s="551" t="s">
        <v>1609</v>
      </c>
      <c r="W277" s="50" t="str">
        <f t="array" ref="W277">HYPERLINK(INDEX('File Links'!B:B, MATCH(U277, 'File Links'!C:C, 0)))
</f>
        <v>https://drive.google.com/file/d/1Fg206MUtjoN9d31kEAQ7bIDHvbUqwyGY/view?usp=drivesdk</v>
      </c>
      <c r="X277" s="555"/>
      <c r="Y277" s="551" t="s">
        <v>1610</v>
      </c>
      <c r="Z277" s="551" t="s">
        <v>1648</v>
      </c>
      <c r="AA277" s="551" t="s">
        <v>1649</v>
      </c>
      <c r="AB277" s="551" t="s">
        <v>1650</v>
      </c>
      <c r="AC277" s="557" t="s">
        <v>1651</v>
      </c>
      <c r="AD277" s="559">
        <v>57.0</v>
      </c>
      <c r="AE277" s="564">
        <v>101.0</v>
      </c>
      <c r="AF277" s="558">
        <v>0.24</v>
      </c>
      <c r="AG277" s="562" t="s">
        <v>166</v>
      </c>
      <c r="AH277" s="557" t="s">
        <v>1621</v>
      </c>
      <c r="AI277" s="565">
        <v>0.0187</v>
      </c>
      <c r="AJ277" s="551" t="s">
        <v>164</v>
      </c>
      <c r="AK277" s="523" t="s">
        <v>179</v>
      </c>
      <c r="AL277" s="555" t="s">
        <v>129</v>
      </c>
      <c r="AM277" s="128" t="s">
        <v>165</v>
      </c>
      <c r="AN277" s="558">
        <v>103.0</v>
      </c>
      <c r="AO277" s="558">
        <v>0.26</v>
      </c>
      <c r="AP277" s="551" t="s">
        <v>166</v>
      </c>
      <c r="AQ277" s="551" t="s">
        <v>1622</v>
      </c>
      <c r="AR277" s="558">
        <v>0.01</v>
      </c>
      <c r="AS277" s="551" t="s">
        <v>164</v>
      </c>
      <c r="AT277" s="551" t="s">
        <v>179</v>
      </c>
      <c r="AU277" s="555" t="s">
        <v>129</v>
      </c>
      <c r="AV277" s="41" t="s">
        <v>165</v>
      </c>
      <c r="AW277" s="555" t="s">
        <v>134</v>
      </c>
      <c r="AX277" s="548" t="s">
        <v>1645</v>
      </c>
      <c r="AY277" s="110" t="s">
        <v>135</v>
      </c>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c r="CD277" s="64"/>
      <c r="CE277" s="64"/>
      <c r="CF277" s="64"/>
      <c r="CG277" s="64"/>
      <c r="CH277" s="64"/>
      <c r="CI277" s="64"/>
      <c r="CJ277" s="64"/>
      <c r="CK277" s="64"/>
      <c r="CL277" s="64"/>
      <c r="CM277" s="64"/>
      <c r="CN277" s="64"/>
      <c r="CO277" s="64"/>
      <c r="CP277" s="64"/>
      <c r="CQ277" s="64"/>
      <c r="CR277" s="64"/>
      <c r="CS277" s="64"/>
      <c r="CT277" s="64"/>
      <c r="CU277" s="64"/>
      <c r="CV277" s="64"/>
      <c r="CW277" s="64"/>
      <c r="CX277" s="64"/>
      <c r="CY277" s="64"/>
      <c r="CZ277" s="64"/>
      <c r="DA277" s="64"/>
      <c r="DB277" s="64"/>
      <c r="DC277" s="64"/>
      <c r="DD277" s="64"/>
      <c r="DE277" s="64"/>
      <c r="DF277" s="64"/>
      <c r="DG277" s="64"/>
    </row>
    <row r="278" ht="20.25" customHeight="1">
      <c r="A278" s="549" t="s">
        <v>143</v>
      </c>
      <c r="B278" s="549" t="s">
        <v>107</v>
      </c>
      <c r="C278" s="549" t="s">
        <v>280</v>
      </c>
      <c r="D278" s="550"/>
      <c r="E278" s="551" t="s">
        <v>1596</v>
      </c>
      <c r="F278" s="523" t="s">
        <v>1652</v>
      </c>
      <c r="G278" s="551" t="s">
        <v>283</v>
      </c>
      <c r="H278" s="561">
        <v>45634.0</v>
      </c>
      <c r="I278" s="539">
        <v>45670.0</v>
      </c>
      <c r="J278" s="551" t="s">
        <v>1617</v>
      </c>
      <c r="K278" s="553"/>
      <c r="L278" s="554" t="s">
        <v>1653</v>
      </c>
      <c r="M278" s="555"/>
      <c r="N278" s="553">
        <v>1.0</v>
      </c>
      <c r="O278" s="551" t="s">
        <v>1605</v>
      </c>
      <c r="P278" s="48" t="str">
        <f t="array" ref="P278">HYPERLINK(INDEX('File Links'!B:B, MATCH(O278, 'File Links'!C:C, 0)))
</f>
        <v>https://drive.google.com/file/d/13W9ZIRuUntMYZ1V5eqz7utx5OSyGY3y3/view?usp=drivesdk</v>
      </c>
      <c r="Q278" s="556" t="s">
        <v>1654</v>
      </c>
      <c r="R278" s="555"/>
      <c r="S278" s="554" t="s">
        <v>1607</v>
      </c>
      <c r="T278" s="120">
        <v>1.0</v>
      </c>
      <c r="U278" s="551" t="s">
        <v>1608</v>
      </c>
      <c r="V278" s="551" t="s">
        <v>1609</v>
      </c>
      <c r="W278" s="50" t="str">
        <f t="array" ref="W278">HYPERLINK(INDEX('File Links'!B:B, MATCH(U278, 'File Links'!C:C, 0)))
</f>
        <v>https://drive.google.com/file/d/1Fg206MUtjoN9d31kEAQ7bIDHvbUqwyGY/view?usp=drivesdk</v>
      </c>
      <c r="X278" s="555"/>
      <c r="Y278" s="551" t="s">
        <v>1610</v>
      </c>
      <c r="Z278" s="551" t="s">
        <v>1655</v>
      </c>
      <c r="AA278" s="551" t="s">
        <v>1656</v>
      </c>
      <c r="AB278" s="551" t="s">
        <v>1657</v>
      </c>
      <c r="AC278" s="557" t="s">
        <v>1658</v>
      </c>
      <c r="AD278" s="559">
        <v>57.0</v>
      </c>
      <c r="AE278" s="564">
        <v>101.0</v>
      </c>
      <c r="AF278" s="558">
        <v>0.25</v>
      </c>
      <c r="AG278" s="562" t="s">
        <v>166</v>
      </c>
      <c r="AH278" s="557" t="s">
        <v>1621</v>
      </c>
      <c r="AI278" s="563">
        <v>0.0134</v>
      </c>
      <c r="AJ278" s="551" t="s">
        <v>164</v>
      </c>
      <c r="AK278" s="523" t="s">
        <v>179</v>
      </c>
      <c r="AL278" s="555" t="s">
        <v>129</v>
      </c>
      <c r="AM278" s="128" t="s">
        <v>165</v>
      </c>
      <c r="AN278" s="558">
        <v>103.0</v>
      </c>
      <c r="AO278" s="558">
        <v>0.07</v>
      </c>
      <c r="AP278" s="551" t="s">
        <v>166</v>
      </c>
      <c r="AQ278" s="551" t="s">
        <v>1622</v>
      </c>
      <c r="AR278" s="558">
        <v>0.45</v>
      </c>
      <c r="AS278" s="551" t="s">
        <v>164</v>
      </c>
      <c r="AT278" s="551" t="s">
        <v>179</v>
      </c>
      <c r="AU278" s="555" t="s">
        <v>129</v>
      </c>
      <c r="AV278" s="41" t="s">
        <v>165</v>
      </c>
      <c r="AW278" s="555" t="s">
        <v>134</v>
      </c>
      <c r="AX278" s="548"/>
      <c r="AY278" s="110" t="s">
        <v>135</v>
      </c>
      <c r="BB278" s="217"/>
      <c r="BC278" s="217"/>
      <c r="BD278" s="217"/>
      <c r="BE278" s="217"/>
      <c r="BF278" s="217"/>
      <c r="BG278" s="217"/>
      <c r="BH278" s="217"/>
      <c r="BI278" s="217"/>
      <c r="BJ278" s="217"/>
      <c r="BK278" s="217"/>
      <c r="BL278" s="217"/>
      <c r="BM278" s="217"/>
      <c r="BN278" s="217"/>
      <c r="BO278" s="217"/>
      <c r="BP278" s="217"/>
      <c r="BQ278" s="217"/>
      <c r="BR278" s="217"/>
      <c r="BS278" s="217"/>
      <c r="BT278" s="217"/>
      <c r="BU278" s="217"/>
      <c r="BV278" s="217"/>
      <c r="BW278" s="217"/>
      <c r="BX278" s="217"/>
      <c r="BY278" s="217"/>
      <c r="BZ278" s="217"/>
      <c r="CA278" s="217"/>
      <c r="CB278" s="217"/>
      <c r="CC278" s="217"/>
      <c r="CD278" s="217"/>
      <c r="CE278" s="217"/>
      <c r="CF278" s="217"/>
      <c r="CG278" s="217"/>
      <c r="CH278" s="217"/>
      <c r="CI278" s="217"/>
      <c r="CJ278" s="217"/>
      <c r="CK278" s="217"/>
      <c r="CL278" s="217"/>
      <c r="CM278" s="217"/>
      <c r="CN278" s="217"/>
      <c r="CO278" s="217"/>
      <c r="CP278" s="217"/>
      <c r="CQ278" s="217"/>
      <c r="CR278" s="217"/>
      <c r="CS278" s="217"/>
      <c r="CT278" s="217"/>
      <c r="CU278" s="217"/>
      <c r="CV278" s="217"/>
      <c r="CW278" s="217"/>
      <c r="CX278" s="217"/>
      <c r="CY278" s="217"/>
      <c r="CZ278" s="217"/>
      <c r="DA278" s="217"/>
      <c r="DB278" s="217"/>
      <c r="DC278" s="217"/>
      <c r="DD278" s="217"/>
      <c r="DE278" s="217"/>
      <c r="DF278" s="217"/>
      <c r="DG278" s="217"/>
    </row>
    <row r="279" ht="20.25" customHeight="1">
      <c r="A279" s="549" t="s">
        <v>143</v>
      </c>
      <c r="B279" s="549" t="s">
        <v>107</v>
      </c>
      <c r="C279" s="549" t="s">
        <v>280</v>
      </c>
      <c r="D279" s="550"/>
      <c r="E279" s="551" t="s">
        <v>1596</v>
      </c>
      <c r="F279" s="523" t="s">
        <v>1659</v>
      </c>
      <c r="G279" s="551" t="s">
        <v>283</v>
      </c>
      <c r="H279" s="561">
        <v>45634.0</v>
      </c>
      <c r="I279" s="539">
        <v>45670.0</v>
      </c>
      <c r="J279" s="551" t="s">
        <v>1617</v>
      </c>
      <c r="K279" s="553"/>
      <c r="L279" s="554" t="s">
        <v>1660</v>
      </c>
      <c r="M279" s="555"/>
      <c r="N279" s="553">
        <v>1.0</v>
      </c>
      <c r="O279" s="551" t="s">
        <v>1605</v>
      </c>
      <c r="P279" s="48" t="str">
        <f t="array" ref="P279">HYPERLINK(INDEX('File Links'!B:B, MATCH(O279, 'File Links'!C:C, 0)))
</f>
        <v>https://drive.google.com/file/d/13W9ZIRuUntMYZ1V5eqz7utx5OSyGY3y3/view?usp=drivesdk</v>
      </c>
      <c r="Q279" s="556" t="s">
        <v>1661</v>
      </c>
      <c r="R279" s="555"/>
      <c r="S279" s="554" t="s">
        <v>1607</v>
      </c>
      <c r="T279" s="120">
        <v>1.0</v>
      </c>
      <c r="U279" s="551" t="s">
        <v>1608</v>
      </c>
      <c r="V279" s="551" t="s">
        <v>1609</v>
      </c>
      <c r="W279" s="50" t="str">
        <f t="array" ref="W279">HYPERLINK(INDEX('File Links'!B:B, MATCH(U279, 'File Links'!C:C, 0)))
</f>
        <v>https://drive.google.com/file/d/1Fg206MUtjoN9d31kEAQ7bIDHvbUqwyGY/view?usp=drivesdk</v>
      </c>
      <c r="X279" s="555"/>
      <c r="Y279" s="551" t="s">
        <v>1610</v>
      </c>
      <c r="Z279" s="551" t="s">
        <v>1662</v>
      </c>
      <c r="AA279" s="551" t="s">
        <v>1663</v>
      </c>
      <c r="AB279" s="551" t="s">
        <v>1664</v>
      </c>
      <c r="AC279" s="557" t="s">
        <v>1665</v>
      </c>
      <c r="AD279" s="559">
        <v>57.0</v>
      </c>
      <c r="AE279" s="564">
        <v>101.0</v>
      </c>
      <c r="AF279" s="558">
        <v>0.25</v>
      </c>
      <c r="AG279" s="562" t="s">
        <v>166</v>
      </c>
      <c r="AH279" s="557" t="s">
        <v>1621</v>
      </c>
      <c r="AI279" s="563">
        <v>0.0154</v>
      </c>
      <c r="AJ279" s="551" t="s">
        <v>164</v>
      </c>
      <c r="AK279" s="523" t="s">
        <v>179</v>
      </c>
      <c r="AL279" s="555" t="s">
        <v>129</v>
      </c>
      <c r="AM279" s="128" t="s">
        <v>165</v>
      </c>
      <c r="AN279" s="558">
        <v>103.0</v>
      </c>
      <c r="AO279" s="558">
        <v>0.11</v>
      </c>
      <c r="AP279" s="551" t="s">
        <v>166</v>
      </c>
      <c r="AQ279" s="551" t="s">
        <v>1622</v>
      </c>
      <c r="AR279" s="558">
        <v>0.27</v>
      </c>
      <c r="AS279" s="551" t="s">
        <v>164</v>
      </c>
      <c r="AT279" s="551" t="s">
        <v>179</v>
      </c>
      <c r="AU279" s="555" t="s">
        <v>129</v>
      </c>
      <c r="AV279" s="41" t="s">
        <v>165</v>
      </c>
      <c r="AW279" s="555" t="s">
        <v>134</v>
      </c>
      <c r="AX279" s="548"/>
      <c r="AY279" s="110" t="s">
        <v>135</v>
      </c>
      <c r="BB279" s="64"/>
      <c r="BC279" s="64"/>
      <c r="BD279" s="64"/>
      <c r="BE279" s="64"/>
      <c r="BF279" s="64"/>
      <c r="BG279" s="64"/>
      <c r="BH279" s="64"/>
      <c r="BI279" s="64"/>
      <c r="BJ279" s="64"/>
      <c r="BK279" s="64"/>
      <c r="BL279" s="64"/>
      <c r="BM279" s="64"/>
      <c r="BN279" s="64"/>
      <c r="BO279" s="64"/>
      <c r="BP279" s="64"/>
      <c r="BQ279" s="64"/>
      <c r="BR279" s="64"/>
      <c r="BS279" s="64"/>
      <c r="BT279" s="64"/>
      <c r="BU279" s="64"/>
      <c r="BV279" s="64"/>
      <c r="BW279" s="64"/>
      <c r="BX279" s="64"/>
      <c r="BY279" s="64"/>
      <c r="BZ279" s="64"/>
      <c r="CA279" s="64"/>
      <c r="CB279" s="64"/>
      <c r="CC279" s="64"/>
      <c r="CD279" s="64"/>
      <c r="CE279" s="64"/>
      <c r="CF279" s="64"/>
      <c r="CG279" s="64"/>
      <c r="CH279" s="64"/>
      <c r="CI279" s="64"/>
      <c r="CJ279" s="64"/>
      <c r="CK279" s="64"/>
      <c r="CL279" s="64"/>
      <c r="CM279" s="64"/>
      <c r="CN279" s="64"/>
      <c r="CO279" s="64"/>
      <c r="CP279" s="64"/>
      <c r="CQ279" s="64"/>
      <c r="CR279" s="64"/>
      <c r="CS279" s="64"/>
      <c r="CT279" s="64"/>
      <c r="CU279" s="64"/>
      <c r="CV279" s="64"/>
      <c r="CW279" s="64"/>
      <c r="CX279" s="64"/>
      <c r="CY279" s="64"/>
      <c r="CZ279" s="64"/>
      <c r="DA279" s="64"/>
      <c r="DB279" s="64"/>
      <c r="DC279" s="64"/>
      <c r="DD279" s="64"/>
      <c r="DE279" s="64"/>
      <c r="DF279" s="64"/>
      <c r="DG279" s="64"/>
    </row>
    <row r="280" ht="20.25" customHeight="1">
      <c r="A280" s="549" t="s">
        <v>143</v>
      </c>
      <c r="B280" s="549" t="s">
        <v>107</v>
      </c>
      <c r="C280" s="549" t="s">
        <v>280</v>
      </c>
      <c r="D280" s="550"/>
      <c r="E280" s="551" t="s">
        <v>1596</v>
      </c>
      <c r="F280" s="523" t="s">
        <v>1666</v>
      </c>
      <c r="G280" s="551" t="s">
        <v>283</v>
      </c>
      <c r="H280" s="561">
        <v>45634.0</v>
      </c>
      <c r="I280" s="539">
        <v>45670.0</v>
      </c>
      <c r="J280" s="551" t="s">
        <v>1617</v>
      </c>
      <c r="K280" s="553"/>
      <c r="L280" s="554" t="s">
        <v>1667</v>
      </c>
      <c r="M280" s="555"/>
      <c r="N280" s="553">
        <v>1.0</v>
      </c>
      <c r="O280" s="551" t="s">
        <v>1605</v>
      </c>
      <c r="P280" s="48" t="str">
        <f t="array" ref="P280">HYPERLINK(INDEX('File Links'!B:B, MATCH(O280, 'File Links'!C:C, 0)))
</f>
        <v>https://drive.google.com/file/d/13W9ZIRuUntMYZ1V5eqz7utx5OSyGY3y3/view?usp=drivesdk</v>
      </c>
      <c r="Q280" s="556" t="s">
        <v>1668</v>
      </c>
      <c r="R280" s="555"/>
      <c r="S280" s="554" t="s">
        <v>1607</v>
      </c>
      <c r="T280" s="120">
        <v>1.0</v>
      </c>
      <c r="U280" s="551" t="s">
        <v>1608</v>
      </c>
      <c r="V280" s="551" t="s">
        <v>1609</v>
      </c>
      <c r="W280" s="50" t="str">
        <f t="array" ref="W280">HYPERLINK(INDEX('File Links'!B:B, MATCH(U280, 'File Links'!C:C, 0)))
</f>
        <v>https://drive.google.com/file/d/1Fg206MUtjoN9d31kEAQ7bIDHvbUqwyGY/view?usp=drivesdk</v>
      </c>
      <c r="X280" s="555"/>
      <c r="Y280" s="551" t="s">
        <v>1610</v>
      </c>
      <c r="Z280" s="551" t="s">
        <v>1669</v>
      </c>
      <c r="AA280" s="551" t="s">
        <v>1670</v>
      </c>
      <c r="AB280" s="551" t="s">
        <v>1671</v>
      </c>
      <c r="AC280" s="557" t="s">
        <v>1672</v>
      </c>
      <c r="AD280" s="559">
        <v>57.0</v>
      </c>
      <c r="AE280" s="564">
        <v>101.0</v>
      </c>
      <c r="AF280" s="558">
        <v>0.14</v>
      </c>
      <c r="AG280" s="562" t="s">
        <v>166</v>
      </c>
      <c r="AH280" s="557" t="s">
        <v>1621</v>
      </c>
      <c r="AI280" s="563">
        <v>0.1649</v>
      </c>
      <c r="AJ280" s="551" t="s">
        <v>164</v>
      </c>
      <c r="AK280" s="523" t="s">
        <v>179</v>
      </c>
      <c r="AL280" s="555" t="s">
        <v>129</v>
      </c>
      <c r="AM280" s="128" t="s">
        <v>165</v>
      </c>
      <c r="AN280" s="558">
        <v>103.0</v>
      </c>
      <c r="AO280" s="558">
        <v>0.0</v>
      </c>
      <c r="AP280" s="551" t="s">
        <v>166</v>
      </c>
      <c r="AQ280" s="551" t="s">
        <v>1622</v>
      </c>
      <c r="AR280" s="558">
        <v>0.97</v>
      </c>
      <c r="AS280" s="551" t="s">
        <v>164</v>
      </c>
      <c r="AT280" s="551" t="s">
        <v>179</v>
      </c>
      <c r="AU280" s="555" t="s">
        <v>129</v>
      </c>
      <c r="AV280" s="41" t="s">
        <v>165</v>
      </c>
      <c r="AW280" s="555" t="s">
        <v>134</v>
      </c>
      <c r="AX280" s="548"/>
      <c r="AY280" s="110" t="s">
        <v>135</v>
      </c>
      <c r="BB280" s="217"/>
      <c r="BC280" s="217"/>
      <c r="BD280" s="217"/>
      <c r="BE280" s="217"/>
      <c r="BF280" s="217"/>
      <c r="BG280" s="217"/>
      <c r="BH280" s="217"/>
      <c r="BI280" s="217"/>
      <c r="BJ280" s="217"/>
      <c r="BK280" s="217"/>
      <c r="BL280" s="217"/>
      <c r="BM280" s="217"/>
      <c r="BN280" s="217"/>
      <c r="BO280" s="217"/>
      <c r="BP280" s="217"/>
      <c r="BQ280" s="217"/>
      <c r="BR280" s="217"/>
      <c r="BS280" s="217"/>
      <c r="BT280" s="217"/>
      <c r="BU280" s="217"/>
      <c r="BV280" s="217"/>
      <c r="BW280" s="217"/>
      <c r="BX280" s="217"/>
      <c r="BY280" s="217"/>
      <c r="BZ280" s="217"/>
      <c r="CA280" s="217"/>
      <c r="CB280" s="217"/>
      <c r="CC280" s="217"/>
      <c r="CD280" s="217"/>
      <c r="CE280" s="217"/>
      <c r="CF280" s="217"/>
      <c r="CG280" s="217"/>
      <c r="CH280" s="217"/>
      <c r="CI280" s="217"/>
      <c r="CJ280" s="217"/>
      <c r="CK280" s="217"/>
      <c r="CL280" s="217"/>
      <c r="CM280" s="217"/>
      <c r="CN280" s="217"/>
      <c r="CO280" s="217"/>
      <c r="CP280" s="217"/>
      <c r="CQ280" s="217"/>
      <c r="CR280" s="217"/>
      <c r="CS280" s="217"/>
      <c r="CT280" s="217"/>
      <c r="CU280" s="217"/>
      <c r="CV280" s="217"/>
      <c r="CW280" s="217"/>
      <c r="CX280" s="217"/>
      <c r="CY280" s="217"/>
      <c r="CZ280" s="217"/>
      <c r="DA280" s="217"/>
      <c r="DB280" s="217"/>
      <c r="DC280" s="217"/>
      <c r="DD280" s="217"/>
      <c r="DE280" s="217"/>
      <c r="DF280" s="217"/>
      <c r="DG280" s="217"/>
    </row>
    <row r="281" ht="20.25" customHeight="1">
      <c r="A281" s="549" t="s">
        <v>143</v>
      </c>
      <c r="B281" s="549" t="s">
        <v>107</v>
      </c>
      <c r="C281" s="549" t="s">
        <v>280</v>
      </c>
      <c r="D281" s="550"/>
      <c r="E281" s="551" t="s">
        <v>1596</v>
      </c>
      <c r="F281" s="523" t="s">
        <v>1673</v>
      </c>
      <c r="G281" s="551" t="s">
        <v>283</v>
      </c>
      <c r="H281" s="561">
        <v>45634.0</v>
      </c>
      <c r="I281" s="539">
        <v>45670.0</v>
      </c>
      <c r="J281" s="551" t="s">
        <v>1617</v>
      </c>
      <c r="K281" s="553"/>
      <c r="L281" s="554" t="s">
        <v>1674</v>
      </c>
      <c r="M281" s="555"/>
      <c r="N281" s="553">
        <v>1.0</v>
      </c>
      <c r="O281" s="551" t="s">
        <v>1605</v>
      </c>
      <c r="P281" s="48" t="str">
        <f t="array" ref="P281">HYPERLINK(INDEX('File Links'!B:B, MATCH(O281, 'File Links'!C:C, 0)))
</f>
        <v>https://drive.google.com/file/d/13W9ZIRuUntMYZ1V5eqz7utx5OSyGY3y3/view?usp=drivesdk</v>
      </c>
      <c r="Q281" s="556" t="s">
        <v>1675</v>
      </c>
      <c r="R281" s="555"/>
      <c r="S281" s="554" t="s">
        <v>1607</v>
      </c>
      <c r="T281" s="120">
        <v>1.0</v>
      </c>
      <c r="U281" s="551" t="s">
        <v>1608</v>
      </c>
      <c r="V281" s="551" t="s">
        <v>1609</v>
      </c>
      <c r="W281" s="50" t="str">
        <f t="array" ref="W281">HYPERLINK(INDEX('File Links'!B:B, MATCH(U281, 'File Links'!C:C, 0)))
</f>
        <v>https://drive.google.com/file/d/1Fg206MUtjoN9d31kEAQ7bIDHvbUqwyGY/view?usp=drivesdk</v>
      </c>
      <c r="X281" s="555"/>
      <c r="Y281" s="551" t="s">
        <v>1610</v>
      </c>
      <c r="Z281" s="551" t="s">
        <v>1676</v>
      </c>
      <c r="AA281" s="551" t="s">
        <v>1677</v>
      </c>
      <c r="AB281" s="551" t="s">
        <v>1678</v>
      </c>
      <c r="AC281" s="557" t="s">
        <v>1679</v>
      </c>
      <c r="AD281" s="559">
        <v>57.0</v>
      </c>
      <c r="AE281" s="564">
        <v>101.0</v>
      </c>
      <c r="AF281" s="558">
        <v>0.38</v>
      </c>
      <c r="AG281" s="562" t="s">
        <v>166</v>
      </c>
      <c r="AH281" s="557" t="s">
        <v>1621</v>
      </c>
      <c r="AI281" s="563">
        <v>2.0E-4</v>
      </c>
      <c r="AJ281" s="551" t="s">
        <v>164</v>
      </c>
      <c r="AK281" s="523" t="s">
        <v>179</v>
      </c>
      <c r="AL281" s="555" t="s">
        <v>129</v>
      </c>
      <c r="AM281" s="128" t="s">
        <v>165</v>
      </c>
      <c r="AN281" s="558">
        <v>103.0</v>
      </c>
      <c r="AO281" s="558">
        <v>-0.07</v>
      </c>
      <c r="AP281" s="551" t="s">
        <v>166</v>
      </c>
      <c r="AQ281" s="551" t="s">
        <v>1622</v>
      </c>
      <c r="AR281" s="558">
        <v>0.49</v>
      </c>
      <c r="AS281" s="551" t="s">
        <v>164</v>
      </c>
      <c r="AT281" s="551" t="s">
        <v>179</v>
      </c>
      <c r="AU281" s="555" t="s">
        <v>129</v>
      </c>
      <c r="AV281" s="41" t="s">
        <v>165</v>
      </c>
      <c r="AW281" s="555" t="s">
        <v>134</v>
      </c>
      <c r="AX281" s="548"/>
      <c r="AY281" s="110" t="s">
        <v>135</v>
      </c>
      <c r="BB281" s="64"/>
      <c r="BC281" s="64"/>
      <c r="BD281" s="64"/>
      <c r="BE281" s="64"/>
      <c r="BF281" s="64"/>
      <c r="BG281" s="64"/>
      <c r="BH281" s="64"/>
      <c r="BI281" s="64"/>
      <c r="BJ281" s="64"/>
      <c r="BK281" s="64"/>
      <c r="BL281" s="64"/>
      <c r="BM281" s="64"/>
      <c r="BN281" s="64"/>
      <c r="BO281" s="64"/>
      <c r="BP281" s="64"/>
      <c r="BQ281" s="64"/>
      <c r="BR281" s="64"/>
      <c r="BS281" s="64"/>
      <c r="BT281" s="64"/>
      <c r="BU281" s="64"/>
      <c r="BV281" s="64"/>
      <c r="BW281" s="64"/>
      <c r="BX281" s="64"/>
      <c r="BY281" s="64"/>
      <c r="BZ281" s="64"/>
      <c r="CA281" s="64"/>
      <c r="CB281" s="64"/>
      <c r="CC281" s="64"/>
      <c r="CD281" s="64"/>
      <c r="CE281" s="64"/>
      <c r="CF281" s="64"/>
      <c r="CG281" s="64"/>
      <c r="CH281" s="64"/>
      <c r="CI281" s="64"/>
      <c r="CJ281" s="64"/>
      <c r="CK281" s="64"/>
      <c r="CL281" s="64"/>
      <c r="CM281" s="64"/>
      <c r="CN281" s="64"/>
      <c r="CO281" s="64"/>
      <c r="CP281" s="64"/>
      <c r="CQ281" s="64"/>
      <c r="CR281" s="64"/>
      <c r="CS281" s="64"/>
      <c r="CT281" s="64"/>
      <c r="CU281" s="64"/>
      <c r="CV281" s="64"/>
      <c r="CW281" s="64"/>
      <c r="CX281" s="64"/>
      <c r="CY281" s="64"/>
      <c r="CZ281" s="64"/>
      <c r="DA281" s="64"/>
      <c r="DB281" s="64"/>
      <c r="DC281" s="64"/>
      <c r="DD281" s="64"/>
      <c r="DE281" s="64"/>
      <c r="DF281" s="64"/>
      <c r="DG281" s="64"/>
    </row>
    <row r="282" ht="20.25" customHeight="1">
      <c r="A282" s="85" t="s">
        <v>143</v>
      </c>
      <c r="B282" s="85" t="s">
        <v>107</v>
      </c>
      <c r="C282" s="85" t="s">
        <v>1471</v>
      </c>
      <c r="D282" s="84"/>
      <c r="E282" s="87" t="s">
        <v>1680</v>
      </c>
      <c r="F282" s="69" t="s">
        <v>1681</v>
      </c>
      <c r="G282" s="69" t="s">
        <v>1530</v>
      </c>
      <c r="H282" s="566">
        <v>45640.0</v>
      </c>
      <c r="I282" s="567">
        <v>45670.0</v>
      </c>
      <c r="J282" s="69" t="s">
        <v>1682</v>
      </c>
      <c r="K282" s="568" t="s">
        <v>1683</v>
      </c>
      <c r="L282" s="569" t="s">
        <v>1684</v>
      </c>
      <c r="M282" s="69" t="s">
        <v>1685</v>
      </c>
      <c r="N282" s="72">
        <v>1.0</v>
      </c>
      <c r="O282" s="90" t="str">
        <f> SUBSTITUTE(lower(M282), "/", "--") &amp;  ".pdf"</f>
        <v>10.1002--pam.21702.pdf</v>
      </c>
      <c r="P282" s="48" t="str">
        <f t="array" ref="P282">HYPERLINK(INDEX('File Links'!B:B, MATCH(O282, 'File Links'!C:C, 0)))
</f>
        <v>https://drive.google.com/file/d/1NxD4srcP8NGAkHA1AWvYHXJLyf_l73EF/view?usp=drivesdk</v>
      </c>
      <c r="Q282" s="570" t="s">
        <v>1686</v>
      </c>
      <c r="R282" s="569" t="s">
        <v>1687</v>
      </c>
      <c r="S282" s="75"/>
      <c r="T282" s="571">
        <v>2.0</v>
      </c>
      <c r="U282" s="69" t="str">
        <f> hyperlink(vlookup(lower(R282),#REF!, 2, FALSE), SUBSTITUTE(lower(R282), "/", "--") &amp;  ".pdf")</f>
        <v>10.1111--padm.12860.pdf</v>
      </c>
      <c r="V282" s="69" t="s">
        <v>1688</v>
      </c>
      <c r="W282" s="50" t="str">
        <f t="array" ref="W282">HYPERLINK(INDEX('File Links'!B:B, MATCH(U282, 'File Links'!C:C, 0)))
</f>
        <v>https://drive.google.com/file/d/1Zty8FHdgF4Nqed1S2bjomumBBiyC8Mfz/view?usp=drivesdk</v>
      </c>
      <c r="X282" s="75"/>
      <c r="Y282" s="75" t="s">
        <v>1689</v>
      </c>
      <c r="Z282" s="75" t="s">
        <v>1690</v>
      </c>
      <c r="AA282" s="75" t="s">
        <v>1691</v>
      </c>
      <c r="AB282" s="69" t="s">
        <v>1692</v>
      </c>
      <c r="AC282" s="69" t="s">
        <v>1693</v>
      </c>
      <c r="AD282" s="572">
        <v>45637.0</v>
      </c>
      <c r="AE282" s="573">
        <v>908.0</v>
      </c>
      <c r="AF282" s="573">
        <v>0.55</v>
      </c>
      <c r="AG282" s="574" t="s">
        <v>1006</v>
      </c>
      <c r="AH282" s="570" t="s">
        <v>609</v>
      </c>
      <c r="AI282" s="573">
        <v>0.01</v>
      </c>
      <c r="AJ282" s="86" t="s">
        <v>127</v>
      </c>
      <c r="AK282" s="75" t="s">
        <v>128</v>
      </c>
      <c r="AL282" s="69" t="s">
        <v>132</v>
      </c>
      <c r="AM282" s="128" t="s">
        <v>165</v>
      </c>
      <c r="AN282" s="573">
        <v>992.0</v>
      </c>
      <c r="AO282" s="573">
        <v>0.906</v>
      </c>
      <c r="AP282" s="75" t="s">
        <v>1006</v>
      </c>
      <c r="AQ282" s="570">
        <v>10.0</v>
      </c>
      <c r="AR282" s="573">
        <v>0.01</v>
      </c>
      <c r="AS282" s="575" t="s">
        <v>127</v>
      </c>
      <c r="AT282" s="575" t="s">
        <v>179</v>
      </c>
      <c r="AU282" s="87" t="s">
        <v>132</v>
      </c>
      <c r="AV282" s="576" t="s">
        <v>1694</v>
      </c>
      <c r="AW282" s="575" t="s">
        <v>134</v>
      </c>
      <c r="AX282" s="115"/>
      <c r="AY282" s="110" t="s">
        <v>135</v>
      </c>
      <c r="BB282" s="217"/>
      <c r="BC282" s="217"/>
      <c r="BD282" s="217"/>
      <c r="BE282" s="217"/>
      <c r="BF282" s="217"/>
      <c r="BG282" s="217"/>
      <c r="BH282" s="217"/>
      <c r="BI282" s="217"/>
      <c r="BJ282" s="217"/>
      <c r="BK282" s="217"/>
      <c r="BL282" s="217"/>
      <c r="BM282" s="217"/>
      <c r="BN282" s="217"/>
      <c r="BO282" s="217"/>
      <c r="BP282" s="217"/>
      <c r="BQ282" s="217"/>
      <c r="BR282" s="217"/>
      <c r="BS282" s="217"/>
      <c r="BT282" s="217"/>
      <c r="BU282" s="217"/>
      <c r="BV282" s="217"/>
      <c r="BW282" s="217"/>
      <c r="BX282" s="217"/>
      <c r="BY282" s="217"/>
      <c r="BZ282" s="217"/>
      <c r="CA282" s="217"/>
      <c r="CB282" s="217"/>
      <c r="CC282" s="217"/>
      <c r="CD282" s="217"/>
      <c r="CE282" s="217"/>
      <c r="CF282" s="217"/>
      <c r="CG282" s="217"/>
      <c r="CH282" s="217"/>
      <c r="CI282" s="217"/>
      <c r="CJ282" s="217"/>
      <c r="CK282" s="217"/>
      <c r="CL282" s="217"/>
      <c r="CM282" s="217"/>
      <c r="CN282" s="217"/>
      <c r="CO282" s="217"/>
      <c r="CP282" s="217"/>
      <c r="CQ282" s="217"/>
      <c r="CR282" s="217"/>
      <c r="CS282" s="217"/>
      <c r="CT282" s="217"/>
      <c r="CU282" s="217"/>
      <c r="CV282" s="217"/>
      <c r="CW282" s="217"/>
      <c r="CX282" s="217"/>
      <c r="CY282" s="217"/>
      <c r="CZ282" s="217"/>
      <c r="DA282" s="217"/>
      <c r="DB282" s="217"/>
      <c r="DC282" s="217"/>
      <c r="DD282" s="217"/>
      <c r="DE282" s="217"/>
      <c r="DF282" s="217"/>
      <c r="DG282" s="217"/>
    </row>
    <row r="283" ht="20.25" customHeight="1">
      <c r="A283" s="85" t="s">
        <v>143</v>
      </c>
      <c r="B283" s="577" t="s">
        <v>107</v>
      </c>
      <c r="C283" s="577" t="s">
        <v>1455</v>
      </c>
      <c r="D283" s="578"/>
      <c r="E283" s="381" t="s">
        <v>1680</v>
      </c>
      <c r="F283" s="373" t="s">
        <v>1681</v>
      </c>
      <c r="G283" s="579" t="s">
        <v>1458</v>
      </c>
      <c r="H283" s="580">
        <v>45637.0</v>
      </c>
      <c r="I283" s="581">
        <v>45670.0</v>
      </c>
      <c r="J283" s="376"/>
      <c r="K283" s="568" t="s">
        <v>1683</v>
      </c>
      <c r="L283" s="373" t="s">
        <v>1695</v>
      </c>
      <c r="M283" s="373" t="s">
        <v>1685</v>
      </c>
      <c r="N283" s="568">
        <v>1.0</v>
      </c>
      <c r="O283" s="377" t="str">
        <f>SUBSTITUTE(LOWER(M283), "/", "--") &amp;  ".pdf"</f>
        <v>10.1002--pam.21702.pdf</v>
      </c>
      <c r="P283" s="48" t="str">
        <f t="array" ref="P283">HYPERLINK(INDEX('File Links'!B:B, MATCH(O283, 'File Links'!C:C, 0)))
</f>
        <v>https://drive.google.com/file/d/1NxD4srcP8NGAkHA1AWvYHXJLyf_l73EF/view?usp=drivesdk</v>
      </c>
      <c r="Q283" s="570" t="s">
        <v>1686</v>
      </c>
      <c r="R283" s="373" t="s">
        <v>1687</v>
      </c>
      <c r="S283" s="376"/>
      <c r="T283" s="571">
        <v>2.0</v>
      </c>
      <c r="U283" s="373" t="str">
        <f>HYPERLINK(VLOOKUP(LOWER(R283),#REF!, 2, FALSE), SUBSTITUTE(LOWER(R283), "/", "--") &amp;  ".pdf")</f>
        <v>10.1111--padm.12860.pdf</v>
      </c>
      <c r="V283" s="378" t="s">
        <v>1696</v>
      </c>
      <c r="W283" s="50" t="str">
        <f t="array" ref="W283">HYPERLINK(INDEX('File Links'!B:B, MATCH(U283, 'File Links'!C:C, 0)))
</f>
        <v>https://drive.google.com/file/d/1Zty8FHdgF4Nqed1S2bjomumBBiyC8Mfz/view?usp=drivesdk</v>
      </c>
      <c r="X283" s="376"/>
      <c r="Y283" s="75" t="s">
        <v>1689</v>
      </c>
      <c r="Z283" s="373" t="s">
        <v>1697</v>
      </c>
      <c r="AA283" s="373" t="s">
        <v>1698</v>
      </c>
      <c r="AB283" s="373" t="s">
        <v>1699</v>
      </c>
      <c r="AC283" s="373" t="s">
        <v>1700</v>
      </c>
      <c r="AD283" s="380">
        <v>10.0</v>
      </c>
      <c r="AE283" s="380">
        <v>908.0</v>
      </c>
      <c r="AF283" s="582">
        <v>-0.903</v>
      </c>
      <c r="AG283" s="379" t="s">
        <v>1006</v>
      </c>
      <c r="AH283" s="583" t="s">
        <v>299</v>
      </c>
      <c r="AI283" s="380">
        <v>0.001</v>
      </c>
      <c r="AJ283" s="372" t="s">
        <v>127</v>
      </c>
      <c r="AK283" s="376" t="s">
        <v>179</v>
      </c>
      <c r="AL283" s="376" t="s">
        <v>132</v>
      </c>
      <c r="AM283" s="128" t="s">
        <v>165</v>
      </c>
      <c r="AN283" s="380">
        <v>992.0</v>
      </c>
      <c r="AO283" s="440">
        <v>-0.968</v>
      </c>
      <c r="AP283" s="376" t="s">
        <v>1006</v>
      </c>
      <c r="AQ283" s="584">
        <v>9.0</v>
      </c>
      <c r="AR283" s="382">
        <v>0.001</v>
      </c>
      <c r="AS283" s="372" t="s">
        <v>127</v>
      </c>
      <c r="AT283" s="372" t="s">
        <v>179</v>
      </c>
      <c r="AU283" s="372" t="s">
        <v>132</v>
      </c>
      <c r="AV283" s="576" t="s">
        <v>1694</v>
      </c>
      <c r="AW283" s="585" t="s">
        <v>134</v>
      </c>
      <c r="AX283" s="115"/>
      <c r="AY283" s="110" t="s">
        <v>135</v>
      </c>
      <c r="BB283" s="64"/>
      <c r="BC283" s="64"/>
      <c r="BD283" s="64"/>
      <c r="BE283" s="64"/>
      <c r="BF283" s="64"/>
      <c r="BG283" s="64"/>
      <c r="BH283" s="64"/>
      <c r="BI283" s="64"/>
      <c r="BJ283" s="64"/>
      <c r="BK283" s="64"/>
      <c r="BL283" s="64"/>
      <c r="BM283" s="64"/>
      <c r="BN283" s="64"/>
      <c r="BO283" s="64"/>
      <c r="BP283" s="64"/>
      <c r="BQ283" s="64"/>
      <c r="BR283" s="64"/>
      <c r="BS283" s="64"/>
      <c r="BT283" s="64"/>
      <c r="BU283" s="64"/>
      <c r="BV283" s="64"/>
      <c r="BW283" s="64"/>
      <c r="BX283" s="64"/>
      <c r="BY283" s="64"/>
      <c r="BZ283" s="64"/>
      <c r="CA283" s="64"/>
      <c r="CB283" s="64"/>
      <c r="CC283" s="64"/>
      <c r="CD283" s="64"/>
      <c r="CE283" s="64"/>
      <c r="CF283" s="64"/>
      <c r="CG283" s="64"/>
      <c r="CH283" s="64"/>
      <c r="CI283" s="64"/>
      <c r="CJ283" s="64"/>
      <c r="CK283" s="64"/>
      <c r="CL283" s="64"/>
      <c r="CM283" s="64"/>
      <c r="CN283" s="64"/>
      <c r="CO283" s="64"/>
      <c r="CP283" s="64"/>
      <c r="CQ283" s="64"/>
      <c r="CR283" s="64"/>
      <c r="CS283" s="64"/>
      <c r="CT283" s="64"/>
      <c r="CU283" s="64"/>
      <c r="CV283" s="64"/>
      <c r="CW283" s="64"/>
      <c r="CX283" s="64"/>
      <c r="CY283" s="64"/>
      <c r="CZ283" s="64"/>
      <c r="DA283" s="64"/>
      <c r="DB283" s="64"/>
      <c r="DC283" s="64"/>
      <c r="DD283" s="64"/>
      <c r="DE283" s="64"/>
      <c r="DF283" s="64"/>
      <c r="DG283" s="64"/>
    </row>
    <row r="284" ht="20.25" customHeight="1">
      <c r="A284" s="85" t="s">
        <v>143</v>
      </c>
      <c r="B284" s="85" t="s">
        <v>107</v>
      </c>
      <c r="C284" s="85" t="s">
        <v>1471</v>
      </c>
      <c r="D284" s="84"/>
      <c r="E284" s="381" t="s">
        <v>1680</v>
      </c>
      <c r="F284" s="69" t="s">
        <v>1701</v>
      </c>
      <c r="G284" s="69" t="s">
        <v>1530</v>
      </c>
      <c r="H284" s="586">
        <v>45640.0</v>
      </c>
      <c r="I284" s="567">
        <v>45670.0</v>
      </c>
      <c r="J284" s="69" t="s">
        <v>1682</v>
      </c>
      <c r="K284" s="568" t="s">
        <v>1683</v>
      </c>
      <c r="L284" s="69" t="s">
        <v>1695</v>
      </c>
      <c r="M284" s="587" t="s">
        <v>1685</v>
      </c>
      <c r="N284" s="72">
        <v>1.0</v>
      </c>
      <c r="O284" s="90" t="str">
        <f> SUBSTITUTE(lower(M284), "/", "--") &amp;  ".pdf"</f>
        <v>10.1002--pam.21702.pdf</v>
      </c>
      <c r="P284" s="48" t="str">
        <f t="array" ref="P284">HYPERLINK(INDEX('File Links'!B:B, MATCH(O284, 'File Links'!C:C, 0)))
</f>
        <v>https://drive.google.com/file/d/1NxD4srcP8NGAkHA1AWvYHXJLyf_l73EF/view?usp=drivesdk</v>
      </c>
      <c r="Q284" s="570" t="s">
        <v>1686</v>
      </c>
      <c r="R284" s="588" t="s">
        <v>1687</v>
      </c>
      <c r="S284" s="75"/>
      <c r="T284" s="571">
        <v>2.0</v>
      </c>
      <c r="U284" s="75"/>
      <c r="V284" s="69" t="s">
        <v>1688</v>
      </c>
      <c r="W284" s="45" t="str">
        <f t="array" ref="W284">HYPERLINK(INDEX('File Links'!B:B, MATCH(U284, 'File Links'!C:C, 0)))
</f>
        <v>#N/A</v>
      </c>
      <c r="X284" s="75"/>
      <c r="Y284" s="75" t="s">
        <v>1689</v>
      </c>
      <c r="Z284" s="75" t="s">
        <v>1690</v>
      </c>
      <c r="AA284" s="75" t="s">
        <v>1691</v>
      </c>
      <c r="AB284" s="69" t="s">
        <v>1692</v>
      </c>
      <c r="AC284" s="69" t="s">
        <v>1702</v>
      </c>
      <c r="AD284" s="572">
        <v>45637.0</v>
      </c>
      <c r="AE284" s="573">
        <v>908.0</v>
      </c>
      <c r="AF284" s="104">
        <v>-0.01</v>
      </c>
      <c r="AG284" s="574" t="s">
        <v>1006</v>
      </c>
      <c r="AH284" s="570" t="s">
        <v>609</v>
      </c>
      <c r="AI284" s="559" t="s">
        <v>165</v>
      </c>
      <c r="AJ284" s="559" t="s">
        <v>165</v>
      </c>
      <c r="AK284" s="75" t="s">
        <v>128</v>
      </c>
      <c r="AL284" s="69" t="s">
        <v>132</v>
      </c>
      <c r="AM284" s="128" t="s">
        <v>165</v>
      </c>
      <c r="AN284" s="573">
        <v>992.0</v>
      </c>
      <c r="AO284" s="589">
        <v>0.031</v>
      </c>
      <c r="AP284" s="75" t="s">
        <v>1006</v>
      </c>
      <c r="AQ284" s="570">
        <v>10.0</v>
      </c>
      <c r="AR284" s="72" t="s">
        <v>165</v>
      </c>
      <c r="AS284" s="72" t="s">
        <v>165</v>
      </c>
      <c r="AT284" s="575" t="s">
        <v>179</v>
      </c>
      <c r="AU284" s="87" t="s">
        <v>132</v>
      </c>
      <c r="AV284" s="576" t="s">
        <v>1694</v>
      </c>
      <c r="AW284" s="575" t="s">
        <v>134</v>
      </c>
      <c r="AX284" s="115"/>
      <c r="AY284" s="110" t="s">
        <v>135</v>
      </c>
      <c r="BB284" s="217"/>
      <c r="BC284" s="217"/>
      <c r="BD284" s="217"/>
      <c r="BE284" s="217"/>
      <c r="BF284" s="217"/>
      <c r="BG284" s="217"/>
      <c r="BH284" s="217"/>
      <c r="BI284" s="217"/>
      <c r="BJ284" s="217"/>
      <c r="BK284" s="217"/>
      <c r="BL284" s="217"/>
      <c r="BM284" s="217"/>
      <c r="BN284" s="217"/>
      <c r="BO284" s="217"/>
      <c r="BP284" s="217"/>
      <c r="BQ284" s="217"/>
      <c r="BR284" s="217"/>
      <c r="BS284" s="217"/>
      <c r="BT284" s="217"/>
      <c r="BU284" s="217"/>
      <c r="BV284" s="217"/>
      <c r="BW284" s="217"/>
      <c r="BX284" s="217"/>
      <c r="BY284" s="217"/>
      <c r="BZ284" s="217"/>
      <c r="CA284" s="217"/>
      <c r="CB284" s="217"/>
      <c r="CC284" s="217"/>
      <c r="CD284" s="217"/>
      <c r="CE284" s="217"/>
      <c r="CF284" s="217"/>
      <c r="CG284" s="217"/>
      <c r="CH284" s="217"/>
      <c r="CI284" s="217"/>
      <c r="CJ284" s="217"/>
      <c r="CK284" s="217"/>
      <c r="CL284" s="217"/>
      <c r="CM284" s="217"/>
      <c r="CN284" s="217"/>
      <c r="CO284" s="217"/>
      <c r="CP284" s="217"/>
      <c r="CQ284" s="217"/>
      <c r="CR284" s="217"/>
      <c r="CS284" s="217"/>
      <c r="CT284" s="217"/>
      <c r="CU284" s="217"/>
      <c r="CV284" s="217"/>
      <c r="CW284" s="217"/>
      <c r="CX284" s="217"/>
      <c r="CY284" s="217"/>
      <c r="CZ284" s="217"/>
      <c r="DA284" s="217"/>
      <c r="DB284" s="217"/>
      <c r="DC284" s="217"/>
      <c r="DD284" s="217"/>
      <c r="DE284" s="217"/>
      <c r="DF284" s="217"/>
      <c r="DG284" s="217"/>
    </row>
    <row r="285" ht="20.25" customHeight="1">
      <c r="A285" s="85" t="s">
        <v>143</v>
      </c>
      <c r="B285" s="577" t="s">
        <v>107</v>
      </c>
      <c r="C285" s="371" t="s">
        <v>1455</v>
      </c>
      <c r="D285" s="209"/>
      <c r="E285" s="381" t="s">
        <v>1680</v>
      </c>
      <c r="F285" s="373" t="s">
        <v>1701</v>
      </c>
      <c r="G285" s="373" t="s">
        <v>1458</v>
      </c>
      <c r="H285" s="580">
        <v>45637.0</v>
      </c>
      <c r="I285" s="581">
        <v>45670.0</v>
      </c>
      <c r="J285" s="376"/>
      <c r="K285" s="568" t="s">
        <v>1683</v>
      </c>
      <c r="L285" s="373" t="s">
        <v>1695</v>
      </c>
      <c r="M285" s="373" t="s">
        <v>1685</v>
      </c>
      <c r="N285" s="568">
        <v>1.0</v>
      </c>
      <c r="O285" s="377" t="str">
        <f>SUBSTITUTE(LOWER(M285), "/", "--") &amp;  ".pdf"</f>
        <v>10.1002--pam.21702.pdf</v>
      </c>
      <c r="P285" s="48" t="str">
        <f t="array" ref="P285">HYPERLINK(INDEX('File Links'!B:B, MATCH(O285, 'File Links'!C:C, 0)))
</f>
        <v>https://drive.google.com/file/d/1NxD4srcP8NGAkHA1AWvYHXJLyf_l73EF/view?usp=drivesdk</v>
      </c>
      <c r="Q285" s="570" t="s">
        <v>1686</v>
      </c>
      <c r="R285" s="373" t="s">
        <v>1687</v>
      </c>
      <c r="S285" s="376"/>
      <c r="T285" s="571">
        <v>2.0</v>
      </c>
      <c r="U285" s="373" t="str">
        <f>HYPERLINK(VLOOKUP(LOWER(R285),#REF!, 2, FALSE), SUBSTITUTE(LOWER(R285), "/", "--") &amp;  ".pdf")</f>
        <v>10.1111--padm.12860.pdf</v>
      </c>
      <c r="V285" s="378" t="s">
        <v>1696</v>
      </c>
      <c r="W285" s="50" t="str">
        <f t="array" ref="W285">HYPERLINK(INDEX('File Links'!B:B, MATCH(U285, 'File Links'!C:C, 0)))
</f>
        <v>https://drive.google.com/file/d/1Zty8FHdgF4Nqed1S2bjomumBBiyC8Mfz/view?usp=drivesdk</v>
      </c>
      <c r="X285" s="376"/>
      <c r="Y285" s="75" t="s">
        <v>1689</v>
      </c>
      <c r="Z285" s="373" t="s">
        <v>1697</v>
      </c>
      <c r="AA285" s="373" t="s">
        <v>1698</v>
      </c>
      <c r="AB285" s="373" t="s">
        <v>1703</v>
      </c>
      <c r="AC285" s="373" t="s">
        <v>1700</v>
      </c>
      <c r="AD285" s="380">
        <v>10.0</v>
      </c>
      <c r="AE285" s="380">
        <v>908.0</v>
      </c>
      <c r="AF285" s="187">
        <v>1.445</v>
      </c>
      <c r="AG285" s="379" t="s">
        <v>1006</v>
      </c>
      <c r="AH285" s="570" t="s">
        <v>629</v>
      </c>
      <c r="AI285" s="380">
        <v>0.001</v>
      </c>
      <c r="AJ285" s="372" t="s">
        <v>127</v>
      </c>
      <c r="AK285" s="376" t="s">
        <v>179</v>
      </c>
      <c r="AL285" s="376" t="s">
        <v>132</v>
      </c>
      <c r="AM285" s="128" t="s">
        <v>165</v>
      </c>
      <c r="AN285" s="380">
        <v>992.0</v>
      </c>
      <c r="AO285" s="440">
        <v>2.507</v>
      </c>
      <c r="AP285" s="376" t="s">
        <v>1006</v>
      </c>
      <c r="AQ285" s="584">
        <v>9.0</v>
      </c>
      <c r="AR285" s="382">
        <v>0.001</v>
      </c>
      <c r="AS285" s="372" t="s">
        <v>127</v>
      </c>
      <c r="AT285" s="372" t="s">
        <v>179</v>
      </c>
      <c r="AU285" s="372" t="s">
        <v>132</v>
      </c>
      <c r="AV285" s="576" t="s">
        <v>1694</v>
      </c>
      <c r="AW285" s="381" t="s">
        <v>134</v>
      </c>
      <c r="AX285" s="115"/>
      <c r="AY285" s="110" t="s">
        <v>135</v>
      </c>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c r="CD285" s="64"/>
      <c r="CE285" s="64"/>
      <c r="CF285" s="64"/>
      <c r="CG285" s="64"/>
      <c r="CH285" s="64"/>
      <c r="CI285" s="64"/>
      <c r="CJ285" s="64"/>
      <c r="CK285" s="64"/>
      <c r="CL285" s="64"/>
      <c r="CM285" s="64"/>
      <c r="CN285" s="64"/>
      <c r="CO285" s="64"/>
      <c r="CP285" s="64"/>
      <c r="CQ285" s="64"/>
      <c r="CR285" s="64"/>
      <c r="CS285" s="64"/>
      <c r="CT285" s="64"/>
      <c r="CU285" s="64"/>
      <c r="CV285" s="64"/>
      <c r="CW285" s="64"/>
      <c r="CX285" s="64"/>
      <c r="CY285" s="64"/>
      <c r="CZ285" s="64"/>
      <c r="DA285" s="64"/>
      <c r="DB285" s="64"/>
      <c r="DC285" s="64"/>
      <c r="DD285" s="64"/>
      <c r="DE285" s="64"/>
      <c r="DF285" s="64"/>
      <c r="DG285" s="64"/>
    </row>
    <row r="286" ht="20.25" customHeight="1">
      <c r="A286" s="85" t="s">
        <v>143</v>
      </c>
      <c r="B286" s="85" t="s">
        <v>107</v>
      </c>
      <c r="C286" s="85" t="s">
        <v>1471</v>
      </c>
      <c r="D286" s="84"/>
      <c r="E286" s="381" t="s">
        <v>1680</v>
      </c>
      <c r="F286" s="69" t="s">
        <v>1704</v>
      </c>
      <c r="G286" s="69" t="s">
        <v>1530</v>
      </c>
      <c r="H286" s="586">
        <v>45640.0</v>
      </c>
      <c r="I286" s="567">
        <v>45670.0</v>
      </c>
      <c r="J286" s="69" t="s">
        <v>1682</v>
      </c>
      <c r="K286" s="568" t="s">
        <v>1683</v>
      </c>
      <c r="L286" s="569" t="s">
        <v>1705</v>
      </c>
      <c r="M286" s="587" t="s">
        <v>1685</v>
      </c>
      <c r="N286" s="72">
        <v>1.0</v>
      </c>
      <c r="O286" s="90" t="str">
        <f> SUBSTITUTE(lower(M286), "/", "--") &amp;  ".pdf"</f>
        <v>10.1002--pam.21702.pdf</v>
      </c>
      <c r="P286" s="48" t="str">
        <f t="array" ref="P286">HYPERLINK(INDEX('File Links'!B:B, MATCH(O286, 'File Links'!C:C, 0)))
</f>
        <v>https://drive.google.com/file/d/1NxD4srcP8NGAkHA1AWvYHXJLyf_l73EF/view?usp=drivesdk</v>
      </c>
      <c r="Q286" s="570" t="s">
        <v>1686</v>
      </c>
      <c r="R286" s="587" t="s">
        <v>1687</v>
      </c>
      <c r="S286" s="75"/>
      <c r="T286" s="571">
        <v>2.0</v>
      </c>
      <c r="U286" s="75"/>
      <c r="V286" s="69" t="s">
        <v>1688</v>
      </c>
      <c r="W286" s="45" t="str">
        <f t="array" ref="W286">HYPERLINK(INDEX('File Links'!B:B, MATCH(U286, 'File Links'!C:C, 0)))
</f>
        <v>#N/A</v>
      </c>
      <c r="X286" s="75"/>
      <c r="Y286" s="75" t="s">
        <v>1689</v>
      </c>
      <c r="Z286" s="75" t="s">
        <v>1690</v>
      </c>
      <c r="AA286" s="75" t="s">
        <v>1691</v>
      </c>
      <c r="AB286" s="69" t="s">
        <v>1692</v>
      </c>
      <c r="AC286" s="69" t="s">
        <v>1706</v>
      </c>
      <c r="AD286" s="572">
        <v>45637.0</v>
      </c>
      <c r="AE286" s="573">
        <v>908.0</v>
      </c>
      <c r="AF286" s="590">
        <v>0.08</v>
      </c>
      <c r="AG286" s="574" t="s">
        <v>1006</v>
      </c>
      <c r="AH286" s="570" t="s">
        <v>609</v>
      </c>
      <c r="AI286" s="559" t="s">
        <v>165</v>
      </c>
      <c r="AJ286" s="559" t="s">
        <v>165</v>
      </c>
      <c r="AK286" s="75" t="s">
        <v>128</v>
      </c>
      <c r="AL286" s="69" t="s">
        <v>132</v>
      </c>
      <c r="AM286" s="128" t="s">
        <v>165</v>
      </c>
      <c r="AN286" s="573">
        <v>992.0</v>
      </c>
      <c r="AO286" s="573">
        <v>-0.024</v>
      </c>
      <c r="AP286" s="75" t="s">
        <v>1006</v>
      </c>
      <c r="AQ286" s="570">
        <v>10.0</v>
      </c>
      <c r="AR286" s="72" t="s">
        <v>165</v>
      </c>
      <c r="AS286" s="72" t="s">
        <v>165</v>
      </c>
      <c r="AT286" s="575" t="s">
        <v>179</v>
      </c>
      <c r="AU286" s="87" t="s">
        <v>132</v>
      </c>
      <c r="AV286" s="576" t="s">
        <v>1694</v>
      </c>
      <c r="AW286" s="575" t="s">
        <v>134</v>
      </c>
      <c r="AX286" s="115"/>
      <c r="AY286" s="110" t="s">
        <v>135</v>
      </c>
      <c r="BB286" s="217"/>
      <c r="BC286" s="217"/>
      <c r="BD286" s="217"/>
      <c r="BE286" s="217"/>
      <c r="BF286" s="217"/>
      <c r="BG286" s="217"/>
      <c r="BH286" s="217"/>
      <c r="BI286" s="217"/>
      <c r="BJ286" s="217"/>
      <c r="BK286" s="217"/>
      <c r="BL286" s="217"/>
      <c r="BM286" s="217"/>
      <c r="BN286" s="217"/>
      <c r="BO286" s="217"/>
      <c r="BP286" s="217"/>
      <c r="BQ286" s="217"/>
      <c r="BR286" s="217"/>
      <c r="BS286" s="217"/>
      <c r="BT286" s="217"/>
      <c r="BU286" s="217"/>
      <c r="BV286" s="217"/>
      <c r="BW286" s="217"/>
      <c r="BX286" s="217"/>
      <c r="BY286" s="217"/>
      <c r="BZ286" s="217"/>
      <c r="CA286" s="217"/>
      <c r="CB286" s="217"/>
      <c r="CC286" s="217"/>
      <c r="CD286" s="217"/>
      <c r="CE286" s="217"/>
      <c r="CF286" s="217"/>
      <c r="CG286" s="217"/>
      <c r="CH286" s="217"/>
      <c r="CI286" s="217"/>
      <c r="CJ286" s="217"/>
      <c r="CK286" s="217"/>
      <c r="CL286" s="217"/>
      <c r="CM286" s="217"/>
      <c r="CN286" s="217"/>
      <c r="CO286" s="217"/>
      <c r="CP286" s="217"/>
      <c r="CQ286" s="217"/>
      <c r="CR286" s="217"/>
      <c r="CS286" s="217"/>
      <c r="CT286" s="217"/>
      <c r="CU286" s="217"/>
      <c r="CV286" s="217"/>
      <c r="CW286" s="217"/>
      <c r="CX286" s="217"/>
      <c r="CY286" s="217"/>
      <c r="CZ286" s="217"/>
      <c r="DA286" s="217"/>
      <c r="DB286" s="217"/>
      <c r="DC286" s="217"/>
      <c r="DD286" s="217"/>
      <c r="DE286" s="217"/>
      <c r="DF286" s="217"/>
      <c r="DG286" s="217"/>
    </row>
    <row r="287" ht="20.25" customHeight="1">
      <c r="A287" s="85" t="s">
        <v>143</v>
      </c>
      <c r="B287" s="577" t="s">
        <v>107</v>
      </c>
      <c r="C287" s="371" t="s">
        <v>1455</v>
      </c>
      <c r="D287" s="209"/>
      <c r="E287" s="381" t="s">
        <v>1680</v>
      </c>
      <c r="F287" s="373" t="s">
        <v>1704</v>
      </c>
      <c r="G287" s="373" t="s">
        <v>1458</v>
      </c>
      <c r="H287" s="580">
        <v>45637.0</v>
      </c>
      <c r="I287" s="581">
        <v>45670.0</v>
      </c>
      <c r="J287" s="376"/>
      <c r="K287" s="568" t="s">
        <v>1683</v>
      </c>
      <c r="L287" s="373" t="s">
        <v>1695</v>
      </c>
      <c r="M287" s="373" t="s">
        <v>1685</v>
      </c>
      <c r="N287" s="568">
        <v>1.0</v>
      </c>
      <c r="O287" s="377" t="str">
        <f>SUBSTITUTE(LOWER(M287), "/", "--") &amp;  ".pdf"</f>
        <v>10.1002--pam.21702.pdf</v>
      </c>
      <c r="P287" s="48" t="str">
        <f t="array" ref="P287">HYPERLINK(INDEX('File Links'!B:B, MATCH(O287, 'File Links'!C:C, 0)))
</f>
        <v>https://drive.google.com/file/d/1NxD4srcP8NGAkHA1AWvYHXJLyf_l73EF/view?usp=drivesdk</v>
      </c>
      <c r="Q287" s="570" t="s">
        <v>1686</v>
      </c>
      <c r="R287" s="373" t="s">
        <v>1687</v>
      </c>
      <c r="S287" s="376"/>
      <c r="T287" s="571">
        <v>2.0</v>
      </c>
      <c r="U287" s="373" t="str">
        <f>HYPERLINK(VLOOKUP(LOWER(R287),#REF!, 2, FALSE), SUBSTITUTE(LOWER(R287), "/", "--") &amp;  ".pdf")</f>
        <v>10.1111--padm.12860.pdf</v>
      </c>
      <c r="V287" s="378" t="s">
        <v>1696</v>
      </c>
      <c r="W287" s="50" t="str">
        <f t="array" ref="W287">HYPERLINK(INDEX('File Links'!B:B, MATCH(U287, 'File Links'!C:C, 0)))
</f>
        <v>https://drive.google.com/file/d/1Zty8FHdgF4Nqed1S2bjomumBBiyC8Mfz/view?usp=drivesdk</v>
      </c>
      <c r="X287" s="376"/>
      <c r="Y287" s="75" t="s">
        <v>1689</v>
      </c>
      <c r="Z287" s="373" t="s">
        <v>1697</v>
      </c>
      <c r="AA287" s="373" t="s">
        <v>1698</v>
      </c>
      <c r="AB287" s="373" t="s">
        <v>1707</v>
      </c>
      <c r="AC287" s="373" t="s">
        <v>1700</v>
      </c>
      <c r="AD287" s="380">
        <v>10.0</v>
      </c>
      <c r="AE287" s="380">
        <v>908.0</v>
      </c>
      <c r="AF287" s="117">
        <v>0.354</v>
      </c>
      <c r="AG287" s="379" t="s">
        <v>1006</v>
      </c>
      <c r="AH287" s="570" t="s">
        <v>629</v>
      </c>
      <c r="AI287" s="380">
        <v>0.001</v>
      </c>
      <c r="AJ287" s="372" t="s">
        <v>127</v>
      </c>
      <c r="AK287" s="376" t="s">
        <v>179</v>
      </c>
      <c r="AL287" s="376" t="s">
        <v>132</v>
      </c>
      <c r="AM287" s="128" t="s">
        <v>165</v>
      </c>
      <c r="AN287" s="380">
        <v>992.0</v>
      </c>
      <c r="AO287" s="512">
        <v>0.274</v>
      </c>
      <c r="AP287" s="376" t="s">
        <v>1006</v>
      </c>
      <c r="AQ287" s="584">
        <v>9.0</v>
      </c>
      <c r="AR287" s="382">
        <v>0.001</v>
      </c>
      <c r="AS287" s="372" t="s">
        <v>127</v>
      </c>
      <c r="AT287" s="372" t="s">
        <v>179</v>
      </c>
      <c r="AU287" s="372" t="s">
        <v>132</v>
      </c>
      <c r="AV287" s="576" t="s">
        <v>1694</v>
      </c>
      <c r="AW287" s="381" t="s">
        <v>134</v>
      </c>
      <c r="AX287" s="115"/>
      <c r="AY287" s="110" t="s">
        <v>135</v>
      </c>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c r="CD287" s="64"/>
      <c r="CE287" s="64"/>
      <c r="CF287" s="64"/>
      <c r="CG287" s="64"/>
      <c r="CH287" s="64"/>
      <c r="CI287" s="64"/>
      <c r="CJ287" s="64"/>
      <c r="CK287" s="64"/>
      <c r="CL287" s="64"/>
      <c r="CM287" s="64"/>
      <c r="CN287" s="64"/>
      <c r="CO287" s="64"/>
      <c r="CP287" s="64"/>
      <c r="CQ287" s="64"/>
      <c r="CR287" s="64"/>
      <c r="CS287" s="64"/>
      <c r="CT287" s="64"/>
      <c r="CU287" s="64"/>
      <c r="CV287" s="64"/>
      <c r="CW287" s="64"/>
      <c r="CX287" s="64"/>
      <c r="CY287" s="64"/>
      <c r="CZ287" s="64"/>
      <c r="DA287" s="64"/>
      <c r="DB287" s="64"/>
      <c r="DC287" s="64"/>
      <c r="DD287" s="64"/>
      <c r="DE287" s="64"/>
      <c r="DF287" s="64"/>
      <c r="DG287" s="64"/>
    </row>
    <row r="288" ht="20.25" customHeight="1">
      <c r="A288" s="85" t="s">
        <v>143</v>
      </c>
      <c r="B288" s="85" t="s">
        <v>107</v>
      </c>
      <c r="C288" s="85" t="s">
        <v>1471</v>
      </c>
      <c r="D288" s="84"/>
      <c r="E288" s="381" t="s">
        <v>1680</v>
      </c>
      <c r="F288" s="69" t="s">
        <v>1708</v>
      </c>
      <c r="G288" s="69" t="s">
        <v>1530</v>
      </c>
      <c r="H288" s="586">
        <v>45640.0</v>
      </c>
      <c r="I288" s="567">
        <v>45670.0</v>
      </c>
      <c r="J288" s="69" t="s">
        <v>1709</v>
      </c>
      <c r="K288" s="568" t="s">
        <v>1683</v>
      </c>
      <c r="L288" s="569" t="s">
        <v>1710</v>
      </c>
      <c r="M288" s="587" t="s">
        <v>1685</v>
      </c>
      <c r="N288" s="72">
        <v>1.0</v>
      </c>
      <c r="O288" s="90" t="str">
        <f> SUBSTITUTE(lower(M288), "/", "--") &amp;  ".pdf"</f>
        <v>10.1002--pam.21702.pdf</v>
      </c>
      <c r="P288" s="48" t="str">
        <f t="array" ref="P288">HYPERLINK(INDEX('File Links'!B:B, MATCH(O288, 'File Links'!C:C, 0)))
</f>
        <v>https://drive.google.com/file/d/1NxD4srcP8NGAkHA1AWvYHXJLyf_l73EF/view?usp=drivesdk</v>
      </c>
      <c r="Q288" s="570" t="s">
        <v>1686</v>
      </c>
      <c r="R288" s="587" t="s">
        <v>1687</v>
      </c>
      <c r="S288" s="75"/>
      <c r="T288" s="571">
        <v>2.0</v>
      </c>
      <c r="U288" s="75"/>
      <c r="V288" s="69" t="s">
        <v>1688</v>
      </c>
      <c r="W288" s="45" t="str">
        <f t="array" ref="W288">HYPERLINK(INDEX('File Links'!B:B, MATCH(U288, 'File Links'!C:C, 0)))
</f>
        <v>#N/A</v>
      </c>
      <c r="X288" s="75"/>
      <c r="Y288" s="75" t="s">
        <v>1689</v>
      </c>
      <c r="Z288" s="75" t="s">
        <v>1690</v>
      </c>
      <c r="AA288" s="75" t="s">
        <v>1691</v>
      </c>
      <c r="AB288" s="69" t="s">
        <v>1692</v>
      </c>
      <c r="AC288" s="69" t="s">
        <v>1693</v>
      </c>
      <c r="AD288" s="572">
        <v>45637.0</v>
      </c>
      <c r="AE288" s="573">
        <v>908.0</v>
      </c>
      <c r="AF288" s="573">
        <v>0.55</v>
      </c>
      <c r="AG288" s="574" t="s">
        <v>1006</v>
      </c>
      <c r="AH288" s="570" t="s">
        <v>609</v>
      </c>
      <c r="AI288" s="573">
        <v>0.01</v>
      </c>
      <c r="AJ288" s="86" t="s">
        <v>127</v>
      </c>
      <c r="AK288" s="72" t="s">
        <v>128</v>
      </c>
      <c r="AL288" s="69" t="s">
        <v>132</v>
      </c>
      <c r="AM288" s="128" t="s">
        <v>165</v>
      </c>
      <c r="AN288" s="573">
        <v>1228.0</v>
      </c>
      <c r="AO288" s="573">
        <v>1.216</v>
      </c>
      <c r="AP288" s="75" t="s">
        <v>1006</v>
      </c>
      <c r="AQ288" s="570">
        <v>10.0</v>
      </c>
      <c r="AR288" s="573">
        <v>0.01</v>
      </c>
      <c r="AS288" s="87" t="s">
        <v>127</v>
      </c>
      <c r="AT288" s="575" t="s">
        <v>179</v>
      </c>
      <c r="AU288" s="87" t="s">
        <v>132</v>
      </c>
      <c r="AV288" s="92" t="s">
        <v>1694</v>
      </c>
      <c r="AW288" s="591" t="s">
        <v>134</v>
      </c>
      <c r="AX288" s="115"/>
      <c r="AY288" s="110" t="s">
        <v>135</v>
      </c>
      <c r="BB288" s="217"/>
      <c r="BC288" s="217"/>
      <c r="BD288" s="217"/>
      <c r="BE288" s="217"/>
      <c r="BF288" s="217"/>
      <c r="BG288" s="217"/>
      <c r="BH288" s="217"/>
      <c r="BI288" s="217"/>
      <c r="BJ288" s="217"/>
      <c r="BK288" s="217"/>
      <c r="BL288" s="217"/>
      <c r="BM288" s="217"/>
      <c r="BN288" s="217"/>
      <c r="BO288" s="217"/>
      <c r="BP288" s="217"/>
      <c r="BQ288" s="217"/>
      <c r="BR288" s="217"/>
      <c r="BS288" s="217"/>
      <c r="BT288" s="217"/>
      <c r="BU288" s="217"/>
      <c r="BV288" s="217"/>
      <c r="BW288" s="217"/>
      <c r="BX288" s="217"/>
      <c r="BY288" s="217"/>
      <c r="BZ288" s="217"/>
      <c r="CA288" s="217"/>
      <c r="CB288" s="217"/>
      <c r="CC288" s="217"/>
      <c r="CD288" s="217"/>
      <c r="CE288" s="217"/>
      <c r="CF288" s="217"/>
      <c r="CG288" s="217"/>
      <c r="CH288" s="217"/>
      <c r="CI288" s="217"/>
      <c r="CJ288" s="217"/>
      <c r="CK288" s="217"/>
      <c r="CL288" s="217"/>
      <c r="CM288" s="217"/>
      <c r="CN288" s="217"/>
      <c r="CO288" s="217"/>
      <c r="CP288" s="217"/>
      <c r="CQ288" s="217"/>
      <c r="CR288" s="217"/>
      <c r="CS288" s="217"/>
      <c r="CT288" s="217"/>
      <c r="CU288" s="217"/>
      <c r="CV288" s="217"/>
      <c r="CW288" s="217"/>
      <c r="CX288" s="217"/>
      <c r="CY288" s="217"/>
      <c r="CZ288" s="217"/>
      <c r="DA288" s="217"/>
      <c r="DB288" s="217"/>
      <c r="DC288" s="217"/>
      <c r="DD288" s="217"/>
      <c r="DE288" s="217"/>
      <c r="DF288" s="217"/>
      <c r="DG288" s="217"/>
    </row>
    <row r="289" ht="20.25" customHeight="1">
      <c r="A289" s="85" t="s">
        <v>143</v>
      </c>
      <c r="B289" s="577" t="s">
        <v>107</v>
      </c>
      <c r="C289" s="371" t="s">
        <v>1455</v>
      </c>
      <c r="D289" s="209"/>
      <c r="E289" s="381" t="s">
        <v>1680</v>
      </c>
      <c r="F289" s="373" t="s">
        <v>1708</v>
      </c>
      <c r="G289" s="373" t="s">
        <v>1458</v>
      </c>
      <c r="H289" s="580">
        <v>45637.0</v>
      </c>
      <c r="I289" s="581">
        <v>45670.0</v>
      </c>
      <c r="J289" s="376"/>
      <c r="K289" s="568" t="s">
        <v>1683</v>
      </c>
      <c r="L289" s="373" t="s">
        <v>1695</v>
      </c>
      <c r="M289" s="373" t="s">
        <v>1685</v>
      </c>
      <c r="N289" s="568">
        <v>1.0</v>
      </c>
      <c r="O289" s="377" t="str">
        <f>SUBSTITUTE(LOWER(M289), "/", "--") &amp;  ".pdf"</f>
        <v>10.1002--pam.21702.pdf</v>
      </c>
      <c r="P289" s="48" t="str">
        <f t="array" ref="P289">HYPERLINK(INDEX('File Links'!B:B, MATCH(O289, 'File Links'!C:C, 0)))
</f>
        <v>https://drive.google.com/file/d/1NxD4srcP8NGAkHA1AWvYHXJLyf_l73EF/view?usp=drivesdk</v>
      </c>
      <c r="Q289" s="570" t="s">
        <v>1686</v>
      </c>
      <c r="R289" s="373" t="s">
        <v>1687</v>
      </c>
      <c r="S289" s="376"/>
      <c r="T289" s="571">
        <v>2.0</v>
      </c>
      <c r="U289" s="373" t="str">
        <f>HYPERLINK(VLOOKUP(LOWER(R289),#REF!, 2, FALSE), SUBSTITUTE(LOWER(R289), "/", "--") &amp;  ".pdf")</f>
        <v>10.1111--padm.12860.pdf</v>
      </c>
      <c r="V289" s="378" t="s">
        <v>1696</v>
      </c>
      <c r="W289" s="50" t="str">
        <f t="array" ref="W289">HYPERLINK(INDEX('File Links'!B:B, MATCH(U289, 'File Links'!C:C, 0)))
</f>
        <v>https://drive.google.com/file/d/1Zty8FHdgF4Nqed1S2bjomumBBiyC8Mfz/view?usp=drivesdk</v>
      </c>
      <c r="X289" s="376"/>
      <c r="Y289" s="75" t="s">
        <v>1689</v>
      </c>
      <c r="Z289" s="373" t="s">
        <v>1697</v>
      </c>
      <c r="AA289" s="373" t="s">
        <v>1698</v>
      </c>
      <c r="AB289" s="373" t="s">
        <v>1711</v>
      </c>
      <c r="AC289" s="373" t="s">
        <v>1700</v>
      </c>
      <c r="AD289" s="380">
        <v>10.0</v>
      </c>
      <c r="AE289" s="380">
        <v>908.0</v>
      </c>
      <c r="AF289" s="592">
        <v>0.583</v>
      </c>
      <c r="AG289" s="379" t="s">
        <v>1006</v>
      </c>
      <c r="AH289" s="570" t="s">
        <v>629</v>
      </c>
      <c r="AI289" s="380">
        <v>0.001</v>
      </c>
      <c r="AJ289" s="372" t="s">
        <v>127</v>
      </c>
      <c r="AK289" s="376" t="s">
        <v>179</v>
      </c>
      <c r="AL289" s="376" t="s">
        <v>132</v>
      </c>
      <c r="AM289" s="128" t="s">
        <v>165</v>
      </c>
      <c r="AN289" s="380">
        <v>992.0</v>
      </c>
      <c r="AO289" s="512">
        <v>1.121</v>
      </c>
      <c r="AP289" s="376" t="s">
        <v>1006</v>
      </c>
      <c r="AQ289" s="584">
        <v>9.0</v>
      </c>
      <c r="AR289" s="382">
        <v>0.001</v>
      </c>
      <c r="AS289" s="372" t="s">
        <v>127</v>
      </c>
      <c r="AT289" s="372" t="s">
        <v>179</v>
      </c>
      <c r="AU289" s="372" t="s">
        <v>132</v>
      </c>
      <c r="AV289" s="576" t="s">
        <v>1694</v>
      </c>
      <c r="AW289" s="381" t="s">
        <v>134</v>
      </c>
      <c r="AX289" s="115"/>
      <c r="AY289" s="110" t="s">
        <v>135</v>
      </c>
      <c r="BB289" s="64"/>
      <c r="BC289" s="64"/>
      <c r="BD289" s="64"/>
      <c r="BE289" s="64"/>
      <c r="BF289" s="64"/>
      <c r="BG289" s="64"/>
      <c r="BH289" s="64"/>
      <c r="BI289" s="64"/>
      <c r="BJ289" s="64"/>
      <c r="BK289" s="64"/>
      <c r="BL289" s="64"/>
      <c r="BM289" s="64"/>
      <c r="BN289" s="64"/>
      <c r="BO289" s="64"/>
      <c r="BP289" s="64"/>
      <c r="BQ289" s="64"/>
      <c r="BR289" s="64"/>
      <c r="BS289" s="64"/>
      <c r="BT289" s="64"/>
      <c r="BU289" s="64"/>
      <c r="BV289" s="64"/>
      <c r="BW289" s="64"/>
      <c r="BX289" s="64"/>
      <c r="BY289" s="64"/>
      <c r="BZ289" s="64"/>
      <c r="CA289" s="64"/>
      <c r="CB289" s="64"/>
      <c r="CC289" s="64"/>
      <c r="CD289" s="64"/>
      <c r="CE289" s="64"/>
      <c r="CF289" s="64"/>
      <c r="CG289" s="64"/>
      <c r="CH289" s="64"/>
      <c r="CI289" s="64"/>
      <c r="CJ289" s="64"/>
      <c r="CK289" s="64"/>
      <c r="CL289" s="64"/>
      <c r="CM289" s="64"/>
      <c r="CN289" s="64"/>
      <c r="CO289" s="64"/>
      <c r="CP289" s="64"/>
      <c r="CQ289" s="64"/>
      <c r="CR289" s="64"/>
      <c r="CS289" s="64"/>
      <c r="CT289" s="64"/>
      <c r="CU289" s="64"/>
      <c r="CV289" s="64"/>
      <c r="CW289" s="64"/>
      <c r="CX289" s="64"/>
      <c r="CY289" s="64"/>
      <c r="CZ289" s="64"/>
      <c r="DA289" s="64"/>
      <c r="DB289" s="64"/>
      <c r="DC289" s="64"/>
      <c r="DD289" s="64"/>
      <c r="DE289" s="64"/>
      <c r="DF289" s="64"/>
      <c r="DG289" s="64"/>
    </row>
    <row r="290" ht="20.25" customHeight="1">
      <c r="A290" s="85" t="s">
        <v>143</v>
      </c>
      <c r="B290" s="85" t="s">
        <v>107</v>
      </c>
      <c r="C290" s="85" t="s">
        <v>1471</v>
      </c>
      <c r="D290" s="84"/>
      <c r="E290" s="381" t="s">
        <v>1680</v>
      </c>
      <c r="F290" s="69" t="s">
        <v>1712</v>
      </c>
      <c r="G290" s="69" t="s">
        <v>1530</v>
      </c>
      <c r="H290" s="586">
        <v>45640.0</v>
      </c>
      <c r="I290" s="567">
        <v>45670.0</v>
      </c>
      <c r="J290" s="69" t="s">
        <v>1709</v>
      </c>
      <c r="K290" s="568" t="s">
        <v>1683</v>
      </c>
      <c r="L290" s="569" t="s">
        <v>1713</v>
      </c>
      <c r="M290" s="587" t="s">
        <v>1685</v>
      </c>
      <c r="N290" s="72">
        <v>1.0</v>
      </c>
      <c r="O290" s="90" t="str">
        <f> SUBSTITUTE(lower(M290), "/", "--") &amp;  ".pdf"</f>
        <v>10.1002--pam.21702.pdf</v>
      </c>
      <c r="P290" s="48" t="str">
        <f t="array" ref="P290">HYPERLINK(INDEX('File Links'!B:B, MATCH(O290, 'File Links'!C:C, 0)))
</f>
        <v>https://drive.google.com/file/d/1NxD4srcP8NGAkHA1AWvYHXJLyf_l73EF/view?usp=drivesdk</v>
      </c>
      <c r="Q290" s="570" t="s">
        <v>1686</v>
      </c>
      <c r="R290" s="587" t="s">
        <v>1687</v>
      </c>
      <c r="S290" s="75"/>
      <c r="T290" s="571">
        <v>2.0</v>
      </c>
      <c r="U290" s="75"/>
      <c r="V290" s="69" t="s">
        <v>1688</v>
      </c>
      <c r="W290" s="45" t="str">
        <f t="array" ref="W290">HYPERLINK(INDEX('File Links'!B:B, MATCH(U290, 'File Links'!C:C, 0)))
</f>
        <v>#N/A</v>
      </c>
      <c r="X290" s="75"/>
      <c r="Y290" s="75" t="s">
        <v>1689</v>
      </c>
      <c r="Z290" s="75" t="s">
        <v>1690</v>
      </c>
      <c r="AA290" s="75" t="s">
        <v>1691</v>
      </c>
      <c r="AB290" s="69" t="s">
        <v>1692</v>
      </c>
      <c r="AC290" s="69" t="s">
        <v>1702</v>
      </c>
      <c r="AD290" s="572">
        <v>45637.0</v>
      </c>
      <c r="AE290" s="573">
        <v>908.0</v>
      </c>
      <c r="AF290" s="104">
        <v>-0.01</v>
      </c>
      <c r="AG290" s="574" t="s">
        <v>1006</v>
      </c>
      <c r="AH290" s="570" t="s">
        <v>629</v>
      </c>
      <c r="AI290" s="559" t="s">
        <v>165</v>
      </c>
      <c r="AJ290" s="559" t="s">
        <v>165</v>
      </c>
      <c r="AK290" s="72" t="s">
        <v>128</v>
      </c>
      <c r="AL290" s="69" t="s">
        <v>132</v>
      </c>
      <c r="AM290" s="128" t="s">
        <v>165</v>
      </c>
      <c r="AN290" s="573">
        <v>1228.0</v>
      </c>
      <c r="AO290" s="573">
        <v>0.005</v>
      </c>
      <c r="AP290" s="75" t="s">
        <v>1006</v>
      </c>
      <c r="AQ290" s="570">
        <v>10.0</v>
      </c>
      <c r="AR290" s="72" t="s">
        <v>165</v>
      </c>
      <c r="AS290" s="72" t="s">
        <v>165</v>
      </c>
      <c r="AT290" s="575" t="s">
        <v>179</v>
      </c>
      <c r="AU290" s="87" t="s">
        <v>132</v>
      </c>
      <c r="AV290" s="92" t="s">
        <v>1694</v>
      </c>
      <c r="AW290" s="591" t="s">
        <v>134</v>
      </c>
      <c r="AX290" s="115"/>
      <c r="AY290" s="110" t="s">
        <v>135</v>
      </c>
      <c r="BB290" s="217"/>
      <c r="BC290" s="217"/>
      <c r="BD290" s="217"/>
      <c r="BE290" s="217"/>
      <c r="BF290" s="217"/>
      <c r="BG290" s="217"/>
      <c r="BH290" s="217"/>
      <c r="BI290" s="217"/>
      <c r="BJ290" s="217"/>
      <c r="BK290" s="217"/>
      <c r="BL290" s="217"/>
      <c r="BM290" s="217"/>
      <c r="BN290" s="217"/>
      <c r="BO290" s="217"/>
      <c r="BP290" s="217"/>
      <c r="BQ290" s="217"/>
      <c r="BR290" s="217"/>
      <c r="BS290" s="217"/>
      <c r="BT290" s="217"/>
      <c r="BU290" s="217"/>
      <c r="BV290" s="217"/>
      <c r="BW290" s="217"/>
      <c r="BX290" s="217"/>
      <c r="BY290" s="217"/>
      <c r="BZ290" s="217"/>
      <c r="CA290" s="217"/>
      <c r="CB290" s="217"/>
      <c r="CC290" s="217"/>
      <c r="CD290" s="217"/>
      <c r="CE290" s="217"/>
      <c r="CF290" s="217"/>
      <c r="CG290" s="217"/>
      <c r="CH290" s="217"/>
      <c r="CI290" s="217"/>
      <c r="CJ290" s="217"/>
      <c r="CK290" s="217"/>
      <c r="CL290" s="217"/>
      <c r="CM290" s="217"/>
      <c r="CN290" s="217"/>
      <c r="CO290" s="217"/>
      <c r="CP290" s="217"/>
      <c r="CQ290" s="217"/>
      <c r="CR290" s="217"/>
      <c r="CS290" s="217"/>
      <c r="CT290" s="217"/>
      <c r="CU290" s="217"/>
      <c r="CV290" s="217"/>
      <c r="CW290" s="217"/>
      <c r="CX290" s="217"/>
      <c r="CY290" s="217"/>
      <c r="CZ290" s="217"/>
      <c r="DA290" s="217"/>
      <c r="DB290" s="217"/>
      <c r="DC290" s="217"/>
      <c r="DD290" s="217"/>
      <c r="DE290" s="217"/>
      <c r="DF290" s="217"/>
      <c r="DG290" s="217"/>
    </row>
    <row r="291" ht="20.25" customHeight="1">
      <c r="A291" s="85" t="s">
        <v>143</v>
      </c>
      <c r="B291" s="577" t="s">
        <v>107</v>
      </c>
      <c r="C291" s="371" t="s">
        <v>1455</v>
      </c>
      <c r="D291" s="209"/>
      <c r="E291" s="381" t="s">
        <v>1680</v>
      </c>
      <c r="F291" s="373" t="s">
        <v>1712</v>
      </c>
      <c r="G291" s="373" t="s">
        <v>1458</v>
      </c>
      <c r="H291" s="580">
        <v>45637.0</v>
      </c>
      <c r="I291" s="581">
        <v>45670.0</v>
      </c>
      <c r="J291" s="376"/>
      <c r="K291" s="568" t="s">
        <v>1683</v>
      </c>
      <c r="L291" s="373" t="s">
        <v>1695</v>
      </c>
      <c r="M291" s="373" t="s">
        <v>1685</v>
      </c>
      <c r="N291" s="568">
        <v>1.0</v>
      </c>
      <c r="O291" s="377" t="str">
        <f>SUBSTITUTE(LOWER(M291), "/", "--") &amp;  ".pdf"</f>
        <v>10.1002--pam.21702.pdf</v>
      </c>
      <c r="P291" s="48" t="str">
        <f t="array" ref="P291">HYPERLINK(INDEX('File Links'!B:B, MATCH(O291, 'File Links'!C:C, 0)))
</f>
        <v>https://drive.google.com/file/d/1NxD4srcP8NGAkHA1AWvYHXJLyf_l73EF/view?usp=drivesdk</v>
      </c>
      <c r="Q291" s="570" t="s">
        <v>1686</v>
      </c>
      <c r="R291" s="373" t="s">
        <v>1687</v>
      </c>
      <c r="S291" s="376"/>
      <c r="T291" s="571">
        <v>2.0</v>
      </c>
      <c r="U291" s="373" t="str">
        <f>HYPERLINK(VLOOKUP(LOWER(R291),#REF!, 2, FALSE), SUBSTITUTE(LOWER(R291), "/", "--") &amp;  ".pdf")</f>
        <v>10.1111--padm.12860.pdf</v>
      </c>
      <c r="V291" s="378" t="s">
        <v>1696</v>
      </c>
      <c r="W291" s="50" t="str">
        <f t="array" ref="W291">HYPERLINK(INDEX('File Links'!B:B, MATCH(U291, 'File Links'!C:C, 0)))
</f>
        <v>https://drive.google.com/file/d/1Zty8FHdgF4Nqed1S2bjomumBBiyC8Mfz/view?usp=drivesdk</v>
      </c>
      <c r="X291" s="376"/>
      <c r="Y291" s="75" t="s">
        <v>1689</v>
      </c>
      <c r="Z291" s="373" t="s">
        <v>1697</v>
      </c>
      <c r="AA291" s="373" t="s">
        <v>1698</v>
      </c>
      <c r="AB291" s="373" t="s">
        <v>1714</v>
      </c>
      <c r="AC291" s="373" t="s">
        <v>1700</v>
      </c>
      <c r="AD291" s="380">
        <v>10.0</v>
      </c>
      <c r="AE291" s="380">
        <v>908.0</v>
      </c>
      <c r="AF291" s="512">
        <v>0.314</v>
      </c>
      <c r="AG291" s="379" t="s">
        <v>1006</v>
      </c>
      <c r="AH291" s="570" t="s">
        <v>629</v>
      </c>
      <c r="AI291" s="380">
        <v>0.001</v>
      </c>
      <c r="AJ291" s="372" t="s">
        <v>127</v>
      </c>
      <c r="AK291" s="376" t="s">
        <v>179</v>
      </c>
      <c r="AL291" s="376" t="s">
        <v>132</v>
      </c>
      <c r="AM291" s="128" t="s">
        <v>165</v>
      </c>
      <c r="AN291" s="380">
        <v>992.0</v>
      </c>
      <c r="AO291" s="512">
        <v>0.33</v>
      </c>
      <c r="AP291" s="376" t="s">
        <v>1006</v>
      </c>
      <c r="AQ291" s="584">
        <v>9.0</v>
      </c>
      <c r="AR291" s="382">
        <v>0.001</v>
      </c>
      <c r="AS291" s="372" t="s">
        <v>127</v>
      </c>
      <c r="AT291" s="372" t="s">
        <v>179</v>
      </c>
      <c r="AU291" s="372" t="s">
        <v>132</v>
      </c>
      <c r="AV291" s="576" t="s">
        <v>1694</v>
      </c>
      <c r="AW291" s="381" t="s">
        <v>134</v>
      </c>
      <c r="AX291" s="115"/>
      <c r="AY291" s="110" t="s">
        <v>135</v>
      </c>
      <c r="BB291" s="217"/>
      <c r="BC291" s="217"/>
      <c r="BD291" s="217"/>
      <c r="BE291" s="217"/>
      <c r="BF291" s="217"/>
      <c r="BG291" s="217"/>
      <c r="BH291" s="217"/>
      <c r="BI291" s="217"/>
      <c r="BJ291" s="217"/>
      <c r="BK291" s="217"/>
      <c r="BL291" s="217"/>
      <c r="BM291" s="217"/>
      <c r="BN291" s="217"/>
      <c r="BO291" s="217"/>
      <c r="BP291" s="217"/>
      <c r="BQ291" s="217"/>
      <c r="BR291" s="217"/>
      <c r="BS291" s="217"/>
      <c r="BT291" s="217"/>
      <c r="BU291" s="217"/>
      <c r="BV291" s="217"/>
      <c r="BW291" s="217"/>
      <c r="BX291" s="217"/>
      <c r="BY291" s="217"/>
      <c r="BZ291" s="217"/>
      <c r="CA291" s="217"/>
      <c r="CB291" s="217"/>
      <c r="CC291" s="217"/>
      <c r="CD291" s="217"/>
      <c r="CE291" s="217"/>
      <c r="CF291" s="217"/>
      <c r="CG291" s="217"/>
      <c r="CH291" s="217"/>
      <c r="CI291" s="217"/>
      <c r="CJ291" s="217"/>
      <c r="CK291" s="217"/>
      <c r="CL291" s="217"/>
      <c r="CM291" s="217"/>
      <c r="CN291" s="217"/>
      <c r="CO291" s="217"/>
      <c r="CP291" s="217"/>
      <c r="CQ291" s="217"/>
      <c r="CR291" s="217"/>
      <c r="CS291" s="217"/>
      <c r="CT291" s="217"/>
      <c r="CU291" s="217"/>
      <c r="CV291" s="217"/>
      <c r="CW291" s="217"/>
      <c r="CX291" s="217"/>
      <c r="CY291" s="217"/>
      <c r="CZ291" s="217"/>
      <c r="DA291" s="217"/>
      <c r="DB291" s="217"/>
      <c r="DC291" s="217"/>
      <c r="DD291" s="217"/>
      <c r="DE291" s="217"/>
      <c r="DF291" s="217"/>
      <c r="DG291" s="217"/>
    </row>
    <row r="292" ht="20.25" customHeight="1">
      <c r="A292" s="85" t="s">
        <v>143</v>
      </c>
      <c r="B292" s="85" t="s">
        <v>107</v>
      </c>
      <c r="C292" s="85" t="s">
        <v>1471</v>
      </c>
      <c r="D292" s="84"/>
      <c r="E292" s="381" t="s">
        <v>1680</v>
      </c>
      <c r="F292" s="69" t="s">
        <v>1715</v>
      </c>
      <c r="G292" s="69" t="s">
        <v>1530</v>
      </c>
      <c r="H292" s="586">
        <v>45640.0</v>
      </c>
      <c r="I292" s="567">
        <v>45670.0</v>
      </c>
      <c r="J292" s="69" t="s">
        <v>1709</v>
      </c>
      <c r="K292" s="568" t="s">
        <v>1683</v>
      </c>
      <c r="L292" s="569" t="s">
        <v>1716</v>
      </c>
      <c r="M292" s="587" t="s">
        <v>1685</v>
      </c>
      <c r="N292" s="72">
        <v>1.0</v>
      </c>
      <c r="O292" s="90" t="str">
        <f> SUBSTITUTE(lower(M292), "/", "--") &amp;  ".pdf"</f>
        <v>10.1002--pam.21702.pdf</v>
      </c>
      <c r="P292" s="48" t="str">
        <f t="array" ref="P292">HYPERLINK(INDEX('File Links'!B:B, MATCH(O292, 'File Links'!C:C, 0)))
</f>
        <v>https://drive.google.com/file/d/1NxD4srcP8NGAkHA1AWvYHXJLyf_l73EF/view?usp=drivesdk</v>
      </c>
      <c r="Q292" s="570" t="s">
        <v>1686</v>
      </c>
      <c r="R292" s="587" t="s">
        <v>1687</v>
      </c>
      <c r="S292" s="75"/>
      <c r="T292" s="571">
        <v>2.0</v>
      </c>
      <c r="U292" s="75"/>
      <c r="V292" s="69" t="s">
        <v>1688</v>
      </c>
      <c r="W292" s="45" t="str">
        <f t="array" ref="W292">HYPERLINK(INDEX('File Links'!B:B, MATCH(U292, 'File Links'!C:C, 0)))
</f>
        <v>#N/A</v>
      </c>
      <c r="X292" s="75"/>
      <c r="Y292" s="75" t="s">
        <v>1689</v>
      </c>
      <c r="Z292" s="75" t="s">
        <v>1690</v>
      </c>
      <c r="AA292" s="75" t="s">
        <v>1691</v>
      </c>
      <c r="AB292" s="69" t="s">
        <v>1692</v>
      </c>
      <c r="AC292" s="69" t="s">
        <v>1706</v>
      </c>
      <c r="AD292" s="572">
        <v>45637.0</v>
      </c>
      <c r="AE292" s="573">
        <v>908.0</v>
      </c>
      <c r="AF292" s="590">
        <v>0.08</v>
      </c>
      <c r="AG292" s="574" t="s">
        <v>1006</v>
      </c>
      <c r="AH292" s="570" t="s">
        <v>609</v>
      </c>
      <c r="AI292" s="559" t="s">
        <v>165</v>
      </c>
      <c r="AJ292" s="559" t="s">
        <v>165</v>
      </c>
      <c r="AK292" s="72" t="s">
        <v>128</v>
      </c>
      <c r="AL292" s="69" t="s">
        <v>132</v>
      </c>
      <c r="AM292" s="128" t="s">
        <v>165</v>
      </c>
      <c r="AN292" s="573">
        <v>1228.0</v>
      </c>
      <c r="AO292" s="573">
        <v>0.017</v>
      </c>
      <c r="AP292" s="75" t="s">
        <v>1006</v>
      </c>
      <c r="AQ292" s="570">
        <v>10.0</v>
      </c>
      <c r="AR292" s="72" t="s">
        <v>165</v>
      </c>
      <c r="AS292" s="72" t="s">
        <v>165</v>
      </c>
      <c r="AT292" s="87" t="s">
        <v>179</v>
      </c>
      <c r="AU292" s="87" t="s">
        <v>132</v>
      </c>
      <c r="AV292" s="92" t="s">
        <v>1694</v>
      </c>
      <c r="AW292" s="591" t="s">
        <v>134</v>
      </c>
      <c r="AX292" s="115"/>
      <c r="AY292" s="110" t="s">
        <v>135</v>
      </c>
    </row>
    <row r="293" ht="20.25" customHeight="1">
      <c r="A293" s="85" t="s">
        <v>143</v>
      </c>
      <c r="B293" s="577" t="s">
        <v>107</v>
      </c>
      <c r="C293" s="371" t="s">
        <v>1455</v>
      </c>
      <c r="D293" s="209"/>
      <c r="E293" s="381" t="s">
        <v>1680</v>
      </c>
      <c r="F293" s="373" t="s">
        <v>1715</v>
      </c>
      <c r="G293" s="579" t="s">
        <v>1458</v>
      </c>
      <c r="H293" s="580">
        <v>45637.0</v>
      </c>
      <c r="I293" s="581">
        <v>45670.0</v>
      </c>
      <c r="J293" s="376"/>
      <c r="K293" s="568" t="s">
        <v>1683</v>
      </c>
      <c r="L293" s="373" t="s">
        <v>1695</v>
      </c>
      <c r="M293" s="373" t="s">
        <v>1685</v>
      </c>
      <c r="N293" s="568">
        <v>1.0</v>
      </c>
      <c r="O293" s="377" t="str">
        <f t="shared" ref="O293:O297" si="5">SUBSTITUTE(LOWER(M293), "/", "--") &amp;  ".pdf"</f>
        <v>10.1002--pam.21702.pdf</v>
      </c>
      <c r="P293" s="48" t="str">
        <f t="array" ref="P293">HYPERLINK(INDEX('File Links'!B:B, MATCH(O293, 'File Links'!C:C, 0)))
</f>
        <v>https://drive.google.com/file/d/1NxD4srcP8NGAkHA1AWvYHXJLyf_l73EF/view?usp=drivesdk</v>
      </c>
      <c r="Q293" s="570" t="s">
        <v>1686</v>
      </c>
      <c r="R293" s="373" t="s">
        <v>1687</v>
      </c>
      <c r="S293" s="376"/>
      <c r="T293" s="571">
        <v>2.0</v>
      </c>
      <c r="U293" s="373" t="str">
        <f t="shared" ref="U293:U297" si="6">HYPERLINK(VLOOKUP(LOWER(R293),#REF!, 2, FALSE), SUBSTITUTE(LOWER(R293), "/", "--") &amp;  ".pdf")</f>
        <v>10.1111--padm.12860.pdf</v>
      </c>
      <c r="V293" s="378" t="s">
        <v>1696</v>
      </c>
      <c r="W293" s="50" t="str">
        <f t="array" ref="W293">HYPERLINK(INDEX('File Links'!B:B, MATCH(U293, 'File Links'!C:C, 0)))
</f>
        <v>https://drive.google.com/file/d/1Zty8FHdgF4Nqed1S2bjomumBBiyC8Mfz/view?usp=drivesdk</v>
      </c>
      <c r="X293" s="376"/>
      <c r="Y293" s="75" t="s">
        <v>1689</v>
      </c>
      <c r="Z293" s="373" t="s">
        <v>1697</v>
      </c>
      <c r="AA293" s="373" t="s">
        <v>1698</v>
      </c>
      <c r="AB293" s="373" t="s">
        <v>1717</v>
      </c>
      <c r="AC293" s="373" t="s">
        <v>1700</v>
      </c>
      <c r="AD293" s="380">
        <v>10.0</v>
      </c>
      <c r="AE293" s="380">
        <v>908.0</v>
      </c>
      <c r="AF293" s="582">
        <v>-0.903</v>
      </c>
      <c r="AG293" s="379" t="s">
        <v>1006</v>
      </c>
      <c r="AH293" s="570" t="s">
        <v>629</v>
      </c>
      <c r="AI293" s="380">
        <v>0.001</v>
      </c>
      <c r="AJ293" s="372" t="s">
        <v>127</v>
      </c>
      <c r="AK293" s="376" t="s">
        <v>179</v>
      </c>
      <c r="AL293" s="376" t="s">
        <v>132</v>
      </c>
      <c r="AM293" s="128" t="s">
        <v>165</v>
      </c>
      <c r="AN293" s="380">
        <v>1228.0</v>
      </c>
      <c r="AO293" s="440">
        <v>-0.371</v>
      </c>
      <c r="AP293" s="376" t="s">
        <v>1006</v>
      </c>
      <c r="AQ293" s="584">
        <v>9.0</v>
      </c>
      <c r="AR293" s="382">
        <v>0.001</v>
      </c>
      <c r="AS293" s="372" t="s">
        <v>127</v>
      </c>
      <c r="AT293" s="372" t="s">
        <v>179</v>
      </c>
      <c r="AU293" s="372" t="s">
        <v>132</v>
      </c>
      <c r="AV293" s="576" t="s">
        <v>1694</v>
      </c>
      <c r="AW293" s="381" t="s">
        <v>134</v>
      </c>
      <c r="AX293" s="115"/>
      <c r="AY293" s="110" t="s">
        <v>135</v>
      </c>
    </row>
    <row r="294" ht="20.25" customHeight="1">
      <c r="A294" s="85" t="s">
        <v>143</v>
      </c>
      <c r="B294" s="577" t="s">
        <v>107</v>
      </c>
      <c r="C294" s="371" t="s">
        <v>1455</v>
      </c>
      <c r="D294" s="209"/>
      <c r="E294" s="381" t="s">
        <v>1680</v>
      </c>
      <c r="F294" s="373" t="s">
        <v>1718</v>
      </c>
      <c r="G294" s="373" t="s">
        <v>1458</v>
      </c>
      <c r="H294" s="580">
        <v>45637.0</v>
      </c>
      <c r="I294" s="581">
        <v>45670.0</v>
      </c>
      <c r="J294" s="376"/>
      <c r="K294" s="568" t="s">
        <v>1683</v>
      </c>
      <c r="L294" s="373" t="s">
        <v>1695</v>
      </c>
      <c r="M294" s="373" t="s">
        <v>1685</v>
      </c>
      <c r="N294" s="568">
        <v>1.0</v>
      </c>
      <c r="O294" s="377" t="str">
        <f t="shared" si="5"/>
        <v>10.1002--pam.21702.pdf</v>
      </c>
      <c r="P294" s="48" t="str">
        <f t="array" ref="P294">HYPERLINK(INDEX('File Links'!B:B, MATCH(O294, 'File Links'!C:C, 0)))
</f>
        <v>https://drive.google.com/file/d/1NxD4srcP8NGAkHA1AWvYHXJLyf_l73EF/view?usp=drivesdk</v>
      </c>
      <c r="Q294" s="570" t="s">
        <v>1686</v>
      </c>
      <c r="R294" s="373" t="s">
        <v>1687</v>
      </c>
      <c r="S294" s="376"/>
      <c r="T294" s="571">
        <v>2.0</v>
      </c>
      <c r="U294" s="373" t="str">
        <f t="shared" si="6"/>
        <v>10.1111--padm.12860.pdf</v>
      </c>
      <c r="V294" s="378" t="s">
        <v>1696</v>
      </c>
      <c r="W294" s="50" t="str">
        <f t="array" ref="W294">HYPERLINK(INDEX('File Links'!B:B, MATCH(U294, 'File Links'!C:C, 0)))
</f>
        <v>https://drive.google.com/file/d/1Zty8FHdgF4Nqed1S2bjomumBBiyC8Mfz/view?usp=drivesdk</v>
      </c>
      <c r="X294" s="376"/>
      <c r="Y294" s="75" t="s">
        <v>1689</v>
      </c>
      <c r="Z294" s="373" t="s">
        <v>1697</v>
      </c>
      <c r="AA294" s="373" t="s">
        <v>1698</v>
      </c>
      <c r="AB294" s="373" t="s">
        <v>1719</v>
      </c>
      <c r="AC294" s="373" t="s">
        <v>1700</v>
      </c>
      <c r="AD294" s="380">
        <v>10.0</v>
      </c>
      <c r="AE294" s="380">
        <v>908.0</v>
      </c>
      <c r="AF294" s="187">
        <v>1.445</v>
      </c>
      <c r="AG294" s="379" t="s">
        <v>1006</v>
      </c>
      <c r="AH294" s="570" t="s">
        <v>629</v>
      </c>
      <c r="AI294" s="380">
        <v>0.001</v>
      </c>
      <c r="AJ294" s="372" t="s">
        <v>127</v>
      </c>
      <c r="AK294" s="376" t="s">
        <v>179</v>
      </c>
      <c r="AL294" s="376" t="s">
        <v>132</v>
      </c>
      <c r="AM294" s="128" t="s">
        <v>165</v>
      </c>
      <c r="AN294" s="380">
        <v>1228.0</v>
      </c>
      <c r="AO294" s="440">
        <v>3.051</v>
      </c>
      <c r="AP294" s="376" t="s">
        <v>1006</v>
      </c>
      <c r="AQ294" s="584">
        <v>9.0</v>
      </c>
      <c r="AR294" s="382">
        <v>0.001</v>
      </c>
      <c r="AS294" s="372" t="s">
        <v>127</v>
      </c>
      <c r="AT294" s="372" t="s">
        <v>179</v>
      </c>
      <c r="AU294" s="372" t="s">
        <v>132</v>
      </c>
      <c r="AV294" s="576" t="s">
        <v>1694</v>
      </c>
      <c r="AW294" s="381" t="s">
        <v>134</v>
      </c>
      <c r="AX294" s="115"/>
      <c r="AY294" s="110" t="s">
        <v>135</v>
      </c>
    </row>
    <row r="295" ht="20.25" customHeight="1">
      <c r="A295" s="85" t="s">
        <v>143</v>
      </c>
      <c r="B295" s="577" t="s">
        <v>107</v>
      </c>
      <c r="C295" s="371" t="s">
        <v>1455</v>
      </c>
      <c r="D295" s="209"/>
      <c r="E295" s="381" t="s">
        <v>1680</v>
      </c>
      <c r="F295" s="373" t="s">
        <v>1720</v>
      </c>
      <c r="G295" s="373" t="s">
        <v>1458</v>
      </c>
      <c r="H295" s="580">
        <v>45637.0</v>
      </c>
      <c r="I295" s="581">
        <v>45670.0</v>
      </c>
      <c r="J295" s="376"/>
      <c r="K295" s="568" t="s">
        <v>1683</v>
      </c>
      <c r="L295" s="373" t="s">
        <v>1695</v>
      </c>
      <c r="M295" s="373" t="s">
        <v>1685</v>
      </c>
      <c r="N295" s="568">
        <v>1.0</v>
      </c>
      <c r="O295" s="377" t="str">
        <f t="shared" si="5"/>
        <v>10.1002--pam.21702.pdf</v>
      </c>
      <c r="P295" s="48" t="str">
        <f t="array" ref="P295">HYPERLINK(INDEX('File Links'!B:B, MATCH(O295, 'File Links'!C:C, 0)))
</f>
        <v>https://drive.google.com/file/d/1NxD4srcP8NGAkHA1AWvYHXJLyf_l73EF/view?usp=drivesdk</v>
      </c>
      <c r="Q295" s="570" t="s">
        <v>1686</v>
      </c>
      <c r="R295" s="373" t="s">
        <v>1687</v>
      </c>
      <c r="S295" s="376"/>
      <c r="T295" s="571">
        <v>2.0</v>
      </c>
      <c r="U295" s="373" t="str">
        <f t="shared" si="6"/>
        <v>10.1111--padm.12860.pdf</v>
      </c>
      <c r="V295" s="378" t="s">
        <v>1696</v>
      </c>
      <c r="W295" s="50" t="str">
        <f t="array" ref="W295">HYPERLINK(INDEX('File Links'!B:B, MATCH(U295, 'File Links'!C:C, 0)))
</f>
        <v>https://drive.google.com/file/d/1Zty8FHdgF4Nqed1S2bjomumBBiyC8Mfz/view?usp=drivesdk</v>
      </c>
      <c r="X295" s="376"/>
      <c r="Y295" s="75" t="s">
        <v>1689</v>
      </c>
      <c r="Z295" s="373" t="s">
        <v>1697</v>
      </c>
      <c r="AA295" s="373" t="s">
        <v>1698</v>
      </c>
      <c r="AB295" s="373" t="s">
        <v>1721</v>
      </c>
      <c r="AC295" s="373" t="s">
        <v>1700</v>
      </c>
      <c r="AD295" s="380">
        <v>10.0</v>
      </c>
      <c r="AE295" s="380">
        <v>908.0</v>
      </c>
      <c r="AF295" s="117">
        <v>0.354</v>
      </c>
      <c r="AG295" s="379" t="s">
        <v>1006</v>
      </c>
      <c r="AH295" s="570" t="s">
        <v>629</v>
      </c>
      <c r="AI295" s="380">
        <v>0.001</v>
      </c>
      <c r="AJ295" s="372" t="s">
        <v>127</v>
      </c>
      <c r="AK295" s="376" t="s">
        <v>179</v>
      </c>
      <c r="AL295" s="376" t="s">
        <v>132</v>
      </c>
      <c r="AM295" s="128" t="s">
        <v>165</v>
      </c>
      <c r="AN295" s="380">
        <v>1228.0</v>
      </c>
      <c r="AO295" s="512">
        <v>0.39</v>
      </c>
      <c r="AP295" s="376" t="s">
        <v>1006</v>
      </c>
      <c r="AQ295" s="584">
        <v>9.0</v>
      </c>
      <c r="AR295" s="382">
        <v>0.001</v>
      </c>
      <c r="AS295" s="372" t="s">
        <v>127</v>
      </c>
      <c r="AT295" s="372" t="s">
        <v>179</v>
      </c>
      <c r="AU295" s="372" t="s">
        <v>132</v>
      </c>
      <c r="AV295" s="576" t="s">
        <v>1694</v>
      </c>
      <c r="AW295" s="381" t="s">
        <v>134</v>
      </c>
      <c r="AX295" s="115"/>
      <c r="AY295" s="110" t="s">
        <v>135</v>
      </c>
    </row>
    <row r="296" ht="20.25" customHeight="1">
      <c r="A296" s="85" t="s">
        <v>143</v>
      </c>
      <c r="B296" s="577" t="s">
        <v>107</v>
      </c>
      <c r="C296" s="371" t="s">
        <v>1455</v>
      </c>
      <c r="D296" s="209"/>
      <c r="E296" s="381" t="s">
        <v>1680</v>
      </c>
      <c r="F296" s="373" t="s">
        <v>1722</v>
      </c>
      <c r="G296" s="373" t="s">
        <v>1458</v>
      </c>
      <c r="H296" s="580">
        <v>45637.0</v>
      </c>
      <c r="I296" s="581">
        <v>45670.0</v>
      </c>
      <c r="J296" s="376"/>
      <c r="K296" s="568" t="s">
        <v>1683</v>
      </c>
      <c r="L296" s="373" t="s">
        <v>1695</v>
      </c>
      <c r="M296" s="373" t="s">
        <v>1685</v>
      </c>
      <c r="N296" s="568">
        <v>1.0</v>
      </c>
      <c r="O296" s="377" t="str">
        <f t="shared" si="5"/>
        <v>10.1002--pam.21702.pdf</v>
      </c>
      <c r="P296" s="48" t="str">
        <f t="array" ref="P296">HYPERLINK(INDEX('File Links'!B:B, MATCH(O296, 'File Links'!C:C, 0)))
</f>
        <v>https://drive.google.com/file/d/1NxD4srcP8NGAkHA1AWvYHXJLyf_l73EF/view?usp=drivesdk</v>
      </c>
      <c r="Q296" s="570" t="s">
        <v>1686</v>
      </c>
      <c r="R296" s="373" t="s">
        <v>1687</v>
      </c>
      <c r="S296" s="376"/>
      <c r="T296" s="571">
        <v>2.0</v>
      </c>
      <c r="U296" s="373" t="str">
        <f t="shared" si="6"/>
        <v>10.1111--padm.12860.pdf</v>
      </c>
      <c r="V296" s="378" t="s">
        <v>1696</v>
      </c>
      <c r="W296" s="50" t="str">
        <f t="array" ref="W296">HYPERLINK(INDEX('File Links'!B:B, MATCH(U296, 'File Links'!C:C, 0)))
</f>
        <v>https://drive.google.com/file/d/1Zty8FHdgF4Nqed1S2bjomumBBiyC8Mfz/view?usp=drivesdk</v>
      </c>
      <c r="X296" s="376"/>
      <c r="Y296" s="75" t="s">
        <v>1689</v>
      </c>
      <c r="Z296" s="373" t="s">
        <v>1697</v>
      </c>
      <c r="AA296" s="373" t="s">
        <v>1698</v>
      </c>
      <c r="AB296" s="373" t="s">
        <v>1723</v>
      </c>
      <c r="AC296" s="373" t="s">
        <v>1700</v>
      </c>
      <c r="AD296" s="380">
        <v>10.0</v>
      </c>
      <c r="AE296" s="380">
        <v>908.0</v>
      </c>
      <c r="AF296" s="592">
        <v>0.583</v>
      </c>
      <c r="AG296" s="379" t="s">
        <v>1006</v>
      </c>
      <c r="AH296" s="570" t="s">
        <v>629</v>
      </c>
      <c r="AI296" s="380">
        <v>0.001</v>
      </c>
      <c r="AJ296" s="372" t="s">
        <v>127</v>
      </c>
      <c r="AK296" s="376" t="s">
        <v>179</v>
      </c>
      <c r="AL296" s="376" t="s">
        <v>132</v>
      </c>
      <c r="AM296" s="128" t="s">
        <v>165</v>
      </c>
      <c r="AN296" s="380">
        <v>1228.0</v>
      </c>
      <c r="AO296" s="512">
        <v>1.243</v>
      </c>
      <c r="AP296" s="376" t="s">
        <v>1006</v>
      </c>
      <c r="AQ296" s="584">
        <v>9.0</v>
      </c>
      <c r="AR296" s="382">
        <v>0.001</v>
      </c>
      <c r="AS296" s="372" t="s">
        <v>127</v>
      </c>
      <c r="AT296" s="372" t="s">
        <v>179</v>
      </c>
      <c r="AU296" s="372" t="s">
        <v>132</v>
      </c>
      <c r="AV296" s="576" t="s">
        <v>1694</v>
      </c>
      <c r="AW296" s="381" t="s">
        <v>134</v>
      </c>
      <c r="AX296" s="115"/>
      <c r="AY296" s="110" t="s">
        <v>135</v>
      </c>
    </row>
    <row r="297" ht="20.25" customHeight="1">
      <c r="A297" s="85" t="s">
        <v>143</v>
      </c>
      <c r="B297" s="577" t="s">
        <v>107</v>
      </c>
      <c r="C297" s="371" t="s">
        <v>1455</v>
      </c>
      <c r="D297" s="209"/>
      <c r="E297" s="381" t="s">
        <v>1680</v>
      </c>
      <c r="F297" s="373" t="s">
        <v>1724</v>
      </c>
      <c r="G297" s="373" t="s">
        <v>1458</v>
      </c>
      <c r="H297" s="580">
        <v>45637.0</v>
      </c>
      <c r="I297" s="581">
        <v>45670.0</v>
      </c>
      <c r="J297" s="376"/>
      <c r="K297" s="568" t="s">
        <v>1683</v>
      </c>
      <c r="L297" s="373" t="s">
        <v>1695</v>
      </c>
      <c r="M297" s="373" t="s">
        <v>1685</v>
      </c>
      <c r="N297" s="568">
        <v>1.0</v>
      </c>
      <c r="O297" s="377" t="str">
        <f t="shared" si="5"/>
        <v>10.1002--pam.21702.pdf</v>
      </c>
      <c r="P297" s="48" t="str">
        <f t="array" ref="P297">HYPERLINK(INDEX('File Links'!B:B, MATCH(O297, 'File Links'!C:C, 0)))
</f>
        <v>https://drive.google.com/file/d/1NxD4srcP8NGAkHA1AWvYHXJLyf_l73EF/view?usp=drivesdk</v>
      </c>
      <c r="Q297" s="570" t="s">
        <v>1686</v>
      </c>
      <c r="R297" s="373" t="s">
        <v>1687</v>
      </c>
      <c r="S297" s="376"/>
      <c r="T297" s="571">
        <v>2.0</v>
      </c>
      <c r="U297" s="373" t="str">
        <f t="shared" si="6"/>
        <v>10.1111--padm.12860.pdf</v>
      </c>
      <c r="V297" s="378" t="s">
        <v>1696</v>
      </c>
      <c r="W297" s="50" t="str">
        <f t="array" ref="W297">HYPERLINK(INDEX('File Links'!B:B, MATCH(U297, 'File Links'!C:C, 0)))
</f>
        <v>https://drive.google.com/file/d/1Zty8FHdgF4Nqed1S2bjomumBBiyC8Mfz/view?usp=drivesdk</v>
      </c>
      <c r="X297" s="376"/>
      <c r="Y297" s="75" t="s">
        <v>1689</v>
      </c>
      <c r="Z297" s="373" t="s">
        <v>1697</v>
      </c>
      <c r="AA297" s="373" t="s">
        <v>1698</v>
      </c>
      <c r="AB297" s="373" t="s">
        <v>1725</v>
      </c>
      <c r="AC297" s="373" t="s">
        <v>1700</v>
      </c>
      <c r="AD297" s="380">
        <v>10.0</v>
      </c>
      <c r="AE297" s="380">
        <v>908.0</v>
      </c>
      <c r="AF297" s="512">
        <v>0.314</v>
      </c>
      <c r="AG297" s="379" t="s">
        <v>1006</v>
      </c>
      <c r="AH297" s="570" t="s">
        <v>629</v>
      </c>
      <c r="AI297" s="380">
        <v>0.001</v>
      </c>
      <c r="AJ297" s="372" t="s">
        <v>127</v>
      </c>
      <c r="AK297" s="376" t="s">
        <v>179</v>
      </c>
      <c r="AL297" s="376" t="s">
        <v>132</v>
      </c>
      <c r="AM297" s="128" t="s">
        <v>165</v>
      </c>
      <c r="AN297" s="380">
        <v>1228.0</v>
      </c>
      <c r="AO297" s="512">
        <v>0.154</v>
      </c>
      <c r="AP297" s="376" t="s">
        <v>1006</v>
      </c>
      <c r="AQ297" s="584">
        <v>9.0</v>
      </c>
      <c r="AR297" s="382">
        <v>0.05</v>
      </c>
      <c r="AS297" s="372" t="s">
        <v>127</v>
      </c>
      <c r="AT297" s="372" t="s">
        <v>179</v>
      </c>
      <c r="AU297" s="372" t="s">
        <v>132</v>
      </c>
      <c r="AV297" s="576" t="s">
        <v>1694</v>
      </c>
      <c r="AW297" s="381" t="s">
        <v>134</v>
      </c>
      <c r="AX297" s="115"/>
      <c r="AY297" s="110" t="s">
        <v>135</v>
      </c>
    </row>
    <row r="298" ht="20.25" customHeight="1">
      <c r="A298" s="136" t="s">
        <v>279</v>
      </c>
      <c r="B298" s="136" t="s">
        <v>107</v>
      </c>
      <c r="C298" s="136" t="s">
        <v>1251</v>
      </c>
      <c r="D298" s="64"/>
      <c r="E298" s="98" t="s">
        <v>1726</v>
      </c>
      <c r="F298" s="99" t="s">
        <v>1727</v>
      </c>
      <c r="G298" s="99" t="s">
        <v>1254</v>
      </c>
      <c r="H298" s="391">
        <v>45433.0</v>
      </c>
      <c r="I298" s="100">
        <v>45641.0</v>
      </c>
      <c r="J298" s="101"/>
      <c r="K298" s="101"/>
      <c r="L298" s="99" t="s">
        <v>1728</v>
      </c>
      <c r="M298" s="99" t="s">
        <v>1729</v>
      </c>
      <c r="N298" s="104">
        <v>1.0</v>
      </c>
      <c r="O298" s="107" t="s">
        <v>1730</v>
      </c>
      <c r="P298" s="48" t="str">
        <f t="array" ref="P298">HYPERLINK(INDEX('File Links'!B:B, MATCH(O298, 'File Links'!C:C, 0)))
</f>
        <v>https://drive.google.com/file/d/14Tmk9XIOQYVh24x1jFR4QedpIbTx_n_e/view?usp=drivesdk</v>
      </c>
      <c r="Q298" s="99" t="s">
        <v>1731</v>
      </c>
      <c r="R298" s="99" t="s">
        <v>165</v>
      </c>
      <c r="S298" s="593" t="s">
        <v>1732</v>
      </c>
      <c r="T298" s="594">
        <v>1.0</v>
      </c>
      <c r="U298" s="99" t="s">
        <v>1733</v>
      </c>
      <c r="V298" s="99" t="s">
        <v>1734</v>
      </c>
      <c r="W298" s="45" t="str">
        <f t="array" ref="W298">HYPERLINK(INDEX('File Links'!B:B, MATCH(U298, 'File Links'!C:C, 0)))
</f>
        <v>#N/A</v>
      </c>
      <c r="X298" s="99"/>
      <c r="Y298" s="99" t="s">
        <v>287</v>
      </c>
      <c r="Z298" s="101"/>
      <c r="AA298" s="99" t="s">
        <v>1735</v>
      </c>
      <c r="AB298" s="99" t="s">
        <v>1736</v>
      </c>
      <c r="AC298" s="99" t="s">
        <v>1737</v>
      </c>
      <c r="AD298" s="104">
        <v>1026.0</v>
      </c>
      <c r="AE298" s="99" t="s">
        <v>1738</v>
      </c>
      <c r="AF298" s="101"/>
      <c r="AG298" s="106"/>
      <c r="AH298" s="101"/>
      <c r="AI298" s="101"/>
      <c r="AJ298" s="98"/>
      <c r="AK298" s="99" t="s">
        <v>179</v>
      </c>
      <c r="AL298" s="101"/>
      <c r="AM298" s="101"/>
      <c r="AN298" s="101"/>
      <c r="AO298" s="101"/>
      <c r="AP298" s="101"/>
      <c r="AQ298" s="101"/>
      <c r="AR298" s="101"/>
      <c r="AS298" s="98"/>
      <c r="AT298" s="98"/>
      <c r="AU298" s="98"/>
      <c r="AV298" s="98"/>
      <c r="AW298" s="98"/>
      <c r="AX298" s="101"/>
      <c r="AY298" s="64"/>
    </row>
    <row r="299" ht="20.25" customHeight="1">
      <c r="A299" s="136" t="s">
        <v>279</v>
      </c>
      <c r="B299" s="136" t="s">
        <v>107</v>
      </c>
      <c r="C299" s="136" t="s">
        <v>280</v>
      </c>
      <c r="D299" s="64"/>
      <c r="E299" s="98" t="s">
        <v>1726</v>
      </c>
      <c r="F299" s="99" t="s">
        <v>1727</v>
      </c>
      <c r="G299" s="108" t="s">
        <v>135</v>
      </c>
      <c r="H299" s="391">
        <v>45433.0</v>
      </c>
      <c r="I299" s="391">
        <v>45634.0</v>
      </c>
      <c r="J299" s="108" t="s">
        <v>1739</v>
      </c>
      <c r="K299" s="98"/>
      <c r="L299" s="395" t="s">
        <v>1740</v>
      </c>
      <c r="M299" s="108" t="s">
        <v>1729</v>
      </c>
      <c r="N299" s="98"/>
      <c r="O299" s="108" t="s">
        <v>1730</v>
      </c>
      <c r="P299" s="48" t="str">
        <f t="array" ref="P299">HYPERLINK(INDEX('File Links'!B:B, MATCH(O299, 'File Links'!C:C, 0)))
</f>
        <v>https://drive.google.com/file/d/14Tmk9XIOQYVh24x1jFR4QedpIbTx_n_e/view?usp=drivesdk</v>
      </c>
      <c r="Q299" s="108" t="s">
        <v>1731</v>
      </c>
      <c r="R299" s="595" t="s">
        <v>1741</v>
      </c>
      <c r="S299" s="98"/>
      <c r="T299" s="98"/>
      <c r="U299" s="108" t="s">
        <v>1742</v>
      </c>
      <c r="V299" s="108" t="s">
        <v>1734</v>
      </c>
      <c r="W299" s="50" t="str">
        <f t="array" ref="W299">HYPERLINK(INDEX('File Links'!B:B, MATCH(U299, 'File Links'!C:C, 0)))
</f>
        <v>https://drive.google.com/file/d/1tRSJ7nCc-S4z9k7Go2ucp_tmetdfTvik/view?usp=drivesdk</v>
      </c>
      <c r="X299" s="98"/>
      <c r="Y299" s="108" t="s">
        <v>287</v>
      </c>
      <c r="Z299" s="98"/>
      <c r="AA299" s="98"/>
      <c r="AB299" s="98"/>
      <c r="AC299" s="98"/>
      <c r="AD299" s="98"/>
      <c r="AE299" s="596"/>
      <c r="AF299" s="98"/>
      <c r="AG299" s="106"/>
      <c r="AH299" s="101"/>
      <c r="AI299" s="101"/>
      <c r="AJ299" s="98"/>
      <c r="AK299" s="101"/>
      <c r="AL299" s="98"/>
      <c r="AM299" s="98"/>
      <c r="AN299" s="98"/>
      <c r="AO299" s="98"/>
      <c r="AP299" s="98"/>
      <c r="AQ299" s="98"/>
      <c r="AR299" s="98"/>
      <c r="AS299" s="98"/>
      <c r="AT299" s="98"/>
      <c r="AU299" s="98"/>
      <c r="AV299" s="98"/>
      <c r="AW299" s="98"/>
      <c r="AX299" s="98"/>
      <c r="AY299" s="64"/>
    </row>
    <row r="300" ht="20.25" customHeight="1">
      <c r="A300" s="316" t="s">
        <v>279</v>
      </c>
      <c r="B300" s="316" t="s">
        <v>107</v>
      </c>
      <c r="C300" s="316" t="s">
        <v>1251</v>
      </c>
      <c r="D300" s="215"/>
      <c r="E300" s="322" t="s">
        <v>1743</v>
      </c>
      <c r="F300" s="386" t="s">
        <v>1744</v>
      </c>
      <c r="G300" s="386" t="s">
        <v>1254</v>
      </c>
      <c r="H300" s="597">
        <v>45433.0</v>
      </c>
      <c r="I300" s="598">
        <v>45641.0</v>
      </c>
      <c r="J300" s="364"/>
      <c r="K300" s="364"/>
      <c r="L300" s="386" t="s">
        <v>1745</v>
      </c>
      <c r="M300" s="386" t="s">
        <v>1746</v>
      </c>
      <c r="O300" s="599" t="s">
        <v>1747</v>
      </c>
      <c r="P300" s="48" t="str">
        <f t="array" ref="P300">HYPERLINK(INDEX('File Links'!B:B, MATCH(O300, 'File Links'!C:C, 0)))
</f>
        <v>https://drive.google.com/file/d/1KC4plXYkIWysGPnao4Tklulvzel2Da4l/view?usp=drivesdk</v>
      </c>
      <c r="Q300" s="386" t="s">
        <v>1748</v>
      </c>
      <c r="R300" s="386"/>
      <c r="S300" s="386"/>
      <c r="T300" s="386"/>
      <c r="U300" s="386" t="s">
        <v>351</v>
      </c>
      <c r="V300" s="364"/>
      <c r="W300" s="45" t="str">
        <f t="array" ref="W300">HYPERLINK(INDEX('File Links'!B:B, MATCH(U300, 'File Links'!C:C, 0)))
</f>
        <v>#N/A</v>
      </c>
      <c r="X300" s="364"/>
      <c r="Y300" s="364"/>
      <c r="Z300" s="364"/>
      <c r="AA300" s="364"/>
      <c r="AB300" s="364"/>
      <c r="AC300" s="364"/>
      <c r="AD300" s="364"/>
      <c r="AE300" s="364"/>
      <c r="AF300" s="364"/>
      <c r="AG300" s="600"/>
      <c r="AH300" s="364"/>
      <c r="AI300" s="364"/>
      <c r="AJ300" s="322"/>
      <c r="AK300" s="364"/>
      <c r="AL300" s="364"/>
      <c r="AM300" s="364"/>
      <c r="AN300" s="364"/>
      <c r="AO300" s="364"/>
      <c r="AP300" s="364"/>
      <c r="AQ300" s="364"/>
      <c r="AR300" s="364"/>
      <c r="AS300" s="322"/>
      <c r="AT300" s="322"/>
      <c r="AU300" s="322"/>
      <c r="AV300" s="322"/>
      <c r="AW300" s="322"/>
      <c r="AX300" s="364"/>
      <c r="AY300" s="215"/>
    </row>
    <row r="301" ht="20.25" customHeight="1">
      <c r="A301" s="316" t="s">
        <v>279</v>
      </c>
      <c r="B301" s="316" t="s">
        <v>107</v>
      </c>
      <c r="C301" s="316" t="s">
        <v>280</v>
      </c>
      <c r="D301" s="215"/>
      <c r="E301" s="322" t="s">
        <v>1743</v>
      </c>
      <c r="F301" s="386" t="s">
        <v>1744</v>
      </c>
      <c r="G301" s="232" t="s">
        <v>135</v>
      </c>
      <c r="H301" s="597">
        <v>45433.0</v>
      </c>
      <c r="I301" s="598">
        <v>45636.0</v>
      </c>
      <c r="J301" s="322" t="s">
        <v>1749</v>
      </c>
      <c r="K301" s="322"/>
      <c r="L301" s="385" t="s">
        <v>1750</v>
      </c>
      <c r="M301" s="232" t="s">
        <v>1746</v>
      </c>
      <c r="N301" s="322"/>
      <c r="O301" s="232" t="s">
        <v>1747</v>
      </c>
      <c r="P301" s="48" t="str">
        <f t="array" ref="P301">HYPERLINK(INDEX('File Links'!B:B, MATCH(O301, 'File Links'!C:C, 0)))
</f>
        <v>https://drive.google.com/file/d/1KC4plXYkIWysGPnao4Tklulvzel2Da4l/view?usp=drivesdk</v>
      </c>
      <c r="Q301" s="232" t="s">
        <v>1751</v>
      </c>
      <c r="R301" s="322"/>
      <c r="S301" s="322"/>
      <c r="T301" s="322"/>
      <c r="U301" s="232" t="s">
        <v>351</v>
      </c>
      <c r="V301" s="322"/>
      <c r="W301" s="45" t="str">
        <f t="array" ref="W301">HYPERLINK(INDEX('File Links'!B:B, MATCH(U301, 'File Links'!C:C, 0)))
</f>
        <v>#N/A</v>
      </c>
      <c r="X301" s="322"/>
      <c r="Y301" s="322"/>
      <c r="Z301" s="322"/>
      <c r="AA301" s="322"/>
      <c r="AB301" s="322"/>
      <c r="AC301" s="322"/>
      <c r="AD301" s="322"/>
      <c r="AE301" s="322"/>
      <c r="AF301" s="322"/>
      <c r="AG301" s="600"/>
      <c r="AH301" s="364"/>
      <c r="AI301" s="364"/>
      <c r="AJ301" s="322"/>
      <c r="AK301" s="364"/>
      <c r="AL301" s="322"/>
      <c r="AM301" s="322"/>
      <c r="AN301" s="322"/>
      <c r="AO301" s="322"/>
      <c r="AP301" s="322"/>
      <c r="AQ301" s="322"/>
      <c r="AR301" s="322"/>
      <c r="AS301" s="322"/>
      <c r="AT301" s="322"/>
      <c r="AU301" s="322"/>
      <c r="AV301" s="322"/>
      <c r="AW301" s="322"/>
      <c r="AX301" s="322"/>
      <c r="AY301" s="215"/>
    </row>
    <row r="302" ht="20.25" customHeight="1">
      <c r="A302" s="316" t="s">
        <v>279</v>
      </c>
      <c r="B302" s="316" t="s">
        <v>107</v>
      </c>
      <c r="C302" s="316" t="s">
        <v>1251</v>
      </c>
      <c r="D302" s="215"/>
      <c r="E302" s="322" t="s">
        <v>1743</v>
      </c>
      <c r="F302" s="386" t="s">
        <v>1752</v>
      </c>
      <c r="G302" s="364"/>
      <c r="H302" s="601"/>
      <c r="I302" s="602"/>
      <c r="J302" s="364"/>
      <c r="K302" s="364"/>
      <c r="L302" s="386" t="s">
        <v>1753</v>
      </c>
      <c r="M302" s="386" t="s">
        <v>1754</v>
      </c>
      <c r="N302" s="368">
        <v>1.0</v>
      </c>
      <c r="O302" s="599" t="s">
        <v>1730</v>
      </c>
      <c r="P302" s="48" t="str">
        <f t="array" ref="P302">HYPERLINK(INDEX('File Links'!B:B, MATCH(O302, 'File Links'!C:C, 0)))
</f>
        <v>https://drive.google.com/file/d/14Tmk9XIOQYVh24x1jFR4QedpIbTx_n_e/view?usp=drivesdk</v>
      </c>
      <c r="Q302" s="386" t="s">
        <v>1731</v>
      </c>
      <c r="R302" s="386" t="s">
        <v>165</v>
      </c>
      <c r="S302" s="603" t="s">
        <v>1755</v>
      </c>
      <c r="T302" s="604">
        <v>1.0</v>
      </c>
      <c r="U302" s="386" t="s">
        <v>1733</v>
      </c>
      <c r="V302" s="386" t="s">
        <v>1734</v>
      </c>
      <c r="W302" s="45" t="str">
        <f t="array" ref="W302">HYPERLINK(INDEX('File Links'!B:B, MATCH(U302, 'File Links'!C:C, 0)))
</f>
        <v>#N/A</v>
      </c>
      <c r="X302" s="386"/>
      <c r="Y302" s="386" t="s">
        <v>287</v>
      </c>
      <c r="Z302" s="364"/>
      <c r="AA302" s="386" t="s">
        <v>1735</v>
      </c>
      <c r="AB302" s="386" t="s">
        <v>1756</v>
      </c>
      <c r="AC302" s="386" t="s">
        <v>1737</v>
      </c>
      <c r="AD302" s="368">
        <v>1026.0</v>
      </c>
      <c r="AE302" s="386" t="s">
        <v>1738</v>
      </c>
      <c r="AF302" s="364"/>
      <c r="AG302" s="600"/>
      <c r="AH302" s="364"/>
      <c r="AI302" s="364"/>
      <c r="AJ302" s="322"/>
      <c r="AK302" s="386" t="s">
        <v>179</v>
      </c>
      <c r="AL302" s="364"/>
      <c r="AM302" s="364"/>
      <c r="AN302" s="364"/>
      <c r="AO302" s="364"/>
      <c r="AP302" s="364"/>
      <c r="AQ302" s="364"/>
      <c r="AR302" s="364"/>
      <c r="AS302" s="322"/>
      <c r="AT302" s="322"/>
      <c r="AU302" s="322"/>
      <c r="AV302" s="322"/>
      <c r="AW302" s="322"/>
      <c r="AX302" s="364"/>
      <c r="AY302" s="215"/>
    </row>
    <row r="303" ht="20.25" customHeight="1">
      <c r="A303" s="316" t="s">
        <v>279</v>
      </c>
      <c r="B303" s="316" t="s">
        <v>107</v>
      </c>
      <c r="C303" s="316" t="s">
        <v>1251</v>
      </c>
      <c r="D303" s="215"/>
      <c r="E303" s="322" t="s">
        <v>1743</v>
      </c>
      <c r="F303" s="386" t="s">
        <v>1757</v>
      </c>
      <c r="G303" s="364"/>
      <c r="H303" s="601"/>
      <c r="I303" s="602"/>
      <c r="J303" s="364"/>
      <c r="K303" s="364"/>
      <c r="L303" s="386" t="s">
        <v>1758</v>
      </c>
      <c r="M303" s="386" t="s">
        <v>1759</v>
      </c>
      <c r="N303" s="368">
        <v>1.0</v>
      </c>
      <c r="O303" s="599" t="s">
        <v>1730</v>
      </c>
      <c r="P303" s="48" t="str">
        <f t="array" ref="P303">HYPERLINK(INDEX('File Links'!B:B, MATCH(O303, 'File Links'!C:C, 0)))
</f>
        <v>https://drive.google.com/file/d/14Tmk9XIOQYVh24x1jFR4QedpIbTx_n_e/view?usp=drivesdk</v>
      </c>
      <c r="Q303" s="386" t="s">
        <v>1731</v>
      </c>
      <c r="R303" s="386" t="s">
        <v>165</v>
      </c>
      <c r="S303" s="603" t="s">
        <v>1760</v>
      </c>
      <c r="T303" s="604">
        <v>1.0</v>
      </c>
      <c r="U303" s="386" t="s">
        <v>1733</v>
      </c>
      <c r="V303" s="386" t="s">
        <v>1734</v>
      </c>
      <c r="W303" s="45" t="str">
        <f t="array" ref="W303">HYPERLINK(INDEX('File Links'!B:B, MATCH(U303, 'File Links'!C:C, 0)))
</f>
        <v>#N/A</v>
      </c>
      <c r="X303" s="386"/>
      <c r="Y303" s="386" t="s">
        <v>287</v>
      </c>
      <c r="Z303" s="364"/>
      <c r="AA303" s="386" t="s">
        <v>1735</v>
      </c>
      <c r="AB303" s="386" t="s">
        <v>1761</v>
      </c>
      <c r="AC303" s="386" t="s">
        <v>1762</v>
      </c>
      <c r="AD303" s="368">
        <v>1026.0</v>
      </c>
      <c r="AE303" s="386" t="s">
        <v>1738</v>
      </c>
      <c r="AF303" s="364"/>
      <c r="AG303" s="600"/>
      <c r="AH303" s="364"/>
      <c r="AI303" s="364"/>
      <c r="AJ303" s="322"/>
      <c r="AK303" s="386" t="s">
        <v>179</v>
      </c>
      <c r="AL303" s="364"/>
      <c r="AM303" s="364"/>
      <c r="AN303" s="386" t="s">
        <v>1763</v>
      </c>
      <c r="AO303" s="364"/>
      <c r="AP303" s="364"/>
      <c r="AQ303" s="386" t="s">
        <v>165</v>
      </c>
      <c r="AR303" s="368">
        <v>0.001</v>
      </c>
      <c r="AS303" s="232" t="s">
        <v>127</v>
      </c>
      <c r="AT303" s="232" t="s">
        <v>179</v>
      </c>
      <c r="AU303" s="322" t="s">
        <v>129</v>
      </c>
      <c r="AV303" s="322"/>
      <c r="AW303" s="322"/>
      <c r="AX303" s="364"/>
      <c r="AY303" s="215"/>
    </row>
    <row r="304" ht="20.25" customHeight="1">
      <c r="A304" s="441" t="s">
        <v>106</v>
      </c>
      <c r="B304" s="441" t="s">
        <v>107</v>
      </c>
      <c r="C304" s="110" t="s">
        <v>1455</v>
      </c>
      <c r="D304" s="95"/>
      <c r="E304" s="127" t="s">
        <v>1764</v>
      </c>
      <c r="F304" s="112" t="s">
        <v>1765</v>
      </c>
      <c r="G304" s="112" t="s">
        <v>1548</v>
      </c>
      <c r="H304" s="502">
        <v>45638.0</v>
      </c>
      <c r="I304" s="503">
        <v>45670.0</v>
      </c>
      <c r="J304" s="112" t="s">
        <v>1766</v>
      </c>
      <c r="K304" s="112" t="s">
        <v>1767</v>
      </c>
      <c r="L304" s="112" t="s">
        <v>1768</v>
      </c>
      <c r="M304" s="112" t="s">
        <v>1769</v>
      </c>
      <c r="N304" s="119"/>
      <c r="O304" s="212" t="str">
        <f>SUBSTITUTE(LOWER(M304), "/", "--") &amp;  ".pdf"</f>
        <v>10.1016--j.jpsychires.2008.07.004.pdf</v>
      </c>
      <c r="P304" s="48" t="str">
        <f t="array" ref="P304">HYPERLINK(INDEX('File Links'!B:B, MATCH(O304, 'File Links'!C:C, 0)))
</f>
        <v>https://drive.google.com/file/d/1gOWd02cezb5MHlIvhprXv-TgaFt5Ij8f/view?usp=drivesdk</v>
      </c>
      <c r="Q304" s="112" t="s">
        <v>1770</v>
      </c>
      <c r="R304" s="112" t="s">
        <v>1771</v>
      </c>
      <c r="S304" s="119"/>
      <c r="T304" s="311"/>
      <c r="U304" s="112" t="str">
        <f>HYPERLINK(VLOOKUP(LOWER(R304),#REF!, 2, FALSE), SUBSTITUTE(LOWER(R304), "/", "--") &amp;  ".pdf")</f>
        <v>10.31234--osf.io--cf4xz.pdf</v>
      </c>
      <c r="V304" s="112" t="s">
        <v>1772</v>
      </c>
      <c r="W304" s="45" t="str">
        <f t="array" ref="W304">HYPERLINK(INDEX('File Links'!B:B, MATCH(U304, 'File Links'!C:C, 0)))
</f>
        <v>#N/A</v>
      </c>
      <c r="X304" s="119"/>
      <c r="Y304" s="112" t="s">
        <v>139</v>
      </c>
      <c r="Z304" s="112" t="s">
        <v>1773</v>
      </c>
      <c r="AA304" s="112" t="s">
        <v>1774</v>
      </c>
      <c r="AB304" s="112" t="s">
        <v>1775</v>
      </c>
      <c r="AC304" s="112" t="s">
        <v>1776</v>
      </c>
      <c r="AD304" s="117">
        <v>5.0</v>
      </c>
      <c r="AE304" s="117">
        <v>17.0</v>
      </c>
      <c r="AF304" s="313">
        <v>0.52</v>
      </c>
      <c r="AG304" s="311" t="s">
        <v>130</v>
      </c>
      <c r="AH304" s="119"/>
      <c r="AI304" s="117">
        <v>0.001</v>
      </c>
      <c r="AJ304" s="111" t="s">
        <v>164</v>
      </c>
      <c r="AK304" s="119" t="s">
        <v>179</v>
      </c>
      <c r="AL304" s="119" t="s">
        <v>132</v>
      </c>
      <c r="AM304" s="119"/>
      <c r="AN304" s="119"/>
      <c r="AO304" s="119"/>
      <c r="AP304" s="119"/>
      <c r="AQ304" s="119"/>
      <c r="AR304" s="119"/>
      <c r="AS304" s="111"/>
      <c r="AT304" s="111"/>
      <c r="AU304" s="111"/>
      <c r="AV304" s="605" t="s">
        <v>1777</v>
      </c>
      <c r="AW304" s="606" t="s">
        <v>134</v>
      </c>
      <c r="AX304" s="52"/>
      <c r="AY304" s="110" t="s">
        <v>135</v>
      </c>
    </row>
    <row r="305" ht="20.25" customHeight="1">
      <c r="A305" s="441" t="s">
        <v>106</v>
      </c>
      <c r="B305" s="136" t="s">
        <v>107</v>
      </c>
      <c r="C305" s="136" t="s">
        <v>1471</v>
      </c>
      <c r="D305" s="64"/>
      <c r="E305" s="108" t="s">
        <v>1764</v>
      </c>
      <c r="F305" s="99" t="s">
        <v>1765</v>
      </c>
      <c r="G305" s="99" t="s">
        <v>1530</v>
      </c>
      <c r="H305" s="100">
        <v>45640.0</v>
      </c>
      <c r="I305" s="503">
        <v>45670.0</v>
      </c>
      <c r="J305" s="99" t="s">
        <v>1778</v>
      </c>
      <c r="K305" s="99" t="s">
        <v>1767</v>
      </c>
      <c r="L305" s="99" t="s">
        <v>1768</v>
      </c>
      <c r="M305" s="99" t="s">
        <v>1769</v>
      </c>
      <c r="N305" s="101"/>
      <c r="O305" s="107" t="str">
        <f> SUBSTITUTE(lower(M305), "/", "--") &amp;  ".pdf"</f>
        <v>10.1016--j.jpsychires.2008.07.004.pdf</v>
      </c>
      <c r="P305" s="48" t="str">
        <f t="array" ref="P305">HYPERLINK(INDEX('File Links'!B:B, MATCH(O305, 'File Links'!C:C, 0)))
</f>
        <v>https://drive.google.com/file/d/1gOWd02cezb5MHlIvhprXv-TgaFt5Ij8f/view?usp=drivesdk</v>
      </c>
      <c r="Q305" s="392" t="s">
        <v>1779</v>
      </c>
      <c r="R305" s="392" t="s">
        <v>1771</v>
      </c>
      <c r="S305" s="101"/>
      <c r="T305" s="106"/>
      <c r="U305" s="99" t="str">
        <f> hyperlink(vlookup(lower(R305),#REF!, 2, FALSE), SUBSTITUTE(lower(R305), "/", "--") &amp;  ".pdf")</f>
        <v>10.31234--osf.io--cf4xz.pdf</v>
      </c>
      <c r="V305" s="99" t="s">
        <v>1780</v>
      </c>
      <c r="W305" s="45" t="str">
        <f t="array" ref="W305">HYPERLINK(INDEX('File Links'!B:B, MATCH(U305, 'File Links'!C:C, 0)))
</f>
        <v>#N/A</v>
      </c>
      <c r="X305" s="101"/>
      <c r="Y305" s="101" t="s">
        <v>501</v>
      </c>
      <c r="Z305" s="99" t="s">
        <v>1781</v>
      </c>
      <c r="AA305" s="101" t="s">
        <v>1782</v>
      </c>
      <c r="AB305" s="99" t="s">
        <v>1783</v>
      </c>
      <c r="AC305" s="99" t="s">
        <v>1784</v>
      </c>
      <c r="AD305" s="607">
        <v>45416.0</v>
      </c>
      <c r="AE305" s="104">
        <v>17.0</v>
      </c>
      <c r="AF305" s="104">
        <v>0.52</v>
      </c>
      <c r="AG305" s="106" t="s">
        <v>1785</v>
      </c>
      <c r="AH305" s="99" t="s">
        <v>894</v>
      </c>
      <c r="AI305" s="104">
        <v>0.001</v>
      </c>
      <c r="AJ305" s="98" t="s">
        <v>164</v>
      </c>
      <c r="AK305" s="101" t="s">
        <v>179</v>
      </c>
      <c r="AL305" s="99" t="s">
        <v>132</v>
      </c>
      <c r="AM305" s="101"/>
      <c r="AN305" s="101"/>
      <c r="AO305" s="101"/>
      <c r="AP305" s="101"/>
      <c r="AQ305" s="101"/>
      <c r="AR305" s="101"/>
      <c r="AS305" s="98"/>
      <c r="AT305" s="98"/>
      <c r="AU305" s="98"/>
      <c r="AV305" s="608" t="s">
        <v>1786</v>
      </c>
      <c r="AW305" s="609" t="s">
        <v>134</v>
      </c>
      <c r="AX305" s="52"/>
      <c r="AY305" s="110" t="s">
        <v>135</v>
      </c>
    </row>
    <row r="306" ht="20.25" customHeight="1">
      <c r="A306" s="441" t="s">
        <v>106</v>
      </c>
      <c r="B306" s="441" t="s">
        <v>107</v>
      </c>
      <c r="C306" s="110" t="s">
        <v>1455</v>
      </c>
      <c r="D306" s="95"/>
      <c r="E306" s="108" t="s">
        <v>1764</v>
      </c>
      <c r="F306" s="112" t="s">
        <v>1787</v>
      </c>
      <c r="G306" s="112" t="s">
        <v>1458</v>
      </c>
      <c r="H306" s="502">
        <v>45638.0</v>
      </c>
      <c r="I306" s="503">
        <v>45670.0</v>
      </c>
      <c r="J306" s="112" t="s">
        <v>1766</v>
      </c>
      <c r="K306" s="112" t="s">
        <v>1767</v>
      </c>
      <c r="L306" s="112" t="s">
        <v>1768</v>
      </c>
      <c r="M306" s="112" t="s">
        <v>1769</v>
      </c>
      <c r="N306" s="119"/>
      <c r="O306" s="212" t="str">
        <f>SUBSTITUTE(LOWER(M306), "/", "--") &amp;  ".pdf"</f>
        <v>10.1016--j.jpsychires.2008.07.004.pdf</v>
      </c>
      <c r="P306" s="48" t="str">
        <f t="array" ref="P306">HYPERLINK(INDEX('File Links'!B:B, MATCH(O306, 'File Links'!C:C, 0)))
</f>
        <v>https://drive.google.com/file/d/1gOWd02cezb5MHlIvhprXv-TgaFt5Ij8f/view?usp=drivesdk</v>
      </c>
      <c r="Q306" s="112" t="s">
        <v>1770</v>
      </c>
      <c r="R306" s="112" t="s">
        <v>1771</v>
      </c>
      <c r="S306" s="119"/>
      <c r="T306" s="311"/>
      <c r="U306" s="112" t="str">
        <f>HYPERLINK(VLOOKUP(LOWER(R306),#REF!, 2, FALSE), SUBSTITUTE(LOWER(R306), "/", "--") &amp;  ".pdf")</f>
        <v>10.31234--osf.io--cf4xz.pdf</v>
      </c>
      <c r="V306" s="112" t="s">
        <v>1772</v>
      </c>
      <c r="W306" s="45" t="str">
        <f t="array" ref="W306">HYPERLINK(INDEX('File Links'!B:B, MATCH(U306, 'File Links'!C:C, 0)))
</f>
        <v>#N/A</v>
      </c>
      <c r="X306" s="119"/>
      <c r="Y306" s="112" t="s">
        <v>139</v>
      </c>
      <c r="Z306" s="112" t="s">
        <v>1773</v>
      </c>
      <c r="AA306" s="112" t="s">
        <v>1774</v>
      </c>
      <c r="AB306" s="112" t="s">
        <v>1788</v>
      </c>
      <c r="AC306" s="112" t="s">
        <v>1789</v>
      </c>
      <c r="AD306" s="117">
        <v>5.0</v>
      </c>
      <c r="AE306" s="117">
        <v>17.0</v>
      </c>
      <c r="AF306" s="117">
        <v>0.31</v>
      </c>
      <c r="AG306" s="311" t="s">
        <v>130</v>
      </c>
      <c r="AH306" s="119"/>
      <c r="AI306" s="117">
        <v>0.21</v>
      </c>
      <c r="AJ306" s="111" t="s">
        <v>164</v>
      </c>
      <c r="AK306" s="119" t="s">
        <v>179</v>
      </c>
      <c r="AL306" s="119" t="s">
        <v>132</v>
      </c>
      <c r="AM306" s="119"/>
      <c r="AN306" s="119"/>
      <c r="AO306" s="119"/>
      <c r="AP306" s="119"/>
      <c r="AQ306" s="119"/>
      <c r="AR306" s="119"/>
      <c r="AS306" s="111"/>
      <c r="AT306" s="111"/>
      <c r="AU306" s="111"/>
      <c r="AV306" s="605" t="s">
        <v>1777</v>
      </c>
      <c r="AW306" s="127" t="s">
        <v>134</v>
      </c>
      <c r="AX306" s="52"/>
      <c r="AY306" s="110" t="s">
        <v>135</v>
      </c>
    </row>
    <row r="307" ht="20.25" customHeight="1">
      <c r="A307" s="441" t="s">
        <v>106</v>
      </c>
      <c r="B307" s="136" t="s">
        <v>107</v>
      </c>
      <c r="C307" s="136" t="s">
        <v>1471</v>
      </c>
      <c r="D307" s="64"/>
      <c r="E307" s="108" t="s">
        <v>1764</v>
      </c>
      <c r="F307" s="99" t="s">
        <v>1787</v>
      </c>
      <c r="G307" s="99" t="s">
        <v>1530</v>
      </c>
      <c r="H307" s="610">
        <v>45640.0</v>
      </c>
      <c r="I307" s="503">
        <v>45670.0</v>
      </c>
      <c r="J307" s="99" t="s">
        <v>1778</v>
      </c>
      <c r="K307" s="99" t="s">
        <v>1767</v>
      </c>
      <c r="L307" s="99" t="s">
        <v>1790</v>
      </c>
      <c r="M307" s="99" t="s">
        <v>1769</v>
      </c>
      <c r="N307" s="101"/>
      <c r="O307" s="107" t="str">
        <f> SUBSTITUTE(lower(M307), "/", "--") &amp;  ".pdf"</f>
        <v>10.1016--j.jpsychires.2008.07.004.pdf</v>
      </c>
      <c r="P307" s="48" t="str">
        <f t="array" ref="P307">HYPERLINK(INDEX('File Links'!B:B, MATCH(O307, 'File Links'!C:C, 0)))
</f>
        <v>https://drive.google.com/file/d/1gOWd02cezb5MHlIvhprXv-TgaFt5Ij8f/view?usp=drivesdk</v>
      </c>
      <c r="Q307" s="392" t="s">
        <v>1791</v>
      </c>
      <c r="R307" s="392" t="s">
        <v>1771</v>
      </c>
      <c r="S307" s="101"/>
      <c r="T307" s="106"/>
      <c r="U307" s="99" t="str">
        <f> hyperlink(vlookup(lower(R307),#REF!, 2, FALSE), SUBSTITUTE(lower(R307), "/", "--") &amp;  ".pdf")</f>
        <v>10.31234--osf.io--cf4xz.pdf</v>
      </c>
      <c r="V307" s="99" t="s">
        <v>1780</v>
      </c>
      <c r="W307" s="45" t="str">
        <f t="array" ref="W307">HYPERLINK(INDEX('File Links'!B:B, MATCH(U307, 'File Links'!C:C, 0)))
</f>
        <v>#N/A</v>
      </c>
      <c r="X307" s="101"/>
      <c r="Y307" s="101" t="s">
        <v>1792</v>
      </c>
      <c r="Z307" s="99" t="s">
        <v>1781</v>
      </c>
      <c r="AA307" s="101" t="s">
        <v>1782</v>
      </c>
      <c r="AB307" s="99" t="s">
        <v>1783</v>
      </c>
      <c r="AC307" s="99" t="s">
        <v>1793</v>
      </c>
      <c r="AD307" s="104">
        <v>5.0</v>
      </c>
      <c r="AE307" s="104">
        <v>17.0</v>
      </c>
      <c r="AF307" s="104">
        <v>0.31</v>
      </c>
      <c r="AG307" s="106" t="s">
        <v>1785</v>
      </c>
      <c r="AH307" s="99" t="s">
        <v>894</v>
      </c>
      <c r="AI307" s="104">
        <v>0.021</v>
      </c>
      <c r="AJ307" s="98" t="s">
        <v>164</v>
      </c>
      <c r="AK307" s="101" t="s">
        <v>179</v>
      </c>
      <c r="AL307" s="99" t="s">
        <v>132</v>
      </c>
      <c r="AM307" s="101"/>
      <c r="AN307" s="101"/>
      <c r="AO307" s="101"/>
      <c r="AP307" s="101"/>
      <c r="AQ307" s="101"/>
      <c r="AR307" s="101"/>
      <c r="AS307" s="98"/>
      <c r="AT307" s="98"/>
      <c r="AU307" s="98"/>
      <c r="AV307" s="608" t="s">
        <v>1786</v>
      </c>
      <c r="AW307" s="609" t="s">
        <v>134</v>
      </c>
      <c r="AX307" s="52"/>
      <c r="AY307" s="110" t="s">
        <v>135</v>
      </c>
    </row>
    <row r="308" ht="20.25" customHeight="1">
      <c r="A308" s="441" t="s">
        <v>106</v>
      </c>
      <c r="B308" s="441" t="s">
        <v>107</v>
      </c>
      <c r="C308" s="110" t="s">
        <v>1455</v>
      </c>
      <c r="D308" s="95"/>
      <c r="E308" s="108" t="s">
        <v>1764</v>
      </c>
      <c r="F308" s="112" t="s">
        <v>1794</v>
      </c>
      <c r="G308" s="112" t="s">
        <v>1458</v>
      </c>
      <c r="H308" s="502">
        <v>45638.0</v>
      </c>
      <c r="I308" s="503">
        <v>45670.0</v>
      </c>
      <c r="J308" s="112" t="s">
        <v>1766</v>
      </c>
      <c r="K308" s="112" t="s">
        <v>1767</v>
      </c>
      <c r="L308" s="112" t="s">
        <v>1768</v>
      </c>
      <c r="M308" s="112" t="s">
        <v>1769</v>
      </c>
      <c r="N308" s="119"/>
      <c r="O308" s="212" t="str">
        <f>SUBSTITUTE(LOWER(M308), "/", "--") &amp;  ".pdf"</f>
        <v>10.1016--j.jpsychires.2008.07.004.pdf</v>
      </c>
      <c r="P308" s="48" t="str">
        <f t="array" ref="P308">HYPERLINK(INDEX('File Links'!B:B, MATCH(O308, 'File Links'!C:C, 0)))
</f>
        <v>https://drive.google.com/file/d/1gOWd02cezb5MHlIvhprXv-TgaFt5Ij8f/view?usp=drivesdk</v>
      </c>
      <c r="Q308" s="112" t="s">
        <v>1770</v>
      </c>
      <c r="R308" s="112" t="s">
        <v>1771</v>
      </c>
      <c r="S308" s="119"/>
      <c r="T308" s="311"/>
      <c r="U308" s="112" t="str">
        <f>HYPERLINK(VLOOKUP(LOWER(R308),#REF!, 2, FALSE), SUBSTITUTE(LOWER(R308), "/", "--") &amp;  ".pdf")</f>
        <v>10.31234--osf.io--cf4xz.pdf</v>
      </c>
      <c r="V308" s="112" t="s">
        <v>1772</v>
      </c>
      <c r="W308" s="45" t="str">
        <f t="array" ref="W308">HYPERLINK(INDEX('File Links'!B:B, MATCH(U308, 'File Links'!C:C, 0)))
</f>
        <v>#N/A</v>
      </c>
      <c r="X308" s="119"/>
      <c r="Y308" s="112" t="s">
        <v>139</v>
      </c>
      <c r="Z308" s="112" t="s">
        <v>1773</v>
      </c>
      <c r="AA308" s="112" t="s">
        <v>1774</v>
      </c>
      <c r="AB308" s="112" t="s">
        <v>1795</v>
      </c>
      <c r="AC308" s="112" t="s">
        <v>1796</v>
      </c>
      <c r="AD308" s="117">
        <v>5.0</v>
      </c>
      <c r="AE308" s="117">
        <v>17.0</v>
      </c>
      <c r="AF308" s="117">
        <v>0.39</v>
      </c>
      <c r="AG308" s="311" t="s">
        <v>130</v>
      </c>
      <c r="AH308" s="119"/>
      <c r="AI308" s="117">
        <v>0.001</v>
      </c>
      <c r="AJ308" s="111" t="s">
        <v>164</v>
      </c>
      <c r="AK308" s="119" t="s">
        <v>179</v>
      </c>
      <c r="AL308" s="119" t="s">
        <v>132</v>
      </c>
      <c r="AM308" s="119"/>
      <c r="AN308" s="119"/>
      <c r="AO308" s="119"/>
      <c r="AP308" s="119"/>
      <c r="AQ308" s="119"/>
      <c r="AR308" s="119"/>
      <c r="AS308" s="111"/>
      <c r="AT308" s="111"/>
      <c r="AU308" s="111"/>
      <c r="AV308" s="605" t="s">
        <v>1777</v>
      </c>
      <c r="AW308" s="127" t="s">
        <v>134</v>
      </c>
      <c r="AX308" s="52"/>
      <c r="AY308" s="110" t="s">
        <v>135</v>
      </c>
    </row>
    <row r="309" ht="20.25" customHeight="1">
      <c r="A309" s="441" t="s">
        <v>106</v>
      </c>
      <c r="B309" s="136" t="s">
        <v>107</v>
      </c>
      <c r="C309" s="136" t="s">
        <v>1471</v>
      </c>
      <c r="D309" s="64"/>
      <c r="E309" s="108" t="s">
        <v>1764</v>
      </c>
      <c r="F309" s="99" t="s">
        <v>1794</v>
      </c>
      <c r="G309" s="99" t="s">
        <v>1530</v>
      </c>
      <c r="H309" s="610">
        <v>45640.0</v>
      </c>
      <c r="I309" s="503">
        <v>45670.0</v>
      </c>
      <c r="J309" s="99" t="s">
        <v>1797</v>
      </c>
      <c r="K309" s="99" t="s">
        <v>1767</v>
      </c>
      <c r="L309" s="99" t="s">
        <v>1798</v>
      </c>
      <c r="M309" s="99" t="s">
        <v>1769</v>
      </c>
      <c r="N309" s="101"/>
      <c r="O309" s="107" t="str">
        <f> SUBSTITUTE(lower(M309), "/", "--") &amp;  ".pdf"</f>
        <v>10.1016--j.jpsychires.2008.07.004.pdf</v>
      </c>
      <c r="P309" s="48" t="str">
        <f t="array" ref="P309">HYPERLINK(INDEX('File Links'!B:B, MATCH(O309, 'File Links'!C:C, 0)))
</f>
        <v>https://drive.google.com/file/d/1gOWd02cezb5MHlIvhprXv-TgaFt5Ij8f/view?usp=drivesdk</v>
      </c>
      <c r="Q309" s="392" t="s">
        <v>1799</v>
      </c>
      <c r="R309" s="392" t="s">
        <v>1771</v>
      </c>
      <c r="S309" s="101"/>
      <c r="T309" s="106"/>
      <c r="U309" s="99" t="str">
        <f> hyperlink(vlookup(lower(R309),#REF!, 2, FALSE), SUBSTITUTE(lower(R309), "/", "--") &amp;  ".pdf")</f>
        <v>10.31234--osf.io--cf4xz.pdf</v>
      </c>
      <c r="V309" s="99" t="s">
        <v>1780</v>
      </c>
      <c r="W309" s="45" t="str">
        <f t="array" ref="W309">HYPERLINK(INDEX('File Links'!B:B, MATCH(U309, 'File Links'!C:C, 0)))
</f>
        <v>#N/A</v>
      </c>
      <c r="X309" s="101"/>
      <c r="Y309" s="101" t="s">
        <v>1792</v>
      </c>
      <c r="Z309" s="99" t="s">
        <v>1781</v>
      </c>
      <c r="AA309" s="101" t="s">
        <v>1782</v>
      </c>
      <c r="AB309" s="99" t="s">
        <v>1783</v>
      </c>
      <c r="AC309" s="611" t="s">
        <v>1800</v>
      </c>
      <c r="AD309" s="104">
        <v>5.0</v>
      </c>
      <c r="AE309" s="104">
        <v>23.0</v>
      </c>
      <c r="AF309" s="104">
        <v>0.39</v>
      </c>
      <c r="AG309" s="106" t="s">
        <v>1785</v>
      </c>
      <c r="AH309" s="99" t="s">
        <v>894</v>
      </c>
      <c r="AI309" s="104">
        <v>0.001</v>
      </c>
      <c r="AJ309" s="98" t="s">
        <v>164</v>
      </c>
      <c r="AK309" s="101" t="s">
        <v>179</v>
      </c>
      <c r="AL309" s="99" t="s">
        <v>132</v>
      </c>
      <c r="AM309" s="101"/>
      <c r="AN309" s="101"/>
      <c r="AO309" s="101"/>
      <c r="AP309" s="101"/>
      <c r="AQ309" s="101"/>
      <c r="AR309" s="101"/>
      <c r="AS309" s="98"/>
      <c r="AT309" s="98"/>
      <c r="AU309" s="98"/>
      <c r="AV309" s="608" t="s">
        <v>1786</v>
      </c>
      <c r="AW309" s="609" t="s">
        <v>134</v>
      </c>
      <c r="AX309" s="52"/>
      <c r="AY309" s="110" t="s">
        <v>135</v>
      </c>
    </row>
    <row r="310" ht="20.25" customHeight="1">
      <c r="A310" s="441" t="s">
        <v>106</v>
      </c>
      <c r="B310" s="441" t="s">
        <v>107</v>
      </c>
      <c r="C310" s="110" t="s">
        <v>1455</v>
      </c>
      <c r="D310" s="95"/>
      <c r="E310" s="108" t="s">
        <v>1764</v>
      </c>
      <c r="F310" s="112" t="s">
        <v>1801</v>
      </c>
      <c r="G310" s="112" t="s">
        <v>1458</v>
      </c>
      <c r="H310" s="502">
        <v>45638.0</v>
      </c>
      <c r="I310" s="503">
        <v>45670.0</v>
      </c>
      <c r="J310" s="112" t="s">
        <v>1766</v>
      </c>
      <c r="K310" s="112" t="s">
        <v>1767</v>
      </c>
      <c r="L310" s="112" t="s">
        <v>1768</v>
      </c>
      <c r="M310" s="112" t="s">
        <v>1769</v>
      </c>
      <c r="N310" s="119"/>
      <c r="O310" s="212" t="str">
        <f>SUBSTITUTE(LOWER(M310), "/", "--") &amp;  ".pdf"</f>
        <v>10.1016--j.jpsychires.2008.07.004.pdf</v>
      </c>
      <c r="P310" s="48" t="str">
        <f t="array" ref="P310">HYPERLINK(INDEX('File Links'!B:B, MATCH(O310, 'File Links'!C:C, 0)))
</f>
        <v>https://drive.google.com/file/d/1gOWd02cezb5MHlIvhprXv-TgaFt5Ij8f/view?usp=drivesdk</v>
      </c>
      <c r="Q310" s="112" t="s">
        <v>1770</v>
      </c>
      <c r="R310" s="112" t="s">
        <v>1771</v>
      </c>
      <c r="S310" s="119"/>
      <c r="T310" s="311"/>
      <c r="U310" s="112" t="str">
        <f>HYPERLINK(VLOOKUP(LOWER(R310),#REF!, 2, FALSE), SUBSTITUTE(LOWER(R310), "/", "--") &amp;  ".pdf")</f>
        <v>10.31234--osf.io--cf4xz.pdf</v>
      </c>
      <c r="V310" s="112" t="s">
        <v>1772</v>
      </c>
      <c r="W310" s="45" t="str">
        <f t="array" ref="W310">HYPERLINK(INDEX('File Links'!B:B, MATCH(U310, 'File Links'!C:C, 0)))
</f>
        <v>#N/A</v>
      </c>
      <c r="X310" s="119"/>
      <c r="Y310" s="112" t="s">
        <v>139</v>
      </c>
      <c r="Z310" s="112" t="s">
        <v>1773</v>
      </c>
      <c r="AA310" s="112" t="s">
        <v>1774</v>
      </c>
      <c r="AB310" s="112" t="s">
        <v>1802</v>
      </c>
      <c r="AC310" s="112" t="s">
        <v>1803</v>
      </c>
      <c r="AD310" s="117">
        <v>5.0</v>
      </c>
      <c r="AE310" s="117">
        <v>17.0</v>
      </c>
      <c r="AF310" s="117">
        <v>0.39</v>
      </c>
      <c r="AG310" s="311" t="s">
        <v>130</v>
      </c>
      <c r="AH310" s="119"/>
      <c r="AI310" s="117">
        <v>0.002</v>
      </c>
      <c r="AJ310" s="111" t="s">
        <v>164</v>
      </c>
      <c r="AK310" s="119" t="s">
        <v>179</v>
      </c>
      <c r="AL310" s="119" t="s">
        <v>132</v>
      </c>
      <c r="AM310" s="119"/>
      <c r="AN310" s="119"/>
      <c r="AO310" s="119"/>
      <c r="AP310" s="119"/>
      <c r="AQ310" s="119"/>
      <c r="AR310" s="119"/>
      <c r="AS310" s="111"/>
      <c r="AT310" s="111"/>
      <c r="AU310" s="111"/>
      <c r="AV310" s="605" t="s">
        <v>1777</v>
      </c>
      <c r="AW310" s="127" t="s">
        <v>134</v>
      </c>
      <c r="AX310" s="52"/>
      <c r="AY310" s="110" t="s">
        <v>135</v>
      </c>
    </row>
    <row r="311" ht="20.25" customHeight="1">
      <c r="A311" s="441" t="s">
        <v>106</v>
      </c>
      <c r="B311" s="136" t="s">
        <v>107</v>
      </c>
      <c r="C311" s="136" t="s">
        <v>1471</v>
      </c>
      <c r="D311" s="64"/>
      <c r="E311" s="108" t="s">
        <v>1764</v>
      </c>
      <c r="F311" s="99" t="s">
        <v>1801</v>
      </c>
      <c r="G311" s="99" t="s">
        <v>1530</v>
      </c>
      <c r="H311" s="610">
        <v>45640.0</v>
      </c>
      <c r="I311" s="503">
        <v>45670.0</v>
      </c>
      <c r="J311" s="99" t="s">
        <v>1778</v>
      </c>
      <c r="K311" s="99" t="s">
        <v>1767</v>
      </c>
      <c r="L311" s="99" t="s">
        <v>1804</v>
      </c>
      <c r="M311" s="99" t="s">
        <v>1769</v>
      </c>
      <c r="N311" s="101"/>
      <c r="O311" s="107" t="str">
        <f t="shared" ref="O311:O312" si="7"> SUBSTITUTE(lower(M311), "/", "--") &amp;  ".pdf"</f>
        <v>10.1016--j.jpsychires.2008.07.004.pdf</v>
      </c>
      <c r="P311" s="48" t="str">
        <f t="array" ref="P311">HYPERLINK(INDEX('File Links'!B:B, MATCH(O311, 'File Links'!C:C, 0)))
</f>
        <v>https://drive.google.com/file/d/1gOWd02cezb5MHlIvhprXv-TgaFt5Ij8f/view?usp=drivesdk</v>
      </c>
      <c r="Q311" s="392" t="s">
        <v>1805</v>
      </c>
      <c r="R311" s="392" t="s">
        <v>1771</v>
      </c>
      <c r="S311" s="101"/>
      <c r="T311" s="106"/>
      <c r="U311" s="99" t="str">
        <f t="shared" ref="U311:U312" si="8"> hyperlink(vlookup(lower(R311),#REF!, 2, FALSE), SUBSTITUTE(lower(R311), "/", "--") &amp;  ".pdf")</f>
        <v>10.31234--osf.io--cf4xz.pdf</v>
      </c>
      <c r="V311" s="99" t="s">
        <v>1780</v>
      </c>
      <c r="W311" s="45" t="str">
        <f t="array" ref="W311">HYPERLINK(INDEX('File Links'!B:B, MATCH(U311, 'File Links'!C:C, 0)))
</f>
        <v>#N/A</v>
      </c>
      <c r="X311" s="101"/>
      <c r="Y311" s="101" t="s">
        <v>1792</v>
      </c>
      <c r="Z311" s="99" t="s">
        <v>1781</v>
      </c>
      <c r="AA311" s="101" t="s">
        <v>1782</v>
      </c>
      <c r="AB311" s="99" t="s">
        <v>1783</v>
      </c>
      <c r="AC311" s="99" t="s">
        <v>1806</v>
      </c>
      <c r="AD311" s="607">
        <v>45448.0</v>
      </c>
      <c r="AE311" s="104">
        <v>17.0</v>
      </c>
      <c r="AF311" s="104">
        <v>0.39</v>
      </c>
      <c r="AG311" s="106" t="s">
        <v>1785</v>
      </c>
      <c r="AH311" s="99" t="s">
        <v>894</v>
      </c>
      <c r="AI311" s="104">
        <v>0.002</v>
      </c>
      <c r="AJ311" s="98" t="s">
        <v>164</v>
      </c>
      <c r="AK311" s="101" t="s">
        <v>179</v>
      </c>
      <c r="AL311" s="99" t="s">
        <v>132</v>
      </c>
      <c r="AM311" s="101"/>
      <c r="AN311" s="101"/>
      <c r="AO311" s="101"/>
      <c r="AP311" s="101"/>
      <c r="AQ311" s="101"/>
      <c r="AR311" s="101"/>
      <c r="AS311" s="98"/>
      <c r="AT311" s="98"/>
      <c r="AU311" s="98"/>
      <c r="AV311" s="608" t="s">
        <v>1786</v>
      </c>
      <c r="AW311" s="395" t="s">
        <v>134</v>
      </c>
      <c r="AX311" s="52"/>
      <c r="AY311" s="110" t="s">
        <v>135</v>
      </c>
    </row>
    <row r="312" ht="20.25" customHeight="1">
      <c r="A312" s="441" t="s">
        <v>106</v>
      </c>
      <c r="B312" s="136" t="s">
        <v>107</v>
      </c>
      <c r="C312" s="136" t="s">
        <v>1471</v>
      </c>
      <c r="D312" s="64"/>
      <c r="E312" s="108" t="s">
        <v>1764</v>
      </c>
      <c r="F312" s="99" t="s">
        <v>1807</v>
      </c>
      <c r="G312" s="99" t="s">
        <v>1530</v>
      </c>
      <c r="H312" s="610">
        <v>45640.0</v>
      </c>
      <c r="I312" s="503">
        <v>45670.0</v>
      </c>
      <c r="J312" s="99" t="s">
        <v>1808</v>
      </c>
      <c r="K312" s="99" t="s">
        <v>1767</v>
      </c>
      <c r="L312" s="99" t="s">
        <v>1809</v>
      </c>
      <c r="M312" s="612" t="s">
        <v>1769</v>
      </c>
      <c r="N312" s="101"/>
      <c r="O312" s="107" t="str">
        <f t="shared" si="7"/>
        <v>10.1016--j.jpsychires.2008.07.004.pdf</v>
      </c>
      <c r="P312" s="48" t="str">
        <f t="array" ref="P312">HYPERLINK(INDEX('File Links'!B:B, MATCH(O312, 'File Links'!C:C, 0)))
</f>
        <v>https://drive.google.com/file/d/1gOWd02cezb5MHlIvhprXv-TgaFt5Ij8f/view?usp=drivesdk</v>
      </c>
      <c r="Q312" s="392" t="s">
        <v>1810</v>
      </c>
      <c r="R312" s="392" t="s">
        <v>1771</v>
      </c>
      <c r="S312" s="101"/>
      <c r="T312" s="106"/>
      <c r="U312" s="99" t="str">
        <f t="shared" si="8"/>
        <v>10.31234--osf.io--cf4xz.pdf</v>
      </c>
      <c r="V312" s="99" t="s">
        <v>1780</v>
      </c>
      <c r="W312" s="45" t="str">
        <f t="array" ref="W312">HYPERLINK(INDEX('File Links'!B:B, MATCH(U312, 'File Links'!C:C, 0)))
</f>
        <v>#N/A</v>
      </c>
      <c r="X312" s="101"/>
      <c r="Y312" s="101" t="s">
        <v>1792</v>
      </c>
      <c r="Z312" s="99" t="s">
        <v>1781</v>
      </c>
      <c r="AA312" s="101" t="s">
        <v>1782</v>
      </c>
      <c r="AB312" s="99" t="s">
        <v>1783</v>
      </c>
      <c r="AC312" s="99" t="s">
        <v>1811</v>
      </c>
      <c r="AD312" s="101"/>
      <c r="AE312" s="101"/>
      <c r="AF312" s="101"/>
      <c r="AG312" s="106"/>
      <c r="AH312" s="101"/>
      <c r="AI312" s="101"/>
      <c r="AJ312" s="98"/>
      <c r="AK312" s="101"/>
      <c r="AL312" s="101"/>
      <c r="AM312" s="101"/>
      <c r="AN312" s="101"/>
      <c r="AO312" s="101"/>
      <c r="AP312" s="101"/>
      <c r="AQ312" s="101"/>
      <c r="AR312" s="101"/>
      <c r="AS312" s="98"/>
      <c r="AT312" s="98"/>
      <c r="AU312" s="98"/>
      <c r="AV312" s="608" t="s">
        <v>1786</v>
      </c>
      <c r="AW312" s="98"/>
      <c r="AX312" s="52"/>
      <c r="AY312" s="110" t="s">
        <v>135</v>
      </c>
    </row>
    <row r="313" ht="20.25" hidden="1" customHeight="1">
      <c r="A313" s="40" t="s">
        <v>106</v>
      </c>
      <c r="B313" s="40" t="s">
        <v>107</v>
      </c>
      <c r="C313" s="41" t="s">
        <v>1455</v>
      </c>
      <c r="E313" s="525" t="s">
        <v>1812</v>
      </c>
      <c r="F313" s="526" t="s">
        <v>1813</v>
      </c>
      <c r="G313" s="526" t="s">
        <v>1548</v>
      </c>
      <c r="H313" s="527">
        <v>45436.0</v>
      </c>
      <c r="I313" s="527">
        <v>45638.0</v>
      </c>
      <c r="J313" s="526" t="s">
        <v>1814</v>
      </c>
      <c r="K313" s="347" t="s">
        <v>1815</v>
      </c>
      <c r="L313" s="526" t="s">
        <v>1816</v>
      </c>
      <c r="M313" s="526" t="s">
        <v>1817</v>
      </c>
      <c r="N313" s="436"/>
      <c r="O313" s="528" t="str">
        <f>SUBSTITUTE(LOWER(M313), "/", "--") &amp;  ".pdf"</f>
        <v>10.1162--rest.90.2.300.pdf</v>
      </c>
      <c r="P313" s="48" t="str">
        <f t="array" ref="P313">HYPERLINK(INDEX('File Links'!B:B, MATCH(O313, 'File Links'!C:C, 0)))
</f>
        <v>https://drive.google.com/file/d/150VkxMJ6Qzq8PM52a6Vi7Y9e4ojtHPne/view?usp=drivesdk</v>
      </c>
      <c r="Q313" s="526" t="s">
        <v>1818</v>
      </c>
      <c r="R313" s="526" t="s">
        <v>1819</v>
      </c>
      <c r="S313" s="436"/>
      <c r="T313" s="529"/>
      <c r="U313" s="526" t="str">
        <f>HYPERLINK(VLOOKUP(LOWER(R313),#REF!, 2, FALSE), SUBSTITUTE(LOWER(R313), "/", "--") &amp;  ".pdf")</f>
        <v>10.18718--81781.34.pdf</v>
      </c>
      <c r="V313" s="530" t="s">
        <v>1523</v>
      </c>
      <c r="W313" s="45" t="str">
        <f t="array" ref="W313">HYPERLINK(INDEX('File Links'!B:B, MATCH(U313, 'File Links'!C:C, 0)))
</f>
        <v>#N/A</v>
      </c>
      <c r="X313" s="530" t="s">
        <v>1814</v>
      </c>
      <c r="Y313" s="526" t="s">
        <v>1820</v>
      </c>
      <c r="Z313" s="436"/>
      <c r="AA313" s="436"/>
      <c r="AB313" s="436"/>
      <c r="AC313" s="436"/>
      <c r="AD313" s="436"/>
      <c r="AE313" s="436"/>
      <c r="AF313" s="436"/>
      <c r="AG313" s="529"/>
      <c r="AH313" s="436"/>
      <c r="AI313" s="436"/>
      <c r="AJ313" s="511"/>
      <c r="AK313" s="436"/>
      <c r="AL313" s="436"/>
      <c r="AM313" s="436"/>
      <c r="AN313" s="436"/>
      <c r="AO313" s="436"/>
      <c r="AP313" s="436"/>
      <c r="AQ313" s="436"/>
      <c r="AR313" s="436"/>
      <c r="AS313" s="511"/>
      <c r="AT313" s="511"/>
      <c r="AU313" s="511"/>
      <c r="AV313" s="511"/>
      <c r="AW313" s="511"/>
      <c r="AX313" s="55"/>
    </row>
    <row r="314" ht="20.25" customHeight="1">
      <c r="A314" s="40" t="s">
        <v>106</v>
      </c>
      <c r="B314" s="41" t="s">
        <v>107</v>
      </c>
      <c r="C314" s="41" t="s">
        <v>1821</v>
      </c>
      <c r="E314" s="147" t="s">
        <v>1812</v>
      </c>
      <c r="F314" s="52" t="s">
        <v>1813</v>
      </c>
      <c r="G314" s="52" t="s">
        <v>1822</v>
      </c>
      <c r="H314" s="140">
        <v>45436.0</v>
      </c>
      <c r="I314" s="409">
        <v>45642.0</v>
      </c>
      <c r="J314" s="52" t="s">
        <v>1823</v>
      </c>
      <c r="K314" s="347" t="s">
        <v>1815</v>
      </c>
      <c r="L314" s="52" t="s">
        <v>1816</v>
      </c>
      <c r="M314" s="52" t="s">
        <v>1817</v>
      </c>
      <c r="N314" s="55"/>
      <c r="O314" s="353" t="str">
        <f t="shared" ref="O314:O317" si="9"> SUBSTITUTE(lower(M314), "/", "--") &amp;  ".pdf"</f>
        <v>10.1162--rest.90.2.300.pdf</v>
      </c>
      <c r="P314" s="48" t="str">
        <f t="array" ref="P314">HYPERLINK(INDEX('File Links'!B:B, MATCH(O314, 'File Links'!C:C, 0)))
</f>
        <v>https://drive.google.com/file/d/150VkxMJ6Qzq8PM52a6Vi7Y9e4ojtHPne/view?usp=drivesdk</v>
      </c>
      <c r="Q314" s="52" t="s">
        <v>1818</v>
      </c>
      <c r="R314" s="52" t="s">
        <v>1819</v>
      </c>
      <c r="S314" s="55"/>
      <c r="T314" s="329"/>
      <c r="U314" s="354" t="str">
        <f t="shared" ref="U314:U317" si="10"> hyperlink(vlookup(lower(R314),#REF!, 2, FALSE), SUBSTITUTE(lower(R314), "/", "--") &amp;  ".pdf")</f>
        <v>10.18718--81781.34.pdf</v>
      </c>
      <c r="V314" s="52" t="s">
        <v>1824</v>
      </c>
      <c r="W314" s="45" t="str">
        <f t="array" ref="W314">HYPERLINK(INDEX('File Links'!B:B, MATCH(U314, 'File Links'!C:C, 0)))
</f>
        <v>#N/A</v>
      </c>
      <c r="X314" s="55"/>
      <c r="Y314" s="52" t="s">
        <v>1820</v>
      </c>
      <c r="Z314" s="52" t="s">
        <v>1825</v>
      </c>
      <c r="AA314" s="52" t="s">
        <v>1826</v>
      </c>
      <c r="AB314" s="55"/>
      <c r="AC314" s="52" t="s">
        <v>1827</v>
      </c>
      <c r="AD314" s="52" t="s">
        <v>1828</v>
      </c>
      <c r="AE314" s="52" t="s">
        <v>165</v>
      </c>
      <c r="AF314" s="355">
        <v>4.4</v>
      </c>
      <c r="AG314" s="330" t="s">
        <v>162</v>
      </c>
      <c r="AH314" s="52" t="s">
        <v>1829</v>
      </c>
      <c r="AI314" s="52" t="s">
        <v>165</v>
      </c>
      <c r="AJ314" s="147" t="s">
        <v>165</v>
      </c>
      <c r="AK314" s="613" t="s">
        <v>165</v>
      </c>
      <c r="AL314" s="613" t="s">
        <v>165</v>
      </c>
      <c r="AM314" s="52" t="s">
        <v>165</v>
      </c>
      <c r="AN314" s="52" t="s">
        <v>165</v>
      </c>
      <c r="AO314" s="355">
        <v>3.9</v>
      </c>
      <c r="AP314" s="52" t="s">
        <v>162</v>
      </c>
      <c r="AQ314" s="52" t="s">
        <v>1830</v>
      </c>
      <c r="AR314" s="52" t="s">
        <v>165</v>
      </c>
      <c r="AS314" s="614" t="s">
        <v>165</v>
      </c>
      <c r="AT314" s="614" t="s">
        <v>165</v>
      </c>
      <c r="AU314" s="614" t="s">
        <v>165</v>
      </c>
      <c r="AV314" s="147" t="s">
        <v>165</v>
      </c>
      <c r="AW314" s="147" t="s">
        <v>142</v>
      </c>
      <c r="AX314" s="55"/>
    </row>
    <row r="315" ht="20.25" customHeight="1">
      <c r="A315" s="40" t="s">
        <v>106</v>
      </c>
      <c r="B315" s="41" t="s">
        <v>107</v>
      </c>
      <c r="C315" s="41" t="s">
        <v>1821</v>
      </c>
      <c r="E315" s="147" t="s">
        <v>1812</v>
      </c>
      <c r="F315" s="52" t="s">
        <v>1813</v>
      </c>
      <c r="G315" s="52" t="s">
        <v>1822</v>
      </c>
      <c r="H315" s="140">
        <v>45436.0</v>
      </c>
      <c r="I315" s="409">
        <v>45642.0</v>
      </c>
      <c r="J315" s="52" t="s">
        <v>1831</v>
      </c>
      <c r="K315" s="347" t="s">
        <v>1815</v>
      </c>
      <c r="L315" s="52" t="s">
        <v>1816</v>
      </c>
      <c r="M315" s="52" t="s">
        <v>1817</v>
      </c>
      <c r="N315" s="55"/>
      <c r="O315" s="353" t="str">
        <f t="shared" si="9"/>
        <v>10.1162--rest.90.2.300.pdf</v>
      </c>
      <c r="P315" s="48" t="str">
        <f t="array" ref="P315">HYPERLINK(INDEX('File Links'!B:B, MATCH(O315, 'File Links'!C:C, 0)))
</f>
        <v>https://drive.google.com/file/d/150VkxMJ6Qzq8PM52a6Vi7Y9e4ojtHPne/view?usp=drivesdk</v>
      </c>
      <c r="Q315" s="52" t="s">
        <v>1818</v>
      </c>
      <c r="R315" s="52" t="s">
        <v>1819</v>
      </c>
      <c r="S315" s="55"/>
      <c r="T315" s="329"/>
      <c r="U315" s="354" t="str">
        <f t="shared" si="10"/>
        <v>10.18718--81781.34.pdf</v>
      </c>
      <c r="V315" s="52" t="s">
        <v>1824</v>
      </c>
      <c r="W315" s="45" t="str">
        <f t="array" ref="W315">HYPERLINK(INDEX('File Links'!B:B, MATCH(U315, 'File Links'!C:C, 0)))
</f>
        <v>#N/A</v>
      </c>
      <c r="X315" s="55"/>
      <c r="Y315" s="52" t="s">
        <v>1820</v>
      </c>
      <c r="Z315" s="52" t="s">
        <v>1825</v>
      </c>
      <c r="AA315" s="52" t="s">
        <v>1826</v>
      </c>
      <c r="AB315" s="55"/>
      <c r="AC315" s="52" t="s">
        <v>1827</v>
      </c>
      <c r="AD315" s="52" t="s">
        <v>1828</v>
      </c>
      <c r="AE315" s="52" t="s">
        <v>165</v>
      </c>
      <c r="AF315" s="355">
        <v>4.0</v>
      </c>
      <c r="AG315" s="330" t="s">
        <v>162</v>
      </c>
      <c r="AH315" s="52" t="s">
        <v>1829</v>
      </c>
      <c r="AI315" s="52" t="s">
        <v>165</v>
      </c>
      <c r="AJ315" s="147" t="s">
        <v>165</v>
      </c>
      <c r="AK315" s="613" t="s">
        <v>165</v>
      </c>
      <c r="AL315" s="613" t="s">
        <v>165</v>
      </c>
      <c r="AM315" s="52" t="s">
        <v>165</v>
      </c>
      <c r="AN315" s="52" t="s">
        <v>165</v>
      </c>
      <c r="AO315" s="355">
        <v>6.0</v>
      </c>
      <c r="AP315" s="52" t="s">
        <v>162</v>
      </c>
      <c r="AQ315" s="52" t="s">
        <v>1830</v>
      </c>
      <c r="AR315" s="52" t="s">
        <v>165</v>
      </c>
      <c r="AS315" s="614" t="s">
        <v>165</v>
      </c>
      <c r="AT315" s="614" t="s">
        <v>165</v>
      </c>
      <c r="AU315" s="614" t="s">
        <v>165</v>
      </c>
      <c r="AV315" s="147" t="s">
        <v>165</v>
      </c>
      <c r="AW315" s="147" t="s">
        <v>142</v>
      </c>
      <c r="AX315" s="55"/>
    </row>
    <row r="316" ht="20.25" customHeight="1">
      <c r="A316" s="40" t="s">
        <v>106</v>
      </c>
      <c r="B316" s="41" t="s">
        <v>107</v>
      </c>
      <c r="C316" s="41" t="s">
        <v>1821</v>
      </c>
      <c r="E316" s="147" t="s">
        <v>1812</v>
      </c>
      <c r="F316" s="52" t="s">
        <v>1813</v>
      </c>
      <c r="G316" s="52" t="s">
        <v>1822</v>
      </c>
      <c r="H316" s="140">
        <v>45436.0</v>
      </c>
      <c r="I316" s="409">
        <v>45642.0</v>
      </c>
      <c r="J316" s="52" t="s">
        <v>1831</v>
      </c>
      <c r="K316" s="347" t="s">
        <v>1815</v>
      </c>
      <c r="L316" s="52" t="s">
        <v>1816</v>
      </c>
      <c r="M316" s="52" t="s">
        <v>1817</v>
      </c>
      <c r="N316" s="55"/>
      <c r="O316" s="353" t="str">
        <f t="shared" si="9"/>
        <v>10.1162--rest.90.2.300.pdf</v>
      </c>
      <c r="P316" s="48" t="str">
        <f t="array" ref="P316">HYPERLINK(INDEX('File Links'!B:B, MATCH(O316, 'File Links'!C:C, 0)))
</f>
        <v>https://drive.google.com/file/d/150VkxMJ6Qzq8PM52a6Vi7Y9e4ojtHPne/view?usp=drivesdk</v>
      </c>
      <c r="Q316" s="52" t="s">
        <v>1818</v>
      </c>
      <c r="R316" s="52" t="s">
        <v>1819</v>
      </c>
      <c r="S316" s="55"/>
      <c r="T316" s="329"/>
      <c r="U316" s="354" t="str">
        <f t="shared" si="10"/>
        <v>10.18718--81781.34.pdf</v>
      </c>
      <c r="V316" s="52" t="s">
        <v>1824</v>
      </c>
      <c r="W316" s="45" t="str">
        <f t="array" ref="W316">HYPERLINK(INDEX('File Links'!B:B, MATCH(U316, 'File Links'!C:C, 0)))
</f>
        <v>#N/A</v>
      </c>
      <c r="X316" s="55"/>
      <c r="Y316" s="52" t="s">
        <v>1820</v>
      </c>
      <c r="Z316" s="52" t="s">
        <v>1825</v>
      </c>
      <c r="AA316" s="52" t="s">
        <v>1826</v>
      </c>
      <c r="AB316" s="55"/>
      <c r="AC316" s="52" t="s">
        <v>1827</v>
      </c>
      <c r="AD316" s="52" t="s">
        <v>1828</v>
      </c>
      <c r="AE316" s="52" t="s">
        <v>165</v>
      </c>
      <c r="AF316" s="355">
        <v>5.7</v>
      </c>
      <c r="AG316" s="330" t="s">
        <v>162</v>
      </c>
      <c r="AH316" s="52" t="s">
        <v>1829</v>
      </c>
      <c r="AI316" s="52" t="s">
        <v>165</v>
      </c>
      <c r="AJ316" s="147" t="s">
        <v>165</v>
      </c>
      <c r="AK316" s="613" t="s">
        <v>165</v>
      </c>
      <c r="AL316" s="613" t="s">
        <v>165</v>
      </c>
      <c r="AM316" s="52" t="s">
        <v>165</v>
      </c>
      <c r="AN316" s="52" t="s">
        <v>165</v>
      </c>
      <c r="AO316" s="355">
        <v>6.2</v>
      </c>
      <c r="AP316" s="52" t="s">
        <v>162</v>
      </c>
      <c r="AQ316" s="52" t="s">
        <v>1830</v>
      </c>
      <c r="AR316" s="52" t="s">
        <v>165</v>
      </c>
      <c r="AS316" s="614" t="s">
        <v>165</v>
      </c>
      <c r="AT316" s="614" t="s">
        <v>165</v>
      </c>
      <c r="AU316" s="614" t="s">
        <v>165</v>
      </c>
      <c r="AV316" s="147" t="s">
        <v>165</v>
      </c>
      <c r="AW316" s="147" t="s">
        <v>142</v>
      </c>
      <c r="AX316" s="55"/>
    </row>
    <row r="317" ht="20.25" customHeight="1">
      <c r="A317" s="40" t="s">
        <v>106</v>
      </c>
      <c r="B317" s="41" t="s">
        <v>107</v>
      </c>
      <c r="C317" s="41" t="s">
        <v>1821</v>
      </c>
      <c r="E317" s="147" t="s">
        <v>1812</v>
      </c>
      <c r="F317" s="52" t="s">
        <v>1813</v>
      </c>
      <c r="G317" s="52" t="s">
        <v>1822</v>
      </c>
      <c r="H317" s="140">
        <v>45436.0</v>
      </c>
      <c r="I317" s="409">
        <v>45642.0</v>
      </c>
      <c r="J317" s="52" t="s">
        <v>1831</v>
      </c>
      <c r="K317" s="347" t="s">
        <v>1815</v>
      </c>
      <c r="L317" s="52" t="s">
        <v>1816</v>
      </c>
      <c r="M317" s="52" t="s">
        <v>1817</v>
      </c>
      <c r="N317" s="55"/>
      <c r="O317" s="353" t="str">
        <f t="shared" si="9"/>
        <v>10.1162--rest.90.2.300.pdf</v>
      </c>
      <c r="P317" s="48" t="str">
        <f t="array" ref="P317">HYPERLINK(INDEX('File Links'!B:B, MATCH(O317, 'File Links'!C:C, 0)))
</f>
        <v>https://drive.google.com/file/d/150VkxMJ6Qzq8PM52a6Vi7Y9e4ojtHPne/view?usp=drivesdk</v>
      </c>
      <c r="Q317" s="52" t="s">
        <v>1818</v>
      </c>
      <c r="R317" s="52" t="s">
        <v>1819</v>
      </c>
      <c r="S317" s="55"/>
      <c r="T317" s="329"/>
      <c r="U317" s="354" t="str">
        <f t="shared" si="10"/>
        <v>10.18718--81781.34.pdf</v>
      </c>
      <c r="V317" s="52" t="s">
        <v>1824</v>
      </c>
      <c r="W317" s="45" t="str">
        <f t="array" ref="W317">HYPERLINK(INDEX('File Links'!B:B, MATCH(U317, 'File Links'!C:C, 0)))
</f>
        <v>#N/A</v>
      </c>
      <c r="X317" s="55"/>
      <c r="Y317" s="52" t="s">
        <v>1820</v>
      </c>
      <c r="Z317" s="52" t="s">
        <v>1825</v>
      </c>
      <c r="AA317" s="52" t="s">
        <v>1826</v>
      </c>
      <c r="AB317" s="55"/>
      <c r="AC317" s="52" t="s">
        <v>1827</v>
      </c>
      <c r="AD317" s="52" t="s">
        <v>1828</v>
      </c>
      <c r="AE317" s="52" t="s">
        <v>165</v>
      </c>
      <c r="AF317" s="355">
        <v>1.3</v>
      </c>
      <c r="AG317" s="330" t="s">
        <v>162</v>
      </c>
      <c r="AH317" s="52" t="s">
        <v>1829</v>
      </c>
      <c r="AI317" s="52" t="s">
        <v>165</v>
      </c>
      <c r="AJ317" s="147" t="s">
        <v>165</v>
      </c>
      <c r="AK317" s="613" t="s">
        <v>165</v>
      </c>
      <c r="AL317" s="613" t="s">
        <v>165</v>
      </c>
      <c r="AM317" s="52" t="s">
        <v>165</v>
      </c>
      <c r="AN317" s="52" t="s">
        <v>165</v>
      </c>
      <c r="AO317" s="355">
        <v>-2.7</v>
      </c>
      <c r="AP317" s="52" t="s">
        <v>162</v>
      </c>
      <c r="AQ317" s="52" t="s">
        <v>1830</v>
      </c>
      <c r="AR317" s="52" t="s">
        <v>165</v>
      </c>
      <c r="AS317" s="614" t="s">
        <v>165</v>
      </c>
      <c r="AT317" s="614" t="s">
        <v>165</v>
      </c>
      <c r="AU317" s="614" t="s">
        <v>165</v>
      </c>
      <c r="AV317" s="147" t="s">
        <v>165</v>
      </c>
      <c r="AW317" s="147" t="s">
        <v>142</v>
      </c>
      <c r="AX317" s="55"/>
    </row>
    <row r="318" ht="20.25" customHeight="1">
      <c r="A318" s="41" t="s">
        <v>106</v>
      </c>
      <c r="B318" s="41" t="s">
        <v>107</v>
      </c>
      <c r="C318" s="41" t="s">
        <v>1251</v>
      </c>
      <c r="E318" s="60" t="s">
        <v>1832</v>
      </c>
      <c r="F318" s="52" t="s">
        <v>1833</v>
      </c>
      <c r="G318" s="52" t="s">
        <v>1254</v>
      </c>
      <c r="H318" s="140">
        <v>45440.0</v>
      </c>
      <c r="I318" s="409">
        <v>45641.0</v>
      </c>
      <c r="J318" s="55"/>
      <c r="K318" s="55"/>
      <c r="L318" s="52" t="s">
        <v>1834</v>
      </c>
      <c r="M318" s="615" t="s">
        <v>1835</v>
      </c>
      <c r="O318" s="353" t="s">
        <v>1836</v>
      </c>
      <c r="P318" s="48" t="str">
        <f t="array" ref="P318">HYPERLINK(INDEX('File Links'!B:B, MATCH(O318, 'File Links'!C:C, 0)))
</f>
        <v>https://drive.google.com/file/d/1ntHR-2TST8Pa9kLmC5CL_wNP2lafijMc/view?usp=drivesdk</v>
      </c>
      <c r="Q318" s="52" t="s">
        <v>1837</v>
      </c>
      <c r="R318" s="52" t="s">
        <v>1838</v>
      </c>
      <c r="T318" s="329"/>
      <c r="U318" s="354" t="s">
        <v>1839</v>
      </c>
      <c r="V318" s="55"/>
      <c r="W318" s="50" t="str">
        <f t="array" ref="W318">HYPERLINK(INDEX('File Links'!B:B, MATCH(U318, 'File Links'!C:C, 0)))
</f>
        <v>https://drive.google.com/file/d/1lyco4NN8QUadLrLaxT4tk2Kth7hjO4p_/view?usp=drivesdk</v>
      </c>
      <c r="X318" s="55"/>
      <c r="Y318" s="55"/>
      <c r="Z318" s="55"/>
      <c r="AA318" s="55"/>
      <c r="AB318" s="55"/>
      <c r="AC318" s="55"/>
      <c r="AD318" s="55"/>
      <c r="AE318" s="55"/>
      <c r="AF318" s="55"/>
      <c r="AG318" s="329"/>
      <c r="AH318" s="55"/>
      <c r="AI318" s="55"/>
      <c r="AJ318" s="60"/>
      <c r="AK318" s="55"/>
      <c r="AL318" s="55"/>
      <c r="AM318" s="55"/>
      <c r="AN318" s="55"/>
      <c r="AO318" s="55"/>
      <c r="AP318" s="55"/>
      <c r="AQ318" s="55"/>
      <c r="AR318" s="55"/>
      <c r="AS318" s="60"/>
      <c r="AT318" s="60"/>
      <c r="AU318" s="60"/>
      <c r="AV318" s="60"/>
      <c r="AW318" s="60"/>
      <c r="AX318" s="55"/>
      <c r="AY318" s="41" t="s">
        <v>135</v>
      </c>
    </row>
    <row r="319" ht="20.25" hidden="1" customHeight="1">
      <c r="A319" s="41" t="s">
        <v>106</v>
      </c>
      <c r="B319" s="41" t="s">
        <v>107</v>
      </c>
      <c r="C319" s="41" t="s">
        <v>280</v>
      </c>
      <c r="E319" s="60" t="s">
        <v>1832</v>
      </c>
      <c r="F319" s="52" t="s">
        <v>1833</v>
      </c>
      <c r="G319" s="147" t="s">
        <v>135</v>
      </c>
      <c r="H319" s="140">
        <v>45440.0</v>
      </c>
      <c r="I319" s="409">
        <v>45636.0</v>
      </c>
      <c r="J319" s="147" t="s">
        <v>1840</v>
      </c>
      <c r="K319" s="60"/>
      <c r="L319" s="147" t="s">
        <v>1834</v>
      </c>
      <c r="M319" s="453" t="s">
        <v>1841</v>
      </c>
      <c r="N319" s="60"/>
      <c r="O319" s="145" t="s">
        <v>1836</v>
      </c>
      <c r="P319" s="48" t="str">
        <f t="array" ref="P319">HYPERLINK(INDEX('File Links'!B:B, MATCH(O319, 'File Links'!C:C, 0)))
</f>
        <v>https://drive.google.com/file/d/1ntHR-2TST8Pa9kLmC5CL_wNP2lafijMc/view?usp=drivesdk</v>
      </c>
      <c r="Q319" s="453" t="s">
        <v>1842</v>
      </c>
      <c r="R319" s="453" t="s">
        <v>1838</v>
      </c>
      <c r="S319" s="60"/>
      <c r="T319" s="60"/>
      <c r="U319" s="145" t="s">
        <v>1839</v>
      </c>
      <c r="V319" s="147" t="s">
        <v>1843</v>
      </c>
      <c r="W319" s="50" t="str">
        <f t="array" ref="W319">HYPERLINK(INDEX('File Links'!B:B, MATCH(U319, 'File Links'!C:C, 0)))
</f>
        <v>https://drive.google.com/file/d/1lyco4NN8QUadLrLaxT4tk2Kth7hjO4p_/view?usp=drivesdk</v>
      </c>
      <c r="X319" s="356" t="s">
        <v>1844</v>
      </c>
      <c r="Y319" s="147" t="s">
        <v>287</v>
      </c>
      <c r="Z319" s="60"/>
      <c r="AA319" s="60"/>
      <c r="AB319" s="60"/>
      <c r="AC319" s="60"/>
      <c r="AD319" s="60"/>
      <c r="AE319" s="60"/>
      <c r="AF319" s="60"/>
      <c r="AG319" s="329"/>
      <c r="AH319" s="55"/>
      <c r="AI319" s="55"/>
      <c r="AJ319" s="60"/>
      <c r="AK319" s="55"/>
      <c r="AL319" s="60"/>
      <c r="AM319" s="60"/>
      <c r="AN319" s="60"/>
      <c r="AO319" s="60"/>
      <c r="AP319" s="60"/>
      <c r="AQ319" s="60"/>
      <c r="AR319" s="60"/>
      <c r="AS319" s="60"/>
      <c r="AT319" s="60"/>
      <c r="AU319" s="60"/>
      <c r="AV319" s="60"/>
      <c r="AW319" s="60"/>
      <c r="AX319" s="60"/>
      <c r="AY319" s="41" t="s">
        <v>135</v>
      </c>
    </row>
    <row r="320" ht="20.25" customHeight="1">
      <c r="A320" s="344" t="s">
        <v>143</v>
      </c>
      <c r="B320" s="344" t="s">
        <v>107</v>
      </c>
      <c r="C320" s="177" t="s">
        <v>1455</v>
      </c>
      <c r="D320" s="178"/>
      <c r="E320" s="188" t="s">
        <v>1845</v>
      </c>
      <c r="F320" s="180" t="s">
        <v>1846</v>
      </c>
      <c r="G320" s="180" t="s">
        <v>1548</v>
      </c>
      <c r="H320" s="616">
        <v>45638.0</v>
      </c>
      <c r="I320" s="617">
        <v>45670.0</v>
      </c>
      <c r="J320" s="101"/>
      <c r="K320" s="202" t="s">
        <v>1847</v>
      </c>
      <c r="L320" s="99" t="s">
        <v>1848</v>
      </c>
      <c r="M320" s="99" t="s">
        <v>1849</v>
      </c>
      <c r="N320" s="134">
        <v>1.0</v>
      </c>
      <c r="O320" s="107" t="str">
        <f>SUBSTITUTE(LOWER(M320), "/", "--") &amp;  ".pdf"</f>
        <v>10.1017--s1366728914000273.pdf</v>
      </c>
      <c r="P320" s="48" t="str">
        <f t="array" ref="P320">HYPERLINK(INDEX('File Links'!B:B, MATCH(O320, 'File Links'!C:C, 0)))
</f>
        <v>https://drive.google.com/file/d/1Baedt_RF56dAcd90mHgk4WyAWq0rNUNl/view?usp=drivesdk</v>
      </c>
      <c r="Q320" s="99" t="s">
        <v>1850</v>
      </c>
      <c r="R320" s="99" t="s">
        <v>1851</v>
      </c>
      <c r="S320" s="101"/>
      <c r="T320" s="134">
        <v>1.0</v>
      </c>
      <c r="U320" s="99" t="str">
        <f>HYPERLINK(VLOOKUP(LOWER(R320),#REF!, 2, FALSE), SUBSTITUTE(LOWER(R320), "/", "--") &amp;  ".pdf")</f>
        <v>10.1017--s0272263124000378.pdf</v>
      </c>
      <c r="V320" s="112" t="s">
        <v>314</v>
      </c>
      <c r="W320" s="45" t="str">
        <f t="array" ref="W320">HYPERLINK(INDEX('File Links'!B:B, MATCH(U320, 'File Links'!C:C, 0)))
</f>
        <v>#N/A</v>
      </c>
      <c r="X320" s="101"/>
      <c r="Y320" s="99" t="s">
        <v>287</v>
      </c>
      <c r="Z320" s="99" t="s">
        <v>1852</v>
      </c>
      <c r="AA320" s="99" t="s">
        <v>1853</v>
      </c>
      <c r="AB320" s="99" t="s">
        <v>1854</v>
      </c>
      <c r="AC320" s="99" t="s">
        <v>1855</v>
      </c>
      <c r="AD320" s="104">
        <v>5.0</v>
      </c>
      <c r="AE320" s="104">
        <v>68.0</v>
      </c>
      <c r="AF320" s="104">
        <v>0.78</v>
      </c>
      <c r="AG320" s="106" t="s">
        <v>130</v>
      </c>
      <c r="AH320" s="618" t="s">
        <v>892</v>
      </c>
      <c r="AI320" s="104">
        <v>0.001</v>
      </c>
      <c r="AJ320" s="98" t="s">
        <v>127</v>
      </c>
      <c r="AK320" s="101" t="s">
        <v>179</v>
      </c>
      <c r="AL320" s="101" t="s">
        <v>132</v>
      </c>
      <c r="AM320" s="128" t="s">
        <v>165</v>
      </c>
      <c r="AN320" s="104">
        <v>78.0</v>
      </c>
      <c r="AO320" s="104">
        <v>0.62</v>
      </c>
      <c r="AP320" s="101" t="s">
        <v>130</v>
      </c>
      <c r="AQ320" s="115">
        <v>10.0</v>
      </c>
      <c r="AR320" s="104">
        <v>0.001</v>
      </c>
      <c r="AS320" s="98" t="s">
        <v>127</v>
      </c>
      <c r="AT320" s="98" t="s">
        <v>179</v>
      </c>
      <c r="AU320" s="98" t="s">
        <v>132</v>
      </c>
      <c r="AV320" s="619" t="s">
        <v>165</v>
      </c>
      <c r="AW320" s="108" t="s">
        <v>134</v>
      </c>
      <c r="AX320" s="115" t="s">
        <v>1847</v>
      </c>
      <c r="AY320" s="41" t="s">
        <v>135</v>
      </c>
    </row>
    <row r="321" ht="20.25" customHeight="1">
      <c r="A321" s="177" t="s">
        <v>106</v>
      </c>
      <c r="B321" s="177" t="s">
        <v>107</v>
      </c>
      <c r="C321" s="177" t="s">
        <v>1821</v>
      </c>
      <c r="D321" s="178"/>
      <c r="E321" s="188" t="s">
        <v>1845</v>
      </c>
      <c r="F321" s="180" t="s">
        <v>1846</v>
      </c>
      <c r="G321" s="180" t="s">
        <v>1822</v>
      </c>
      <c r="H321" s="620">
        <v>45642.0</v>
      </c>
      <c r="I321" s="617">
        <v>45670.0</v>
      </c>
      <c r="J321" s="119"/>
      <c r="K321" s="202" t="s">
        <v>1856</v>
      </c>
      <c r="L321" s="112" t="s">
        <v>1848</v>
      </c>
      <c r="M321" s="112" t="s">
        <v>1849</v>
      </c>
      <c r="N321" s="119"/>
      <c r="O321" s="212" t="str">
        <f t="shared" ref="O321:O323" si="11"> SUBSTITUTE(lower(M321), "/", "--") &amp;  ".pdf"</f>
        <v>10.1017--s1366728914000273.pdf</v>
      </c>
      <c r="P321" s="48" t="str">
        <f t="array" ref="P321">HYPERLINK(INDEX('File Links'!B:B, MATCH(O321, 'File Links'!C:C, 0)))
</f>
        <v>https://drive.google.com/file/d/1Baedt_RF56dAcd90mHgk4WyAWq0rNUNl/view?usp=drivesdk</v>
      </c>
      <c r="Q321" s="112" t="s">
        <v>1850</v>
      </c>
      <c r="R321" s="112" t="s">
        <v>1851</v>
      </c>
      <c r="S321" s="119"/>
      <c r="T321" s="311"/>
      <c r="U321" s="112" t="str">
        <f t="shared" ref="U321:U323" si="12"> hyperlink(vlookup(lower(R321),#REF!, 2, FALSE), SUBSTITUTE(lower(R321), "/", "--") &amp;  ".pdf")</f>
        <v>10.1017--s0272263124000378.pdf</v>
      </c>
      <c r="V321" s="112" t="s">
        <v>314</v>
      </c>
      <c r="W321" s="45" t="str">
        <f t="array" ref="W321">HYPERLINK(INDEX('File Links'!B:B, MATCH(U321, 'File Links'!C:C, 0)))
</f>
        <v>#N/A</v>
      </c>
      <c r="X321" s="119"/>
      <c r="Y321" s="99" t="s">
        <v>287</v>
      </c>
      <c r="Z321" s="112" t="s">
        <v>1857</v>
      </c>
      <c r="AA321" s="112" t="s">
        <v>1858</v>
      </c>
      <c r="AB321" s="112" t="s">
        <v>1859</v>
      </c>
      <c r="AC321" s="112" t="s">
        <v>1860</v>
      </c>
      <c r="AD321" s="621">
        <v>45416.0</v>
      </c>
      <c r="AE321" s="117">
        <v>68.0</v>
      </c>
      <c r="AF321" s="117">
        <v>228.4</v>
      </c>
      <c r="AG321" s="212" t="s">
        <v>1051</v>
      </c>
      <c r="AH321" s="112" t="s">
        <v>494</v>
      </c>
      <c r="AI321" s="117">
        <v>0.001</v>
      </c>
      <c r="AJ321" s="111"/>
      <c r="AK321" s="622" t="s">
        <v>165</v>
      </c>
      <c r="AL321" s="622" t="s">
        <v>165</v>
      </c>
      <c r="AM321" s="112" t="s">
        <v>165</v>
      </c>
      <c r="AN321" s="117">
        <v>78.0</v>
      </c>
      <c r="AO321" s="117">
        <v>125.97</v>
      </c>
      <c r="AP321" s="112" t="s">
        <v>1051</v>
      </c>
      <c r="AQ321" s="112" t="s">
        <v>627</v>
      </c>
      <c r="AR321" s="117">
        <v>0.001</v>
      </c>
      <c r="AS321" s="111"/>
      <c r="AT321" s="623" t="s">
        <v>165</v>
      </c>
      <c r="AU321" s="623" t="s">
        <v>165</v>
      </c>
      <c r="AV321" s="127" t="s">
        <v>165</v>
      </c>
      <c r="AW321" s="127" t="s">
        <v>134</v>
      </c>
      <c r="AX321" s="115" t="s">
        <v>1856</v>
      </c>
      <c r="AY321" s="41" t="s">
        <v>135</v>
      </c>
    </row>
    <row r="322" ht="20.25" customHeight="1">
      <c r="A322" s="177" t="s">
        <v>106</v>
      </c>
      <c r="B322" s="177" t="s">
        <v>107</v>
      </c>
      <c r="C322" s="177" t="s">
        <v>1821</v>
      </c>
      <c r="D322" s="178"/>
      <c r="E322" s="188" t="s">
        <v>1845</v>
      </c>
      <c r="F322" s="180" t="s">
        <v>1846</v>
      </c>
      <c r="G322" s="180" t="s">
        <v>1822</v>
      </c>
      <c r="H322" s="620">
        <v>45642.0</v>
      </c>
      <c r="I322" s="617">
        <v>45670.0</v>
      </c>
      <c r="J322" s="119"/>
      <c r="K322" s="119"/>
      <c r="L322" s="112" t="s">
        <v>1848</v>
      </c>
      <c r="M322" s="112" t="s">
        <v>1849</v>
      </c>
      <c r="N322" s="119"/>
      <c r="O322" s="212" t="str">
        <f t="shared" si="11"/>
        <v>10.1017--s1366728914000273.pdf</v>
      </c>
      <c r="P322" s="48" t="str">
        <f t="array" ref="P322">HYPERLINK(INDEX('File Links'!B:B, MATCH(O322, 'File Links'!C:C, 0)))
</f>
        <v>https://drive.google.com/file/d/1Baedt_RF56dAcd90mHgk4WyAWq0rNUNl/view?usp=drivesdk</v>
      </c>
      <c r="Q322" s="112" t="s">
        <v>1850</v>
      </c>
      <c r="R322" s="112" t="s">
        <v>1851</v>
      </c>
      <c r="S322" s="119"/>
      <c r="T322" s="311"/>
      <c r="U322" s="112" t="str">
        <f t="shared" si="12"/>
        <v>10.1017--s0272263124000378.pdf</v>
      </c>
      <c r="V322" s="112" t="s">
        <v>314</v>
      </c>
      <c r="W322" s="45" t="str">
        <f t="array" ref="W322">HYPERLINK(INDEX('File Links'!B:B, MATCH(U322, 'File Links'!C:C, 0)))
</f>
        <v>#N/A</v>
      </c>
      <c r="X322" s="119"/>
      <c r="Y322" s="99" t="s">
        <v>287</v>
      </c>
      <c r="Z322" s="112" t="s">
        <v>1857</v>
      </c>
      <c r="AA322" s="112" t="s">
        <v>1858</v>
      </c>
      <c r="AB322" s="112" t="s">
        <v>1859</v>
      </c>
      <c r="AC322" s="112" t="s">
        <v>1860</v>
      </c>
      <c r="AD322" s="621">
        <v>45416.0</v>
      </c>
      <c r="AE322" s="117">
        <v>68.0</v>
      </c>
      <c r="AF322" s="117">
        <v>4.9</v>
      </c>
      <c r="AG322" s="212" t="s">
        <v>1051</v>
      </c>
      <c r="AH322" s="112" t="s">
        <v>494</v>
      </c>
      <c r="AI322" s="117">
        <v>0.03</v>
      </c>
      <c r="AJ322" s="111"/>
      <c r="AK322" s="622" t="s">
        <v>165</v>
      </c>
      <c r="AL322" s="622" t="s">
        <v>165</v>
      </c>
      <c r="AM322" s="112" t="s">
        <v>165</v>
      </c>
      <c r="AN322" s="117">
        <v>78.0</v>
      </c>
      <c r="AO322" s="117">
        <v>4.063</v>
      </c>
      <c r="AP322" s="112" t="s">
        <v>1051</v>
      </c>
      <c r="AQ322" s="112" t="s">
        <v>627</v>
      </c>
      <c r="AR322" s="117">
        <v>0.047</v>
      </c>
      <c r="AS322" s="111"/>
      <c r="AT322" s="623" t="s">
        <v>165</v>
      </c>
      <c r="AU322" s="623" t="s">
        <v>165</v>
      </c>
      <c r="AV322" s="127" t="s">
        <v>165</v>
      </c>
      <c r="AW322" s="127" t="s">
        <v>134</v>
      </c>
      <c r="AX322" s="55"/>
      <c r="AY322" s="41" t="s">
        <v>135</v>
      </c>
    </row>
    <row r="323" ht="20.25" customHeight="1">
      <c r="A323" s="177" t="s">
        <v>106</v>
      </c>
      <c r="B323" s="177" t="s">
        <v>107</v>
      </c>
      <c r="C323" s="177" t="s">
        <v>1821</v>
      </c>
      <c r="D323" s="178"/>
      <c r="E323" s="188" t="s">
        <v>1845</v>
      </c>
      <c r="F323" s="180" t="s">
        <v>1846</v>
      </c>
      <c r="G323" s="180" t="s">
        <v>1822</v>
      </c>
      <c r="H323" s="620">
        <v>45642.0</v>
      </c>
      <c r="I323" s="617">
        <v>45670.0</v>
      </c>
      <c r="J323" s="119"/>
      <c r="K323" s="119"/>
      <c r="L323" s="112" t="s">
        <v>1848</v>
      </c>
      <c r="M323" s="112" t="s">
        <v>1849</v>
      </c>
      <c r="N323" s="119"/>
      <c r="O323" s="212" t="str">
        <f t="shared" si="11"/>
        <v>10.1017--s1366728914000273.pdf</v>
      </c>
      <c r="P323" s="48" t="str">
        <f t="array" ref="P323">HYPERLINK(INDEX('File Links'!B:B, MATCH(O323, 'File Links'!C:C, 0)))
</f>
        <v>https://drive.google.com/file/d/1Baedt_RF56dAcd90mHgk4WyAWq0rNUNl/view?usp=drivesdk</v>
      </c>
      <c r="Q323" s="112" t="s">
        <v>1850</v>
      </c>
      <c r="R323" s="112" t="s">
        <v>1851</v>
      </c>
      <c r="S323" s="119"/>
      <c r="T323" s="311"/>
      <c r="U323" s="112" t="str">
        <f t="shared" si="12"/>
        <v>10.1017--s0272263124000378.pdf</v>
      </c>
      <c r="V323" s="112" t="s">
        <v>314</v>
      </c>
      <c r="W323" s="45" t="str">
        <f t="array" ref="W323">HYPERLINK(INDEX('File Links'!B:B, MATCH(U323, 'File Links'!C:C, 0)))
</f>
        <v>#N/A</v>
      </c>
      <c r="X323" s="119"/>
      <c r="Y323" s="99" t="s">
        <v>287</v>
      </c>
      <c r="Z323" s="112" t="s">
        <v>1857</v>
      </c>
      <c r="AA323" s="112" t="s">
        <v>1858</v>
      </c>
      <c r="AB323" s="112" t="s">
        <v>1859</v>
      </c>
      <c r="AC323" s="112" t="s">
        <v>1861</v>
      </c>
      <c r="AD323" s="621">
        <v>45416.0</v>
      </c>
      <c r="AE323" s="117">
        <v>68.0</v>
      </c>
      <c r="AF323" s="117">
        <v>53.2</v>
      </c>
      <c r="AG323" s="212" t="s">
        <v>1051</v>
      </c>
      <c r="AH323" s="112" t="s">
        <v>494</v>
      </c>
      <c r="AI323" s="117">
        <v>0.001</v>
      </c>
      <c r="AJ323" s="111"/>
      <c r="AK323" s="622" t="s">
        <v>165</v>
      </c>
      <c r="AL323" s="622" t="s">
        <v>165</v>
      </c>
      <c r="AM323" s="112" t="s">
        <v>165</v>
      </c>
      <c r="AN323" s="117">
        <v>78.0</v>
      </c>
      <c r="AO323" s="117">
        <v>54.66</v>
      </c>
      <c r="AP323" s="112" t="s">
        <v>1051</v>
      </c>
      <c r="AQ323" s="112" t="s">
        <v>627</v>
      </c>
      <c r="AR323" s="117">
        <v>0.001</v>
      </c>
      <c r="AS323" s="111"/>
      <c r="AT323" s="623" t="s">
        <v>165</v>
      </c>
      <c r="AU323" s="623" t="s">
        <v>165</v>
      </c>
      <c r="AV323" s="127" t="s">
        <v>165</v>
      </c>
      <c r="AW323" s="127" t="s">
        <v>134</v>
      </c>
      <c r="AX323" s="55"/>
      <c r="AY323" s="41" t="s">
        <v>135</v>
      </c>
    </row>
    <row r="324" ht="20.25" customHeight="1">
      <c r="A324" s="344" t="s">
        <v>143</v>
      </c>
      <c r="B324" s="344" t="s">
        <v>107</v>
      </c>
      <c r="C324" s="177" t="s">
        <v>1455</v>
      </c>
      <c r="D324" s="178"/>
      <c r="E324" s="188" t="s">
        <v>1845</v>
      </c>
      <c r="F324" s="180" t="s">
        <v>1862</v>
      </c>
      <c r="G324" s="180" t="s">
        <v>1548</v>
      </c>
      <c r="H324" s="616">
        <v>45638.0</v>
      </c>
      <c r="I324" s="617">
        <v>45670.0</v>
      </c>
      <c r="J324" s="101"/>
      <c r="K324" s="101"/>
      <c r="L324" s="99" t="s">
        <v>1848</v>
      </c>
      <c r="M324" s="99" t="s">
        <v>1849</v>
      </c>
      <c r="N324" s="134">
        <v>1.0</v>
      </c>
      <c r="O324" s="107" t="str">
        <f t="shared" ref="O324:O328" si="13">SUBSTITUTE(LOWER(M324), "/", "--") &amp;  ".pdf"</f>
        <v>10.1017--s1366728914000273.pdf</v>
      </c>
      <c r="P324" s="48" t="str">
        <f t="array" ref="P324">HYPERLINK(INDEX('File Links'!B:B, MATCH(O324, 'File Links'!C:C, 0)))
</f>
        <v>https://drive.google.com/file/d/1Baedt_RF56dAcd90mHgk4WyAWq0rNUNl/view?usp=drivesdk</v>
      </c>
      <c r="Q324" s="99" t="s">
        <v>1850</v>
      </c>
      <c r="R324" s="99" t="s">
        <v>1851</v>
      </c>
      <c r="S324" s="101"/>
      <c r="T324" s="134">
        <v>1.0</v>
      </c>
      <c r="U324" s="99" t="str">
        <f t="shared" ref="U324:U328" si="14">HYPERLINK(VLOOKUP(LOWER(R324),#REF!, 2, FALSE), SUBSTITUTE(LOWER(R324), "/", "--") &amp;  ".pdf")</f>
        <v>10.1017--s0272263124000378.pdf</v>
      </c>
      <c r="V324" s="112" t="s">
        <v>314</v>
      </c>
      <c r="W324" s="45" t="str">
        <f t="array" ref="W324">HYPERLINK(INDEX('File Links'!B:B, MATCH(U324, 'File Links'!C:C, 0)))
</f>
        <v>#N/A</v>
      </c>
      <c r="X324" s="101"/>
      <c r="Y324" s="99" t="s">
        <v>287</v>
      </c>
      <c r="Z324" s="99" t="s">
        <v>1852</v>
      </c>
      <c r="AA324" s="99" t="s">
        <v>1853</v>
      </c>
      <c r="AB324" s="99" t="s">
        <v>1863</v>
      </c>
      <c r="AC324" s="99" t="s">
        <v>1864</v>
      </c>
      <c r="AD324" s="104">
        <v>5.0</v>
      </c>
      <c r="AE324" s="104">
        <v>68.0</v>
      </c>
      <c r="AF324" s="103" t="s">
        <v>165</v>
      </c>
      <c r="AG324" s="103" t="s">
        <v>165</v>
      </c>
      <c r="AH324" s="618" t="s">
        <v>892</v>
      </c>
      <c r="AI324" s="103" t="s">
        <v>165</v>
      </c>
      <c r="AJ324" s="103" t="s">
        <v>165</v>
      </c>
      <c r="AK324" s="101" t="s">
        <v>179</v>
      </c>
      <c r="AL324" s="101" t="s">
        <v>132</v>
      </c>
      <c r="AM324" s="128" t="s">
        <v>165</v>
      </c>
      <c r="AN324" s="104">
        <v>78.0</v>
      </c>
      <c r="AO324" s="104">
        <v>0.01</v>
      </c>
      <c r="AP324" s="101" t="s">
        <v>130</v>
      </c>
      <c r="AQ324" s="115">
        <v>10.0</v>
      </c>
      <c r="AR324" s="104">
        <v>0.384</v>
      </c>
      <c r="AS324" s="98" t="s">
        <v>164</v>
      </c>
      <c r="AT324" s="98" t="s">
        <v>179</v>
      </c>
      <c r="AU324" s="98" t="s">
        <v>132</v>
      </c>
      <c r="AV324" s="619" t="s">
        <v>165</v>
      </c>
      <c r="AW324" s="108" t="s">
        <v>134</v>
      </c>
      <c r="AX324" s="55"/>
      <c r="AY324" s="41" t="s">
        <v>135</v>
      </c>
      <c r="BB324" s="95"/>
      <c r="BC324" s="95"/>
      <c r="BD324" s="95"/>
      <c r="BE324" s="95"/>
      <c r="BF324" s="95"/>
      <c r="BG324" s="95"/>
      <c r="BH324" s="95"/>
      <c r="BI324" s="95"/>
      <c r="BJ324" s="95"/>
      <c r="BK324" s="95"/>
      <c r="BL324" s="95"/>
      <c r="BM324" s="95"/>
      <c r="BN324" s="95"/>
      <c r="BO324" s="95"/>
      <c r="BP324" s="95"/>
      <c r="BQ324" s="95"/>
      <c r="BR324" s="95"/>
      <c r="BS324" s="95"/>
      <c r="BT324" s="95"/>
      <c r="BU324" s="95"/>
      <c r="BV324" s="95"/>
      <c r="BW324" s="95"/>
      <c r="BX324" s="95"/>
      <c r="BY324" s="95"/>
      <c r="BZ324" s="95"/>
      <c r="CA324" s="95"/>
      <c r="CB324" s="95"/>
      <c r="CC324" s="95"/>
      <c r="CD324" s="95"/>
      <c r="CE324" s="95"/>
      <c r="CF324" s="95"/>
      <c r="CG324" s="95"/>
      <c r="CH324" s="95"/>
      <c r="CI324" s="95"/>
      <c r="CJ324" s="95"/>
      <c r="CK324" s="95"/>
      <c r="CL324" s="95"/>
      <c r="CM324" s="95"/>
      <c r="CN324" s="95"/>
      <c r="CO324" s="95"/>
      <c r="CP324" s="95"/>
      <c r="CQ324" s="95"/>
      <c r="CR324" s="95"/>
      <c r="CS324" s="95"/>
      <c r="CT324" s="95"/>
      <c r="CU324" s="95"/>
      <c r="CV324" s="95"/>
      <c r="CW324" s="95"/>
      <c r="CX324" s="95"/>
      <c r="CY324" s="95"/>
      <c r="CZ324" s="95"/>
      <c r="DA324" s="95"/>
      <c r="DB324" s="95"/>
      <c r="DC324" s="95"/>
      <c r="DD324" s="95"/>
      <c r="DE324" s="95"/>
      <c r="DF324" s="95"/>
      <c r="DG324" s="95"/>
    </row>
    <row r="325" ht="20.25" customHeight="1">
      <c r="A325" s="344" t="s">
        <v>143</v>
      </c>
      <c r="B325" s="344" t="s">
        <v>107</v>
      </c>
      <c r="C325" s="177" t="s">
        <v>1455</v>
      </c>
      <c r="D325" s="178"/>
      <c r="E325" s="188" t="s">
        <v>1845</v>
      </c>
      <c r="F325" s="180" t="s">
        <v>1865</v>
      </c>
      <c r="G325" s="180" t="s">
        <v>1548</v>
      </c>
      <c r="H325" s="616">
        <v>45638.0</v>
      </c>
      <c r="I325" s="617">
        <v>45670.0</v>
      </c>
      <c r="J325" s="101"/>
      <c r="K325" s="101"/>
      <c r="L325" s="99" t="s">
        <v>1848</v>
      </c>
      <c r="M325" s="99" t="s">
        <v>1849</v>
      </c>
      <c r="N325" s="134">
        <v>1.0</v>
      </c>
      <c r="O325" s="107" t="str">
        <f t="shared" si="13"/>
        <v>10.1017--s1366728914000273.pdf</v>
      </c>
      <c r="P325" s="48" t="str">
        <f t="array" ref="P325">HYPERLINK(INDEX('File Links'!B:B, MATCH(O325, 'File Links'!C:C, 0)))
</f>
        <v>https://drive.google.com/file/d/1Baedt_RF56dAcd90mHgk4WyAWq0rNUNl/view?usp=drivesdk</v>
      </c>
      <c r="Q325" s="99" t="s">
        <v>1850</v>
      </c>
      <c r="R325" s="99" t="s">
        <v>1851</v>
      </c>
      <c r="S325" s="101"/>
      <c r="T325" s="134">
        <v>1.0</v>
      </c>
      <c r="U325" s="99" t="str">
        <f t="shared" si="14"/>
        <v>10.1017--s0272263124000378.pdf</v>
      </c>
      <c r="V325" s="112" t="s">
        <v>314</v>
      </c>
      <c r="W325" s="45" t="str">
        <f t="array" ref="W325">HYPERLINK(INDEX('File Links'!B:B, MATCH(U325, 'File Links'!C:C, 0)))
</f>
        <v>#N/A</v>
      </c>
      <c r="X325" s="101"/>
      <c r="Y325" s="99" t="s">
        <v>287</v>
      </c>
      <c r="Z325" s="99" t="s">
        <v>1852</v>
      </c>
      <c r="AA325" s="99" t="s">
        <v>1853</v>
      </c>
      <c r="AB325" s="99" t="s">
        <v>1866</v>
      </c>
      <c r="AC325" s="99" t="s">
        <v>1867</v>
      </c>
      <c r="AD325" s="104">
        <v>5.0</v>
      </c>
      <c r="AE325" s="104">
        <v>68.0</v>
      </c>
      <c r="AF325" s="104">
        <v>0.07</v>
      </c>
      <c r="AG325" s="106" t="s">
        <v>130</v>
      </c>
      <c r="AH325" s="618" t="s">
        <v>892</v>
      </c>
      <c r="AI325" s="104">
        <v>0.03</v>
      </c>
      <c r="AJ325" s="98" t="s">
        <v>164</v>
      </c>
      <c r="AK325" s="101" t="s">
        <v>179</v>
      </c>
      <c r="AL325" s="101" t="s">
        <v>132</v>
      </c>
      <c r="AM325" s="128" t="s">
        <v>165</v>
      </c>
      <c r="AN325" s="104">
        <v>78.0</v>
      </c>
      <c r="AO325" s="104">
        <v>0.051</v>
      </c>
      <c r="AP325" s="101" t="s">
        <v>130</v>
      </c>
      <c r="AQ325" s="115">
        <v>10.0</v>
      </c>
      <c r="AR325" s="104">
        <v>0.047</v>
      </c>
      <c r="AS325" s="98" t="s">
        <v>164</v>
      </c>
      <c r="AT325" s="98" t="s">
        <v>179</v>
      </c>
      <c r="AU325" s="98" t="s">
        <v>132</v>
      </c>
      <c r="AV325" s="619" t="s">
        <v>165</v>
      </c>
      <c r="AW325" s="108" t="s">
        <v>134</v>
      </c>
      <c r="AX325" s="55"/>
      <c r="AY325" s="41" t="s">
        <v>135</v>
      </c>
      <c r="BB325" s="64"/>
      <c r="BC325" s="64"/>
      <c r="BD325" s="64"/>
      <c r="BE325" s="64"/>
      <c r="BF325" s="64"/>
      <c r="BG325" s="64"/>
      <c r="BH325" s="64"/>
      <c r="BI325" s="64"/>
      <c r="BJ325" s="64"/>
      <c r="BK325" s="64"/>
      <c r="BL325" s="64"/>
      <c r="BM325" s="64"/>
      <c r="BN325" s="64"/>
      <c r="BO325" s="64"/>
      <c r="BP325" s="64"/>
      <c r="BQ325" s="64"/>
      <c r="BR325" s="64"/>
      <c r="BS325" s="64"/>
      <c r="BT325" s="64"/>
      <c r="BU325" s="64"/>
      <c r="BV325" s="64"/>
      <c r="BW325" s="64"/>
      <c r="BX325" s="64"/>
      <c r="BY325" s="64"/>
      <c r="BZ325" s="64"/>
      <c r="CA325" s="64"/>
      <c r="CB325" s="64"/>
      <c r="CC325" s="64"/>
      <c r="CD325" s="64"/>
      <c r="CE325" s="64"/>
      <c r="CF325" s="64"/>
      <c r="CG325" s="64"/>
      <c r="CH325" s="64"/>
      <c r="CI325" s="64"/>
      <c r="CJ325" s="64"/>
      <c r="CK325" s="64"/>
      <c r="CL325" s="64"/>
      <c r="CM325" s="64"/>
      <c r="CN325" s="64"/>
      <c r="CO325" s="64"/>
      <c r="CP325" s="64"/>
      <c r="CQ325" s="64"/>
      <c r="CR325" s="64"/>
      <c r="CS325" s="64"/>
      <c r="CT325" s="64"/>
      <c r="CU325" s="64"/>
      <c r="CV325" s="64"/>
      <c r="CW325" s="64"/>
      <c r="CX325" s="64"/>
      <c r="CY325" s="64"/>
      <c r="CZ325" s="64"/>
      <c r="DA325" s="64"/>
      <c r="DB325" s="64"/>
      <c r="DC325" s="64"/>
      <c r="DD325" s="64"/>
      <c r="DE325" s="64"/>
      <c r="DF325" s="64"/>
      <c r="DG325" s="64"/>
    </row>
    <row r="326" ht="20.25" customHeight="1">
      <c r="A326" s="344" t="s">
        <v>143</v>
      </c>
      <c r="B326" s="344" t="s">
        <v>107</v>
      </c>
      <c r="C326" s="177" t="s">
        <v>1455</v>
      </c>
      <c r="D326" s="178"/>
      <c r="E326" s="188" t="s">
        <v>1845</v>
      </c>
      <c r="F326" s="180" t="s">
        <v>1868</v>
      </c>
      <c r="G326" s="180" t="s">
        <v>1548</v>
      </c>
      <c r="H326" s="616">
        <v>45638.0</v>
      </c>
      <c r="I326" s="617">
        <v>45670.0</v>
      </c>
      <c r="J326" s="101"/>
      <c r="K326" s="101"/>
      <c r="L326" s="99" t="s">
        <v>1848</v>
      </c>
      <c r="M326" s="99" t="s">
        <v>1849</v>
      </c>
      <c r="N326" s="134">
        <v>1.0</v>
      </c>
      <c r="O326" s="107" t="str">
        <f t="shared" si="13"/>
        <v>10.1017--s1366728914000273.pdf</v>
      </c>
      <c r="P326" s="48" t="str">
        <f t="array" ref="P326">HYPERLINK(INDEX('File Links'!B:B, MATCH(O326, 'File Links'!C:C, 0)))
</f>
        <v>https://drive.google.com/file/d/1Baedt_RF56dAcd90mHgk4WyAWq0rNUNl/view?usp=drivesdk</v>
      </c>
      <c r="Q326" s="99" t="s">
        <v>1850</v>
      </c>
      <c r="R326" s="99" t="s">
        <v>1851</v>
      </c>
      <c r="S326" s="101"/>
      <c r="T326" s="134">
        <v>1.0</v>
      </c>
      <c r="U326" s="99" t="str">
        <f t="shared" si="14"/>
        <v>10.1017--s0272263124000378.pdf</v>
      </c>
      <c r="V326" s="112" t="s">
        <v>314</v>
      </c>
      <c r="W326" s="45" t="str">
        <f t="array" ref="W326">HYPERLINK(INDEX('File Links'!B:B, MATCH(U326, 'File Links'!C:C, 0)))
</f>
        <v>#N/A</v>
      </c>
      <c r="X326" s="101"/>
      <c r="Y326" s="99" t="s">
        <v>287</v>
      </c>
      <c r="Z326" s="99" t="s">
        <v>1852</v>
      </c>
      <c r="AA326" s="99" t="s">
        <v>1853</v>
      </c>
      <c r="AB326" s="99" t="s">
        <v>1869</v>
      </c>
      <c r="AC326" s="99" t="s">
        <v>1870</v>
      </c>
      <c r="AD326" s="104">
        <v>6.0</v>
      </c>
      <c r="AE326" s="104">
        <v>68.0</v>
      </c>
      <c r="AF326" s="104">
        <v>0.45</v>
      </c>
      <c r="AG326" s="106" t="s">
        <v>130</v>
      </c>
      <c r="AH326" s="618" t="s">
        <v>131</v>
      </c>
      <c r="AI326" s="104">
        <v>0.001</v>
      </c>
      <c r="AJ326" s="98" t="s">
        <v>127</v>
      </c>
      <c r="AK326" s="101" t="s">
        <v>179</v>
      </c>
      <c r="AL326" s="101" t="s">
        <v>132</v>
      </c>
      <c r="AM326" s="128" t="s">
        <v>165</v>
      </c>
      <c r="AN326" s="104">
        <v>78.0</v>
      </c>
      <c r="AO326" s="104">
        <v>0.418</v>
      </c>
      <c r="AP326" s="101" t="s">
        <v>130</v>
      </c>
      <c r="AQ326" s="115">
        <v>11.0</v>
      </c>
      <c r="AR326" s="104">
        <v>0.001</v>
      </c>
      <c r="AS326" s="98" t="s">
        <v>127</v>
      </c>
      <c r="AT326" s="98" t="s">
        <v>179</v>
      </c>
      <c r="AU326" s="98" t="s">
        <v>132</v>
      </c>
      <c r="AV326" s="619" t="s">
        <v>165</v>
      </c>
      <c r="AW326" s="108" t="s">
        <v>134</v>
      </c>
      <c r="AX326" s="55"/>
      <c r="AY326" s="41" t="s">
        <v>135</v>
      </c>
      <c r="BB326" s="64"/>
      <c r="BC326" s="64"/>
      <c r="BD326" s="64"/>
      <c r="BE326" s="64"/>
      <c r="BF326" s="64"/>
      <c r="BG326" s="64"/>
      <c r="BH326" s="64"/>
      <c r="BI326" s="64"/>
      <c r="BJ326" s="64"/>
      <c r="BK326" s="64"/>
      <c r="BL326" s="64"/>
      <c r="BM326" s="64"/>
      <c r="BN326" s="64"/>
      <c r="BO326" s="64"/>
      <c r="BP326" s="64"/>
      <c r="BQ326" s="64"/>
      <c r="BR326" s="64"/>
      <c r="BS326" s="64"/>
      <c r="BT326" s="64"/>
      <c r="BU326" s="64"/>
      <c r="BV326" s="64"/>
      <c r="BW326" s="64"/>
      <c r="BX326" s="64"/>
      <c r="BY326" s="64"/>
      <c r="BZ326" s="64"/>
      <c r="CA326" s="64"/>
      <c r="CB326" s="64"/>
      <c r="CC326" s="64"/>
      <c r="CD326" s="64"/>
      <c r="CE326" s="64"/>
      <c r="CF326" s="64"/>
      <c r="CG326" s="64"/>
      <c r="CH326" s="64"/>
      <c r="CI326" s="64"/>
      <c r="CJ326" s="64"/>
      <c r="CK326" s="64"/>
      <c r="CL326" s="64"/>
      <c r="CM326" s="64"/>
      <c r="CN326" s="64"/>
      <c r="CO326" s="64"/>
      <c r="CP326" s="64"/>
      <c r="CQ326" s="64"/>
      <c r="CR326" s="64"/>
      <c r="CS326" s="64"/>
      <c r="CT326" s="64"/>
      <c r="CU326" s="64"/>
      <c r="CV326" s="64"/>
      <c r="CW326" s="64"/>
      <c r="CX326" s="64"/>
      <c r="CY326" s="64"/>
      <c r="CZ326" s="64"/>
      <c r="DA326" s="64"/>
      <c r="DB326" s="64"/>
      <c r="DC326" s="64"/>
      <c r="DD326" s="64"/>
      <c r="DE326" s="64"/>
      <c r="DF326" s="64"/>
      <c r="DG326" s="64"/>
    </row>
    <row r="327" ht="20.25" customHeight="1">
      <c r="A327" s="344" t="s">
        <v>143</v>
      </c>
      <c r="B327" s="344" t="s">
        <v>107</v>
      </c>
      <c r="C327" s="177" t="s">
        <v>1455</v>
      </c>
      <c r="D327" s="178"/>
      <c r="E327" s="188" t="s">
        <v>1845</v>
      </c>
      <c r="F327" s="180" t="s">
        <v>1871</v>
      </c>
      <c r="G327" s="180" t="s">
        <v>1548</v>
      </c>
      <c r="H327" s="616">
        <v>45638.0</v>
      </c>
      <c r="I327" s="617">
        <v>45670.0</v>
      </c>
      <c r="J327" s="101"/>
      <c r="K327" s="202"/>
      <c r="L327" s="99" t="s">
        <v>1848</v>
      </c>
      <c r="M327" s="99" t="s">
        <v>1849</v>
      </c>
      <c r="N327" s="134">
        <v>1.0</v>
      </c>
      <c r="O327" s="107" t="str">
        <f t="shared" si="13"/>
        <v>10.1017--s1366728914000273.pdf</v>
      </c>
      <c r="P327" s="48" t="str">
        <f t="array" ref="P327">HYPERLINK(INDEX('File Links'!B:B, MATCH(O327, 'File Links'!C:C, 0)))
</f>
        <v>https://drive.google.com/file/d/1Baedt_RF56dAcd90mHgk4WyAWq0rNUNl/view?usp=drivesdk</v>
      </c>
      <c r="Q327" s="99" t="s">
        <v>1850</v>
      </c>
      <c r="R327" s="99" t="s">
        <v>1851</v>
      </c>
      <c r="S327" s="101"/>
      <c r="T327" s="134">
        <v>1.0</v>
      </c>
      <c r="U327" s="99" t="str">
        <f t="shared" si="14"/>
        <v>10.1017--s0272263124000378.pdf</v>
      </c>
      <c r="V327" s="112" t="s">
        <v>314</v>
      </c>
      <c r="W327" s="45" t="str">
        <f t="array" ref="W327">HYPERLINK(INDEX('File Links'!B:B, MATCH(U327, 'File Links'!C:C, 0)))
</f>
        <v>#N/A</v>
      </c>
      <c r="X327" s="101"/>
      <c r="Y327" s="99" t="s">
        <v>287</v>
      </c>
      <c r="Z327" s="99" t="s">
        <v>1852</v>
      </c>
      <c r="AA327" s="99" t="s">
        <v>1853</v>
      </c>
      <c r="AB327" s="99" t="s">
        <v>1872</v>
      </c>
      <c r="AC327" s="99" t="s">
        <v>1873</v>
      </c>
      <c r="AD327" s="104">
        <v>6.0</v>
      </c>
      <c r="AE327" s="104">
        <v>68.0</v>
      </c>
      <c r="AF327" s="103" t="s">
        <v>165</v>
      </c>
      <c r="AG327" s="103" t="s">
        <v>165</v>
      </c>
      <c r="AH327" s="618" t="s">
        <v>131</v>
      </c>
      <c r="AI327" s="103" t="s">
        <v>165</v>
      </c>
      <c r="AJ327" s="103" t="s">
        <v>165</v>
      </c>
      <c r="AK327" s="101" t="s">
        <v>179</v>
      </c>
      <c r="AL327" s="101" t="s">
        <v>132</v>
      </c>
      <c r="AM327" s="128" t="s">
        <v>165</v>
      </c>
      <c r="AN327" s="104">
        <v>78.0</v>
      </c>
      <c r="AO327" s="104">
        <v>0.029</v>
      </c>
      <c r="AP327" s="101" t="s">
        <v>130</v>
      </c>
      <c r="AQ327" s="115">
        <v>11.0</v>
      </c>
      <c r="AR327" s="618">
        <v>0.133</v>
      </c>
      <c r="AS327" s="98" t="s">
        <v>164</v>
      </c>
      <c r="AT327" s="98" t="s">
        <v>179</v>
      </c>
      <c r="AU327" s="98" t="s">
        <v>132</v>
      </c>
      <c r="AV327" s="619" t="s">
        <v>165</v>
      </c>
      <c r="AW327" s="108" t="s">
        <v>134</v>
      </c>
      <c r="AX327" s="115"/>
      <c r="AY327" s="41" t="s">
        <v>135</v>
      </c>
      <c r="BB327" s="64"/>
      <c r="BC327" s="64"/>
      <c r="BD327" s="64"/>
      <c r="BE327" s="64"/>
      <c r="BF327" s="64"/>
      <c r="BG327" s="64"/>
      <c r="BH327" s="64"/>
      <c r="BI327" s="64"/>
      <c r="BJ327" s="64"/>
      <c r="BK327" s="64"/>
      <c r="BL327" s="64"/>
      <c r="BM327" s="64"/>
      <c r="BN327" s="64"/>
      <c r="BO327" s="64"/>
      <c r="BP327" s="64"/>
      <c r="BQ327" s="64"/>
      <c r="BR327" s="64"/>
      <c r="BS327" s="64"/>
      <c r="BT327" s="64"/>
      <c r="BU327" s="64"/>
      <c r="BV327" s="64"/>
      <c r="BW327" s="64"/>
      <c r="BX327" s="64"/>
      <c r="BY327" s="64"/>
      <c r="BZ327" s="64"/>
      <c r="CA327" s="64"/>
      <c r="CB327" s="64"/>
      <c r="CC327" s="64"/>
      <c r="CD327" s="64"/>
      <c r="CE327" s="64"/>
      <c r="CF327" s="64"/>
      <c r="CG327" s="64"/>
      <c r="CH327" s="64"/>
      <c r="CI327" s="64"/>
      <c r="CJ327" s="64"/>
      <c r="CK327" s="64"/>
      <c r="CL327" s="64"/>
      <c r="CM327" s="64"/>
      <c r="CN327" s="64"/>
      <c r="CO327" s="64"/>
      <c r="CP327" s="64"/>
      <c r="CQ327" s="64"/>
      <c r="CR327" s="64"/>
      <c r="CS327" s="64"/>
      <c r="CT327" s="64"/>
      <c r="CU327" s="64"/>
      <c r="CV327" s="64"/>
      <c r="CW327" s="64"/>
      <c r="CX327" s="64"/>
      <c r="CY327" s="64"/>
      <c r="CZ327" s="64"/>
      <c r="DA327" s="64"/>
      <c r="DB327" s="64"/>
      <c r="DC327" s="64"/>
      <c r="DD327" s="64"/>
      <c r="DE327" s="64"/>
      <c r="DF327" s="64"/>
      <c r="DG327" s="64"/>
    </row>
    <row r="328" ht="20.25" customHeight="1">
      <c r="A328" s="344" t="s">
        <v>143</v>
      </c>
      <c r="B328" s="344" t="s">
        <v>107</v>
      </c>
      <c r="C328" s="177" t="s">
        <v>1455</v>
      </c>
      <c r="D328" s="178"/>
      <c r="E328" s="188" t="s">
        <v>1845</v>
      </c>
      <c r="F328" s="180" t="s">
        <v>1874</v>
      </c>
      <c r="G328" s="180" t="s">
        <v>1548</v>
      </c>
      <c r="H328" s="616">
        <v>45638.0</v>
      </c>
      <c r="I328" s="617">
        <v>45670.0</v>
      </c>
      <c r="J328" s="101"/>
      <c r="K328" s="101"/>
      <c r="L328" s="99" t="s">
        <v>1848</v>
      </c>
      <c r="M328" s="99" t="s">
        <v>1849</v>
      </c>
      <c r="N328" s="134">
        <v>1.0</v>
      </c>
      <c r="O328" s="107" t="str">
        <f t="shared" si="13"/>
        <v>10.1017--s1366728914000273.pdf</v>
      </c>
      <c r="P328" s="48" t="str">
        <f t="array" ref="P328">HYPERLINK(INDEX('File Links'!B:B, MATCH(O328, 'File Links'!C:C, 0)))
</f>
        <v>https://drive.google.com/file/d/1Baedt_RF56dAcd90mHgk4WyAWq0rNUNl/view?usp=drivesdk</v>
      </c>
      <c r="Q328" s="99" t="s">
        <v>1850</v>
      </c>
      <c r="R328" s="99" t="s">
        <v>1851</v>
      </c>
      <c r="S328" s="101"/>
      <c r="T328" s="134">
        <v>1.0</v>
      </c>
      <c r="U328" s="99" t="str">
        <f t="shared" si="14"/>
        <v>10.1017--s0272263124000378.pdf</v>
      </c>
      <c r="V328" s="112" t="s">
        <v>314</v>
      </c>
      <c r="W328" s="45" t="str">
        <f t="array" ref="W328">HYPERLINK(INDEX('File Links'!B:B, MATCH(U328, 'File Links'!C:C, 0)))
</f>
        <v>#N/A</v>
      </c>
      <c r="X328" s="101"/>
      <c r="Y328" s="99" t="s">
        <v>287</v>
      </c>
      <c r="Z328" s="99" t="s">
        <v>1852</v>
      </c>
      <c r="AA328" s="99" t="s">
        <v>1853</v>
      </c>
      <c r="AB328" s="99" t="s">
        <v>1875</v>
      </c>
      <c r="AC328" s="99" t="s">
        <v>1873</v>
      </c>
      <c r="AD328" s="104">
        <v>6.0</v>
      </c>
      <c r="AE328" s="104">
        <v>68.0</v>
      </c>
      <c r="AF328" s="103" t="s">
        <v>165</v>
      </c>
      <c r="AG328" s="103" t="s">
        <v>165</v>
      </c>
      <c r="AH328" s="618" t="s">
        <v>131</v>
      </c>
      <c r="AI328" s="103" t="s">
        <v>165</v>
      </c>
      <c r="AJ328" s="103" t="s">
        <v>165</v>
      </c>
      <c r="AK328" s="101" t="s">
        <v>179</v>
      </c>
      <c r="AL328" s="101" t="s">
        <v>132</v>
      </c>
      <c r="AM328" s="128" t="s">
        <v>165</v>
      </c>
      <c r="AN328" s="104">
        <v>78.0</v>
      </c>
      <c r="AO328" s="104">
        <v>0.015</v>
      </c>
      <c r="AP328" s="101" t="s">
        <v>130</v>
      </c>
      <c r="AQ328" s="115">
        <v>11.0</v>
      </c>
      <c r="AR328" s="104">
        <v>0.282</v>
      </c>
      <c r="AS328" s="98" t="s">
        <v>164</v>
      </c>
      <c r="AT328" s="98" t="s">
        <v>179</v>
      </c>
      <c r="AU328" s="98" t="s">
        <v>132</v>
      </c>
      <c r="AV328" s="619" t="s">
        <v>165</v>
      </c>
      <c r="AW328" s="108" t="s">
        <v>134</v>
      </c>
      <c r="AX328" s="55"/>
      <c r="AY328" s="41" t="s">
        <v>135</v>
      </c>
      <c r="BB328" s="64"/>
      <c r="BC328" s="64"/>
      <c r="BD328" s="64"/>
      <c r="BE328" s="64"/>
      <c r="BF328" s="64"/>
      <c r="BG328" s="64"/>
      <c r="BH328" s="64"/>
      <c r="BI328" s="64"/>
      <c r="BJ328" s="64"/>
      <c r="BK328" s="64"/>
      <c r="BL328" s="64"/>
      <c r="BM328" s="64"/>
      <c r="BN328" s="64"/>
      <c r="BO328" s="64"/>
      <c r="BP328" s="64"/>
      <c r="BQ328" s="64"/>
      <c r="BR328" s="64"/>
      <c r="BS328" s="64"/>
      <c r="BT328" s="64"/>
      <c r="BU328" s="64"/>
      <c r="BV328" s="64"/>
      <c r="BW328" s="64"/>
      <c r="BX328" s="64"/>
      <c r="BY328" s="64"/>
      <c r="BZ328" s="64"/>
      <c r="CA328" s="64"/>
      <c r="CB328" s="64"/>
      <c r="CC328" s="64"/>
      <c r="CD328" s="64"/>
      <c r="CE328" s="64"/>
      <c r="CF328" s="64"/>
      <c r="CG328" s="64"/>
      <c r="CH328" s="64"/>
      <c r="CI328" s="64"/>
      <c r="CJ328" s="64"/>
      <c r="CK328" s="64"/>
      <c r="CL328" s="64"/>
      <c r="CM328" s="64"/>
      <c r="CN328" s="64"/>
      <c r="CO328" s="64"/>
      <c r="CP328" s="64"/>
      <c r="CQ328" s="64"/>
      <c r="CR328" s="64"/>
      <c r="CS328" s="64"/>
      <c r="CT328" s="64"/>
      <c r="CU328" s="64"/>
      <c r="CV328" s="64"/>
      <c r="CW328" s="64"/>
      <c r="CX328" s="64"/>
      <c r="CY328" s="64"/>
      <c r="CZ328" s="64"/>
      <c r="DA328" s="64"/>
      <c r="DB328" s="64"/>
      <c r="DC328" s="64"/>
      <c r="DD328" s="64"/>
      <c r="DE328" s="64"/>
      <c r="DF328" s="64"/>
      <c r="DG328" s="64"/>
    </row>
    <row r="329" ht="20.25" customHeight="1">
      <c r="A329" s="344" t="s">
        <v>106</v>
      </c>
      <c r="B329" s="344" t="s">
        <v>107</v>
      </c>
      <c r="C329" s="344" t="s">
        <v>191</v>
      </c>
      <c r="D329" s="624"/>
      <c r="E329" s="147" t="s">
        <v>1876</v>
      </c>
      <c r="F329" s="52" t="s">
        <v>1877</v>
      </c>
      <c r="G329" s="52" t="s">
        <v>194</v>
      </c>
      <c r="H329" s="409">
        <v>45639.0</v>
      </c>
      <c r="I329" s="617">
        <v>45670.0</v>
      </c>
      <c r="J329" s="52" t="s">
        <v>1878</v>
      </c>
      <c r="K329" s="55"/>
      <c r="L329" s="52" t="s">
        <v>1879</v>
      </c>
      <c r="M329" s="55"/>
      <c r="N329" s="55"/>
      <c r="O329" s="302" t="s">
        <v>1880</v>
      </c>
      <c r="P329" s="48" t="str">
        <f t="array" ref="P329">HYPERLINK(INDEX('File Links'!B:B, MATCH(O329, 'File Links'!C:C, 0)))
</f>
        <v>https://drive.google.com/file/d/1jZb-p-3Rc26saHcNX9fyKAs8ayXvLp_G/view?usp=drivesdk</v>
      </c>
      <c r="Q329" s="52" t="s">
        <v>1881</v>
      </c>
      <c r="R329" s="55"/>
      <c r="S329" s="55"/>
      <c r="T329" s="329"/>
      <c r="U329" s="354" t="s">
        <v>351</v>
      </c>
      <c r="V329" s="52" t="s">
        <v>202</v>
      </c>
      <c r="W329" s="45" t="str">
        <f t="array" ref="W329">HYPERLINK(INDEX('File Links'!B:B, MATCH(U329, 'File Links'!C:C, 0)))
</f>
        <v>#N/A</v>
      </c>
      <c r="X329" s="55"/>
      <c r="Y329" s="52" t="s">
        <v>235</v>
      </c>
      <c r="Z329" s="52" t="s">
        <v>1882</v>
      </c>
      <c r="AA329" s="52" t="s">
        <v>1883</v>
      </c>
      <c r="AB329" s="55"/>
      <c r="AC329" s="55"/>
      <c r="AD329" s="55"/>
      <c r="AE329" s="55"/>
      <c r="AF329" s="55"/>
      <c r="AG329" s="329"/>
      <c r="AH329" s="55"/>
      <c r="AI329" s="55"/>
      <c r="AJ329" s="60"/>
      <c r="AK329" s="55"/>
      <c r="AL329" s="55"/>
      <c r="AM329" s="55"/>
      <c r="AN329" s="55"/>
      <c r="AO329" s="55"/>
      <c r="AP329" s="55"/>
      <c r="AQ329" s="55"/>
      <c r="AR329" s="55"/>
      <c r="AS329" s="60"/>
      <c r="AT329" s="60"/>
      <c r="AU329" s="60"/>
      <c r="AV329" s="60"/>
      <c r="AW329" s="60"/>
      <c r="AX329" s="55"/>
      <c r="AY329" s="41" t="s">
        <v>135</v>
      </c>
      <c r="BB329" s="95"/>
      <c r="BC329" s="95"/>
      <c r="BD329" s="95"/>
      <c r="BE329" s="95"/>
      <c r="BF329" s="95"/>
      <c r="BG329" s="95"/>
      <c r="BH329" s="95"/>
      <c r="BI329" s="95"/>
      <c r="BJ329" s="95"/>
      <c r="BK329" s="95"/>
      <c r="BL329" s="95"/>
      <c r="BM329" s="95"/>
      <c r="BN329" s="95"/>
      <c r="BO329" s="95"/>
      <c r="BP329" s="95"/>
      <c r="BQ329" s="95"/>
      <c r="BR329" s="95"/>
      <c r="BS329" s="95"/>
      <c r="BT329" s="95"/>
      <c r="BU329" s="95"/>
      <c r="BV329" s="95"/>
      <c r="BW329" s="95"/>
      <c r="BX329" s="95"/>
      <c r="BY329" s="95"/>
      <c r="BZ329" s="95"/>
      <c r="CA329" s="95"/>
      <c r="CB329" s="95"/>
      <c r="CC329" s="95"/>
      <c r="CD329" s="95"/>
      <c r="CE329" s="95"/>
      <c r="CF329" s="95"/>
      <c r="CG329" s="95"/>
      <c r="CH329" s="95"/>
      <c r="CI329" s="95"/>
      <c r="CJ329" s="95"/>
      <c r="CK329" s="95"/>
      <c r="CL329" s="95"/>
      <c r="CM329" s="95"/>
      <c r="CN329" s="95"/>
      <c r="CO329" s="95"/>
      <c r="CP329" s="95"/>
      <c r="CQ329" s="95"/>
      <c r="CR329" s="95"/>
      <c r="CS329" s="95"/>
      <c r="CT329" s="95"/>
      <c r="CU329" s="95"/>
      <c r="CV329" s="95"/>
      <c r="CW329" s="95"/>
      <c r="CX329" s="95"/>
      <c r="CY329" s="95"/>
      <c r="CZ329" s="95"/>
      <c r="DA329" s="95"/>
      <c r="DB329" s="95"/>
      <c r="DC329" s="95"/>
      <c r="DD329" s="95"/>
      <c r="DE329" s="95"/>
      <c r="DF329" s="95"/>
      <c r="DG329" s="95"/>
    </row>
    <row r="330" ht="20.25" customHeight="1">
      <c r="A330" s="177" t="s">
        <v>143</v>
      </c>
      <c r="B330" s="177" t="s">
        <v>107</v>
      </c>
      <c r="C330" s="177" t="s">
        <v>280</v>
      </c>
      <c r="D330" s="178"/>
      <c r="E330" s="60" t="s">
        <v>1876</v>
      </c>
      <c r="F330" s="52" t="s">
        <v>1877</v>
      </c>
      <c r="G330" s="139" t="s">
        <v>280</v>
      </c>
      <c r="H330" s="409">
        <v>45636.0</v>
      </c>
      <c r="I330" s="617">
        <v>45670.0</v>
      </c>
      <c r="J330" s="147" t="s">
        <v>1884</v>
      </c>
      <c r="K330" s="202" t="s">
        <v>1885</v>
      </c>
      <c r="L330" s="625" t="s">
        <v>1886</v>
      </c>
      <c r="M330" s="60"/>
      <c r="N330" s="115">
        <v>1.0</v>
      </c>
      <c r="O330" s="302" t="s">
        <v>1880</v>
      </c>
      <c r="P330" s="48" t="str">
        <f t="array" ref="P330">HYPERLINK(INDEX('File Links'!B:B, MATCH(O330, 'File Links'!C:C, 0)))
</f>
        <v>https://drive.google.com/file/d/1jZb-p-3Rc26saHcNX9fyKAs8ayXvLp_G/view?usp=drivesdk</v>
      </c>
      <c r="Q330" s="147" t="s">
        <v>1881</v>
      </c>
      <c r="R330" s="60"/>
      <c r="S330" s="453" t="s">
        <v>1887</v>
      </c>
      <c r="T330" s="134">
        <v>1.0</v>
      </c>
      <c r="U330" s="145" t="s">
        <v>1888</v>
      </c>
      <c r="V330" s="52" t="s">
        <v>202</v>
      </c>
      <c r="W330" s="50" t="str">
        <f t="array" ref="W330">HYPERLINK(INDEX('File Links'!B:B, MATCH(U330, 'File Links'!C:C, 0)))
</f>
        <v>https://drive.google.com/file/d/1mh0lOHypF2E9Nk9sQ57YmqKyEOyrqka8/view?usp=drivesdk</v>
      </c>
      <c r="X330" s="60"/>
      <c r="Y330" s="147" t="s">
        <v>235</v>
      </c>
      <c r="Z330" s="147" t="s">
        <v>1889</v>
      </c>
      <c r="AA330" s="147" t="s">
        <v>1890</v>
      </c>
      <c r="AB330" s="147" t="s">
        <v>1891</v>
      </c>
      <c r="AC330" s="147" t="s">
        <v>1892</v>
      </c>
      <c r="AD330" s="144">
        <v>77.0</v>
      </c>
      <c r="AE330" s="144">
        <v>1110.0</v>
      </c>
      <c r="AF330" s="147" t="s">
        <v>1893</v>
      </c>
      <c r="AG330" s="330" t="s">
        <v>1273</v>
      </c>
      <c r="AH330" s="139" t="s">
        <v>1894</v>
      </c>
      <c r="AI330" s="355">
        <v>0.0</v>
      </c>
      <c r="AJ330" s="147" t="s">
        <v>164</v>
      </c>
      <c r="AK330" s="52" t="s">
        <v>179</v>
      </c>
      <c r="AL330" s="60" t="s">
        <v>129</v>
      </c>
      <c r="AM330" s="128" t="s">
        <v>165</v>
      </c>
      <c r="AN330" s="60"/>
      <c r="AO330" s="147" t="s">
        <v>1895</v>
      </c>
      <c r="AP330" s="147" t="s">
        <v>162</v>
      </c>
      <c r="AQ330" s="147" t="s">
        <v>1896</v>
      </c>
      <c r="AR330" s="144">
        <v>0.001</v>
      </c>
      <c r="AS330" s="147" t="s">
        <v>127</v>
      </c>
      <c r="AT330" s="147" t="s">
        <v>179</v>
      </c>
      <c r="AU330" s="60" t="s">
        <v>129</v>
      </c>
      <c r="AV330" s="115" t="s">
        <v>165</v>
      </c>
      <c r="AW330" s="60" t="s">
        <v>134</v>
      </c>
      <c r="AX330" s="115" t="s">
        <v>1885</v>
      </c>
      <c r="AY330" s="41" t="s">
        <v>135</v>
      </c>
      <c r="BB330" s="95"/>
      <c r="BC330" s="95"/>
      <c r="BD330" s="95"/>
      <c r="BE330" s="95"/>
      <c r="BF330" s="95"/>
      <c r="BG330" s="95"/>
      <c r="BH330" s="95"/>
      <c r="BI330" s="95"/>
      <c r="BJ330" s="95"/>
      <c r="BK330" s="95"/>
      <c r="BL330" s="95"/>
      <c r="BM330" s="95"/>
      <c r="BN330" s="95"/>
      <c r="BO330" s="95"/>
      <c r="BP330" s="95"/>
      <c r="BQ330" s="95"/>
      <c r="BR330" s="95"/>
      <c r="BS330" s="95"/>
      <c r="BT330" s="95"/>
      <c r="BU330" s="95"/>
      <c r="BV330" s="95"/>
      <c r="BW330" s="95"/>
      <c r="BX330" s="95"/>
      <c r="BY330" s="95"/>
      <c r="BZ330" s="95"/>
      <c r="CA330" s="95"/>
      <c r="CB330" s="95"/>
      <c r="CC330" s="95"/>
      <c r="CD330" s="95"/>
      <c r="CE330" s="95"/>
      <c r="CF330" s="95"/>
      <c r="CG330" s="95"/>
      <c r="CH330" s="95"/>
      <c r="CI330" s="95"/>
      <c r="CJ330" s="95"/>
      <c r="CK330" s="95"/>
      <c r="CL330" s="95"/>
      <c r="CM330" s="95"/>
      <c r="CN330" s="95"/>
      <c r="CO330" s="95"/>
      <c r="CP330" s="95"/>
      <c r="CQ330" s="95"/>
      <c r="CR330" s="95"/>
      <c r="CS330" s="95"/>
      <c r="CT330" s="95"/>
      <c r="CU330" s="95"/>
      <c r="CV330" s="95"/>
      <c r="CW330" s="95"/>
      <c r="CX330" s="95"/>
      <c r="CY330" s="95"/>
      <c r="CZ330" s="95"/>
      <c r="DA330" s="95"/>
      <c r="DB330" s="95"/>
      <c r="DC330" s="95"/>
      <c r="DD330" s="95"/>
      <c r="DE330" s="95"/>
      <c r="DF330" s="95"/>
      <c r="DG330" s="95"/>
    </row>
    <row r="331" ht="20.25" customHeight="1">
      <c r="A331" s="344" t="s">
        <v>106</v>
      </c>
      <c r="B331" s="344" t="s">
        <v>107</v>
      </c>
      <c r="C331" s="344" t="s">
        <v>191</v>
      </c>
      <c r="D331" s="624"/>
      <c r="E331" s="108" t="s">
        <v>1897</v>
      </c>
      <c r="F331" s="99" t="s">
        <v>1898</v>
      </c>
      <c r="G331" s="99" t="s">
        <v>194</v>
      </c>
      <c r="H331" s="100">
        <v>45639.0</v>
      </c>
      <c r="I331" s="626">
        <v>45670.0</v>
      </c>
      <c r="J331" s="99" t="s">
        <v>1899</v>
      </c>
      <c r="K331" s="202" t="s">
        <v>1900</v>
      </c>
      <c r="L331" s="99" t="s">
        <v>1901</v>
      </c>
      <c r="M331" s="99" t="s">
        <v>1902</v>
      </c>
      <c r="N331" s="101"/>
      <c r="O331" s="107" t="s">
        <v>1903</v>
      </c>
      <c r="P331" s="48" t="str">
        <f t="array" ref="P331">HYPERLINK(INDEX('File Links'!B:B, MATCH(O331, 'File Links'!C:C, 0)))
</f>
        <v>https://drive.google.com/file/d/1h26KXyOgQpabChNDwArC5YlDBW4_cfve/view?usp=drivesdk</v>
      </c>
      <c r="Q331" s="99" t="s">
        <v>1904</v>
      </c>
      <c r="R331" s="101"/>
      <c r="S331" s="101"/>
      <c r="T331" s="106"/>
      <c r="U331" s="99" t="s">
        <v>351</v>
      </c>
      <c r="V331" s="99" t="s">
        <v>202</v>
      </c>
      <c r="W331" s="45" t="str">
        <f t="array" ref="W331">HYPERLINK(INDEX('File Links'!B:B, MATCH(U331, 'File Links'!C:C, 0)))
</f>
        <v>#N/A</v>
      </c>
      <c r="X331" s="101"/>
      <c r="Y331" s="99" t="s">
        <v>287</v>
      </c>
      <c r="Z331" s="99" t="s">
        <v>1905</v>
      </c>
      <c r="AA331" s="99" t="s">
        <v>1906</v>
      </c>
      <c r="AB331" s="99" t="s">
        <v>1907</v>
      </c>
      <c r="AC331" s="99" t="s">
        <v>1908</v>
      </c>
      <c r="AD331" s="104">
        <v>2.0</v>
      </c>
      <c r="AE331" s="104">
        <v>40.0</v>
      </c>
      <c r="AF331" s="99" t="s">
        <v>1909</v>
      </c>
      <c r="AG331" s="107" t="s">
        <v>162</v>
      </c>
      <c r="AH331" s="99" t="s">
        <v>1910</v>
      </c>
      <c r="AI331" s="104">
        <v>0.02</v>
      </c>
      <c r="AJ331" s="108" t="s">
        <v>127</v>
      </c>
      <c r="AK331" s="99" t="s">
        <v>179</v>
      </c>
      <c r="AL331" s="101" t="s">
        <v>821</v>
      </c>
      <c r="AM331" s="101"/>
      <c r="AN331" s="104">
        <v>127.0</v>
      </c>
      <c r="AO331" s="101" t="s">
        <v>1911</v>
      </c>
      <c r="AP331" s="99" t="s">
        <v>162</v>
      </c>
      <c r="AQ331" s="99" t="s">
        <v>1912</v>
      </c>
      <c r="AR331" s="104">
        <v>0.126</v>
      </c>
      <c r="AS331" s="108" t="s">
        <v>164</v>
      </c>
      <c r="AT331" s="108" t="s">
        <v>179</v>
      </c>
      <c r="AU331" s="98" t="s">
        <v>821</v>
      </c>
      <c r="AV331" s="98"/>
      <c r="AW331" s="98" t="s">
        <v>134</v>
      </c>
      <c r="AX331" s="115" t="s">
        <v>1900</v>
      </c>
      <c r="AY331" s="41" t="s">
        <v>135</v>
      </c>
      <c r="BB331" s="95"/>
      <c r="BC331" s="95"/>
      <c r="BD331" s="95"/>
      <c r="BE331" s="95"/>
      <c r="BF331" s="95"/>
      <c r="BG331" s="95"/>
      <c r="BH331" s="95"/>
      <c r="BI331" s="95"/>
      <c r="BJ331" s="95"/>
      <c r="BK331" s="95"/>
      <c r="BL331" s="95"/>
      <c r="BM331" s="95"/>
      <c r="BN331" s="95"/>
      <c r="BO331" s="95"/>
      <c r="BP331" s="95"/>
      <c r="BQ331" s="95"/>
      <c r="BR331" s="95"/>
      <c r="BS331" s="95"/>
      <c r="BT331" s="95"/>
      <c r="BU331" s="95"/>
      <c r="BV331" s="95"/>
      <c r="BW331" s="95"/>
      <c r="BX331" s="95"/>
      <c r="BY331" s="95"/>
      <c r="BZ331" s="95"/>
      <c r="CA331" s="95"/>
      <c r="CB331" s="95"/>
      <c r="CC331" s="95"/>
      <c r="CD331" s="95"/>
      <c r="CE331" s="95"/>
      <c r="CF331" s="95"/>
      <c r="CG331" s="95"/>
      <c r="CH331" s="95"/>
      <c r="CI331" s="95"/>
      <c r="CJ331" s="95"/>
      <c r="CK331" s="95"/>
      <c r="CL331" s="95"/>
      <c r="CM331" s="95"/>
      <c r="CN331" s="95"/>
      <c r="CO331" s="95"/>
      <c r="CP331" s="95"/>
      <c r="CQ331" s="95"/>
      <c r="CR331" s="95"/>
      <c r="CS331" s="95"/>
      <c r="CT331" s="95"/>
      <c r="CU331" s="95"/>
      <c r="CV331" s="95"/>
      <c r="CW331" s="95"/>
      <c r="CX331" s="95"/>
      <c r="CY331" s="95"/>
      <c r="CZ331" s="95"/>
      <c r="DA331" s="95"/>
      <c r="DB331" s="95"/>
      <c r="DC331" s="95"/>
      <c r="DD331" s="95"/>
      <c r="DE331" s="95"/>
      <c r="DF331" s="95"/>
      <c r="DG331" s="95"/>
    </row>
    <row r="332" ht="20.25" customHeight="1">
      <c r="A332" s="177" t="s">
        <v>143</v>
      </c>
      <c r="B332" s="177" t="s">
        <v>107</v>
      </c>
      <c r="C332" s="177" t="s">
        <v>280</v>
      </c>
      <c r="D332" s="178"/>
      <c r="E332" s="226" t="s">
        <v>1897</v>
      </c>
      <c r="F332" s="218" t="s">
        <v>1898</v>
      </c>
      <c r="G332" s="224" t="s">
        <v>283</v>
      </c>
      <c r="H332" s="219">
        <v>45634.0</v>
      </c>
      <c r="I332" s="627">
        <v>45670.0</v>
      </c>
      <c r="J332" s="224" t="s">
        <v>1913</v>
      </c>
      <c r="K332" s="202" t="s">
        <v>1914</v>
      </c>
      <c r="L332" s="628" t="s">
        <v>1915</v>
      </c>
      <c r="M332" s="224" t="s">
        <v>1902</v>
      </c>
      <c r="N332" s="629">
        <v>1.0</v>
      </c>
      <c r="O332" s="224" t="s">
        <v>1903</v>
      </c>
      <c r="P332" s="48" t="str">
        <f t="array" ref="P332">HYPERLINK(INDEX('File Links'!B:B, MATCH(O332, 'File Links'!C:C, 0)))
</f>
        <v>https://drive.google.com/file/d/1h26KXyOgQpabChNDwArC5YlDBW4_cfve/view?usp=drivesdk</v>
      </c>
      <c r="Q332" s="224" t="s">
        <v>1904</v>
      </c>
      <c r="R332" s="226"/>
      <c r="S332" s="630" t="s">
        <v>1916</v>
      </c>
      <c r="T332" s="134">
        <v>1.0</v>
      </c>
      <c r="U332" s="224" t="s">
        <v>1917</v>
      </c>
      <c r="V332" s="99" t="s">
        <v>202</v>
      </c>
      <c r="W332" s="45" t="str">
        <f t="array" ref="W332">HYPERLINK(INDEX('File Links'!B:B, MATCH(U332, 'File Links'!C:C, 0)))
</f>
        <v>#N/A</v>
      </c>
      <c r="X332" s="226"/>
      <c r="Y332" s="224" t="s">
        <v>287</v>
      </c>
      <c r="Z332" s="224" t="s">
        <v>1918</v>
      </c>
      <c r="AA332" s="224" t="s">
        <v>1919</v>
      </c>
      <c r="AB332" s="224" t="s">
        <v>1920</v>
      </c>
      <c r="AC332" s="224" t="s">
        <v>1921</v>
      </c>
      <c r="AD332" s="631">
        <v>100.0</v>
      </c>
      <c r="AE332" s="631">
        <v>40.0</v>
      </c>
      <c r="AF332" s="99" t="s">
        <v>1909</v>
      </c>
      <c r="AG332" s="107" t="s">
        <v>162</v>
      </c>
      <c r="AH332" s="223" t="s">
        <v>1922</v>
      </c>
      <c r="AI332" s="221">
        <v>0.02</v>
      </c>
      <c r="AJ332" s="224" t="s">
        <v>127</v>
      </c>
      <c r="AK332" s="218" t="s">
        <v>179</v>
      </c>
      <c r="AL332" s="226" t="s">
        <v>129</v>
      </c>
      <c r="AM332" s="128" t="s">
        <v>165</v>
      </c>
      <c r="AN332" s="631">
        <v>40.0</v>
      </c>
      <c r="AO332" s="101" t="s">
        <v>1911</v>
      </c>
      <c r="AP332" s="99" t="s">
        <v>162</v>
      </c>
      <c r="AQ332" s="224" t="s">
        <v>163</v>
      </c>
      <c r="AR332" s="631">
        <v>0.126</v>
      </c>
      <c r="AS332" s="224" t="s">
        <v>164</v>
      </c>
      <c r="AT332" s="224" t="s">
        <v>179</v>
      </c>
      <c r="AU332" s="226" t="s">
        <v>129</v>
      </c>
      <c r="AV332" s="629" t="s">
        <v>165</v>
      </c>
      <c r="AW332" s="226" t="s">
        <v>134</v>
      </c>
      <c r="AX332" s="115" t="s">
        <v>1914</v>
      </c>
      <c r="AY332" s="41" t="s">
        <v>135</v>
      </c>
      <c r="BB332" s="95"/>
      <c r="BC332" s="95"/>
      <c r="BD332" s="95"/>
      <c r="BE332" s="95"/>
      <c r="BF332" s="95"/>
      <c r="BG332" s="95"/>
      <c r="BH332" s="95"/>
      <c r="BI332" s="95"/>
      <c r="BJ332" s="95"/>
      <c r="BK332" s="95"/>
      <c r="BL332" s="95"/>
      <c r="BM332" s="95"/>
      <c r="BN332" s="95"/>
      <c r="BO332" s="95"/>
      <c r="BP332" s="95"/>
      <c r="BQ332" s="95"/>
      <c r="BR332" s="95"/>
      <c r="BS332" s="95"/>
      <c r="BT332" s="95"/>
      <c r="BU332" s="95"/>
      <c r="BV332" s="95"/>
      <c r="BW332" s="95"/>
      <c r="BX332" s="95"/>
      <c r="BY332" s="95"/>
      <c r="BZ332" s="95"/>
      <c r="CA332" s="95"/>
      <c r="CB332" s="95"/>
      <c r="CC332" s="95"/>
      <c r="CD332" s="95"/>
      <c r="CE332" s="95"/>
      <c r="CF332" s="95"/>
      <c r="CG332" s="95"/>
      <c r="CH332" s="95"/>
      <c r="CI332" s="95"/>
      <c r="CJ332" s="95"/>
      <c r="CK332" s="95"/>
      <c r="CL332" s="95"/>
      <c r="CM332" s="95"/>
      <c r="CN332" s="95"/>
      <c r="CO332" s="95"/>
      <c r="CP332" s="95"/>
      <c r="CQ332" s="95"/>
      <c r="CR332" s="95"/>
      <c r="CS332" s="95"/>
      <c r="CT332" s="95"/>
      <c r="CU332" s="95"/>
      <c r="CV332" s="95"/>
      <c r="CW332" s="95"/>
      <c r="CX332" s="95"/>
      <c r="CY332" s="95"/>
      <c r="CZ332" s="95"/>
      <c r="DA332" s="95"/>
      <c r="DB332" s="95"/>
      <c r="DC332" s="95"/>
      <c r="DD332" s="95"/>
      <c r="DE332" s="95"/>
      <c r="DF332" s="95"/>
      <c r="DG332" s="95"/>
    </row>
    <row r="333" ht="20.25" customHeight="1">
      <c r="A333" s="344" t="s">
        <v>106</v>
      </c>
      <c r="B333" s="344" t="s">
        <v>107</v>
      </c>
      <c r="C333" s="344" t="s">
        <v>191</v>
      </c>
      <c r="D333" s="624"/>
      <c r="E333" s="226" t="s">
        <v>1897</v>
      </c>
      <c r="F333" s="99" t="s">
        <v>1923</v>
      </c>
      <c r="G333" s="99" t="s">
        <v>194</v>
      </c>
      <c r="H333" s="100">
        <v>45639.0</v>
      </c>
      <c r="I333" s="626">
        <v>45670.0</v>
      </c>
      <c r="J333" s="99" t="s">
        <v>1924</v>
      </c>
      <c r="K333" s="101"/>
      <c r="L333" s="99" t="s">
        <v>1901</v>
      </c>
      <c r="M333" s="99" t="s">
        <v>1902</v>
      </c>
      <c r="N333" s="101"/>
      <c r="O333" s="107" t="s">
        <v>1903</v>
      </c>
      <c r="P333" s="48" t="str">
        <f t="array" ref="P333">HYPERLINK(INDEX('File Links'!B:B, MATCH(O333, 'File Links'!C:C, 0)))
</f>
        <v>https://drive.google.com/file/d/1h26KXyOgQpabChNDwArC5YlDBW4_cfve/view?usp=drivesdk</v>
      </c>
      <c r="Q333" s="99" t="s">
        <v>1904</v>
      </c>
      <c r="R333" s="101"/>
      <c r="S333" s="101"/>
      <c r="T333" s="106"/>
      <c r="U333" s="99" t="s">
        <v>351</v>
      </c>
      <c r="V333" s="99" t="s">
        <v>202</v>
      </c>
      <c r="W333" s="45" t="str">
        <f t="array" ref="W333">HYPERLINK(INDEX('File Links'!B:B, MATCH(U333, 'File Links'!C:C, 0)))
</f>
        <v>#N/A</v>
      </c>
      <c r="X333" s="101"/>
      <c r="Y333" s="99" t="s">
        <v>287</v>
      </c>
      <c r="Z333" s="99" t="s">
        <v>1905</v>
      </c>
      <c r="AA333" s="99" t="s">
        <v>1906</v>
      </c>
      <c r="AB333" s="99" t="s">
        <v>1907</v>
      </c>
      <c r="AC333" s="99" t="s">
        <v>1908</v>
      </c>
      <c r="AD333" s="104">
        <v>2.0</v>
      </c>
      <c r="AE333" s="104">
        <v>40.0</v>
      </c>
      <c r="AF333" s="99" t="s">
        <v>1925</v>
      </c>
      <c r="AG333" s="107" t="s">
        <v>162</v>
      </c>
      <c r="AH333" s="99" t="s">
        <v>1910</v>
      </c>
      <c r="AI333" s="104">
        <v>0.05</v>
      </c>
      <c r="AJ333" s="108" t="s">
        <v>329</v>
      </c>
      <c r="AK333" s="99" t="s">
        <v>179</v>
      </c>
      <c r="AL333" s="101" t="s">
        <v>821</v>
      </c>
      <c r="AM333" s="101"/>
      <c r="AN333" s="104">
        <v>127.0</v>
      </c>
      <c r="AO333" s="101" t="s">
        <v>1926</v>
      </c>
      <c r="AP333" s="99" t="s">
        <v>162</v>
      </c>
      <c r="AQ333" s="99" t="s">
        <v>1912</v>
      </c>
      <c r="AR333" s="104">
        <v>0.19</v>
      </c>
      <c r="AS333" s="108" t="s">
        <v>164</v>
      </c>
      <c r="AT333" s="108" t="s">
        <v>179</v>
      </c>
      <c r="AU333" s="98" t="s">
        <v>821</v>
      </c>
      <c r="AV333" s="98"/>
      <c r="AW333" s="98" t="s">
        <v>134</v>
      </c>
      <c r="AX333" s="55"/>
      <c r="AY333" s="41" t="s">
        <v>135</v>
      </c>
      <c r="BB333" s="95"/>
      <c r="BC333" s="95"/>
      <c r="BD333" s="95"/>
      <c r="BE333" s="95"/>
      <c r="BF333" s="95"/>
      <c r="BG333" s="95"/>
      <c r="BH333" s="95"/>
      <c r="BI333" s="95"/>
      <c r="BJ333" s="95"/>
      <c r="BK333" s="95"/>
      <c r="BL333" s="95"/>
      <c r="BM333" s="95"/>
      <c r="BN333" s="95"/>
      <c r="BO333" s="95"/>
      <c r="BP333" s="95"/>
      <c r="BQ333" s="95"/>
      <c r="BR333" s="95"/>
      <c r="BS333" s="95"/>
      <c r="BT333" s="95"/>
      <c r="BU333" s="95"/>
      <c r="BV333" s="95"/>
      <c r="BW333" s="95"/>
      <c r="BX333" s="95"/>
      <c r="BY333" s="95"/>
      <c r="BZ333" s="95"/>
      <c r="CA333" s="95"/>
      <c r="CB333" s="95"/>
      <c r="CC333" s="95"/>
      <c r="CD333" s="95"/>
      <c r="CE333" s="95"/>
      <c r="CF333" s="95"/>
      <c r="CG333" s="95"/>
      <c r="CH333" s="95"/>
      <c r="CI333" s="95"/>
      <c r="CJ333" s="95"/>
      <c r="CK333" s="95"/>
      <c r="CL333" s="95"/>
      <c r="CM333" s="95"/>
      <c r="CN333" s="95"/>
      <c r="CO333" s="95"/>
      <c r="CP333" s="95"/>
      <c r="CQ333" s="95"/>
      <c r="CR333" s="95"/>
      <c r="CS333" s="95"/>
      <c r="CT333" s="95"/>
      <c r="CU333" s="95"/>
      <c r="CV333" s="95"/>
      <c r="CW333" s="95"/>
      <c r="CX333" s="95"/>
      <c r="CY333" s="95"/>
      <c r="CZ333" s="95"/>
      <c r="DA333" s="95"/>
      <c r="DB333" s="95"/>
      <c r="DC333" s="95"/>
      <c r="DD333" s="95"/>
      <c r="DE333" s="95"/>
      <c r="DF333" s="95"/>
      <c r="DG333" s="95"/>
    </row>
    <row r="334" ht="20.25" customHeight="1">
      <c r="A334" s="177" t="s">
        <v>143</v>
      </c>
      <c r="B334" s="177" t="s">
        <v>107</v>
      </c>
      <c r="C334" s="177" t="s">
        <v>280</v>
      </c>
      <c r="D334" s="178"/>
      <c r="E334" s="226" t="s">
        <v>1897</v>
      </c>
      <c r="F334" s="218" t="s">
        <v>1923</v>
      </c>
      <c r="G334" s="224" t="s">
        <v>283</v>
      </c>
      <c r="H334" s="219">
        <v>45634.0</v>
      </c>
      <c r="I334" s="627">
        <v>45670.0</v>
      </c>
      <c r="J334" s="224" t="s">
        <v>1913</v>
      </c>
      <c r="K334" s="226"/>
      <c r="L334" s="628" t="s">
        <v>1927</v>
      </c>
      <c r="M334" s="224" t="s">
        <v>1902</v>
      </c>
      <c r="N334" s="629">
        <v>1.0</v>
      </c>
      <c r="O334" s="224" t="s">
        <v>1903</v>
      </c>
      <c r="P334" s="48" t="str">
        <f t="array" ref="P334">HYPERLINK(INDEX('File Links'!B:B, MATCH(O334, 'File Links'!C:C, 0)))
</f>
        <v>https://drive.google.com/file/d/1h26KXyOgQpabChNDwArC5YlDBW4_cfve/view?usp=drivesdk</v>
      </c>
      <c r="Q334" s="224" t="s">
        <v>1904</v>
      </c>
      <c r="R334" s="226"/>
      <c r="S334" s="630" t="s">
        <v>1916</v>
      </c>
      <c r="T334" s="134">
        <v>1.0</v>
      </c>
      <c r="U334" s="224" t="s">
        <v>1917</v>
      </c>
      <c r="V334" s="99" t="s">
        <v>202</v>
      </c>
      <c r="W334" s="45" t="str">
        <f t="array" ref="W334">HYPERLINK(INDEX('File Links'!B:B, MATCH(U334, 'File Links'!C:C, 0)))
</f>
        <v>#N/A</v>
      </c>
      <c r="X334" s="226"/>
      <c r="Y334" s="224" t="s">
        <v>287</v>
      </c>
      <c r="Z334" s="224" t="s">
        <v>1928</v>
      </c>
      <c r="AA334" s="224" t="s">
        <v>1919</v>
      </c>
      <c r="AB334" s="224" t="s">
        <v>1929</v>
      </c>
      <c r="AC334" s="224" t="s">
        <v>1921</v>
      </c>
      <c r="AD334" s="631">
        <v>100.0</v>
      </c>
      <c r="AE334" s="631">
        <v>40.0</v>
      </c>
      <c r="AF334" s="99" t="s">
        <v>1925</v>
      </c>
      <c r="AG334" s="107" t="s">
        <v>162</v>
      </c>
      <c r="AH334" s="218" t="s">
        <v>1930</v>
      </c>
      <c r="AI334" s="221">
        <v>0.05</v>
      </c>
      <c r="AJ334" s="224" t="s">
        <v>127</v>
      </c>
      <c r="AK334" s="218" t="s">
        <v>179</v>
      </c>
      <c r="AL334" s="226" t="s">
        <v>129</v>
      </c>
      <c r="AM334" s="128" t="s">
        <v>165</v>
      </c>
      <c r="AN334" s="631">
        <v>40.0</v>
      </c>
      <c r="AO334" s="101" t="s">
        <v>1926</v>
      </c>
      <c r="AP334" s="99" t="s">
        <v>162</v>
      </c>
      <c r="AQ334" s="224" t="s">
        <v>163</v>
      </c>
      <c r="AR334" s="631">
        <v>0.19</v>
      </c>
      <c r="AS334" s="224" t="s">
        <v>164</v>
      </c>
      <c r="AT334" s="224" t="s">
        <v>179</v>
      </c>
      <c r="AU334" s="226" t="s">
        <v>129</v>
      </c>
      <c r="AV334" s="629" t="s">
        <v>165</v>
      </c>
      <c r="AW334" s="226" t="s">
        <v>134</v>
      </c>
      <c r="AX334" s="60"/>
      <c r="AY334" s="41" t="s">
        <v>135</v>
      </c>
      <c r="BB334" s="95"/>
      <c r="BC334" s="95"/>
      <c r="BD334" s="95"/>
      <c r="BE334" s="95"/>
      <c r="BF334" s="95"/>
      <c r="BG334" s="95"/>
      <c r="BH334" s="95"/>
      <c r="BI334" s="95"/>
      <c r="BJ334" s="95"/>
      <c r="BK334" s="95"/>
      <c r="BL334" s="95"/>
      <c r="BM334" s="95"/>
      <c r="BN334" s="95"/>
      <c r="BO334" s="95"/>
      <c r="BP334" s="95"/>
      <c r="BQ334" s="95"/>
      <c r="BR334" s="95"/>
      <c r="BS334" s="95"/>
      <c r="BT334" s="95"/>
      <c r="BU334" s="95"/>
      <c r="BV334" s="95"/>
      <c r="BW334" s="95"/>
      <c r="BX334" s="95"/>
      <c r="BY334" s="95"/>
      <c r="BZ334" s="95"/>
      <c r="CA334" s="95"/>
      <c r="CB334" s="95"/>
      <c r="CC334" s="95"/>
      <c r="CD334" s="95"/>
      <c r="CE334" s="95"/>
      <c r="CF334" s="95"/>
      <c r="CG334" s="95"/>
      <c r="CH334" s="95"/>
      <c r="CI334" s="95"/>
      <c r="CJ334" s="95"/>
      <c r="CK334" s="95"/>
      <c r="CL334" s="95"/>
      <c r="CM334" s="95"/>
      <c r="CN334" s="95"/>
      <c r="CO334" s="95"/>
      <c r="CP334" s="95"/>
      <c r="CQ334" s="95"/>
      <c r="CR334" s="95"/>
      <c r="CS334" s="95"/>
      <c r="CT334" s="95"/>
      <c r="CU334" s="95"/>
      <c r="CV334" s="95"/>
      <c r="CW334" s="95"/>
      <c r="CX334" s="95"/>
      <c r="CY334" s="95"/>
      <c r="CZ334" s="95"/>
      <c r="DA334" s="95"/>
      <c r="DB334" s="95"/>
      <c r="DC334" s="95"/>
      <c r="DD334" s="95"/>
      <c r="DE334" s="95"/>
      <c r="DF334" s="95"/>
      <c r="DG334" s="95"/>
    </row>
    <row r="335" ht="20.25" customHeight="1">
      <c r="A335" s="344" t="s">
        <v>106</v>
      </c>
      <c r="B335" s="344" t="s">
        <v>107</v>
      </c>
      <c r="C335" s="344" t="s">
        <v>191</v>
      </c>
      <c r="D335" s="624"/>
      <c r="E335" s="226" t="s">
        <v>1897</v>
      </c>
      <c r="F335" s="99" t="s">
        <v>1931</v>
      </c>
      <c r="G335" s="99" t="s">
        <v>194</v>
      </c>
      <c r="H335" s="100">
        <v>45639.0</v>
      </c>
      <c r="I335" s="626">
        <v>45670.0</v>
      </c>
      <c r="J335" s="99" t="s">
        <v>1932</v>
      </c>
      <c r="K335" s="101"/>
      <c r="L335" s="99" t="s">
        <v>1901</v>
      </c>
      <c r="M335" s="99" t="s">
        <v>1902</v>
      </c>
      <c r="N335" s="101"/>
      <c r="O335" s="107" t="s">
        <v>1903</v>
      </c>
      <c r="P335" s="48" t="str">
        <f t="array" ref="P335">HYPERLINK(INDEX('File Links'!B:B, MATCH(O335, 'File Links'!C:C, 0)))
</f>
        <v>https://drive.google.com/file/d/1h26KXyOgQpabChNDwArC5YlDBW4_cfve/view?usp=drivesdk</v>
      </c>
      <c r="Q335" s="99" t="s">
        <v>1904</v>
      </c>
      <c r="R335" s="101"/>
      <c r="S335" s="101"/>
      <c r="T335" s="106"/>
      <c r="U335" s="99" t="s">
        <v>351</v>
      </c>
      <c r="V335" s="99" t="s">
        <v>202</v>
      </c>
      <c r="W335" s="45" t="str">
        <f t="array" ref="W335">HYPERLINK(INDEX('File Links'!B:B, MATCH(U335, 'File Links'!C:C, 0)))
</f>
        <v>#N/A</v>
      </c>
      <c r="X335" s="101"/>
      <c r="Y335" s="99" t="s">
        <v>287</v>
      </c>
      <c r="Z335" s="99" t="s">
        <v>1905</v>
      </c>
      <c r="AA335" s="99" t="s">
        <v>1906</v>
      </c>
      <c r="AB335" s="99" t="s">
        <v>1907</v>
      </c>
      <c r="AC335" s="99" t="s">
        <v>1908</v>
      </c>
      <c r="AD335" s="104">
        <v>2.0</v>
      </c>
      <c r="AE335" s="104">
        <v>40.0</v>
      </c>
      <c r="AF335" s="99" t="s">
        <v>1933</v>
      </c>
      <c r="AG335" s="107" t="s">
        <v>162</v>
      </c>
      <c r="AH335" s="99" t="s">
        <v>1910</v>
      </c>
      <c r="AI335" s="104">
        <v>0.02</v>
      </c>
      <c r="AJ335" s="108" t="s">
        <v>127</v>
      </c>
      <c r="AK335" s="99" t="s">
        <v>179</v>
      </c>
      <c r="AL335" s="101" t="s">
        <v>821</v>
      </c>
      <c r="AM335" s="101"/>
      <c r="AN335" s="104">
        <v>127.0</v>
      </c>
      <c r="AO335" s="101" t="s">
        <v>1934</v>
      </c>
      <c r="AP335" s="99" t="s">
        <v>162</v>
      </c>
      <c r="AQ335" s="99" t="s">
        <v>1912</v>
      </c>
      <c r="AR335" s="104">
        <v>0.162</v>
      </c>
      <c r="AS335" s="108" t="s">
        <v>164</v>
      </c>
      <c r="AT335" s="108" t="s">
        <v>179</v>
      </c>
      <c r="AU335" s="98" t="s">
        <v>821</v>
      </c>
      <c r="AV335" s="98"/>
      <c r="AW335" s="98" t="s">
        <v>134</v>
      </c>
      <c r="AX335" s="55"/>
      <c r="AY335" s="41" t="s">
        <v>135</v>
      </c>
      <c r="BB335" s="95"/>
      <c r="BC335" s="95"/>
      <c r="BD335" s="95"/>
      <c r="BE335" s="95"/>
      <c r="BF335" s="95"/>
      <c r="BG335" s="95"/>
      <c r="BH335" s="95"/>
      <c r="BI335" s="95"/>
      <c r="BJ335" s="95"/>
      <c r="BK335" s="95"/>
      <c r="BL335" s="95"/>
      <c r="BM335" s="95"/>
      <c r="BN335" s="95"/>
      <c r="BO335" s="95"/>
      <c r="BP335" s="95"/>
      <c r="BQ335" s="95"/>
      <c r="BR335" s="95"/>
      <c r="BS335" s="95"/>
      <c r="BT335" s="95"/>
      <c r="BU335" s="95"/>
      <c r="BV335" s="95"/>
      <c r="BW335" s="95"/>
      <c r="BX335" s="95"/>
      <c r="BY335" s="95"/>
      <c r="BZ335" s="95"/>
      <c r="CA335" s="95"/>
      <c r="CB335" s="95"/>
      <c r="CC335" s="95"/>
      <c r="CD335" s="95"/>
      <c r="CE335" s="95"/>
      <c r="CF335" s="95"/>
      <c r="CG335" s="95"/>
      <c r="CH335" s="95"/>
      <c r="CI335" s="95"/>
      <c r="CJ335" s="95"/>
      <c r="CK335" s="95"/>
      <c r="CL335" s="95"/>
      <c r="CM335" s="95"/>
      <c r="CN335" s="95"/>
      <c r="CO335" s="95"/>
      <c r="CP335" s="95"/>
      <c r="CQ335" s="95"/>
      <c r="CR335" s="95"/>
      <c r="CS335" s="95"/>
      <c r="CT335" s="95"/>
      <c r="CU335" s="95"/>
      <c r="CV335" s="95"/>
      <c r="CW335" s="95"/>
      <c r="CX335" s="95"/>
      <c r="CY335" s="95"/>
      <c r="CZ335" s="95"/>
      <c r="DA335" s="95"/>
      <c r="DB335" s="95"/>
      <c r="DC335" s="95"/>
      <c r="DD335" s="95"/>
      <c r="DE335" s="95"/>
      <c r="DF335" s="95"/>
      <c r="DG335" s="95"/>
    </row>
    <row r="336" ht="20.25" customHeight="1">
      <c r="A336" s="177" t="s">
        <v>143</v>
      </c>
      <c r="B336" s="177" t="s">
        <v>107</v>
      </c>
      <c r="C336" s="177" t="s">
        <v>280</v>
      </c>
      <c r="D336" s="178"/>
      <c r="E336" s="226" t="s">
        <v>1897</v>
      </c>
      <c r="F336" s="218" t="s">
        <v>1931</v>
      </c>
      <c r="G336" s="224" t="s">
        <v>283</v>
      </c>
      <c r="H336" s="219">
        <v>45635.0</v>
      </c>
      <c r="I336" s="627">
        <v>45670.0</v>
      </c>
      <c r="J336" s="224" t="s">
        <v>1913</v>
      </c>
      <c r="K336" s="226"/>
      <c r="L336" s="628" t="s">
        <v>1935</v>
      </c>
      <c r="M336" s="224" t="s">
        <v>1902</v>
      </c>
      <c r="N336" s="629">
        <v>1.0</v>
      </c>
      <c r="O336" s="224" t="s">
        <v>1903</v>
      </c>
      <c r="P336" s="48" t="str">
        <f t="array" ref="P336">HYPERLINK(INDEX('File Links'!B:B, MATCH(O336, 'File Links'!C:C, 0)))
</f>
        <v>https://drive.google.com/file/d/1h26KXyOgQpabChNDwArC5YlDBW4_cfve/view?usp=drivesdk</v>
      </c>
      <c r="Q336" s="224" t="s">
        <v>1904</v>
      </c>
      <c r="R336" s="226"/>
      <c r="S336" s="630" t="s">
        <v>1916</v>
      </c>
      <c r="T336" s="134">
        <v>1.0</v>
      </c>
      <c r="U336" s="224" t="s">
        <v>1917</v>
      </c>
      <c r="V336" s="99" t="s">
        <v>202</v>
      </c>
      <c r="W336" s="45" t="str">
        <f t="array" ref="W336">HYPERLINK(INDEX('File Links'!B:B, MATCH(U336, 'File Links'!C:C, 0)))
</f>
        <v>#N/A</v>
      </c>
      <c r="X336" s="226"/>
      <c r="Y336" s="224" t="s">
        <v>287</v>
      </c>
      <c r="Z336" s="224" t="s">
        <v>1936</v>
      </c>
      <c r="AA336" s="224" t="s">
        <v>1919</v>
      </c>
      <c r="AB336" s="224" t="s">
        <v>1937</v>
      </c>
      <c r="AC336" s="224" t="s">
        <v>1938</v>
      </c>
      <c r="AD336" s="631">
        <v>100.0</v>
      </c>
      <c r="AE336" s="631">
        <v>40.0</v>
      </c>
      <c r="AF336" s="99" t="s">
        <v>1933</v>
      </c>
      <c r="AG336" s="107" t="s">
        <v>162</v>
      </c>
      <c r="AH336" s="218" t="s">
        <v>1930</v>
      </c>
      <c r="AI336" s="221">
        <v>0.02</v>
      </c>
      <c r="AJ336" s="224" t="s">
        <v>127</v>
      </c>
      <c r="AK336" s="218" t="s">
        <v>179</v>
      </c>
      <c r="AL336" s="226" t="s">
        <v>129</v>
      </c>
      <c r="AM336" s="128" t="s">
        <v>165</v>
      </c>
      <c r="AN336" s="631">
        <v>40.0</v>
      </c>
      <c r="AO336" s="101" t="s">
        <v>1934</v>
      </c>
      <c r="AP336" s="99" t="s">
        <v>162</v>
      </c>
      <c r="AQ336" s="224" t="s">
        <v>163</v>
      </c>
      <c r="AR336" s="631">
        <v>0.162</v>
      </c>
      <c r="AS336" s="224" t="s">
        <v>164</v>
      </c>
      <c r="AT336" s="224" t="s">
        <v>179</v>
      </c>
      <c r="AU336" s="226" t="s">
        <v>129</v>
      </c>
      <c r="AV336" s="629" t="s">
        <v>165</v>
      </c>
      <c r="AW336" s="226" t="s">
        <v>134</v>
      </c>
      <c r="AX336" s="60"/>
      <c r="AY336" s="41" t="s">
        <v>135</v>
      </c>
      <c r="BB336" s="95"/>
      <c r="BC336" s="95"/>
      <c r="BD336" s="95"/>
      <c r="BE336" s="95"/>
      <c r="BF336" s="95"/>
      <c r="BG336" s="95"/>
      <c r="BH336" s="95"/>
      <c r="BI336" s="95"/>
      <c r="BJ336" s="95"/>
      <c r="BK336" s="95"/>
      <c r="BL336" s="95"/>
      <c r="BM336" s="95"/>
      <c r="BN336" s="95"/>
      <c r="BO336" s="95"/>
      <c r="BP336" s="95"/>
      <c r="BQ336" s="95"/>
      <c r="BR336" s="95"/>
      <c r="BS336" s="95"/>
      <c r="BT336" s="95"/>
      <c r="BU336" s="95"/>
      <c r="BV336" s="95"/>
      <c r="BW336" s="95"/>
      <c r="BX336" s="95"/>
      <c r="BY336" s="95"/>
      <c r="BZ336" s="95"/>
      <c r="CA336" s="95"/>
      <c r="CB336" s="95"/>
      <c r="CC336" s="95"/>
      <c r="CD336" s="95"/>
      <c r="CE336" s="95"/>
      <c r="CF336" s="95"/>
      <c r="CG336" s="95"/>
      <c r="CH336" s="95"/>
      <c r="CI336" s="95"/>
      <c r="CJ336" s="95"/>
      <c r="CK336" s="95"/>
      <c r="CL336" s="95"/>
      <c r="CM336" s="95"/>
      <c r="CN336" s="95"/>
      <c r="CO336" s="95"/>
      <c r="CP336" s="95"/>
      <c r="CQ336" s="95"/>
      <c r="CR336" s="95"/>
      <c r="CS336" s="95"/>
      <c r="CT336" s="95"/>
      <c r="CU336" s="95"/>
      <c r="CV336" s="95"/>
      <c r="CW336" s="95"/>
      <c r="CX336" s="95"/>
      <c r="CY336" s="95"/>
      <c r="CZ336" s="95"/>
      <c r="DA336" s="95"/>
      <c r="DB336" s="95"/>
      <c r="DC336" s="95"/>
      <c r="DD336" s="95"/>
      <c r="DE336" s="95"/>
      <c r="DF336" s="95"/>
      <c r="DG336" s="95"/>
    </row>
    <row r="337" ht="20.25" customHeight="1">
      <c r="A337" s="344" t="s">
        <v>106</v>
      </c>
      <c r="B337" s="344" t="s">
        <v>107</v>
      </c>
      <c r="C337" s="344" t="s">
        <v>191</v>
      </c>
      <c r="D337" s="624"/>
      <c r="E337" s="226" t="s">
        <v>1897</v>
      </c>
      <c r="F337" s="99" t="s">
        <v>1939</v>
      </c>
      <c r="G337" s="99" t="s">
        <v>194</v>
      </c>
      <c r="H337" s="100">
        <v>45639.0</v>
      </c>
      <c r="I337" s="626">
        <v>45670.0</v>
      </c>
      <c r="J337" s="99" t="s">
        <v>1940</v>
      </c>
      <c r="K337" s="101"/>
      <c r="L337" s="99" t="s">
        <v>1901</v>
      </c>
      <c r="M337" s="99" t="s">
        <v>1902</v>
      </c>
      <c r="N337" s="101"/>
      <c r="O337" s="107" t="s">
        <v>1903</v>
      </c>
      <c r="P337" s="48" t="str">
        <f t="array" ref="P337">HYPERLINK(INDEX('File Links'!B:B, MATCH(O337, 'File Links'!C:C, 0)))
</f>
        <v>https://drive.google.com/file/d/1h26KXyOgQpabChNDwArC5YlDBW4_cfve/view?usp=drivesdk</v>
      </c>
      <c r="Q337" s="99" t="s">
        <v>1904</v>
      </c>
      <c r="R337" s="101"/>
      <c r="S337" s="101"/>
      <c r="T337" s="106"/>
      <c r="U337" s="99" t="s">
        <v>351</v>
      </c>
      <c r="V337" s="99" t="s">
        <v>202</v>
      </c>
      <c r="W337" s="45" t="str">
        <f t="array" ref="W337">HYPERLINK(INDEX('File Links'!B:B, MATCH(U337, 'File Links'!C:C, 0)))
</f>
        <v>#N/A</v>
      </c>
      <c r="X337" s="101"/>
      <c r="Y337" s="99" t="s">
        <v>287</v>
      </c>
      <c r="Z337" s="99" t="s">
        <v>1905</v>
      </c>
      <c r="AA337" s="99" t="s">
        <v>1906</v>
      </c>
      <c r="AB337" s="99" t="s">
        <v>1907</v>
      </c>
      <c r="AC337" s="99" t="s">
        <v>1908</v>
      </c>
      <c r="AD337" s="104">
        <v>2.0</v>
      </c>
      <c r="AE337" s="104">
        <v>40.0</v>
      </c>
      <c r="AF337" s="99" t="s">
        <v>1941</v>
      </c>
      <c r="AG337" s="107" t="s">
        <v>162</v>
      </c>
      <c r="AH337" s="99" t="s">
        <v>1910</v>
      </c>
      <c r="AI337" s="104">
        <v>0.02</v>
      </c>
      <c r="AJ337" s="108" t="s">
        <v>127</v>
      </c>
      <c r="AK337" s="99" t="s">
        <v>179</v>
      </c>
      <c r="AL337" s="101" t="s">
        <v>821</v>
      </c>
      <c r="AM337" s="101"/>
      <c r="AN337" s="104">
        <v>127.0</v>
      </c>
      <c r="AO337" s="101" t="s">
        <v>1942</v>
      </c>
      <c r="AP337" s="99" t="s">
        <v>162</v>
      </c>
      <c r="AQ337" s="99" t="s">
        <v>1912</v>
      </c>
      <c r="AR337" s="104">
        <v>0.222</v>
      </c>
      <c r="AS337" s="108" t="s">
        <v>164</v>
      </c>
      <c r="AT337" s="108" t="s">
        <v>179</v>
      </c>
      <c r="AU337" s="98" t="s">
        <v>821</v>
      </c>
      <c r="AV337" s="98"/>
      <c r="AW337" s="98" t="s">
        <v>134</v>
      </c>
      <c r="AX337" s="55"/>
      <c r="AY337" s="41" t="s">
        <v>135</v>
      </c>
      <c r="BB337" s="95"/>
      <c r="BC337" s="95"/>
      <c r="BD337" s="95"/>
      <c r="BE337" s="95"/>
      <c r="BF337" s="95"/>
      <c r="BG337" s="95"/>
      <c r="BH337" s="95"/>
      <c r="BI337" s="95"/>
      <c r="BJ337" s="95"/>
      <c r="BK337" s="95"/>
      <c r="BL337" s="95"/>
      <c r="BM337" s="95"/>
      <c r="BN337" s="95"/>
      <c r="BO337" s="95"/>
      <c r="BP337" s="95"/>
      <c r="BQ337" s="95"/>
      <c r="BR337" s="95"/>
      <c r="BS337" s="95"/>
      <c r="BT337" s="95"/>
      <c r="BU337" s="95"/>
      <c r="BV337" s="95"/>
      <c r="BW337" s="95"/>
      <c r="BX337" s="95"/>
      <c r="BY337" s="95"/>
      <c r="BZ337" s="95"/>
      <c r="CA337" s="95"/>
      <c r="CB337" s="95"/>
      <c r="CC337" s="95"/>
      <c r="CD337" s="95"/>
      <c r="CE337" s="95"/>
      <c r="CF337" s="95"/>
      <c r="CG337" s="95"/>
      <c r="CH337" s="95"/>
      <c r="CI337" s="95"/>
      <c r="CJ337" s="95"/>
      <c r="CK337" s="95"/>
      <c r="CL337" s="95"/>
      <c r="CM337" s="95"/>
      <c r="CN337" s="95"/>
      <c r="CO337" s="95"/>
      <c r="CP337" s="95"/>
      <c r="CQ337" s="95"/>
      <c r="CR337" s="95"/>
      <c r="CS337" s="95"/>
      <c r="CT337" s="95"/>
      <c r="CU337" s="95"/>
      <c r="CV337" s="95"/>
      <c r="CW337" s="95"/>
      <c r="CX337" s="95"/>
      <c r="CY337" s="95"/>
      <c r="CZ337" s="95"/>
      <c r="DA337" s="95"/>
      <c r="DB337" s="95"/>
      <c r="DC337" s="95"/>
      <c r="DD337" s="95"/>
      <c r="DE337" s="95"/>
      <c r="DF337" s="95"/>
      <c r="DG337" s="95"/>
    </row>
    <row r="338" ht="20.25" customHeight="1">
      <c r="A338" s="177" t="s">
        <v>143</v>
      </c>
      <c r="B338" s="177" t="s">
        <v>107</v>
      </c>
      <c r="C338" s="177" t="s">
        <v>280</v>
      </c>
      <c r="D338" s="178"/>
      <c r="E338" s="226" t="s">
        <v>1897</v>
      </c>
      <c r="F338" s="218" t="s">
        <v>1939</v>
      </c>
      <c r="G338" s="224" t="s">
        <v>283</v>
      </c>
      <c r="H338" s="219">
        <v>45636.0</v>
      </c>
      <c r="I338" s="627">
        <v>45670.0</v>
      </c>
      <c r="J338" s="224" t="s">
        <v>1913</v>
      </c>
      <c r="K338" s="226"/>
      <c r="L338" s="628" t="s">
        <v>1943</v>
      </c>
      <c r="M338" s="224" t="s">
        <v>1902</v>
      </c>
      <c r="N338" s="629">
        <v>1.0</v>
      </c>
      <c r="O338" s="224" t="s">
        <v>1903</v>
      </c>
      <c r="P338" s="48" t="str">
        <f t="array" ref="P338">HYPERLINK(INDEX('File Links'!B:B, MATCH(O338, 'File Links'!C:C, 0)))
</f>
        <v>https://drive.google.com/file/d/1h26KXyOgQpabChNDwArC5YlDBW4_cfve/view?usp=drivesdk</v>
      </c>
      <c r="Q338" s="224" t="s">
        <v>1904</v>
      </c>
      <c r="R338" s="226"/>
      <c r="S338" s="630" t="s">
        <v>1916</v>
      </c>
      <c r="T338" s="134">
        <v>1.0</v>
      </c>
      <c r="U338" s="224" t="s">
        <v>1917</v>
      </c>
      <c r="V338" s="99" t="s">
        <v>202</v>
      </c>
      <c r="W338" s="45" t="str">
        <f t="array" ref="W338">HYPERLINK(INDEX('File Links'!B:B, MATCH(U338, 'File Links'!C:C, 0)))
</f>
        <v>#N/A</v>
      </c>
      <c r="X338" s="226"/>
      <c r="Y338" s="224" t="s">
        <v>287</v>
      </c>
      <c r="Z338" s="224" t="s">
        <v>1944</v>
      </c>
      <c r="AA338" s="224" t="s">
        <v>1919</v>
      </c>
      <c r="AB338" s="224" t="s">
        <v>1945</v>
      </c>
      <c r="AC338" s="224" t="s">
        <v>1938</v>
      </c>
      <c r="AD338" s="631">
        <v>100.0</v>
      </c>
      <c r="AE338" s="631">
        <v>40.0</v>
      </c>
      <c r="AF338" s="99" t="s">
        <v>1941</v>
      </c>
      <c r="AG338" s="107" t="s">
        <v>162</v>
      </c>
      <c r="AH338" s="218" t="s">
        <v>1930</v>
      </c>
      <c r="AI338" s="221">
        <v>0.02</v>
      </c>
      <c r="AJ338" s="224" t="s">
        <v>127</v>
      </c>
      <c r="AK338" s="218" t="s">
        <v>179</v>
      </c>
      <c r="AL338" s="226" t="s">
        <v>129</v>
      </c>
      <c r="AM338" s="128" t="s">
        <v>165</v>
      </c>
      <c r="AN338" s="631">
        <v>40.0</v>
      </c>
      <c r="AO338" s="101" t="s">
        <v>1942</v>
      </c>
      <c r="AP338" s="99" t="s">
        <v>162</v>
      </c>
      <c r="AQ338" s="224" t="s">
        <v>163</v>
      </c>
      <c r="AR338" s="631">
        <v>0.22</v>
      </c>
      <c r="AS338" s="224" t="s">
        <v>164</v>
      </c>
      <c r="AT338" s="224" t="s">
        <v>179</v>
      </c>
      <c r="AU338" s="226" t="s">
        <v>129</v>
      </c>
      <c r="AV338" s="629" t="s">
        <v>165</v>
      </c>
      <c r="AW338" s="226" t="s">
        <v>134</v>
      </c>
      <c r="AX338" s="60"/>
      <c r="AY338" s="41" t="s">
        <v>135</v>
      </c>
      <c r="BB338" s="95"/>
      <c r="BC338" s="95"/>
      <c r="BD338" s="95"/>
      <c r="BE338" s="95"/>
      <c r="BF338" s="95"/>
      <c r="BG338" s="95"/>
      <c r="BH338" s="95"/>
      <c r="BI338" s="95"/>
      <c r="BJ338" s="95"/>
      <c r="BK338" s="95"/>
      <c r="BL338" s="95"/>
      <c r="BM338" s="95"/>
      <c r="BN338" s="95"/>
      <c r="BO338" s="95"/>
      <c r="BP338" s="95"/>
      <c r="BQ338" s="95"/>
      <c r="BR338" s="95"/>
      <c r="BS338" s="95"/>
      <c r="BT338" s="95"/>
      <c r="BU338" s="95"/>
      <c r="BV338" s="95"/>
      <c r="BW338" s="95"/>
      <c r="BX338" s="95"/>
      <c r="BY338" s="95"/>
      <c r="BZ338" s="95"/>
      <c r="CA338" s="95"/>
      <c r="CB338" s="95"/>
      <c r="CC338" s="95"/>
      <c r="CD338" s="95"/>
      <c r="CE338" s="95"/>
      <c r="CF338" s="95"/>
      <c r="CG338" s="95"/>
      <c r="CH338" s="95"/>
      <c r="CI338" s="95"/>
      <c r="CJ338" s="95"/>
      <c r="CK338" s="95"/>
      <c r="CL338" s="95"/>
      <c r="CM338" s="95"/>
      <c r="CN338" s="95"/>
      <c r="CO338" s="95"/>
      <c r="CP338" s="95"/>
      <c r="CQ338" s="95"/>
      <c r="CR338" s="95"/>
      <c r="CS338" s="95"/>
      <c r="CT338" s="95"/>
      <c r="CU338" s="95"/>
      <c r="CV338" s="95"/>
      <c r="CW338" s="95"/>
      <c r="CX338" s="95"/>
      <c r="CY338" s="95"/>
      <c r="CZ338" s="95"/>
      <c r="DA338" s="95"/>
      <c r="DB338" s="95"/>
      <c r="DC338" s="95"/>
      <c r="DD338" s="95"/>
      <c r="DE338" s="95"/>
      <c r="DF338" s="95"/>
      <c r="DG338" s="95"/>
    </row>
    <row r="339" ht="20.25" customHeight="1">
      <c r="A339" s="344" t="s">
        <v>106</v>
      </c>
      <c r="B339" s="344" t="s">
        <v>107</v>
      </c>
      <c r="C339" s="344" t="s">
        <v>191</v>
      </c>
      <c r="D339" s="624"/>
      <c r="E339" s="226" t="s">
        <v>1897</v>
      </c>
      <c r="F339" s="99" t="s">
        <v>1946</v>
      </c>
      <c r="G339" s="99" t="s">
        <v>194</v>
      </c>
      <c r="H339" s="100">
        <v>45639.0</v>
      </c>
      <c r="I339" s="626">
        <v>45670.0</v>
      </c>
      <c r="J339" s="99" t="s">
        <v>1947</v>
      </c>
      <c r="K339" s="101"/>
      <c r="L339" s="99" t="s">
        <v>1901</v>
      </c>
      <c r="M339" s="99" t="s">
        <v>1902</v>
      </c>
      <c r="N339" s="101"/>
      <c r="O339" s="107" t="s">
        <v>1903</v>
      </c>
      <c r="P339" s="48" t="str">
        <f t="array" ref="P339">HYPERLINK(INDEX('File Links'!B:B, MATCH(O339, 'File Links'!C:C, 0)))
</f>
        <v>https://drive.google.com/file/d/1h26KXyOgQpabChNDwArC5YlDBW4_cfve/view?usp=drivesdk</v>
      </c>
      <c r="Q339" s="99" t="s">
        <v>1904</v>
      </c>
      <c r="R339" s="101"/>
      <c r="S339" s="101"/>
      <c r="T339" s="106"/>
      <c r="U339" s="99" t="s">
        <v>351</v>
      </c>
      <c r="V339" s="99" t="s">
        <v>202</v>
      </c>
      <c r="W339" s="45" t="str">
        <f t="array" ref="W339">HYPERLINK(INDEX('File Links'!B:B, MATCH(U339, 'File Links'!C:C, 0)))
</f>
        <v>#N/A</v>
      </c>
      <c r="X339" s="101"/>
      <c r="Y339" s="99" t="s">
        <v>287</v>
      </c>
      <c r="Z339" s="99" t="s">
        <v>1905</v>
      </c>
      <c r="AA339" s="99" t="s">
        <v>1906</v>
      </c>
      <c r="AB339" s="99" t="s">
        <v>1907</v>
      </c>
      <c r="AC339" s="99" t="s">
        <v>1908</v>
      </c>
      <c r="AD339" s="104">
        <v>2.0</v>
      </c>
      <c r="AE339" s="104">
        <v>40.0</v>
      </c>
      <c r="AF339" s="99" t="s">
        <v>1948</v>
      </c>
      <c r="AG339" s="107" t="s">
        <v>162</v>
      </c>
      <c r="AH339" s="99" t="s">
        <v>1910</v>
      </c>
      <c r="AI339" s="104">
        <v>0.02</v>
      </c>
      <c r="AJ339" s="108" t="s">
        <v>127</v>
      </c>
      <c r="AK339" s="99" t="s">
        <v>179</v>
      </c>
      <c r="AL339" s="101" t="s">
        <v>821</v>
      </c>
      <c r="AM339" s="101"/>
      <c r="AN339" s="104">
        <v>127.0</v>
      </c>
      <c r="AO339" s="101" t="s">
        <v>1949</v>
      </c>
      <c r="AP339" s="99" t="s">
        <v>162</v>
      </c>
      <c r="AQ339" s="99" t="s">
        <v>1912</v>
      </c>
      <c r="AR339" s="104">
        <v>1.0E-4</v>
      </c>
      <c r="AS339" s="108" t="s">
        <v>164</v>
      </c>
      <c r="AT339" s="108" t="s">
        <v>179</v>
      </c>
      <c r="AU339" s="98" t="s">
        <v>821</v>
      </c>
      <c r="AV339" s="98"/>
      <c r="AW339" s="98" t="s">
        <v>134</v>
      </c>
      <c r="AX339" s="55"/>
      <c r="AY339" s="41" t="s">
        <v>135</v>
      </c>
      <c r="BB339" s="95"/>
      <c r="BC339" s="95"/>
      <c r="BD339" s="95"/>
      <c r="BE339" s="95"/>
      <c r="BF339" s="95"/>
      <c r="BG339" s="95"/>
      <c r="BH339" s="95"/>
      <c r="BI339" s="95"/>
      <c r="BJ339" s="95"/>
      <c r="BK339" s="95"/>
      <c r="BL339" s="95"/>
      <c r="BM339" s="95"/>
      <c r="BN339" s="95"/>
      <c r="BO339" s="95"/>
      <c r="BP339" s="95"/>
      <c r="BQ339" s="95"/>
      <c r="BR339" s="95"/>
      <c r="BS339" s="95"/>
      <c r="BT339" s="95"/>
      <c r="BU339" s="95"/>
      <c r="BV339" s="95"/>
      <c r="BW339" s="95"/>
      <c r="BX339" s="95"/>
      <c r="BY339" s="95"/>
      <c r="BZ339" s="95"/>
      <c r="CA339" s="95"/>
      <c r="CB339" s="95"/>
      <c r="CC339" s="95"/>
      <c r="CD339" s="95"/>
      <c r="CE339" s="95"/>
      <c r="CF339" s="95"/>
      <c r="CG339" s="95"/>
      <c r="CH339" s="95"/>
      <c r="CI339" s="95"/>
      <c r="CJ339" s="95"/>
      <c r="CK339" s="95"/>
      <c r="CL339" s="95"/>
      <c r="CM339" s="95"/>
      <c r="CN339" s="95"/>
      <c r="CO339" s="95"/>
      <c r="CP339" s="95"/>
      <c r="CQ339" s="95"/>
      <c r="CR339" s="95"/>
      <c r="CS339" s="95"/>
      <c r="CT339" s="95"/>
      <c r="CU339" s="95"/>
      <c r="CV339" s="95"/>
      <c r="CW339" s="95"/>
      <c r="CX339" s="95"/>
      <c r="CY339" s="95"/>
      <c r="CZ339" s="95"/>
      <c r="DA339" s="95"/>
      <c r="DB339" s="95"/>
      <c r="DC339" s="95"/>
      <c r="DD339" s="95"/>
      <c r="DE339" s="95"/>
      <c r="DF339" s="95"/>
      <c r="DG339" s="95"/>
    </row>
    <row r="340" ht="20.25" customHeight="1">
      <c r="A340" s="177" t="s">
        <v>143</v>
      </c>
      <c r="B340" s="177" t="s">
        <v>107</v>
      </c>
      <c r="C340" s="177" t="s">
        <v>280</v>
      </c>
      <c r="D340" s="178"/>
      <c r="E340" s="226" t="s">
        <v>1897</v>
      </c>
      <c r="F340" s="218" t="s">
        <v>1946</v>
      </c>
      <c r="G340" s="224" t="s">
        <v>283</v>
      </c>
      <c r="H340" s="219">
        <v>45637.0</v>
      </c>
      <c r="I340" s="627">
        <v>45670.0</v>
      </c>
      <c r="J340" s="224" t="s">
        <v>1913</v>
      </c>
      <c r="K340" s="226"/>
      <c r="L340" s="628" t="s">
        <v>1950</v>
      </c>
      <c r="M340" s="224" t="s">
        <v>1902</v>
      </c>
      <c r="N340" s="629">
        <v>1.0</v>
      </c>
      <c r="O340" s="224" t="s">
        <v>1903</v>
      </c>
      <c r="P340" s="48" t="str">
        <f t="array" ref="P340">HYPERLINK(INDEX('File Links'!B:B, MATCH(O340, 'File Links'!C:C, 0)))
</f>
        <v>https://drive.google.com/file/d/1h26KXyOgQpabChNDwArC5YlDBW4_cfve/view?usp=drivesdk</v>
      </c>
      <c r="Q340" s="224" t="s">
        <v>1904</v>
      </c>
      <c r="R340" s="226"/>
      <c r="S340" s="630" t="s">
        <v>1916</v>
      </c>
      <c r="T340" s="134">
        <v>1.0</v>
      </c>
      <c r="U340" s="224" t="s">
        <v>1917</v>
      </c>
      <c r="V340" s="99" t="s">
        <v>202</v>
      </c>
      <c r="W340" s="45" t="str">
        <f t="array" ref="W340">HYPERLINK(INDEX('File Links'!B:B, MATCH(U340, 'File Links'!C:C, 0)))
</f>
        <v>#N/A</v>
      </c>
      <c r="X340" s="226"/>
      <c r="Y340" s="224" t="s">
        <v>287</v>
      </c>
      <c r="Z340" s="224" t="s">
        <v>1951</v>
      </c>
      <c r="AA340" s="224" t="s">
        <v>1919</v>
      </c>
      <c r="AB340" s="224" t="s">
        <v>1952</v>
      </c>
      <c r="AC340" s="224" t="s">
        <v>1938</v>
      </c>
      <c r="AD340" s="631">
        <v>100.0</v>
      </c>
      <c r="AE340" s="631">
        <v>40.0</v>
      </c>
      <c r="AF340" s="99" t="s">
        <v>1948</v>
      </c>
      <c r="AG340" s="107" t="s">
        <v>162</v>
      </c>
      <c r="AH340" s="218" t="s">
        <v>1930</v>
      </c>
      <c r="AI340" s="221">
        <v>0.02</v>
      </c>
      <c r="AJ340" s="224" t="s">
        <v>127</v>
      </c>
      <c r="AK340" s="218" t="s">
        <v>179</v>
      </c>
      <c r="AL340" s="226" t="s">
        <v>129</v>
      </c>
      <c r="AM340" s="128" t="s">
        <v>165</v>
      </c>
      <c r="AN340" s="631">
        <v>40.0</v>
      </c>
      <c r="AO340" s="101" t="s">
        <v>1949</v>
      </c>
      <c r="AP340" s="99" t="s">
        <v>162</v>
      </c>
      <c r="AQ340" s="224" t="s">
        <v>163</v>
      </c>
      <c r="AR340" s="631">
        <v>1.0E-4</v>
      </c>
      <c r="AS340" s="224" t="s">
        <v>164</v>
      </c>
      <c r="AT340" s="224" t="s">
        <v>179</v>
      </c>
      <c r="AU340" s="226" t="s">
        <v>129</v>
      </c>
      <c r="AV340" s="629" t="s">
        <v>165</v>
      </c>
      <c r="AW340" s="226" t="s">
        <v>134</v>
      </c>
      <c r="AX340" s="60"/>
      <c r="AY340" s="41" t="s">
        <v>135</v>
      </c>
      <c r="BB340" s="95"/>
      <c r="BC340" s="95"/>
      <c r="BD340" s="95"/>
      <c r="BE340" s="95"/>
      <c r="BF340" s="95"/>
      <c r="BG340" s="95"/>
      <c r="BH340" s="95"/>
      <c r="BI340" s="95"/>
      <c r="BJ340" s="95"/>
      <c r="BK340" s="95"/>
      <c r="BL340" s="95"/>
      <c r="BM340" s="95"/>
      <c r="BN340" s="95"/>
      <c r="BO340" s="95"/>
      <c r="BP340" s="95"/>
      <c r="BQ340" s="95"/>
      <c r="BR340" s="95"/>
      <c r="BS340" s="95"/>
      <c r="BT340" s="95"/>
      <c r="BU340" s="95"/>
      <c r="BV340" s="95"/>
      <c r="BW340" s="95"/>
      <c r="BX340" s="95"/>
      <c r="BY340" s="95"/>
      <c r="BZ340" s="95"/>
      <c r="CA340" s="95"/>
      <c r="CB340" s="95"/>
      <c r="CC340" s="95"/>
      <c r="CD340" s="95"/>
      <c r="CE340" s="95"/>
      <c r="CF340" s="95"/>
      <c r="CG340" s="95"/>
      <c r="CH340" s="95"/>
      <c r="CI340" s="95"/>
      <c r="CJ340" s="95"/>
      <c r="CK340" s="95"/>
      <c r="CL340" s="95"/>
      <c r="CM340" s="95"/>
      <c r="CN340" s="95"/>
      <c r="CO340" s="95"/>
      <c r="CP340" s="95"/>
      <c r="CQ340" s="95"/>
      <c r="CR340" s="95"/>
      <c r="CS340" s="95"/>
      <c r="CT340" s="95"/>
      <c r="CU340" s="95"/>
      <c r="CV340" s="95"/>
      <c r="CW340" s="95"/>
      <c r="CX340" s="95"/>
      <c r="CY340" s="95"/>
      <c r="CZ340" s="95"/>
      <c r="DA340" s="95"/>
      <c r="DB340" s="95"/>
      <c r="DC340" s="95"/>
      <c r="DD340" s="95"/>
      <c r="DE340" s="95"/>
      <c r="DF340" s="95"/>
      <c r="DG340" s="95"/>
    </row>
    <row r="341" ht="20.25" customHeight="1">
      <c r="A341" s="344" t="s">
        <v>106</v>
      </c>
      <c r="B341" s="344" t="s">
        <v>107</v>
      </c>
      <c r="C341" s="344" t="s">
        <v>191</v>
      </c>
      <c r="D341" s="624"/>
      <c r="E341" s="226" t="s">
        <v>1897</v>
      </c>
      <c r="F341" s="99" t="s">
        <v>1953</v>
      </c>
      <c r="G341" s="99" t="s">
        <v>194</v>
      </c>
      <c r="H341" s="100">
        <v>45639.0</v>
      </c>
      <c r="I341" s="626">
        <v>45670.0</v>
      </c>
      <c r="J341" s="99" t="s">
        <v>1954</v>
      </c>
      <c r="K341" s="101"/>
      <c r="L341" s="99" t="s">
        <v>1901</v>
      </c>
      <c r="M341" s="99" t="s">
        <v>1902</v>
      </c>
      <c r="N341" s="101"/>
      <c r="O341" s="107" t="s">
        <v>1903</v>
      </c>
      <c r="P341" s="48" t="str">
        <f t="array" ref="P341">HYPERLINK(INDEX('File Links'!B:B, MATCH(O341, 'File Links'!C:C, 0)))
</f>
        <v>https://drive.google.com/file/d/1h26KXyOgQpabChNDwArC5YlDBW4_cfve/view?usp=drivesdk</v>
      </c>
      <c r="Q341" s="99" t="s">
        <v>1904</v>
      </c>
      <c r="R341" s="101"/>
      <c r="S341" s="101"/>
      <c r="T341" s="106"/>
      <c r="U341" s="99" t="s">
        <v>351</v>
      </c>
      <c r="V341" s="99" t="s">
        <v>202</v>
      </c>
      <c r="W341" s="45" t="str">
        <f t="array" ref="W341">HYPERLINK(INDEX('File Links'!B:B, MATCH(U341, 'File Links'!C:C, 0)))
</f>
        <v>#N/A</v>
      </c>
      <c r="X341" s="101"/>
      <c r="Y341" s="99" t="s">
        <v>287</v>
      </c>
      <c r="Z341" s="99" t="s">
        <v>1905</v>
      </c>
      <c r="AA341" s="99" t="s">
        <v>1906</v>
      </c>
      <c r="AB341" s="99" t="s">
        <v>1907</v>
      </c>
      <c r="AC341" s="99" t="s">
        <v>1908</v>
      </c>
      <c r="AD341" s="104">
        <v>2.0</v>
      </c>
      <c r="AE341" s="104">
        <v>40.0</v>
      </c>
      <c r="AF341" s="99" t="s">
        <v>1955</v>
      </c>
      <c r="AG341" s="107" t="s">
        <v>162</v>
      </c>
      <c r="AH341" s="99" t="s">
        <v>1910</v>
      </c>
      <c r="AI341" s="104">
        <v>0.02</v>
      </c>
      <c r="AJ341" s="108" t="s">
        <v>127</v>
      </c>
      <c r="AK341" s="99" t="s">
        <v>179</v>
      </c>
      <c r="AL341" s="101" t="s">
        <v>821</v>
      </c>
      <c r="AM341" s="101"/>
      <c r="AN341" s="104">
        <v>127.0</v>
      </c>
      <c r="AO341" s="101" t="s">
        <v>1956</v>
      </c>
      <c r="AP341" s="99" t="s">
        <v>162</v>
      </c>
      <c r="AQ341" s="99" t="s">
        <v>1912</v>
      </c>
      <c r="AR341" s="104">
        <v>0.528</v>
      </c>
      <c r="AS341" s="108" t="s">
        <v>164</v>
      </c>
      <c r="AT341" s="108" t="s">
        <v>179</v>
      </c>
      <c r="AU341" s="98" t="s">
        <v>821</v>
      </c>
      <c r="AV341" s="98"/>
      <c r="AW341" s="98" t="s">
        <v>134</v>
      </c>
      <c r="AX341" s="55"/>
      <c r="AY341" s="41" t="s">
        <v>135</v>
      </c>
      <c r="BB341" s="632"/>
      <c r="BC341" s="632"/>
      <c r="BD341" s="632"/>
      <c r="BE341" s="632"/>
      <c r="BF341" s="632"/>
      <c r="BG341" s="632"/>
      <c r="BH341" s="632"/>
      <c r="BI341" s="632"/>
      <c r="BJ341" s="632"/>
      <c r="BK341" s="632"/>
      <c r="BL341" s="632"/>
      <c r="BM341" s="632"/>
      <c r="BN341" s="632"/>
      <c r="BO341" s="632"/>
      <c r="BP341" s="632"/>
      <c r="BQ341" s="632"/>
      <c r="BR341" s="632"/>
      <c r="BS341" s="632"/>
      <c r="BT341" s="632"/>
      <c r="BU341" s="632"/>
      <c r="BV341" s="632"/>
      <c r="BW341" s="632"/>
      <c r="BX341" s="632"/>
      <c r="BY341" s="632"/>
      <c r="BZ341" s="632"/>
      <c r="CA341" s="632"/>
      <c r="CB341" s="632"/>
      <c r="CC341" s="632"/>
      <c r="CD341" s="632"/>
      <c r="CE341" s="632"/>
      <c r="CF341" s="632"/>
      <c r="CG341" s="632"/>
      <c r="CH341" s="632"/>
      <c r="CI341" s="632"/>
      <c r="CJ341" s="632"/>
      <c r="CK341" s="632"/>
      <c r="CL341" s="632"/>
      <c r="CM341" s="632"/>
      <c r="CN341" s="632"/>
      <c r="CO341" s="632"/>
      <c r="CP341" s="632"/>
      <c r="CQ341" s="632"/>
      <c r="CR341" s="632"/>
      <c r="CS341" s="632"/>
      <c r="CT341" s="632"/>
      <c r="CU341" s="632"/>
      <c r="CV341" s="632"/>
      <c r="CW341" s="632"/>
      <c r="CX341" s="632"/>
      <c r="CY341" s="632"/>
      <c r="CZ341" s="632"/>
      <c r="DA341" s="632"/>
      <c r="DB341" s="632"/>
      <c r="DC341" s="632"/>
      <c r="DD341" s="632"/>
      <c r="DE341" s="632"/>
      <c r="DF341" s="632"/>
      <c r="DG341" s="632"/>
    </row>
    <row r="342" ht="20.25" customHeight="1">
      <c r="A342" s="177" t="s">
        <v>143</v>
      </c>
      <c r="B342" s="177" t="s">
        <v>107</v>
      </c>
      <c r="C342" s="177" t="s">
        <v>280</v>
      </c>
      <c r="D342" s="178"/>
      <c r="E342" s="226" t="s">
        <v>1897</v>
      </c>
      <c r="F342" s="218" t="s">
        <v>1953</v>
      </c>
      <c r="G342" s="224" t="s">
        <v>283</v>
      </c>
      <c r="H342" s="219">
        <v>45638.0</v>
      </c>
      <c r="I342" s="627">
        <v>45670.0</v>
      </c>
      <c r="J342" s="224" t="s">
        <v>1913</v>
      </c>
      <c r="K342" s="226"/>
      <c r="L342" s="628" t="s">
        <v>1957</v>
      </c>
      <c r="M342" s="224" t="s">
        <v>1902</v>
      </c>
      <c r="N342" s="629">
        <v>1.0</v>
      </c>
      <c r="O342" s="224" t="s">
        <v>1903</v>
      </c>
      <c r="P342" s="48" t="str">
        <f t="array" ref="P342">HYPERLINK(INDEX('File Links'!B:B, MATCH(O342, 'File Links'!C:C, 0)))
</f>
        <v>https://drive.google.com/file/d/1h26KXyOgQpabChNDwArC5YlDBW4_cfve/view?usp=drivesdk</v>
      </c>
      <c r="Q342" s="224" t="s">
        <v>1904</v>
      </c>
      <c r="R342" s="226"/>
      <c r="S342" s="630" t="s">
        <v>1916</v>
      </c>
      <c r="T342" s="134">
        <v>1.0</v>
      </c>
      <c r="U342" s="224" t="s">
        <v>1917</v>
      </c>
      <c r="V342" s="99" t="s">
        <v>202</v>
      </c>
      <c r="W342" s="45" t="str">
        <f t="array" ref="W342">HYPERLINK(INDEX('File Links'!B:B, MATCH(U342, 'File Links'!C:C, 0)))
</f>
        <v>#N/A</v>
      </c>
      <c r="X342" s="226"/>
      <c r="Y342" s="224" t="s">
        <v>287</v>
      </c>
      <c r="Z342" s="224" t="s">
        <v>1958</v>
      </c>
      <c r="AA342" s="224" t="s">
        <v>1919</v>
      </c>
      <c r="AB342" s="224" t="s">
        <v>1959</v>
      </c>
      <c r="AC342" s="224" t="s">
        <v>1938</v>
      </c>
      <c r="AD342" s="631">
        <v>100.0</v>
      </c>
      <c r="AE342" s="631">
        <v>40.0</v>
      </c>
      <c r="AF342" s="99" t="s">
        <v>1955</v>
      </c>
      <c r="AG342" s="107" t="s">
        <v>162</v>
      </c>
      <c r="AH342" s="218" t="s">
        <v>1960</v>
      </c>
      <c r="AI342" s="221">
        <v>0.02</v>
      </c>
      <c r="AJ342" s="224" t="s">
        <v>127</v>
      </c>
      <c r="AK342" s="218" t="s">
        <v>179</v>
      </c>
      <c r="AL342" s="226" t="s">
        <v>129</v>
      </c>
      <c r="AM342" s="128" t="s">
        <v>165</v>
      </c>
      <c r="AN342" s="631">
        <v>40.0</v>
      </c>
      <c r="AO342" s="101" t="s">
        <v>1956</v>
      </c>
      <c r="AP342" s="99" t="s">
        <v>162</v>
      </c>
      <c r="AQ342" s="224" t="s">
        <v>163</v>
      </c>
      <c r="AR342" s="631">
        <v>0.528</v>
      </c>
      <c r="AS342" s="224" t="s">
        <v>164</v>
      </c>
      <c r="AT342" s="224" t="s">
        <v>179</v>
      </c>
      <c r="AU342" s="226" t="s">
        <v>129</v>
      </c>
      <c r="AV342" s="629" t="s">
        <v>165</v>
      </c>
      <c r="AW342" s="226" t="s">
        <v>134</v>
      </c>
      <c r="AX342" s="60"/>
      <c r="AY342" s="41" t="s">
        <v>135</v>
      </c>
      <c r="BB342" s="632"/>
      <c r="BC342" s="632"/>
      <c r="BD342" s="632"/>
      <c r="BE342" s="632"/>
      <c r="BF342" s="632"/>
      <c r="BG342" s="632"/>
      <c r="BH342" s="632"/>
      <c r="BI342" s="632"/>
      <c r="BJ342" s="632"/>
      <c r="BK342" s="632"/>
      <c r="BL342" s="632"/>
      <c r="BM342" s="632"/>
      <c r="BN342" s="632"/>
      <c r="BO342" s="632"/>
      <c r="BP342" s="632"/>
      <c r="BQ342" s="632"/>
      <c r="BR342" s="632"/>
      <c r="BS342" s="632"/>
      <c r="BT342" s="632"/>
      <c r="BU342" s="632"/>
      <c r="BV342" s="632"/>
      <c r="BW342" s="632"/>
      <c r="BX342" s="632"/>
      <c r="BY342" s="632"/>
      <c r="BZ342" s="632"/>
      <c r="CA342" s="632"/>
      <c r="CB342" s="632"/>
      <c r="CC342" s="632"/>
      <c r="CD342" s="632"/>
      <c r="CE342" s="632"/>
      <c r="CF342" s="632"/>
      <c r="CG342" s="632"/>
      <c r="CH342" s="632"/>
      <c r="CI342" s="632"/>
      <c r="CJ342" s="632"/>
      <c r="CK342" s="632"/>
      <c r="CL342" s="632"/>
      <c r="CM342" s="632"/>
      <c r="CN342" s="632"/>
      <c r="CO342" s="632"/>
      <c r="CP342" s="632"/>
      <c r="CQ342" s="632"/>
      <c r="CR342" s="632"/>
      <c r="CS342" s="632"/>
      <c r="CT342" s="632"/>
      <c r="CU342" s="632"/>
      <c r="CV342" s="632"/>
      <c r="CW342" s="632"/>
      <c r="CX342" s="632"/>
      <c r="CY342" s="632"/>
      <c r="CZ342" s="632"/>
      <c r="DA342" s="632"/>
      <c r="DB342" s="632"/>
      <c r="DC342" s="632"/>
      <c r="DD342" s="632"/>
      <c r="DE342" s="632"/>
      <c r="DF342" s="632"/>
      <c r="DG342" s="632"/>
    </row>
    <row r="343" ht="20.25" customHeight="1">
      <c r="A343" s="344" t="s">
        <v>106</v>
      </c>
      <c r="B343" s="344" t="s">
        <v>107</v>
      </c>
      <c r="C343" s="344" t="s">
        <v>191</v>
      </c>
      <c r="D343" s="624"/>
      <c r="E343" s="226" t="s">
        <v>1897</v>
      </c>
      <c r="F343" s="99" t="s">
        <v>1961</v>
      </c>
      <c r="G343" s="99" t="s">
        <v>194</v>
      </c>
      <c r="H343" s="100">
        <v>45639.0</v>
      </c>
      <c r="I343" s="626">
        <v>45670.0</v>
      </c>
      <c r="J343" s="99" t="s">
        <v>1962</v>
      </c>
      <c r="K343" s="101"/>
      <c r="L343" s="99" t="s">
        <v>1901</v>
      </c>
      <c r="M343" s="99" t="s">
        <v>1902</v>
      </c>
      <c r="N343" s="101"/>
      <c r="O343" s="107" t="s">
        <v>1903</v>
      </c>
      <c r="P343" s="48" t="str">
        <f t="array" ref="P343">HYPERLINK(INDEX('File Links'!B:B, MATCH(O343, 'File Links'!C:C, 0)))
</f>
        <v>https://drive.google.com/file/d/1h26KXyOgQpabChNDwArC5YlDBW4_cfve/view?usp=drivesdk</v>
      </c>
      <c r="Q343" s="99" t="s">
        <v>1904</v>
      </c>
      <c r="R343" s="101"/>
      <c r="S343" s="101"/>
      <c r="T343" s="106"/>
      <c r="U343" s="99" t="s">
        <v>351</v>
      </c>
      <c r="V343" s="99" t="s">
        <v>202</v>
      </c>
      <c r="W343" s="45" t="str">
        <f t="array" ref="W343">HYPERLINK(INDEX('File Links'!B:B, MATCH(U343, 'File Links'!C:C, 0)))
</f>
        <v>#N/A</v>
      </c>
      <c r="X343" s="101"/>
      <c r="Y343" s="99" t="s">
        <v>287</v>
      </c>
      <c r="Z343" s="99" t="s">
        <v>1905</v>
      </c>
      <c r="AA343" s="99" t="s">
        <v>1906</v>
      </c>
      <c r="AB343" s="99" t="s">
        <v>1907</v>
      </c>
      <c r="AC343" s="99" t="s">
        <v>1908</v>
      </c>
      <c r="AD343" s="104">
        <v>2.0</v>
      </c>
      <c r="AE343" s="104">
        <v>40.0</v>
      </c>
      <c r="AF343" s="99" t="s">
        <v>1963</v>
      </c>
      <c r="AG343" s="107" t="s">
        <v>162</v>
      </c>
      <c r="AH343" s="99" t="s">
        <v>1910</v>
      </c>
      <c r="AI343" s="104">
        <v>0.02</v>
      </c>
      <c r="AJ343" s="108" t="s">
        <v>127</v>
      </c>
      <c r="AK343" s="99" t="s">
        <v>179</v>
      </c>
      <c r="AL343" s="101" t="s">
        <v>821</v>
      </c>
      <c r="AM343" s="101"/>
      <c r="AN343" s="104">
        <v>127.0</v>
      </c>
      <c r="AO343" s="101" t="s">
        <v>1964</v>
      </c>
      <c r="AP343" s="99" t="s">
        <v>162</v>
      </c>
      <c r="AQ343" s="99" t="s">
        <v>1912</v>
      </c>
      <c r="AR343" s="104">
        <v>0.311</v>
      </c>
      <c r="AS343" s="108" t="s">
        <v>164</v>
      </c>
      <c r="AT343" s="108" t="s">
        <v>179</v>
      </c>
      <c r="AU343" s="98" t="s">
        <v>821</v>
      </c>
      <c r="AV343" s="98"/>
      <c r="AW343" s="98" t="s">
        <v>134</v>
      </c>
      <c r="AX343" s="55"/>
      <c r="AY343" s="41" t="s">
        <v>135</v>
      </c>
      <c r="BB343" s="632"/>
      <c r="BC343" s="632"/>
      <c r="BD343" s="632"/>
      <c r="BE343" s="632"/>
      <c r="BF343" s="632"/>
      <c r="BG343" s="632"/>
      <c r="BH343" s="632"/>
      <c r="BI343" s="632"/>
      <c r="BJ343" s="632"/>
      <c r="BK343" s="632"/>
      <c r="BL343" s="632"/>
      <c r="BM343" s="632"/>
      <c r="BN343" s="632"/>
      <c r="BO343" s="632"/>
      <c r="BP343" s="632"/>
      <c r="BQ343" s="632"/>
      <c r="BR343" s="632"/>
      <c r="BS343" s="632"/>
      <c r="BT343" s="632"/>
      <c r="BU343" s="632"/>
      <c r="BV343" s="632"/>
      <c r="BW343" s="632"/>
      <c r="BX343" s="632"/>
      <c r="BY343" s="632"/>
      <c r="BZ343" s="632"/>
      <c r="CA343" s="632"/>
      <c r="CB343" s="632"/>
      <c r="CC343" s="632"/>
      <c r="CD343" s="632"/>
      <c r="CE343" s="632"/>
      <c r="CF343" s="632"/>
      <c r="CG343" s="632"/>
      <c r="CH343" s="632"/>
      <c r="CI343" s="632"/>
      <c r="CJ343" s="632"/>
      <c r="CK343" s="632"/>
      <c r="CL343" s="632"/>
      <c r="CM343" s="632"/>
      <c r="CN343" s="632"/>
      <c r="CO343" s="632"/>
      <c r="CP343" s="632"/>
      <c r="CQ343" s="632"/>
      <c r="CR343" s="632"/>
      <c r="CS343" s="632"/>
      <c r="CT343" s="632"/>
      <c r="CU343" s="632"/>
      <c r="CV343" s="632"/>
      <c r="CW343" s="632"/>
      <c r="CX343" s="632"/>
      <c r="CY343" s="632"/>
      <c r="CZ343" s="632"/>
      <c r="DA343" s="632"/>
      <c r="DB343" s="632"/>
      <c r="DC343" s="632"/>
      <c r="DD343" s="632"/>
      <c r="DE343" s="632"/>
      <c r="DF343" s="632"/>
      <c r="DG343" s="632"/>
    </row>
    <row r="344" ht="20.25" customHeight="1">
      <c r="A344" s="177" t="s">
        <v>143</v>
      </c>
      <c r="B344" s="177" t="s">
        <v>107</v>
      </c>
      <c r="C344" s="177" t="s">
        <v>280</v>
      </c>
      <c r="D344" s="178"/>
      <c r="E344" s="226" t="s">
        <v>1897</v>
      </c>
      <c r="F344" s="218" t="s">
        <v>1961</v>
      </c>
      <c r="G344" s="224" t="s">
        <v>283</v>
      </c>
      <c r="H344" s="219">
        <v>45639.0</v>
      </c>
      <c r="I344" s="627">
        <v>45670.0</v>
      </c>
      <c r="J344" s="224" t="s">
        <v>1913</v>
      </c>
      <c r="K344" s="226"/>
      <c r="L344" s="628" t="s">
        <v>1965</v>
      </c>
      <c r="M344" s="224" t="s">
        <v>1902</v>
      </c>
      <c r="N344" s="629">
        <v>1.0</v>
      </c>
      <c r="O344" s="224" t="s">
        <v>1903</v>
      </c>
      <c r="P344" s="48" t="str">
        <f t="array" ref="P344">HYPERLINK(INDEX('File Links'!B:B, MATCH(O344, 'File Links'!C:C, 0)))
</f>
        <v>https://drive.google.com/file/d/1h26KXyOgQpabChNDwArC5YlDBW4_cfve/view?usp=drivesdk</v>
      </c>
      <c r="Q344" s="224" t="s">
        <v>1904</v>
      </c>
      <c r="R344" s="226"/>
      <c r="S344" s="630" t="s">
        <v>1916</v>
      </c>
      <c r="T344" s="134">
        <v>1.0</v>
      </c>
      <c r="U344" s="224" t="s">
        <v>1917</v>
      </c>
      <c r="V344" s="99" t="s">
        <v>202</v>
      </c>
      <c r="W344" s="45" t="str">
        <f t="array" ref="W344">HYPERLINK(INDEX('File Links'!B:B, MATCH(U344, 'File Links'!C:C, 0)))
</f>
        <v>#N/A</v>
      </c>
      <c r="X344" s="226"/>
      <c r="Y344" s="224" t="s">
        <v>287</v>
      </c>
      <c r="Z344" s="224" t="s">
        <v>1966</v>
      </c>
      <c r="AA344" s="224" t="s">
        <v>1919</v>
      </c>
      <c r="AB344" s="224" t="s">
        <v>1967</v>
      </c>
      <c r="AC344" s="224" t="s">
        <v>1938</v>
      </c>
      <c r="AD344" s="631">
        <v>100.0</v>
      </c>
      <c r="AE344" s="631">
        <v>40.0</v>
      </c>
      <c r="AF344" s="99" t="s">
        <v>1963</v>
      </c>
      <c r="AG344" s="107" t="s">
        <v>162</v>
      </c>
      <c r="AH344" s="218" t="s">
        <v>1960</v>
      </c>
      <c r="AI344" s="221">
        <v>0.02</v>
      </c>
      <c r="AJ344" s="224" t="s">
        <v>127</v>
      </c>
      <c r="AK344" s="218" t="s">
        <v>179</v>
      </c>
      <c r="AL344" s="226" t="s">
        <v>129</v>
      </c>
      <c r="AM344" s="128" t="s">
        <v>165</v>
      </c>
      <c r="AN344" s="631">
        <v>40.0</v>
      </c>
      <c r="AO344" s="101" t="s">
        <v>1964</v>
      </c>
      <c r="AP344" s="99" t="s">
        <v>162</v>
      </c>
      <c r="AQ344" s="224" t="s">
        <v>163</v>
      </c>
      <c r="AR344" s="631">
        <v>0.311</v>
      </c>
      <c r="AS344" s="224" t="s">
        <v>164</v>
      </c>
      <c r="AT344" s="224" t="s">
        <v>179</v>
      </c>
      <c r="AU344" s="226" t="s">
        <v>129</v>
      </c>
      <c r="AV344" s="629" t="s">
        <v>165</v>
      </c>
      <c r="AW344" s="226" t="s">
        <v>134</v>
      </c>
      <c r="AX344" s="60"/>
      <c r="AY344" s="41" t="s">
        <v>135</v>
      </c>
      <c r="BB344" s="209"/>
      <c r="BC344" s="209"/>
      <c r="BD344" s="209"/>
      <c r="BE344" s="209"/>
      <c r="BF344" s="209"/>
      <c r="BG344" s="209"/>
      <c r="BH344" s="209"/>
      <c r="BI344" s="209"/>
      <c r="BJ344" s="209"/>
      <c r="BK344" s="209"/>
      <c r="BL344" s="209"/>
      <c r="BM344" s="209"/>
      <c r="BN344" s="209"/>
      <c r="BO344" s="209"/>
      <c r="BP344" s="209"/>
      <c r="BQ344" s="209"/>
      <c r="BR344" s="209"/>
      <c r="BS344" s="209"/>
      <c r="BT344" s="209"/>
      <c r="BU344" s="209"/>
      <c r="BV344" s="209"/>
      <c r="BW344" s="209"/>
      <c r="BX344" s="209"/>
      <c r="BY344" s="209"/>
      <c r="BZ344" s="209"/>
      <c r="CA344" s="209"/>
      <c r="CB344" s="209"/>
      <c r="CC344" s="209"/>
      <c r="CD344" s="209"/>
      <c r="CE344" s="209"/>
      <c r="CF344" s="209"/>
      <c r="CG344" s="209"/>
      <c r="CH344" s="209"/>
      <c r="CI344" s="209"/>
      <c r="CJ344" s="209"/>
      <c r="CK344" s="209"/>
      <c r="CL344" s="209"/>
      <c r="CM344" s="209"/>
      <c r="CN344" s="209"/>
      <c r="CO344" s="209"/>
      <c r="CP344" s="209"/>
      <c r="CQ344" s="209"/>
      <c r="CR344" s="209"/>
      <c r="CS344" s="209"/>
      <c r="CT344" s="209"/>
      <c r="CU344" s="209"/>
      <c r="CV344" s="209"/>
      <c r="CW344" s="209"/>
      <c r="CX344" s="209"/>
      <c r="CY344" s="209"/>
      <c r="CZ344" s="209"/>
      <c r="DA344" s="209"/>
      <c r="DB344" s="209"/>
      <c r="DC344" s="209"/>
      <c r="DD344" s="209"/>
      <c r="DE344" s="209"/>
      <c r="DF344" s="209"/>
      <c r="DG344" s="209"/>
    </row>
    <row r="345" ht="20.25" customHeight="1">
      <c r="A345" s="344" t="s">
        <v>106</v>
      </c>
      <c r="B345" s="344" t="s">
        <v>107</v>
      </c>
      <c r="C345" s="344" t="s">
        <v>191</v>
      </c>
      <c r="D345" s="624"/>
      <c r="E345" s="226" t="s">
        <v>1897</v>
      </c>
      <c r="F345" s="99" t="s">
        <v>1968</v>
      </c>
      <c r="G345" s="99" t="s">
        <v>194</v>
      </c>
      <c r="H345" s="100">
        <v>45639.0</v>
      </c>
      <c r="I345" s="626">
        <v>45670.0</v>
      </c>
      <c r="J345" s="99" t="s">
        <v>1969</v>
      </c>
      <c r="K345" s="101"/>
      <c r="L345" s="99" t="s">
        <v>1901</v>
      </c>
      <c r="M345" s="99" t="s">
        <v>1902</v>
      </c>
      <c r="N345" s="101"/>
      <c r="O345" s="107" t="s">
        <v>1903</v>
      </c>
      <c r="P345" s="48" t="str">
        <f t="array" ref="P345">HYPERLINK(INDEX('File Links'!B:B, MATCH(O345, 'File Links'!C:C, 0)))
</f>
        <v>https://drive.google.com/file/d/1h26KXyOgQpabChNDwArC5YlDBW4_cfve/view?usp=drivesdk</v>
      </c>
      <c r="Q345" s="99" t="s">
        <v>1904</v>
      </c>
      <c r="R345" s="101"/>
      <c r="S345" s="101"/>
      <c r="T345" s="106"/>
      <c r="U345" s="99" t="s">
        <v>351</v>
      </c>
      <c r="V345" s="99" t="s">
        <v>202</v>
      </c>
      <c r="W345" s="45" t="str">
        <f t="array" ref="W345">HYPERLINK(INDEX('File Links'!B:B, MATCH(U345, 'File Links'!C:C, 0)))
</f>
        <v>#N/A</v>
      </c>
      <c r="X345" s="101"/>
      <c r="Y345" s="99" t="s">
        <v>287</v>
      </c>
      <c r="Z345" s="99" t="s">
        <v>1905</v>
      </c>
      <c r="AA345" s="99" t="s">
        <v>1906</v>
      </c>
      <c r="AB345" s="99" t="s">
        <v>1907</v>
      </c>
      <c r="AC345" s="99" t="s">
        <v>1908</v>
      </c>
      <c r="AD345" s="104">
        <v>2.0</v>
      </c>
      <c r="AE345" s="104">
        <v>40.0</v>
      </c>
      <c r="AF345" s="99" t="s">
        <v>1970</v>
      </c>
      <c r="AG345" s="107" t="s">
        <v>162</v>
      </c>
      <c r="AH345" s="99" t="s">
        <v>1910</v>
      </c>
      <c r="AI345" s="104">
        <v>0.05</v>
      </c>
      <c r="AJ345" s="108" t="s">
        <v>329</v>
      </c>
      <c r="AK345" s="99" t="s">
        <v>179</v>
      </c>
      <c r="AL345" s="101" t="s">
        <v>821</v>
      </c>
      <c r="AM345" s="101"/>
      <c r="AN345" s="104">
        <v>127.0</v>
      </c>
      <c r="AO345" s="101" t="s">
        <v>1971</v>
      </c>
      <c r="AP345" s="99" t="s">
        <v>162</v>
      </c>
      <c r="AQ345" s="99" t="s">
        <v>1912</v>
      </c>
      <c r="AR345" s="104">
        <v>0.087</v>
      </c>
      <c r="AS345" s="108" t="s">
        <v>164</v>
      </c>
      <c r="AT345" s="108" t="s">
        <v>179</v>
      </c>
      <c r="AU345" s="98" t="s">
        <v>821</v>
      </c>
      <c r="AV345" s="98"/>
      <c r="AW345" s="98" t="s">
        <v>134</v>
      </c>
      <c r="AX345" s="55"/>
      <c r="AY345" s="41" t="s">
        <v>135</v>
      </c>
      <c r="BB345" s="209"/>
      <c r="BC345" s="209"/>
      <c r="BD345" s="209"/>
      <c r="BE345" s="209"/>
      <c r="BF345" s="209"/>
      <c r="BG345" s="209"/>
      <c r="BH345" s="209"/>
      <c r="BI345" s="209"/>
      <c r="BJ345" s="209"/>
      <c r="BK345" s="209"/>
      <c r="BL345" s="209"/>
      <c r="BM345" s="209"/>
      <c r="BN345" s="209"/>
      <c r="BO345" s="209"/>
      <c r="BP345" s="209"/>
      <c r="BQ345" s="209"/>
      <c r="BR345" s="209"/>
      <c r="BS345" s="209"/>
      <c r="BT345" s="209"/>
      <c r="BU345" s="209"/>
      <c r="BV345" s="209"/>
      <c r="BW345" s="209"/>
      <c r="BX345" s="209"/>
      <c r="BY345" s="209"/>
      <c r="BZ345" s="209"/>
      <c r="CA345" s="209"/>
      <c r="CB345" s="209"/>
      <c r="CC345" s="209"/>
      <c r="CD345" s="209"/>
      <c r="CE345" s="209"/>
      <c r="CF345" s="209"/>
      <c r="CG345" s="209"/>
      <c r="CH345" s="209"/>
      <c r="CI345" s="209"/>
      <c r="CJ345" s="209"/>
      <c r="CK345" s="209"/>
      <c r="CL345" s="209"/>
      <c r="CM345" s="209"/>
      <c r="CN345" s="209"/>
      <c r="CO345" s="209"/>
      <c r="CP345" s="209"/>
      <c r="CQ345" s="209"/>
      <c r="CR345" s="209"/>
      <c r="CS345" s="209"/>
      <c r="CT345" s="209"/>
      <c r="CU345" s="209"/>
      <c r="CV345" s="209"/>
      <c r="CW345" s="209"/>
      <c r="CX345" s="209"/>
      <c r="CY345" s="209"/>
      <c r="CZ345" s="209"/>
      <c r="DA345" s="209"/>
      <c r="DB345" s="209"/>
      <c r="DC345" s="209"/>
      <c r="DD345" s="209"/>
      <c r="DE345" s="209"/>
      <c r="DF345" s="209"/>
      <c r="DG345" s="209"/>
    </row>
    <row r="346" ht="20.25" customHeight="1">
      <c r="A346" s="177" t="s">
        <v>143</v>
      </c>
      <c r="B346" s="177" t="s">
        <v>107</v>
      </c>
      <c r="C346" s="177" t="s">
        <v>280</v>
      </c>
      <c r="D346" s="178"/>
      <c r="E346" s="226" t="s">
        <v>1897</v>
      </c>
      <c r="F346" s="218" t="s">
        <v>1968</v>
      </c>
      <c r="G346" s="224" t="s">
        <v>283</v>
      </c>
      <c r="H346" s="219">
        <v>45640.0</v>
      </c>
      <c r="I346" s="627">
        <v>45670.0</v>
      </c>
      <c r="J346" s="224" t="s">
        <v>1913</v>
      </c>
      <c r="K346" s="226"/>
      <c r="L346" s="628" t="s">
        <v>1972</v>
      </c>
      <c r="M346" s="224" t="s">
        <v>1902</v>
      </c>
      <c r="N346" s="629">
        <v>1.0</v>
      </c>
      <c r="O346" s="224" t="s">
        <v>1903</v>
      </c>
      <c r="P346" s="48" t="str">
        <f t="array" ref="P346">HYPERLINK(INDEX('File Links'!B:B, MATCH(O346, 'File Links'!C:C, 0)))
</f>
        <v>https://drive.google.com/file/d/1h26KXyOgQpabChNDwArC5YlDBW4_cfve/view?usp=drivesdk</v>
      </c>
      <c r="Q346" s="224" t="s">
        <v>1904</v>
      </c>
      <c r="R346" s="226"/>
      <c r="S346" s="630" t="s">
        <v>1916</v>
      </c>
      <c r="T346" s="134">
        <v>1.0</v>
      </c>
      <c r="U346" s="224" t="s">
        <v>1917</v>
      </c>
      <c r="V346" s="99" t="s">
        <v>202</v>
      </c>
      <c r="W346" s="45" t="str">
        <f t="array" ref="W346">HYPERLINK(INDEX('File Links'!B:B, MATCH(U346, 'File Links'!C:C, 0)))
</f>
        <v>#N/A</v>
      </c>
      <c r="X346" s="226"/>
      <c r="Y346" s="224" t="s">
        <v>287</v>
      </c>
      <c r="Z346" s="224" t="s">
        <v>1973</v>
      </c>
      <c r="AA346" s="224" t="s">
        <v>1919</v>
      </c>
      <c r="AB346" s="224" t="s">
        <v>1974</v>
      </c>
      <c r="AC346" s="224" t="s">
        <v>1938</v>
      </c>
      <c r="AD346" s="631">
        <v>100.0</v>
      </c>
      <c r="AE346" s="631">
        <v>40.0</v>
      </c>
      <c r="AF346" s="631">
        <v>1.4</v>
      </c>
      <c r="AG346" s="222" t="s">
        <v>1273</v>
      </c>
      <c r="AH346" s="218" t="s">
        <v>1975</v>
      </c>
      <c r="AI346" s="221">
        <v>0.05</v>
      </c>
      <c r="AJ346" s="224" t="s">
        <v>127</v>
      </c>
      <c r="AK346" s="218" t="s">
        <v>179</v>
      </c>
      <c r="AL346" s="226" t="s">
        <v>129</v>
      </c>
      <c r="AM346" s="128" t="s">
        <v>165</v>
      </c>
      <c r="AN346" s="631">
        <v>40.0</v>
      </c>
      <c r="AO346" s="101" t="s">
        <v>1971</v>
      </c>
      <c r="AP346" s="99" t="s">
        <v>162</v>
      </c>
      <c r="AQ346" s="224" t="s">
        <v>163</v>
      </c>
      <c r="AR346" s="631">
        <v>0.087</v>
      </c>
      <c r="AS346" s="224" t="s">
        <v>164</v>
      </c>
      <c r="AT346" s="224" t="s">
        <v>179</v>
      </c>
      <c r="AU346" s="226" t="s">
        <v>129</v>
      </c>
      <c r="AV346" s="629" t="s">
        <v>165</v>
      </c>
      <c r="AW346" s="226" t="s">
        <v>134</v>
      </c>
      <c r="AX346" s="60"/>
      <c r="AY346" s="41" t="s">
        <v>135</v>
      </c>
      <c r="BB346" s="209"/>
      <c r="BC346" s="209"/>
      <c r="BD346" s="209"/>
      <c r="BE346" s="209"/>
      <c r="BF346" s="209"/>
      <c r="BG346" s="209"/>
      <c r="BH346" s="209"/>
      <c r="BI346" s="209"/>
      <c r="BJ346" s="209"/>
      <c r="BK346" s="209"/>
      <c r="BL346" s="209"/>
      <c r="BM346" s="209"/>
      <c r="BN346" s="209"/>
      <c r="BO346" s="209"/>
      <c r="BP346" s="209"/>
      <c r="BQ346" s="209"/>
      <c r="BR346" s="209"/>
      <c r="BS346" s="209"/>
      <c r="BT346" s="209"/>
      <c r="BU346" s="209"/>
      <c r="BV346" s="209"/>
      <c r="BW346" s="209"/>
      <c r="BX346" s="209"/>
      <c r="BY346" s="209"/>
      <c r="BZ346" s="209"/>
      <c r="CA346" s="209"/>
      <c r="CB346" s="209"/>
      <c r="CC346" s="209"/>
      <c r="CD346" s="209"/>
      <c r="CE346" s="209"/>
      <c r="CF346" s="209"/>
      <c r="CG346" s="209"/>
      <c r="CH346" s="209"/>
      <c r="CI346" s="209"/>
      <c r="CJ346" s="209"/>
      <c r="CK346" s="209"/>
      <c r="CL346" s="209"/>
      <c r="CM346" s="209"/>
      <c r="CN346" s="209"/>
      <c r="CO346" s="209"/>
      <c r="CP346" s="209"/>
      <c r="CQ346" s="209"/>
      <c r="CR346" s="209"/>
      <c r="CS346" s="209"/>
      <c r="CT346" s="209"/>
      <c r="CU346" s="209"/>
      <c r="CV346" s="209"/>
      <c r="CW346" s="209"/>
      <c r="CX346" s="209"/>
      <c r="CY346" s="209"/>
      <c r="CZ346" s="209"/>
      <c r="DA346" s="209"/>
      <c r="DB346" s="209"/>
      <c r="DC346" s="209"/>
      <c r="DD346" s="209"/>
      <c r="DE346" s="209"/>
      <c r="DF346" s="209"/>
      <c r="DG346" s="209"/>
    </row>
    <row r="347" ht="20.25" customHeight="1">
      <c r="A347" s="177" t="s">
        <v>106</v>
      </c>
      <c r="B347" s="177" t="s">
        <v>107</v>
      </c>
      <c r="C347" s="177" t="s">
        <v>280</v>
      </c>
      <c r="D347" s="178"/>
      <c r="E347" s="226" t="s">
        <v>1897</v>
      </c>
      <c r="F347" s="218" t="s">
        <v>1976</v>
      </c>
      <c r="G347" s="224" t="s">
        <v>283</v>
      </c>
      <c r="H347" s="219">
        <v>45641.0</v>
      </c>
      <c r="I347" s="627">
        <v>45670.0</v>
      </c>
      <c r="J347" s="224" t="s">
        <v>1913</v>
      </c>
      <c r="K347" s="629" t="s">
        <v>1977</v>
      </c>
      <c r="L347" s="628" t="s">
        <v>1978</v>
      </c>
      <c r="M347" s="224" t="s">
        <v>1902</v>
      </c>
      <c r="N347" s="629">
        <v>1.0</v>
      </c>
      <c r="O347" s="224" t="s">
        <v>1903</v>
      </c>
      <c r="P347" s="48" t="str">
        <f t="array" ref="P347">HYPERLINK(INDEX('File Links'!B:B, MATCH(O347, 'File Links'!C:C, 0)))
</f>
        <v>https://drive.google.com/file/d/1h26KXyOgQpabChNDwArC5YlDBW4_cfve/view?usp=drivesdk</v>
      </c>
      <c r="Q347" s="224" t="s">
        <v>1904</v>
      </c>
      <c r="R347" s="226"/>
      <c r="S347" s="630" t="s">
        <v>1916</v>
      </c>
      <c r="T347" s="134">
        <v>1.0</v>
      </c>
      <c r="U347" s="224" t="s">
        <v>1917</v>
      </c>
      <c r="V347" s="99" t="s">
        <v>202</v>
      </c>
      <c r="W347" s="45" t="str">
        <f t="array" ref="W347">HYPERLINK(INDEX('File Links'!B:B, MATCH(U347, 'File Links'!C:C, 0)))
</f>
        <v>#N/A</v>
      </c>
      <c r="X347" s="226"/>
      <c r="Y347" s="224" t="s">
        <v>287</v>
      </c>
      <c r="Z347" s="224" t="s">
        <v>1979</v>
      </c>
      <c r="AA347" s="224" t="s">
        <v>1919</v>
      </c>
      <c r="AB347" s="224" t="s">
        <v>1980</v>
      </c>
      <c r="AC347" s="226"/>
      <c r="AD347" s="226"/>
      <c r="AE347" s="226"/>
      <c r="AF347" s="224" t="s">
        <v>768</v>
      </c>
      <c r="AG347" s="633"/>
      <c r="AH347" s="220"/>
      <c r="AI347" s="220"/>
      <c r="AJ347" s="226"/>
      <c r="AK347" s="220"/>
      <c r="AL347" s="226"/>
      <c r="AM347" s="128" t="s">
        <v>165</v>
      </c>
      <c r="AN347" s="631">
        <v>40.0</v>
      </c>
      <c r="AO347" s="634" t="s">
        <v>1981</v>
      </c>
      <c r="AP347" s="223" t="s">
        <v>162</v>
      </c>
      <c r="AQ347" s="224" t="s">
        <v>163</v>
      </c>
      <c r="AR347" s="631">
        <v>1.0E-4</v>
      </c>
      <c r="AS347" s="224" t="s">
        <v>164</v>
      </c>
      <c r="AT347" s="224" t="s">
        <v>179</v>
      </c>
      <c r="AU347" s="226" t="s">
        <v>129</v>
      </c>
      <c r="AV347" s="629" t="s">
        <v>165</v>
      </c>
      <c r="AW347" s="41" t="s">
        <v>142</v>
      </c>
      <c r="AX347" s="115" t="s">
        <v>1977</v>
      </c>
      <c r="AY347" s="41" t="s">
        <v>135</v>
      </c>
      <c r="BB347" s="209"/>
      <c r="BC347" s="209"/>
      <c r="BD347" s="209"/>
      <c r="BE347" s="209"/>
      <c r="BF347" s="209"/>
      <c r="BG347" s="209"/>
      <c r="BH347" s="209"/>
      <c r="BI347" s="209"/>
      <c r="BJ347" s="209"/>
      <c r="BK347" s="209"/>
      <c r="BL347" s="209"/>
      <c r="BM347" s="209"/>
      <c r="BN347" s="209"/>
      <c r="BO347" s="209"/>
      <c r="BP347" s="209"/>
      <c r="BQ347" s="209"/>
      <c r="BR347" s="209"/>
      <c r="BS347" s="209"/>
      <c r="BT347" s="209"/>
      <c r="BU347" s="209"/>
      <c r="BV347" s="209"/>
      <c r="BW347" s="209"/>
      <c r="BX347" s="209"/>
      <c r="BY347" s="209"/>
      <c r="BZ347" s="209"/>
      <c r="CA347" s="209"/>
      <c r="CB347" s="209"/>
      <c r="CC347" s="209"/>
      <c r="CD347" s="209"/>
      <c r="CE347" s="209"/>
      <c r="CF347" s="209"/>
      <c r="CG347" s="209"/>
      <c r="CH347" s="209"/>
      <c r="CI347" s="209"/>
      <c r="CJ347" s="209"/>
      <c r="CK347" s="209"/>
      <c r="CL347" s="209"/>
      <c r="CM347" s="209"/>
      <c r="CN347" s="209"/>
      <c r="CO347" s="209"/>
      <c r="CP347" s="209"/>
      <c r="CQ347" s="209"/>
      <c r="CR347" s="209"/>
      <c r="CS347" s="209"/>
      <c r="CT347" s="209"/>
      <c r="CU347" s="209"/>
      <c r="CV347" s="209"/>
      <c r="CW347" s="209"/>
      <c r="CX347" s="209"/>
      <c r="CY347" s="209"/>
      <c r="CZ347" s="209"/>
      <c r="DA347" s="209"/>
      <c r="DB347" s="209"/>
      <c r="DC347" s="209"/>
      <c r="DD347" s="209"/>
      <c r="DE347" s="209"/>
      <c r="DF347" s="209"/>
      <c r="DG347" s="209"/>
    </row>
    <row r="348" ht="20.25" customHeight="1">
      <c r="A348" s="635" t="s">
        <v>586</v>
      </c>
      <c r="B348" s="635" t="s">
        <v>107</v>
      </c>
      <c r="C348" s="635" t="s">
        <v>226</v>
      </c>
      <c r="D348" s="636"/>
      <c r="E348" s="475" t="s">
        <v>1982</v>
      </c>
      <c r="F348" s="40" t="s">
        <v>1983</v>
      </c>
      <c r="G348" s="40" t="s">
        <v>229</v>
      </c>
      <c r="H348" s="56">
        <v>45427.0</v>
      </c>
      <c r="I348" s="57">
        <v>45624.0</v>
      </c>
      <c r="J348" s="58"/>
      <c r="K348" s="635" t="s">
        <v>1984</v>
      </c>
      <c r="L348" s="40" t="s">
        <v>1985</v>
      </c>
      <c r="M348" s="40" t="s">
        <v>1986</v>
      </c>
      <c r="N348" s="40">
        <v>1.0</v>
      </c>
      <c r="O348" s="105" t="str">
        <f> hyperlink(vlookup(lower(M348),'File Links'!A:B, 2, FALSE), SUBSTITUTE(lower(M348), "/", "--") &amp;  ".pdf")</f>
        <v>10.1111--0023-8333.00112.pdf</v>
      </c>
      <c r="P348" s="48" t="str">
        <f t="array" ref="P348">HYPERLINK(INDEX('File Links'!B:B, MATCH(O348, 'File Links'!C:C, 0)))
</f>
        <v>https://drive.google.com/file/d/1jZTNlQnL0TIaQEtiJ7d2O9yOJIbibVXq/view?usp=drivesdk</v>
      </c>
      <c r="Q348" s="40" t="s">
        <v>1987</v>
      </c>
      <c r="R348" s="40" t="s">
        <v>1988</v>
      </c>
      <c r="S348" s="58"/>
      <c r="T348" s="40">
        <v>1.0</v>
      </c>
      <c r="U348" s="59" t="str">
        <f> hyperlink(vlookup(lower(R348),'File Links'!E:F, 2, FALSE), SUBSTITUTE(lower(R348), "/", "--") &amp;  ".pdf")</f>
        <v>10.1007--978-3-031-55844-3_4.pdf</v>
      </c>
      <c r="V348" s="40" t="s">
        <v>1989</v>
      </c>
      <c r="W348" s="45" t="str">
        <f t="array" ref="W348">HYPERLINK(INDEX('File Links'!B:B, MATCH(U348, 'File Links'!C:C, 0)))
</f>
        <v>#N/A</v>
      </c>
      <c r="X348" s="58"/>
      <c r="Y348" s="40" t="s">
        <v>139</v>
      </c>
      <c r="Z348" s="40" t="s">
        <v>1990</v>
      </c>
      <c r="AA348" s="40" t="s">
        <v>1991</v>
      </c>
      <c r="AB348" s="40" t="s">
        <v>1992</v>
      </c>
      <c r="AC348" s="58"/>
      <c r="AD348" s="58"/>
      <c r="AE348" s="40">
        <v>258.0</v>
      </c>
      <c r="AF348" s="58"/>
      <c r="AG348" s="58"/>
      <c r="AH348" s="58"/>
      <c r="AI348" s="40"/>
      <c r="AJ348" s="58"/>
      <c r="AK348" s="58"/>
      <c r="AL348" s="25"/>
      <c r="AM348" s="58"/>
      <c r="AN348" s="58"/>
      <c r="AO348" s="58"/>
      <c r="AP348" s="58"/>
      <c r="AQ348" s="58"/>
      <c r="AR348" s="58"/>
      <c r="AS348" s="58"/>
      <c r="AT348" s="58"/>
      <c r="AU348" s="25"/>
      <c r="AW348" s="60"/>
      <c r="AX348" s="40"/>
      <c r="BB348" s="95"/>
      <c r="BC348" s="95"/>
      <c r="BD348" s="95"/>
      <c r="BE348" s="95"/>
      <c r="BF348" s="95"/>
      <c r="BG348" s="95"/>
      <c r="BH348" s="95"/>
      <c r="BI348" s="95"/>
      <c r="BJ348" s="95"/>
      <c r="BK348" s="95"/>
      <c r="BL348" s="95"/>
      <c r="BM348" s="95"/>
      <c r="BN348" s="95"/>
      <c r="BO348" s="95"/>
      <c r="BP348" s="95"/>
      <c r="BQ348" s="95"/>
      <c r="BR348" s="95"/>
      <c r="BS348" s="95"/>
      <c r="BT348" s="95"/>
      <c r="BU348" s="95"/>
      <c r="BV348" s="95"/>
      <c r="BW348" s="95"/>
      <c r="BX348" s="95"/>
      <c r="BY348" s="95"/>
      <c r="BZ348" s="95"/>
      <c r="CA348" s="95"/>
      <c r="CB348" s="95"/>
      <c r="CC348" s="95"/>
      <c r="CD348" s="95"/>
      <c r="CE348" s="95"/>
      <c r="CF348" s="95"/>
      <c r="CG348" s="95"/>
      <c r="CH348" s="95"/>
      <c r="CI348" s="95"/>
      <c r="CJ348" s="95"/>
      <c r="CK348" s="95"/>
      <c r="CL348" s="95"/>
      <c r="CM348" s="95"/>
      <c r="CN348" s="95"/>
      <c r="CO348" s="95"/>
      <c r="CP348" s="95"/>
      <c r="CQ348" s="95"/>
      <c r="CR348" s="95"/>
      <c r="CS348" s="95"/>
      <c r="CT348" s="95"/>
      <c r="CU348" s="95"/>
      <c r="CV348" s="95"/>
      <c r="CW348" s="95"/>
      <c r="CX348" s="95"/>
      <c r="CY348" s="95"/>
      <c r="CZ348" s="95"/>
      <c r="DA348" s="95"/>
      <c r="DB348" s="95"/>
      <c r="DC348" s="95"/>
      <c r="DD348" s="95"/>
      <c r="DE348" s="95"/>
      <c r="DF348" s="95"/>
      <c r="DG348" s="95"/>
    </row>
    <row r="349" ht="20.25" customHeight="1">
      <c r="A349" s="96" t="s">
        <v>279</v>
      </c>
      <c r="B349" s="96" t="s">
        <v>107</v>
      </c>
      <c r="C349" s="96" t="s">
        <v>243</v>
      </c>
      <c r="D349" s="97"/>
      <c r="E349" s="136" t="s">
        <v>1982</v>
      </c>
      <c r="F349" s="96" t="s">
        <v>1993</v>
      </c>
      <c r="G349" s="96" t="s">
        <v>244</v>
      </c>
      <c r="H349" s="131">
        <v>45427.0</v>
      </c>
      <c r="I349" s="132">
        <v>45625.0</v>
      </c>
      <c r="J349" s="96" t="s">
        <v>1994</v>
      </c>
      <c r="K349" s="97"/>
      <c r="L349" s="96" t="s">
        <v>1985</v>
      </c>
      <c r="M349" s="96" t="s">
        <v>1986</v>
      </c>
      <c r="N349" s="97"/>
      <c r="O349" s="133" t="str">
        <f> hyperlink(vlookup(lower(M349),'File Links'!A:B, 2, FALSE), SUBSTITUTE(lower(M349), "/", "--") &amp;  ".pdf")</f>
        <v>10.1111--0023-8333.00112.pdf</v>
      </c>
      <c r="P349" s="48" t="str">
        <f t="array" ref="P349">HYPERLINK(INDEX('File Links'!B:B, MATCH(O349, 'File Links'!C:C, 0)))
</f>
        <v>https://drive.google.com/file/d/1jZTNlQnL0TIaQEtiJ7d2O9yOJIbibVXq/view?usp=drivesdk</v>
      </c>
      <c r="Q349" s="96" t="s">
        <v>1987</v>
      </c>
      <c r="R349" s="96" t="s">
        <v>1988</v>
      </c>
      <c r="S349" s="97"/>
      <c r="T349" s="97"/>
      <c r="U349" s="96" t="str">
        <f> hyperlink(vlookup(lower(R349),'File Links'!E:F, 2, FALSE), SUBSTITUTE(lower(R349), "/", "--") &amp;  ".pdf")</f>
        <v>10.1007--978-3-031-55844-3_4.pdf</v>
      </c>
      <c r="V349" s="97"/>
      <c r="W349" s="45" t="str">
        <f t="array" ref="W349">HYPERLINK(INDEX('File Links'!B:B, MATCH(U349, 'File Links'!C:C, 0)))
</f>
        <v>#N/A</v>
      </c>
      <c r="X349" s="97"/>
      <c r="Y349" s="96" t="s">
        <v>960</v>
      </c>
      <c r="Z349" s="97"/>
      <c r="AA349" s="96" t="s">
        <v>1995</v>
      </c>
      <c r="AB349" s="96" t="s">
        <v>1996</v>
      </c>
      <c r="AC349" s="96" t="s">
        <v>1997</v>
      </c>
      <c r="AD349" s="96">
        <v>99.0</v>
      </c>
      <c r="AE349" s="96">
        <v>258.0</v>
      </c>
      <c r="AF349" s="96">
        <v>0.18</v>
      </c>
      <c r="AG349" s="96" t="s">
        <v>357</v>
      </c>
      <c r="AH349" s="97"/>
      <c r="AI349" s="96" t="s">
        <v>1998</v>
      </c>
      <c r="AJ349" s="96" t="s">
        <v>127</v>
      </c>
      <c r="AK349" s="96" t="s">
        <v>179</v>
      </c>
      <c r="AL349" s="64"/>
      <c r="AM349" s="97"/>
      <c r="AN349" s="96">
        <v>134.0</v>
      </c>
      <c r="AO349" s="96">
        <v>0.18</v>
      </c>
      <c r="AP349" s="96" t="s">
        <v>357</v>
      </c>
      <c r="AQ349" s="97"/>
      <c r="AR349" s="96" t="s">
        <v>252</v>
      </c>
      <c r="AS349" s="96" t="s">
        <v>127</v>
      </c>
      <c r="AT349" s="96" t="s">
        <v>179</v>
      </c>
      <c r="AU349" s="64"/>
      <c r="AV349" s="64"/>
      <c r="AW349" s="98"/>
      <c r="AX349" s="58"/>
      <c r="BB349" s="95"/>
      <c r="BC349" s="95"/>
      <c r="BD349" s="95"/>
      <c r="BE349" s="95"/>
      <c r="BF349" s="95"/>
      <c r="BG349" s="95"/>
      <c r="BH349" s="95"/>
      <c r="BI349" s="95"/>
      <c r="BJ349" s="95"/>
      <c r="BK349" s="95"/>
      <c r="BL349" s="95"/>
      <c r="BM349" s="95"/>
      <c r="BN349" s="95"/>
      <c r="BO349" s="95"/>
      <c r="BP349" s="95"/>
      <c r="BQ349" s="95"/>
      <c r="BR349" s="95"/>
      <c r="BS349" s="95"/>
      <c r="BT349" s="95"/>
      <c r="BU349" s="95"/>
      <c r="BV349" s="95"/>
      <c r="BW349" s="95"/>
      <c r="BX349" s="95"/>
      <c r="BY349" s="95"/>
      <c r="BZ349" s="95"/>
      <c r="CA349" s="95"/>
      <c r="CB349" s="95"/>
      <c r="CC349" s="95"/>
      <c r="CD349" s="95"/>
      <c r="CE349" s="95"/>
      <c r="CF349" s="95"/>
      <c r="CG349" s="95"/>
      <c r="CH349" s="95"/>
      <c r="CI349" s="95"/>
      <c r="CJ349" s="95"/>
      <c r="CK349" s="95"/>
      <c r="CL349" s="95"/>
      <c r="CM349" s="95"/>
      <c r="CN349" s="95"/>
      <c r="CO349" s="95"/>
      <c r="CP349" s="95"/>
      <c r="CQ349" s="95"/>
      <c r="CR349" s="95"/>
      <c r="CS349" s="95"/>
      <c r="CT349" s="95"/>
      <c r="CU349" s="95"/>
      <c r="CV349" s="95"/>
      <c r="CW349" s="95"/>
      <c r="CX349" s="95"/>
      <c r="CY349" s="95"/>
      <c r="CZ349" s="95"/>
      <c r="DA349" s="95"/>
      <c r="DB349" s="95"/>
      <c r="DC349" s="95"/>
      <c r="DD349" s="95"/>
      <c r="DE349" s="95"/>
      <c r="DF349" s="95"/>
      <c r="DG349" s="95"/>
    </row>
    <row r="350" ht="20.25" customHeight="1">
      <c r="A350" s="96" t="s">
        <v>279</v>
      </c>
      <c r="B350" s="96" t="s">
        <v>107</v>
      </c>
      <c r="C350" s="96" t="s">
        <v>243</v>
      </c>
      <c r="D350" s="97"/>
      <c r="E350" s="136" t="s">
        <v>1982</v>
      </c>
      <c r="F350" s="96" t="s">
        <v>1999</v>
      </c>
      <c r="G350" s="96" t="s">
        <v>244</v>
      </c>
      <c r="H350" s="131">
        <v>45427.0</v>
      </c>
      <c r="I350" s="132">
        <v>45625.0</v>
      </c>
      <c r="J350" s="96" t="s">
        <v>2000</v>
      </c>
      <c r="K350" s="97"/>
      <c r="L350" s="96" t="s">
        <v>1985</v>
      </c>
      <c r="M350" s="96" t="s">
        <v>1986</v>
      </c>
      <c r="N350" s="97"/>
      <c r="O350" s="133" t="str">
        <f> hyperlink(vlookup(lower(M350),'File Links'!A:B, 2, FALSE), SUBSTITUTE(lower(M350), "/", "--") &amp;  ".pdf")</f>
        <v>10.1111--0023-8333.00112.pdf</v>
      </c>
      <c r="P350" s="48" t="str">
        <f t="array" ref="P350">HYPERLINK(INDEX('File Links'!B:B, MATCH(O350, 'File Links'!C:C, 0)))
</f>
        <v>https://drive.google.com/file/d/1jZTNlQnL0TIaQEtiJ7d2O9yOJIbibVXq/view?usp=drivesdk</v>
      </c>
      <c r="Q350" s="96" t="s">
        <v>1987</v>
      </c>
      <c r="R350" s="96" t="s">
        <v>1988</v>
      </c>
      <c r="S350" s="97"/>
      <c r="T350" s="97"/>
      <c r="U350" s="96" t="str">
        <f> hyperlink(vlookup(lower(R350),'File Links'!E:F, 2, FALSE), SUBSTITUTE(lower(R350), "/", "--") &amp;  ".pdf")</f>
        <v>10.1007--978-3-031-55844-3_4.pdf</v>
      </c>
      <c r="V350" s="97"/>
      <c r="W350" s="45" t="str">
        <f t="array" ref="W350">HYPERLINK(INDEX('File Links'!B:B, MATCH(U350, 'File Links'!C:C, 0)))
</f>
        <v>#N/A</v>
      </c>
      <c r="X350" s="97"/>
      <c r="Y350" s="96" t="s">
        <v>960</v>
      </c>
      <c r="Z350" s="97"/>
      <c r="AA350" s="96" t="s">
        <v>2001</v>
      </c>
      <c r="AB350" s="96" t="s">
        <v>2002</v>
      </c>
      <c r="AC350" s="96" t="s">
        <v>2003</v>
      </c>
      <c r="AD350" s="96">
        <v>99.0</v>
      </c>
      <c r="AE350" s="96">
        <v>258.0</v>
      </c>
      <c r="AF350" s="96">
        <v>0.45</v>
      </c>
      <c r="AG350" s="96" t="s">
        <v>357</v>
      </c>
      <c r="AH350" s="97"/>
      <c r="AI350" s="96" t="s">
        <v>1998</v>
      </c>
      <c r="AJ350" s="96" t="s">
        <v>127</v>
      </c>
      <c r="AK350" s="96" t="s">
        <v>179</v>
      </c>
      <c r="AL350" s="64"/>
      <c r="AM350" s="97"/>
      <c r="AN350" s="96">
        <v>134.0</v>
      </c>
      <c r="AO350" s="96">
        <v>0.43</v>
      </c>
      <c r="AP350" s="96" t="s">
        <v>357</v>
      </c>
      <c r="AQ350" s="97"/>
      <c r="AR350" s="96" t="s">
        <v>240</v>
      </c>
      <c r="AS350" s="96" t="s">
        <v>127</v>
      </c>
      <c r="AT350" s="96" t="s">
        <v>179</v>
      </c>
      <c r="AU350" s="64"/>
      <c r="AV350" s="64"/>
      <c r="AW350" s="98"/>
      <c r="AX350" s="58"/>
      <c r="BB350" s="95"/>
      <c r="BC350" s="95"/>
      <c r="BD350" s="95"/>
      <c r="BE350" s="95"/>
      <c r="BF350" s="95"/>
      <c r="BG350" s="95"/>
      <c r="BH350" s="95"/>
      <c r="BI350" s="95"/>
      <c r="BJ350" s="95"/>
      <c r="BK350" s="95"/>
      <c r="BL350" s="95"/>
      <c r="BM350" s="95"/>
      <c r="BN350" s="95"/>
      <c r="BO350" s="95"/>
      <c r="BP350" s="95"/>
      <c r="BQ350" s="95"/>
      <c r="BR350" s="95"/>
      <c r="BS350" s="95"/>
      <c r="BT350" s="95"/>
      <c r="BU350" s="95"/>
      <c r="BV350" s="95"/>
      <c r="BW350" s="95"/>
      <c r="BX350" s="95"/>
      <c r="BY350" s="95"/>
      <c r="BZ350" s="95"/>
      <c r="CA350" s="95"/>
      <c r="CB350" s="95"/>
      <c r="CC350" s="95"/>
      <c r="CD350" s="95"/>
      <c r="CE350" s="95"/>
      <c r="CF350" s="95"/>
      <c r="CG350" s="95"/>
      <c r="CH350" s="95"/>
      <c r="CI350" s="95"/>
      <c r="CJ350" s="95"/>
      <c r="CK350" s="95"/>
      <c r="CL350" s="95"/>
      <c r="CM350" s="95"/>
      <c r="CN350" s="95"/>
      <c r="CO350" s="95"/>
      <c r="CP350" s="95"/>
      <c r="CQ350" s="95"/>
      <c r="CR350" s="95"/>
      <c r="CS350" s="95"/>
      <c r="CT350" s="95"/>
      <c r="CU350" s="95"/>
      <c r="CV350" s="95"/>
      <c r="CW350" s="95"/>
      <c r="CX350" s="95"/>
      <c r="CY350" s="95"/>
      <c r="CZ350" s="95"/>
      <c r="DA350" s="95"/>
      <c r="DB350" s="95"/>
      <c r="DC350" s="95"/>
      <c r="DD350" s="95"/>
      <c r="DE350" s="95"/>
      <c r="DF350" s="95"/>
      <c r="DG350" s="95"/>
    </row>
    <row r="351" ht="20.25" customHeight="1">
      <c r="A351" s="96" t="s">
        <v>279</v>
      </c>
      <c r="B351" s="96" t="s">
        <v>107</v>
      </c>
      <c r="C351" s="96" t="s">
        <v>243</v>
      </c>
      <c r="D351" s="97"/>
      <c r="E351" s="136" t="s">
        <v>1982</v>
      </c>
      <c r="F351" s="96" t="s">
        <v>2004</v>
      </c>
      <c r="G351" s="96" t="s">
        <v>244</v>
      </c>
      <c r="H351" s="131">
        <v>45427.0</v>
      </c>
      <c r="I351" s="132">
        <v>45625.0</v>
      </c>
      <c r="J351" s="96" t="s">
        <v>2005</v>
      </c>
      <c r="K351" s="97"/>
      <c r="L351" s="96" t="s">
        <v>1985</v>
      </c>
      <c r="M351" s="96" t="s">
        <v>1986</v>
      </c>
      <c r="N351" s="97"/>
      <c r="O351" s="133" t="str">
        <f> hyperlink(vlookup(lower(M351),'File Links'!A:B, 2, FALSE), SUBSTITUTE(lower(M351), "/", "--") &amp;  ".pdf")</f>
        <v>10.1111--0023-8333.00112.pdf</v>
      </c>
      <c r="P351" s="48" t="str">
        <f t="array" ref="P351">HYPERLINK(INDEX('File Links'!B:B, MATCH(O351, 'File Links'!C:C, 0)))
</f>
        <v>https://drive.google.com/file/d/1jZTNlQnL0TIaQEtiJ7d2O9yOJIbibVXq/view?usp=drivesdk</v>
      </c>
      <c r="Q351" s="96" t="s">
        <v>1987</v>
      </c>
      <c r="R351" s="96" t="s">
        <v>1988</v>
      </c>
      <c r="S351" s="97"/>
      <c r="T351" s="97"/>
      <c r="U351" s="96" t="str">
        <f> hyperlink(vlookup(lower(R351),'File Links'!E:F, 2, FALSE), SUBSTITUTE(lower(R351), "/", "--") &amp;  ".pdf")</f>
        <v>10.1007--978-3-031-55844-3_4.pdf</v>
      </c>
      <c r="V351" s="97"/>
      <c r="W351" s="45" t="str">
        <f t="array" ref="W351">HYPERLINK(INDEX('File Links'!B:B, MATCH(U351, 'File Links'!C:C, 0)))
</f>
        <v>#N/A</v>
      </c>
      <c r="X351" s="97"/>
      <c r="Y351" s="96" t="s">
        <v>960</v>
      </c>
      <c r="Z351" s="97"/>
      <c r="AA351" s="96" t="s">
        <v>2006</v>
      </c>
      <c r="AB351" s="96" t="s">
        <v>2007</v>
      </c>
      <c r="AC351" s="96" t="s">
        <v>2008</v>
      </c>
      <c r="AD351" s="96">
        <v>99.0</v>
      </c>
      <c r="AE351" s="96">
        <v>258.0</v>
      </c>
      <c r="AF351" s="96">
        <v>0.32</v>
      </c>
      <c r="AG351" s="96" t="s">
        <v>357</v>
      </c>
      <c r="AH351" s="97"/>
      <c r="AI351" s="96" t="s">
        <v>1998</v>
      </c>
      <c r="AJ351" s="96" t="s">
        <v>127</v>
      </c>
      <c r="AK351" s="96" t="s">
        <v>179</v>
      </c>
      <c r="AL351" s="64"/>
      <c r="AM351" s="97"/>
      <c r="AN351" s="96">
        <v>134.0</v>
      </c>
      <c r="AO351" s="96">
        <v>0.31</v>
      </c>
      <c r="AP351" s="96" t="s">
        <v>357</v>
      </c>
      <c r="AQ351" s="97"/>
      <c r="AR351" s="96" t="s">
        <v>240</v>
      </c>
      <c r="AS351" s="96" t="s">
        <v>127</v>
      </c>
      <c r="AT351" s="96" t="s">
        <v>179</v>
      </c>
      <c r="AU351" s="64"/>
      <c r="AV351" s="64"/>
      <c r="AW351" s="98"/>
      <c r="AX351" s="58"/>
      <c r="BB351" s="95"/>
      <c r="BC351" s="95"/>
      <c r="BD351" s="95"/>
      <c r="BE351" s="95"/>
      <c r="BF351" s="95"/>
      <c r="BG351" s="95"/>
      <c r="BH351" s="95"/>
      <c r="BI351" s="95"/>
      <c r="BJ351" s="95"/>
      <c r="BK351" s="95"/>
      <c r="BL351" s="95"/>
      <c r="BM351" s="95"/>
      <c r="BN351" s="95"/>
      <c r="BO351" s="95"/>
      <c r="BP351" s="95"/>
      <c r="BQ351" s="95"/>
      <c r="BR351" s="95"/>
      <c r="BS351" s="95"/>
      <c r="BT351" s="95"/>
      <c r="BU351" s="95"/>
      <c r="BV351" s="95"/>
      <c r="BW351" s="95"/>
      <c r="BX351" s="95"/>
      <c r="BY351" s="95"/>
      <c r="BZ351" s="95"/>
      <c r="CA351" s="95"/>
      <c r="CB351" s="95"/>
      <c r="CC351" s="95"/>
      <c r="CD351" s="95"/>
      <c r="CE351" s="95"/>
      <c r="CF351" s="95"/>
      <c r="CG351" s="95"/>
      <c r="CH351" s="95"/>
      <c r="CI351" s="95"/>
      <c r="CJ351" s="95"/>
      <c r="CK351" s="95"/>
      <c r="CL351" s="95"/>
      <c r="CM351" s="95"/>
      <c r="CN351" s="95"/>
      <c r="CO351" s="95"/>
      <c r="CP351" s="95"/>
      <c r="CQ351" s="95"/>
      <c r="CR351" s="95"/>
      <c r="CS351" s="95"/>
      <c r="CT351" s="95"/>
      <c r="CU351" s="95"/>
      <c r="CV351" s="95"/>
      <c r="CW351" s="95"/>
      <c r="CX351" s="95"/>
      <c r="CY351" s="95"/>
      <c r="CZ351" s="95"/>
      <c r="DA351" s="95"/>
      <c r="DB351" s="95"/>
      <c r="DC351" s="95"/>
      <c r="DD351" s="95"/>
      <c r="DE351" s="95"/>
      <c r="DF351" s="95"/>
      <c r="DG351" s="95"/>
    </row>
    <row r="352" ht="20.25" customHeight="1">
      <c r="A352" s="40" t="s">
        <v>106</v>
      </c>
      <c r="B352" s="40" t="s">
        <v>107</v>
      </c>
      <c r="C352" s="40" t="s">
        <v>191</v>
      </c>
      <c r="D352" s="58"/>
      <c r="E352" s="60" t="s">
        <v>2009</v>
      </c>
      <c r="F352" s="52" t="s">
        <v>2010</v>
      </c>
      <c r="G352" s="52" t="s">
        <v>194</v>
      </c>
      <c r="H352" s="409">
        <v>45639.0</v>
      </c>
      <c r="I352" s="637">
        <v>45670.0</v>
      </c>
      <c r="J352" s="52" t="s">
        <v>2011</v>
      </c>
      <c r="K352" s="55"/>
      <c r="L352" s="52" t="s">
        <v>2012</v>
      </c>
      <c r="M352" s="52" t="s">
        <v>2013</v>
      </c>
      <c r="N352" s="55"/>
      <c r="O352" s="353" t="s">
        <v>2014</v>
      </c>
      <c r="P352" s="48" t="str">
        <f t="array" ref="P352">HYPERLINK(INDEX('File Links'!B:B, MATCH(O352, 'File Links'!C:C, 0)))
</f>
        <v>https://drive.google.com/file/d/1TtkPI6YvV3JyoWKI8Z0FTVrehrNka7__/view?usp=drivesdk</v>
      </c>
      <c r="Q352" s="52" t="s">
        <v>2015</v>
      </c>
      <c r="R352" s="52" t="s">
        <v>2016</v>
      </c>
      <c r="S352" s="55"/>
      <c r="T352" s="329"/>
      <c r="U352" s="354" t="s">
        <v>2017</v>
      </c>
      <c r="V352" s="52" t="s">
        <v>202</v>
      </c>
      <c r="W352" s="50" t="str">
        <f t="array" ref="W352">HYPERLINK(INDEX('File Links'!B:B, MATCH(U352, 'File Links'!C:C, 0)))
</f>
        <v>https://drive.google.com/file/d/1Eufb0NfIAz03c6rDvfbVDbjGjjReVYgi/view?usp=drivesdk</v>
      </c>
      <c r="X352" s="55"/>
      <c r="Y352" s="52" t="s">
        <v>2018</v>
      </c>
      <c r="Z352" s="52" t="s">
        <v>2019</v>
      </c>
      <c r="AA352" s="52" t="s">
        <v>2020</v>
      </c>
      <c r="AB352" s="55"/>
      <c r="AC352" s="55"/>
      <c r="AD352" s="55"/>
      <c r="AE352" s="55"/>
      <c r="AF352" s="55"/>
      <c r="AG352" s="329"/>
      <c r="AH352" s="55"/>
      <c r="AI352" s="55"/>
      <c r="AJ352" s="60"/>
      <c r="AK352" s="55"/>
      <c r="AL352" s="55"/>
      <c r="AM352" s="55"/>
      <c r="AN352" s="55"/>
      <c r="AO352" s="55"/>
      <c r="AP352" s="55"/>
      <c r="AQ352" s="55"/>
      <c r="AR352" s="55"/>
      <c r="AS352" s="60"/>
      <c r="AT352" s="60"/>
      <c r="AU352" s="60"/>
      <c r="AV352" s="60"/>
      <c r="AW352" s="60"/>
      <c r="AX352" s="55"/>
      <c r="AY352" s="41" t="s">
        <v>135</v>
      </c>
      <c r="BB352" s="64"/>
      <c r="BC352" s="64"/>
      <c r="BD352" s="64"/>
      <c r="BE352" s="64"/>
      <c r="BF352" s="64"/>
      <c r="BG352" s="64"/>
      <c r="BH352" s="64"/>
      <c r="BI352" s="64"/>
      <c r="BJ352" s="64"/>
      <c r="BK352" s="64"/>
      <c r="BL352" s="64"/>
      <c r="BM352" s="64"/>
      <c r="BN352" s="64"/>
      <c r="BO352" s="64"/>
      <c r="BP352" s="64"/>
      <c r="BQ352" s="64"/>
      <c r="BR352" s="64"/>
      <c r="BS352" s="64"/>
      <c r="BT352" s="64"/>
      <c r="BU352" s="64"/>
      <c r="BV352" s="64"/>
      <c r="BW352" s="64"/>
      <c r="BX352" s="64"/>
      <c r="BY352" s="64"/>
      <c r="BZ352" s="64"/>
      <c r="CA352" s="64"/>
      <c r="CB352" s="64"/>
      <c r="CC352" s="64"/>
      <c r="CD352" s="64"/>
      <c r="CE352" s="64"/>
      <c r="CF352" s="64"/>
      <c r="CG352" s="64"/>
      <c r="CH352" s="64"/>
      <c r="CI352" s="64"/>
      <c r="CJ352" s="64"/>
      <c r="CK352" s="64"/>
      <c r="CL352" s="64"/>
      <c r="CM352" s="64"/>
      <c r="CN352" s="64"/>
      <c r="CO352" s="64"/>
      <c r="CP352" s="64"/>
      <c r="CQ352" s="64"/>
      <c r="CR352" s="64"/>
      <c r="CS352" s="64"/>
      <c r="CT352" s="64"/>
      <c r="CU352" s="64"/>
      <c r="CV352" s="64"/>
      <c r="CW352" s="64"/>
      <c r="CX352" s="64"/>
      <c r="CY352" s="64"/>
      <c r="CZ352" s="64"/>
      <c r="DA352" s="64"/>
      <c r="DB352" s="64"/>
      <c r="DC352" s="64"/>
      <c r="DD352" s="64"/>
      <c r="DE352" s="64"/>
      <c r="DF352" s="64"/>
      <c r="DG352" s="64"/>
    </row>
    <row r="353" ht="20.25" customHeight="1">
      <c r="A353" s="40" t="s">
        <v>2021</v>
      </c>
      <c r="B353" s="41" t="s">
        <v>107</v>
      </c>
      <c r="C353" s="41" t="s">
        <v>280</v>
      </c>
      <c r="E353" s="60" t="s">
        <v>2009</v>
      </c>
      <c r="F353" s="52" t="s">
        <v>2010</v>
      </c>
      <c r="G353" s="139" t="s">
        <v>280</v>
      </c>
      <c r="H353" s="140">
        <v>45634.0</v>
      </c>
      <c r="I353" s="637">
        <v>45670.0</v>
      </c>
      <c r="J353" s="147" t="s">
        <v>2022</v>
      </c>
      <c r="K353" s="60"/>
      <c r="L353" s="453" t="s">
        <v>2023</v>
      </c>
      <c r="M353" s="147" t="s">
        <v>2013</v>
      </c>
      <c r="N353" s="115">
        <v>1.0</v>
      </c>
      <c r="O353" s="302" t="s">
        <v>2014</v>
      </c>
      <c r="P353" s="48" t="str">
        <f t="array" ref="P353">HYPERLINK(INDEX('File Links'!B:B, MATCH(O353, 'File Links'!C:C, 0)))
</f>
        <v>https://drive.google.com/file/d/1TtkPI6YvV3JyoWKI8Z0FTVrehrNka7__/view?usp=drivesdk</v>
      </c>
      <c r="Q353" s="147" t="s">
        <v>2015</v>
      </c>
      <c r="R353" s="147" t="s">
        <v>2016</v>
      </c>
      <c r="S353" s="60"/>
      <c r="T353" s="134">
        <v>1.0</v>
      </c>
      <c r="U353" s="145" t="s">
        <v>2017</v>
      </c>
      <c r="V353" s="147" t="s">
        <v>2024</v>
      </c>
      <c r="W353" s="50" t="str">
        <f t="array" ref="W353">HYPERLINK(INDEX('File Links'!B:B, MATCH(U353, 'File Links'!C:C, 0)))
</f>
        <v>https://drive.google.com/file/d/1Eufb0NfIAz03c6rDvfbVDbjGjjReVYgi/view?usp=drivesdk</v>
      </c>
      <c r="X353" s="147"/>
      <c r="Y353" s="52" t="s">
        <v>2018</v>
      </c>
      <c r="Z353" s="147" t="s">
        <v>2025</v>
      </c>
      <c r="AA353" s="139" t="s">
        <v>2026</v>
      </c>
      <c r="AB353" s="147" t="s">
        <v>2027</v>
      </c>
      <c r="AC353" s="139" t="s">
        <v>2028</v>
      </c>
      <c r="AD353" s="144">
        <v>8.0</v>
      </c>
      <c r="AE353" s="144">
        <v>498.0</v>
      </c>
      <c r="AF353" s="144">
        <v>44.25</v>
      </c>
      <c r="AG353" s="330" t="s">
        <v>2029</v>
      </c>
      <c r="AH353" s="52" t="s">
        <v>1062</v>
      </c>
      <c r="AI353" s="52" t="s">
        <v>768</v>
      </c>
      <c r="AJ353" s="52" t="s">
        <v>768</v>
      </c>
      <c r="AK353" s="52" t="s">
        <v>179</v>
      </c>
      <c r="AL353" s="52" t="s">
        <v>768</v>
      </c>
      <c r="AM353" s="128" t="s">
        <v>165</v>
      </c>
      <c r="AN353" s="144">
        <v>500.0</v>
      </c>
      <c r="AO353" s="144">
        <v>44.14</v>
      </c>
      <c r="AP353" s="147" t="s">
        <v>2029</v>
      </c>
      <c r="AQ353" s="147" t="s">
        <v>2030</v>
      </c>
      <c r="AR353" s="147" t="s">
        <v>768</v>
      </c>
      <c r="AS353" s="60"/>
      <c r="AT353" s="60"/>
      <c r="AU353" s="60"/>
      <c r="AV353" s="638" t="s">
        <v>2031</v>
      </c>
      <c r="AW353" s="60" t="s">
        <v>434</v>
      </c>
      <c r="AX353" s="60"/>
      <c r="AY353" s="41" t="s">
        <v>135</v>
      </c>
      <c r="BB353" s="64"/>
      <c r="BC353" s="64"/>
      <c r="BD353" s="64"/>
      <c r="BE353" s="64"/>
      <c r="BF353" s="64"/>
      <c r="BG353" s="64"/>
      <c r="BH353" s="64"/>
      <c r="BI353" s="64"/>
      <c r="BJ353" s="64"/>
      <c r="BK353" s="64"/>
      <c r="BL353" s="64"/>
      <c r="BM353" s="64"/>
      <c r="BN353" s="64"/>
      <c r="BO353" s="64"/>
      <c r="BP353" s="64"/>
      <c r="BQ353" s="64"/>
      <c r="BR353" s="64"/>
      <c r="BS353" s="64"/>
      <c r="BT353" s="64"/>
      <c r="BU353" s="64"/>
      <c r="BV353" s="64"/>
      <c r="BW353" s="64"/>
      <c r="BX353" s="64"/>
      <c r="BY353" s="64"/>
      <c r="BZ353" s="64"/>
      <c r="CA353" s="64"/>
      <c r="CB353" s="64"/>
      <c r="CC353" s="64"/>
      <c r="CD353" s="64"/>
      <c r="CE353" s="64"/>
      <c r="CF353" s="64"/>
      <c r="CG353" s="64"/>
      <c r="CH353" s="64"/>
      <c r="CI353" s="64"/>
      <c r="CJ353" s="64"/>
      <c r="CK353" s="64"/>
      <c r="CL353" s="64"/>
      <c r="CM353" s="64"/>
      <c r="CN353" s="64"/>
      <c r="CO353" s="64"/>
      <c r="CP353" s="64"/>
      <c r="CQ353" s="64"/>
      <c r="CR353" s="64"/>
      <c r="CS353" s="64"/>
      <c r="CT353" s="64"/>
      <c r="CU353" s="64"/>
      <c r="CV353" s="64"/>
      <c r="CW353" s="64"/>
      <c r="CX353" s="64"/>
      <c r="CY353" s="64"/>
      <c r="CZ353" s="64"/>
      <c r="DA353" s="64"/>
      <c r="DB353" s="64"/>
      <c r="DC353" s="64"/>
      <c r="DD353" s="64"/>
      <c r="DE353" s="64"/>
      <c r="DF353" s="64"/>
      <c r="DG353" s="64"/>
    </row>
    <row r="354" ht="20.25" customHeight="1">
      <c r="A354" s="40" t="s">
        <v>2021</v>
      </c>
      <c r="B354" s="635" t="s">
        <v>107</v>
      </c>
      <c r="C354" s="40" t="s">
        <v>191</v>
      </c>
      <c r="D354" s="58"/>
      <c r="E354" s="60" t="s">
        <v>2032</v>
      </c>
      <c r="F354" s="52" t="s">
        <v>2033</v>
      </c>
      <c r="G354" s="52" t="s">
        <v>194</v>
      </c>
      <c r="H354" s="409">
        <v>45639.0</v>
      </c>
      <c r="I354" s="637">
        <v>45670.0</v>
      </c>
      <c r="J354" s="52" t="s">
        <v>2034</v>
      </c>
      <c r="K354" s="55"/>
      <c r="L354" s="52" t="s">
        <v>2035</v>
      </c>
      <c r="M354" s="48" t="s">
        <v>2036</v>
      </c>
      <c r="N354" s="55"/>
      <c r="O354" s="145" t="s">
        <v>2037</v>
      </c>
      <c r="P354" s="48" t="str">
        <f t="array" ref="P354">HYPERLINK(INDEX('File Links'!B:B, MATCH(O354, 'File Links'!C:C, 0)))
</f>
        <v>https://drive.google.com/file/d/1vzu_sqHQexZD23Pac-duPSmK-pGIptlf/view?usp=drivesdk</v>
      </c>
      <c r="Q354" s="52" t="s">
        <v>2038</v>
      </c>
      <c r="R354" s="55"/>
      <c r="S354" s="55"/>
      <c r="T354" s="329"/>
      <c r="U354" s="354" t="s">
        <v>351</v>
      </c>
      <c r="V354" s="55"/>
      <c r="W354" s="45" t="str">
        <f t="array" ref="W354">HYPERLINK(INDEX('File Links'!B:B, MATCH(U354, 'File Links'!C:C, 0)))
</f>
        <v>#N/A</v>
      </c>
      <c r="X354" s="55"/>
      <c r="Y354" s="55"/>
      <c r="Z354" s="55"/>
      <c r="AA354" s="55"/>
      <c r="AB354" s="55"/>
      <c r="AC354" s="55"/>
      <c r="AD354" s="55"/>
      <c r="AE354" s="55"/>
      <c r="AF354" s="55"/>
      <c r="AG354" s="329"/>
      <c r="AH354" s="55"/>
      <c r="AI354" s="55"/>
      <c r="AJ354" s="60"/>
      <c r="AK354" s="55"/>
      <c r="AL354" s="55"/>
      <c r="AM354" s="55"/>
      <c r="AN354" s="55"/>
      <c r="AO354" s="55"/>
      <c r="AP354" s="55"/>
      <c r="AQ354" s="55"/>
      <c r="AR354" s="55"/>
      <c r="AS354" s="60"/>
      <c r="AT354" s="60"/>
      <c r="AU354" s="60"/>
      <c r="AV354" s="60"/>
      <c r="AW354" s="60"/>
      <c r="AX354" s="55"/>
      <c r="AY354" s="41" t="s">
        <v>135</v>
      </c>
      <c r="BB354" s="64"/>
      <c r="BC354" s="64"/>
      <c r="BD354" s="64"/>
      <c r="BE354" s="64"/>
      <c r="BF354" s="64"/>
      <c r="BG354" s="64"/>
      <c r="BH354" s="64"/>
      <c r="BI354" s="64"/>
      <c r="BJ354" s="64"/>
      <c r="BK354" s="64"/>
      <c r="BL354" s="64"/>
      <c r="BM354" s="64"/>
      <c r="BN354" s="64"/>
      <c r="BO354" s="64"/>
      <c r="BP354" s="64"/>
      <c r="BQ354" s="64"/>
      <c r="BR354" s="64"/>
      <c r="BS354" s="64"/>
      <c r="BT354" s="64"/>
      <c r="BU354" s="64"/>
      <c r="BV354" s="64"/>
      <c r="BW354" s="64"/>
      <c r="BX354" s="64"/>
      <c r="BY354" s="64"/>
      <c r="BZ354" s="64"/>
      <c r="CA354" s="64"/>
      <c r="CB354" s="64"/>
      <c r="CC354" s="64"/>
      <c r="CD354" s="64"/>
      <c r="CE354" s="64"/>
      <c r="CF354" s="64"/>
      <c r="CG354" s="64"/>
      <c r="CH354" s="64"/>
      <c r="CI354" s="64"/>
      <c r="CJ354" s="64"/>
      <c r="CK354" s="64"/>
      <c r="CL354" s="64"/>
      <c r="CM354" s="64"/>
      <c r="CN354" s="64"/>
      <c r="CO354" s="64"/>
      <c r="CP354" s="64"/>
      <c r="CQ354" s="64"/>
      <c r="CR354" s="64"/>
      <c r="CS354" s="64"/>
      <c r="CT354" s="64"/>
      <c r="CU354" s="64"/>
      <c r="CV354" s="64"/>
      <c r="CW354" s="64"/>
      <c r="CX354" s="64"/>
      <c r="CY354" s="64"/>
      <c r="CZ354" s="64"/>
      <c r="DA354" s="64"/>
      <c r="DB354" s="64"/>
      <c r="DC354" s="64"/>
      <c r="DD354" s="64"/>
      <c r="DE354" s="64"/>
      <c r="DF354" s="64"/>
      <c r="DG354" s="64"/>
    </row>
    <row r="355" ht="20.25" hidden="1" customHeight="1">
      <c r="A355" s="40" t="s">
        <v>106</v>
      </c>
      <c r="B355" s="475" t="s">
        <v>107</v>
      </c>
      <c r="C355" s="41" t="s">
        <v>280</v>
      </c>
      <c r="E355" s="60" t="s">
        <v>2032</v>
      </c>
      <c r="F355" s="52" t="s">
        <v>2033</v>
      </c>
      <c r="G355" s="139" t="s">
        <v>280</v>
      </c>
      <c r="H355" s="140">
        <v>45634.0</v>
      </c>
      <c r="I355" s="637">
        <v>45670.0</v>
      </c>
      <c r="J355" s="147" t="s">
        <v>1840</v>
      </c>
      <c r="K355" s="60"/>
      <c r="L355" s="147" t="s">
        <v>2035</v>
      </c>
      <c r="M355" s="453" t="s">
        <v>2036</v>
      </c>
      <c r="N355" s="60"/>
      <c r="O355" s="145" t="s">
        <v>2037</v>
      </c>
      <c r="P355" s="48" t="str">
        <f t="array" ref="P355">HYPERLINK(INDEX('File Links'!B:B, MATCH(O355, 'File Links'!C:C, 0)))
</f>
        <v>https://drive.google.com/file/d/1vzu_sqHQexZD23Pac-duPSmK-pGIptlf/view?usp=drivesdk</v>
      </c>
      <c r="Q355" s="147" t="s">
        <v>2038</v>
      </c>
      <c r="R355" s="60"/>
      <c r="S355" s="303" t="s">
        <v>2039</v>
      </c>
      <c r="T355" s="60"/>
      <c r="U355" s="145" t="s">
        <v>2040</v>
      </c>
      <c r="V355" s="139" t="s">
        <v>202</v>
      </c>
      <c r="W355" s="50" t="str">
        <f t="array" ref="W355">HYPERLINK(INDEX('File Links'!B:B, MATCH(U355, 'File Links'!C:C, 0)))
</f>
        <v>https://drive.google.com/file/d/1lAHnrSuQxWM2CdT06_FM1GDBh9d6nNTe/view?usp=drivesdk</v>
      </c>
      <c r="X355" s="147" t="s">
        <v>2041</v>
      </c>
      <c r="Y355" s="147" t="s">
        <v>139</v>
      </c>
      <c r="Z355" s="60"/>
      <c r="AA355" s="60"/>
      <c r="AB355" s="60"/>
      <c r="AC355" s="60"/>
      <c r="AD355" s="60"/>
      <c r="AE355" s="60"/>
      <c r="AF355" s="60"/>
      <c r="AG355" s="329"/>
      <c r="AH355" s="55"/>
      <c r="AI355" s="55"/>
      <c r="AJ355" s="60"/>
      <c r="AK355" s="55"/>
      <c r="AL355" s="60"/>
      <c r="AM355" s="60"/>
      <c r="AN355" s="60"/>
      <c r="AO355" s="60"/>
      <c r="AP355" s="60"/>
      <c r="AQ355" s="60"/>
      <c r="AR355" s="60"/>
      <c r="AS355" s="60"/>
      <c r="AT355" s="60"/>
      <c r="AU355" s="60"/>
      <c r="AV355" s="60"/>
      <c r="AW355" s="60" t="s">
        <v>142</v>
      </c>
      <c r="AX355" s="60"/>
      <c r="AY355" s="41" t="s">
        <v>135</v>
      </c>
      <c r="BB355" s="64"/>
      <c r="BC355" s="64"/>
      <c r="BD355" s="64"/>
      <c r="BE355" s="64"/>
      <c r="BF355" s="64"/>
      <c r="BG355" s="64"/>
      <c r="BH355" s="64"/>
      <c r="BI355" s="64"/>
      <c r="BJ355" s="64"/>
      <c r="BK355" s="64"/>
      <c r="BL355" s="64"/>
      <c r="BM355" s="64"/>
      <c r="BN355" s="64"/>
      <c r="BO355" s="64"/>
      <c r="BP355" s="64"/>
      <c r="BQ355" s="64"/>
      <c r="BR355" s="64"/>
      <c r="BS355" s="64"/>
      <c r="BT355" s="64"/>
      <c r="BU355" s="64"/>
      <c r="BV355" s="64"/>
      <c r="BW355" s="64"/>
      <c r="BX355" s="64"/>
      <c r="BY355" s="64"/>
      <c r="BZ355" s="64"/>
      <c r="CA355" s="64"/>
      <c r="CB355" s="64"/>
      <c r="CC355" s="64"/>
      <c r="CD355" s="64"/>
      <c r="CE355" s="64"/>
      <c r="CF355" s="64"/>
      <c r="CG355" s="64"/>
      <c r="CH355" s="64"/>
      <c r="CI355" s="64"/>
      <c r="CJ355" s="64"/>
      <c r="CK355" s="64"/>
      <c r="CL355" s="64"/>
      <c r="CM355" s="64"/>
      <c r="CN355" s="64"/>
      <c r="CO355" s="64"/>
      <c r="CP355" s="64"/>
      <c r="CQ355" s="64"/>
      <c r="CR355" s="64"/>
      <c r="CS355" s="64"/>
      <c r="CT355" s="64"/>
      <c r="CU355" s="64"/>
      <c r="CV355" s="64"/>
      <c r="CW355" s="64"/>
      <c r="CX355" s="64"/>
      <c r="CY355" s="64"/>
      <c r="CZ355" s="64"/>
      <c r="DA355" s="64"/>
      <c r="DB355" s="64"/>
      <c r="DC355" s="64"/>
      <c r="DD355" s="64"/>
      <c r="DE355" s="64"/>
      <c r="DF355" s="64"/>
      <c r="DG355" s="64"/>
    </row>
    <row r="356" ht="20.25" customHeight="1">
      <c r="A356" s="40" t="s">
        <v>106</v>
      </c>
      <c r="B356" s="40" t="s">
        <v>107</v>
      </c>
      <c r="C356" s="40" t="s">
        <v>191</v>
      </c>
      <c r="D356" s="58"/>
      <c r="E356" s="60" t="s">
        <v>2042</v>
      </c>
      <c r="F356" s="52" t="s">
        <v>2043</v>
      </c>
      <c r="G356" s="52" t="s">
        <v>194</v>
      </c>
      <c r="H356" s="409">
        <v>45639.0</v>
      </c>
      <c r="I356" s="55"/>
      <c r="J356" s="52" t="s">
        <v>2044</v>
      </c>
      <c r="K356" s="55"/>
      <c r="L356" s="52" t="s">
        <v>2045</v>
      </c>
      <c r="M356" s="55"/>
      <c r="N356" s="55"/>
      <c r="O356" s="145" t="s">
        <v>2046</v>
      </c>
      <c r="P356" s="48" t="str">
        <f t="array" ref="P356">HYPERLINK(INDEX('File Links'!B:B, MATCH(O356, 'File Links'!C:C, 0)))
</f>
        <v>https://drive.google.com/file/d/1BfaybP8V5w-BiT0TlcUAV03BKBkfzWla/view?usp=drivesdk</v>
      </c>
      <c r="Q356" s="52" t="s">
        <v>2047</v>
      </c>
      <c r="R356" s="52" t="s">
        <v>2048</v>
      </c>
      <c r="S356" s="55"/>
      <c r="T356" s="329"/>
      <c r="U356" s="354" t="s">
        <v>2049</v>
      </c>
      <c r="V356" s="55"/>
      <c r="W356" s="50" t="str">
        <f t="array" ref="W356">HYPERLINK(INDEX('File Links'!B:B, MATCH(U356, 'File Links'!C:C, 0)))
</f>
        <v>https://drive.google.com/file/d/1xNa3snr_hhHjS7pnwFaA2tVxjB_0VvqW/view?usp=drivesdk</v>
      </c>
      <c r="X356" s="55"/>
      <c r="Y356" s="55"/>
      <c r="Z356" s="55"/>
      <c r="AA356" s="55"/>
      <c r="AB356" s="55"/>
      <c r="AC356" s="55"/>
      <c r="AD356" s="55"/>
      <c r="AE356" s="55"/>
      <c r="AF356" s="55"/>
      <c r="AG356" s="329"/>
      <c r="AH356" s="55"/>
      <c r="AI356" s="55"/>
      <c r="AJ356" s="60"/>
      <c r="AK356" s="55"/>
      <c r="AL356" s="55"/>
      <c r="AM356" s="55"/>
      <c r="AN356" s="55"/>
      <c r="AO356" s="55"/>
      <c r="AP356" s="55"/>
      <c r="AQ356" s="55"/>
      <c r="AR356" s="55"/>
      <c r="AS356" s="60"/>
      <c r="AT356" s="60"/>
      <c r="AU356" s="60"/>
      <c r="AV356" s="60"/>
      <c r="AW356" s="60"/>
      <c r="AX356" s="55"/>
      <c r="AY356" s="41" t="s">
        <v>135</v>
      </c>
      <c r="BB356" s="64"/>
      <c r="BC356" s="64"/>
      <c r="BD356" s="64"/>
      <c r="BE356" s="64"/>
      <c r="BF356" s="64"/>
      <c r="BG356" s="64"/>
      <c r="BH356" s="64"/>
      <c r="BI356" s="64"/>
      <c r="BJ356" s="64"/>
      <c r="BK356" s="64"/>
      <c r="BL356" s="64"/>
      <c r="BM356" s="64"/>
      <c r="BN356" s="64"/>
      <c r="BO356" s="64"/>
      <c r="BP356" s="64"/>
      <c r="BQ356" s="64"/>
      <c r="BR356" s="64"/>
      <c r="BS356" s="64"/>
      <c r="BT356" s="64"/>
      <c r="BU356" s="64"/>
      <c r="BV356" s="64"/>
      <c r="BW356" s="64"/>
      <c r="BX356" s="64"/>
      <c r="BY356" s="64"/>
      <c r="BZ356" s="64"/>
      <c r="CA356" s="64"/>
      <c r="CB356" s="64"/>
      <c r="CC356" s="64"/>
      <c r="CD356" s="64"/>
      <c r="CE356" s="64"/>
      <c r="CF356" s="64"/>
      <c r="CG356" s="64"/>
      <c r="CH356" s="64"/>
      <c r="CI356" s="64"/>
      <c r="CJ356" s="64"/>
      <c r="CK356" s="64"/>
      <c r="CL356" s="64"/>
      <c r="CM356" s="64"/>
      <c r="CN356" s="64"/>
      <c r="CO356" s="64"/>
      <c r="CP356" s="64"/>
      <c r="CQ356" s="64"/>
      <c r="CR356" s="64"/>
      <c r="CS356" s="64"/>
      <c r="CT356" s="64"/>
      <c r="CU356" s="64"/>
      <c r="CV356" s="64"/>
      <c r="CW356" s="64"/>
      <c r="CX356" s="64"/>
      <c r="CY356" s="64"/>
      <c r="CZ356" s="64"/>
      <c r="DA356" s="64"/>
      <c r="DB356" s="64"/>
      <c r="DC356" s="64"/>
      <c r="DD356" s="64"/>
      <c r="DE356" s="64"/>
      <c r="DF356" s="64"/>
      <c r="DG356" s="64"/>
    </row>
    <row r="357" ht="20.25" hidden="1" customHeight="1">
      <c r="A357" s="40" t="s">
        <v>2021</v>
      </c>
      <c r="B357" s="41" t="s">
        <v>107</v>
      </c>
      <c r="C357" s="41" t="s">
        <v>280</v>
      </c>
      <c r="E357" s="60" t="s">
        <v>2042</v>
      </c>
      <c r="F357" s="52" t="s">
        <v>2043</v>
      </c>
      <c r="G357" s="147" t="s">
        <v>135</v>
      </c>
      <c r="H357" s="140">
        <v>45460.0</v>
      </c>
      <c r="I357" s="639">
        <v>45632.0</v>
      </c>
      <c r="J357" s="147" t="s">
        <v>1840</v>
      </c>
      <c r="K357" s="60"/>
      <c r="L357" s="147" t="s">
        <v>2045</v>
      </c>
      <c r="M357" s="60"/>
      <c r="N357" s="60"/>
      <c r="O357" s="145" t="s">
        <v>2046</v>
      </c>
      <c r="P357" s="48" t="str">
        <f t="array" ref="P357">HYPERLINK(INDEX('File Links'!B:B, MATCH(O357, 'File Links'!C:C, 0)))
</f>
        <v>https://drive.google.com/file/d/1BfaybP8V5w-BiT0TlcUAV03BKBkfzWla/view?usp=drivesdk</v>
      </c>
      <c r="Q357" s="147" t="s">
        <v>2047</v>
      </c>
      <c r="R357" s="147" t="s">
        <v>2048</v>
      </c>
      <c r="S357" s="60"/>
      <c r="T357" s="60"/>
      <c r="U357" s="145" t="s">
        <v>2049</v>
      </c>
      <c r="V357" s="147" t="s">
        <v>2050</v>
      </c>
      <c r="W357" s="50" t="str">
        <f t="array" ref="W357">HYPERLINK(INDEX('File Links'!B:B, MATCH(U357, 'File Links'!C:C, 0)))
</f>
        <v>https://drive.google.com/file/d/1xNa3snr_hhHjS7pnwFaA2tVxjB_0VvqW/view?usp=drivesdk</v>
      </c>
      <c r="X357" s="147" t="s">
        <v>2051</v>
      </c>
      <c r="Y357" s="147" t="s">
        <v>2052</v>
      </c>
      <c r="Z357" s="60"/>
      <c r="AA357" s="60"/>
      <c r="AB357" s="60"/>
      <c r="AC357" s="60"/>
      <c r="AD357" s="60"/>
      <c r="AE357" s="60"/>
      <c r="AF357" s="60"/>
      <c r="AG357" s="329"/>
      <c r="AH357" s="55"/>
      <c r="AI357" s="55"/>
      <c r="AJ357" s="60"/>
      <c r="AK357" s="55"/>
      <c r="AL357" s="60"/>
      <c r="AM357" s="60"/>
      <c r="AN357" s="60"/>
      <c r="AO357" s="60"/>
      <c r="AP357" s="60"/>
      <c r="AQ357" s="60"/>
      <c r="AR357" s="60"/>
      <c r="AS357" s="60"/>
      <c r="AT357" s="60"/>
      <c r="AU357" s="60"/>
      <c r="AV357" s="60"/>
      <c r="AW357" s="60"/>
      <c r="AX357" s="60"/>
      <c r="AY357" s="41" t="s">
        <v>135</v>
      </c>
      <c r="BB357" s="64"/>
      <c r="BC357" s="64"/>
      <c r="BD357" s="64"/>
      <c r="BE357" s="64"/>
      <c r="BF357" s="64"/>
      <c r="BG357" s="64"/>
      <c r="BH357" s="64"/>
      <c r="BI357" s="64"/>
      <c r="BJ357" s="64"/>
      <c r="BK357" s="64"/>
      <c r="BL357" s="64"/>
      <c r="BM357" s="64"/>
      <c r="BN357" s="64"/>
      <c r="BO357" s="64"/>
      <c r="BP357" s="64"/>
      <c r="BQ357" s="64"/>
      <c r="BR357" s="64"/>
      <c r="BS357" s="64"/>
      <c r="BT357" s="64"/>
      <c r="BU357" s="64"/>
      <c r="BV357" s="64"/>
      <c r="BW357" s="64"/>
      <c r="BX357" s="64"/>
      <c r="BY357" s="64"/>
      <c r="BZ357" s="64"/>
      <c r="CA357" s="64"/>
      <c r="CB357" s="64"/>
      <c r="CC357" s="64"/>
      <c r="CD357" s="64"/>
      <c r="CE357" s="64"/>
      <c r="CF357" s="64"/>
      <c r="CG357" s="64"/>
      <c r="CH357" s="64"/>
      <c r="CI357" s="64"/>
      <c r="CJ357" s="64"/>
      <c r="CK357" s="64"/>
      <c r="CL357" s="64"/>
      <c r="CM357" s="64"/>
      <c r="CN357" s="64"/>
      <c r="CO357" s="64"/>
      <c r="CP357" s="64"/>
      <c r="CQ357" s="64"/>
      <c r="CR357" s="64"/>
      <c r="CS357" s="64"/>
      <c r="CT357" s="64"/>
      <c r="CU357" s="64"/>
      <c r="CV357" s="64"/>
      <c r="CW357" s="64"/>
      <c r="CX357" s="64"/>
      <c r="CY357" s="64"/>
      <c r="CZ357" s="64"/>
      <c r="DA357" s="64"/>
      <c r="DB357" s="64"/>
      <c r="DC357" s="64"/>
      <c r="DD357" s="64"/>
      <c r="DE357" s="64"/>
      <c r="DF357" s="64"/>
      <c r="DG357" s="64"/>
    </row>
    <row r="358" ht="20.25" customHeight="1">
      <c r="A358" s="40" t="s">
        <v>106</v>
      </c>
      <c r="B358" s="40" t="s">
        <v>107</v>
      </c>
      <c r="C358" s="40" t="s">
        <v>191</v>
      </c>
      <c r="D358" s="58"/>
      <c r="E358" s="60" t="s">
        <v>2053</v>
      </c>
      <c r="F358" s="52" t="s">
        <v>2054</v>
      </c>
      <c r="G358" s="52" t="s">
        <v>194</v>
      </c>
      <c r="H358" s="409">
        <v>45639.0</v>
      </c>
      <c r="I358" s="55"/>
      <c r="J358" s="52" t="s">
        <v>2044</v>
      </c>
      <c r="K358" s="55"/>
      <c r="L358" s="52" t="s">
        <v>2045</v>
      </c>
      <c r="M358" s="55"/>
      <c r="N358" s="55"/>
      <c r="O358" s="145" t="s">
        <v>2046</v>
      </c>
      <c r="P358" s="48" t="str">
        <f t="array" ref="P358">HYPERLINK(INDEX('File Links'!B:B, MATCH(O358, 'File Links'!C:C, 0)))
</f>
        <v>https://drive.google.com/file/d/1BfaybP8V5w-BiT0TlcUAV03BKBkfzWla/view?usp=drivesdk</v>
      </c>
      <c r="Q358" s="52" t="s">
        <v>2055</v>
      </c>
      <c r="R358" s="55"/>
      <c r="S358" s="55"/>
      <c r="T358" s="329"/>
      <c r="U358" s="354" t="s">
        <v>351</v>
      </c>
      <c r="V358" s="55"/>
      <c r="W358" s="45" t="str">
        <f t="array" ref="W358">HYPERLINK(INDEX('File Links'!B:B, MATCH(U358, 'File Links'!C:C, 0)))
</f>
        <v>#N/A</v>
      </c>
      <c r="X358" s="55"/>
      <c r="Y358" s="55"/>
      <c r="Z358" s="55"/>
      <c r="AA358" s="55"/>
      <c r="AB358" s="55"/>
      <c r="AC358" s="55"/>
      <c r="AD358" s="55"/>
      <c r="AE358" s="55"/>
      <c r="AF358" s="55"/>
      <c r="AG358" s="329"/>
      <c r="AH358" s="55"/>
      <c r="AI358" s="55"/>
      <c r="AJ358" s="60"/>
      <c r="AK358" s="55"/>
      <c r="AL358" s="55"/>
      <c r="AM358" s="55"/>
      <c r="AN358" s="55"/>
      <c r="AO358" s="55"/>
      <c r="AP358" s="55"/>
      <c r="AQ358" s="55"/>
      <c r="AR358" s="55"/>
      <c r="AS358" s="60"/>
      <c r="AT358" s="60"/>
      <c r="AU358" s="60"/>
      <c r="AV358" s="60"/>
      <c r="AW358" s="60"/>
      <c r="AX358" s="55"/>
      <c r="AY358" s="41" t="s">
        <v>135</v>
      </c>
    </row>
    <row r="359" ht="20.25" customHeight="1">
      <c r="A359" s="41" t="s">
        <v>2021</v>
      </c>
      <c r="B359" s="41" t="s">
        <v>107</v>
      </c>
      <c r="C359" s="41" t="s">
        <v>214</v>
      </c>
      <c r="E359" s="356" t="s">
        <v>2053</v>
      </c>
      <c r="F359" s="43" t="s">
        <v>2054</v>
      </c>
      <c r="G359" s="43" t="s">
        <v>215</v>
      </c>
      <c r="H359" s="357">
        <v>45636.0</v>
      </c>
      <c r="I359" s="45"/>
      <c r="J359" s="43" t="s">
        <v>2056</v>
      </c>
      <c r="K359" s="45"/>
      <c r="L359" s="43" t="s">
        <v>2045</v>
      </c>
      <c r="M359" s="45"/>
      <c r="N359" s="45"/>
      <c r="O359" s="145" t="s">
        <v>2046</v>
      </c>
      <c r="P359" s="48" t="str">
        <f t="array" ref="P359">HYPERLINK(INDEX('File Links'!B:B, MATCH(O359, 'File Links'!C:C, 0)))
</f>
        <v>https://drive.google.com/file/d/1BfaybP8V5w-BiT0TlcUAV03BKBkfzWla/view?usp=drivesdk</v>
      </c>
      <c r="Q359" s="43" t="s">
        <v>2055</v>
      </c>
      <c r="R359" s="43" t="s">
        <v>2057</v>
      </c>
      <c r="S359" s="45"/>
      <c r="T359" s="359">
        <v>1.0</v>
      </c>
      <c r="U359" s="43" t="s">
        <v>351</v>
      </c>
      <c r="V359" s="43" t="s">
        <v>2058</v>
      </c>
      <c r="W359" s="45" t="str">
        <f t="array" ref="W359">HYPERLINK(INDEX('File Links'!B:B, MATCH(U359, 'File Links'!C:C, 0)))
</f>
        <v>#N/A</v>
      </c>
      <c r="X359" s="45"/>
      <c r="Y359" s="43" t="s">
        <v>156</v>
      </c>
      <c r="Z359" s="45"/>
      <c r="AA359" s="43" t="s">
        <v>2059</v>
      </c>
      <c r="AB359" s="43" t="s">
        <v>2060</v>
      </c>
      <c r="AC359" s="43" t="s">
        <v>2061</v>
      </c>
      <c r="AD359" s="43" t="s">
        <v>2062</v>
      </c>
      <c r="AE359" s="45"/>
      <c r="AF359" s="45"/>
      <c r="AG359" s="51"/>
      <c r="AH359" s="45"/>
      <c r="AI359" s="45"/>
      <c r="AJ359" s="42"/>
      <c r="AK359" s="45"/>
      <c r="AL359" s="45"/>
      <c r="AM359" s="45"/>
      <c r="AN359" s="640">
        <v>5.0</v>
      </c>
      <c r="AO359" s="45"/>
      <c r="AP359" s="45"/>
      <c r="AQ359" s="45"/>
      <c r="AR359" s="45"/>
      <c r="AS359" s="42"/>
      <c r="AT359" s="42"/>
      <c r="AU359" s="42"/>
      <c r="AV359" s="53" t="s">
        <v>2063</v>
      </c>
      <c r="AW359" s="54" t="s">
        <v>142</v>
      </c>
      <c r="AX359" s="55"/>
      <c r="AY359" s="41" t="s">
        <v>135</v>
      </c>
    </row>
    <row r="360" ht="20.25" customHeight="1">
      <c r="A360" s="41" t="s">
        <v>106</v>
      </c>
      <c r="B360" s="41" t="s">
        <v>107</v>
      </c>
      <c r="C360" s="41" t="s">
        <v>2064</v>
      </c>
      <c r="E360" s="641" t="s">
        <v>2065</v>
      </c>
      <c r="F360" s="52" t="s">
        <v>2066</v>
      </c>
      <c r="G360" s="147" t="s">
        <v>2067</v>
      </c>
      <c r="H360" s="140">
        <v>45460.0</v>
      </c>
      <c r="I360" s="140">
        <v>45634.0</v>
      </c>
      <c r="J360" s="642" t="s">
        <v>2068</v>
      </c>
      <c r="K360" s="115" t="s">
        <v>2069</v>
      </c>
      <c r="L360" s="147" t="s">
        <v>2070</v>
      </c>
      <c r="M360" s="147" t="s">
        <v>2071</v>
      </c>
      <c r="N360" s="60"/>
      <c r="O360" s="145" t="str">
        <f> SUBSTITUTE(lower(M360), "/", "--") &amp;  ".pdf"</f>
        <v>10.1016--j.econedurev.2005.05.008.pdf</v>
      </c>
      <c r="P360" s="48" t="str">
        <f t="array" ref="P360">HYPERLINK(INDEX('File Links'!B:B, MATCH(O360, 'File Links'!C:C, 0)))
</f>
        <v>https://drive.google.com/file/d/1jEnrVGc2PxWYnqqR5b5QggE9HgY-tjOC/view?usp=drivesdk</v>
      </c>
      <c r="Q360" s="147" t="s">
        <v>2072</v>
      </c>
      <c r="R360" s="60"/>
      <c r="S360" s="60"/>
      <c r="T360" s="60"/>
      <c r="U360" s="145" t="str">
        <f> hyperlink(vlookup(lower(R360),#REF!, 2, FALSE), SUBSTITUTE(lower(R360), "/", "--") &amp;  ".pdf")</f>
        <v>.pdf</v>
      </c>
      <c r="V360" s="60"/>
      <c r="W360" s="45" t="str">
        <f t="array" ref="W360">HYPERLINK(INDEX('File Links'!B:B, MATCH(U360, 'File Links'!C:C, 0)))
</f>
        <v>#N/A</v>
      </c>
      <c r="X360" s="60"/>
      <c r="Y360" s="60"/>
      <c r="Z360" s="60"/>
      <c r="AA360" s="60"/>
      <c r="AB360" s="60"/>
      <c r="AC360" s="60"/>
      <c r="AD360" s="60"/>
      <c r="AE360" s="60"/>
      <c r="AF360" s="60"/>
      <c r="AG360" s="329"/>
      <c r="AH360" s="55"/>
      <c r="AI360" s="55"/>
      <c r="AJ360" s="60"/>
      <c r="AK360" s="55"/>
      <c r="AL360" s="60"/>
      <c r="AM360" s="60"/>
      <c r="AN360" s="60"/>
      <c r="AO360" s="60"/>
      <c r="AP360" s="60"/>
      <c r="AQ360" s="60"/>
      <c r="AR360" s="60"/>
      <c r="AS360" s="60"/>
      <c r="AT360" s="60"/>
      <c r="AU360" s="60"/>
      <c r="AV360" s="60"/>
      <c r="AW360" s="60"/>
      <c r="AX360" s="115"/>
      <c r="AY360" s="41" t="s">
        <v>135</v>
      </c>
    </row>
    <row r="361" ht="51.0" hidden="1" customHeight="1">
      <c r="A361" s="135" t="s">
        <v>586</v>
      </c>
      <c r="B361" s="40" t="s">
        <v>107</v>
      </c>
      <c r="C361" s="41" t="s">
        <v>1455</v>
      </c>
      <c r="E361" s="528" t="s">
        <v>2073</v>
      </c>
      <c r="F361" s="526" t="s">
        <v>2074</v>
      </c>
      <c r="G361" s="526" t="s">
        <v>1548</v>
      </c>
      <c r="H361" s="527">
        <v>45460.0</v>
      </c>
      <c r="I361" s="527">
        <v>45638.0</v>
      </c>
      <c r="J361" s="526" t="s">
        <v>2075</v>
      </c>
      <c r="K361" s="643" t="s">
        <v>2076</v>
      </c>
      <c r="L361" s="526" t="s">
        <v>2077</v>
      </c>
      <c r="M361" s="526" t="s">
        <v>2078</v>
      </c>
      <c r="N361" s="436"/>
      <c r="O361" s="528" t="str">
        <f>SUBSTITUTE(LOWER(M361), "/", "--") &amp;  ".pdf"</f>
        <v>10.1111--j.1540-5885.2010.00778.x.pdf</v>
      </c>
      <c r="P361" s="48" t="str">
        <f t="array" ref="P361">HYPERLINK(INDEX('File Links'!B:B, MATCH(O361, 'File Links'!C:C, 0)))
</f>
        <v>https://drive.google.com/file/d/1NV42SOubbZFwoBVl2IhhGw3jTa6CF1Ns/view?usp=drivesdk</v>
      </c>
      <c r="Q361" s="644" t="s">
        <v>2079</v>
      </c>
      <c r="R361" s="526" t="s">
        <v>2080</v>
      </c>
      <c r="S361" s="436"/>
      <c r="T361" s="529"/>
      <c r="U361" s="526" t="str">
        <f>HYPERLINK(VLOOKUP(LOWER(R361),#REF!, 2, FALSE), SUBSTITUTE(LOWER(R361), "/", "--") &amp;  ".pdf")</f>
        <v>10.1080--02650487.2024.2362015.pdf</v>
      </c>
      <c r="V361" s="530" t="s">
        <v>2081</v>
      </c>
      <c r="W361" s="45" t="str">
        <f t="array" ref="W361">HYPERLINK(INDEX('File Links'!B:B, MATCH(U361, 'File Links'!C:C, 0)))
</f>
        <v>#N/A</v>
      </c>
      <c r="X361" s="530" t="s">
        <v>2082</v>
      </c>
      <c r="Y361" s="526" t="s">
        <v>2083</v>
      </c>
      <c r="Z361" s="526" t="s">
        <v>2084</v>
      </c>
      <c r="AA361" s="526" t="s">
        <v>2085</v>
      </c>
      <c r="AB361" s="436"/>
      <c r="AC361" s="436"/>
      <c r="AD361" s="436"/>
      <c r="AE361" s="436"/>
      <c r="AF361" s="436"/>
      <c r="AG361" s="529"/>
      <c r="AH361" s="436"/>
      <c r="AI361" s="436"/>
      <c r="AJ361" s="511"/>
      <c r="AK361" s="436"/>
      <c r="AL361" s="436"/>
      <c r="AM361" s="436"/>
      <c r="AN361" s="436"/>
      <c r="AO361" s="436"/>
      <c r="AP361" s="436"/>
      <c r="AQ361" s="436"/>
      <c r="AR361" s="436"/>
      <c r="AS361" s="511"/>
      <c r="AT361" s="511"/>
      <c r="AU361" s="511"/>
      <c r="AV361" s="511"/>
      <c r="AW361" s="525" t="s">
        <v>142</v>
      </c>
      <c r="AX361" s="645" t="s">
        <v>2076</v>
      </c>
      <c r="AZ361" s="333"/>
      <c r="BA361" s="333"/>
      <c r="BB361" s="333"/>
      <c r="BC361" s="333"/>
      <c r="BD361" s="333"/>
      <c r="BE361" s="333"/>
      <c r="BF361" s="333"/>
      <c r="BG361" s="333"/>
      <c r="BH361" s="333"/>
      <c r="BI361" s="333"/>
      <c r="BJ361" s="333"/>
      <c r="BK361" s="333"/>
      <c r="BL361" s="333"/>
      <c r="BM361" s="333"/>
      <c r="BN361" s="333"/>
      <c r="BO361" s="333"/>
      <c r="BP361" s="333"/>
      <c r="BQ361" s="333"/>
      <c r="BR361" s="333"/>
      <c r="BS361" s="333"/>
      <c r="BT361" s="333"/>
      <c r="BU361" s="333"/>
      <c r="BV361" s="333"/>
      <c r="BW361" s="333"/>
      <c r="BX361" s="333"/>
      <c r="BY361" s="333"/>
      <c r="BZ361" s="333"/>
      <c r="CA361" s="333"/>
      <c r="CB361" s="333"/>
      <c r="CC361" s="333"/>
      <c r="CD361" s="333"/>
      <c r="CE361" s="333"/>
      <c r="CF361" s="333"/>
      <c r="CG361" s="333"/>
      <c r="CH361" s="333"/>
      <c r="CI361" s="333"/>
      <c r="CJ361" s="333"/>
      <c r="CK361" s="333"/>
      <c r="CL361" s="333"/>
      <c r="CM361" s="333"/>
      <c r="CN361" s="333"/>
      <c r="CO361" s="333"/>
      <c r="CP361" s="333"/>
      <c r="CQ361" s="333"/>
      <c r="CR361" s="333"/>
      <c r="CS361" s="333"/>
      <c r="CT361" s="333"/>
      <c r="CU361" s="333"/>
      <c r="CV361" s="333"/>
      <c r="CW361" s="333"/>
      <c r="CX361" s="333"/>
      <c r="CY361" s="333"/>
      <c r="CZ361" s="333"/>
      <c r="DA361" s="333"/>
      <c r="DB361" s="333"/>
      <c r="DC361" s="333"/>
      <c r="DD361" s="333"/>
      <c r="DE361" s="333"/>
      <c r="DF361" s="333"/>
      <c r="DG361" s="333"/>
    </row>
    <row r="362" ht="20.25" customHeight="1">
      <c r="A362" s="396" t="s">
        <v>279</v>
      </c>
      <c r="B362" s="41" t="s">
        <v>107</v>
      </c>
      <c r="C362" s="41" t="s">
        <v>1821</v>
      </c>
      <c r="E362" s="641" t="s">
        <v>2073</v>
      </c>
      <c r="F362" s="52" t="s">
        <v>2074</v>
      </c>
      <c r="G362" s="52" t="s">
        <v>1822</v>
      </c>
      <c r="H362" s="140">
        <v>45460.0</v>
      </c>
      <c r="I362" s="409">
        <v>45642.0</v>
      </c>
      <c r="J362" s="52" t="s">
        <v>2086</v>
      </c>
      <c r="K362" s="55"/>
      <c r="L362" s="52" t="s">
        <v>2077</v>
      </c>
      <c r="M362" s="52" t="s">
        <v>2078</v>
      </c>
      <c r="N362" s="355">
        <v>2.0</v>
      </c>
      <c r="O362" s="353" t="str">
        <f t="shared" ref="O362:O379" si="15"> SUBSTITUTE(lower(M362), "/", "--") &amp;  ".pdf"</f>
        <v>10.1111--j.1540-5885.2010.00778.x.pdf</v>
      </c>
      <c r="P362" s="48" t="str">
        <f t="array" ref="P362">HYPERLINK(INDEX('File Links'!B:B, MATCH(O362, 'File Links'!C:C, 0)))
</f>
        <v>https://drive.google.com/file/d/1NV42SOubbZFwoBVl2IhhGw3jTa6CF1Ns/view?usp=drivesdk</v>
      </c>
      <c r="Q362" s="52" t="s">
        <v>2087</v>
      </c>
      <c r="R362" s="52" t="s">
        <v>2080</v>
      </c>
      <c r="S362" s="55"/>
      <c r="T362" s="646">
        <v>1.0</v>
      </c>
      <c r="U362" s="354" t="str">
        <f t="shared" ref="U362:U379" si="16"> hyperlink(vlookup(lower(R362),#REF!, 2, FALSE), SUBSTITUTE(lower(R362), "/", "--") &amp;  ".pdf")</f>
        <v>10.1080--02650487.2024.2362015.pdf</v>
      </c>
      <c r="V362" s="52" t="s">
        <v>2088</v>
      </c>
      <c r="W362" s="45" t="str">
        <f t="array" ref="W362">HYPERLINK(INDEX('File Links'!B:B, MATCH(U362, 'File Links'!C:C, 0)))
</f>
        <v>#N/A</v>
      </c>
      <c r="X362" s="55"/>
      <c r="Y362" s="52" t="s">
        <v>2083</v>
      </c>
      <c r="Z362" s="52" t="s">
        <v>2089</v>
      </c>
      <c r="AA362" s="52" t="s">
        <v>2090</v>
      </c>
      <c r="AB362" s="52" t="s">
        <v>2091</v>
      </c>
      <c r="AC362" s="52" t="s">
        <v>2092</v>
      </c>
      <c r="AD362" s="115">
        <v>27.0</v>
      </c>
      <c r="AE362" s="355">
        <v>92.0</v>
      </c>
      <c r="AF362" s="355">
        <v>7.0</v>
      </c>
      <c r="AG362" s="330" t="s">
        <v>162</v>
      </c>
      <c r="AH362" s="52" t="s">
        <v>1896</v>
      </c>
      <c r="AI362" s="55"/>
      <c r="AJ362" s="60"/>
      <c r="AK362" s="613" t="s">
        <v>165</v>
      </c>
      <c r="AL362" s="613" t="s">
        <v>165</v>
      </c>
      <c r="AM362" s="52" t="s">
        <v>165</v>
      </c>
      <c r="AN362" s="355">
        <v>156.0</v>
      </c>
      <c r="AO362" s="355">
        <v>-0.047</v>
      </c>
      <c r="AP362" s="52" t="s">
        <v>166</v>
      </c>
      <c r="AQ362" s="355">
        <f t="shared" ref="AQ362:AQ364" si="17">(6-6.05)/SQRT(((79-1)*1.08^2+(77-1)*1.06^2)/(79+77-2))</f>
        <v>-0.04672126145</v>
      </c>
      <c r="AR362" s="55"/>
      <c r="AS362" s="60"/>
      <c r="AT362" s="614" t="s">
        <v>165</v>
      </c>
      <c r="AU362" s="614" t="s">
        <v>165</v>
      </c>
      <c r="AV362" s="147" t="s">
        <v>165</v>
      </c>
      <c r="AW362" s="147" t="s">
        <v>142</v>
      </c>
      <c r="AX362" s="55"/>
      <c r="AZ362" s="647"/>
      <c r="BA362" s="647"/>
      <c r="BB362" s="647"/>
      <c r="BC362" s="647"/>
      <c r="BD362" s="647"/>
      <c r="BE362" s="647"/>
      <c r="BF362" s="647"/>
      <c r="BG362" s="647"/>
      <c r="BH362" s="647"/>
      <c r="BI362" s="647"/>
      <c r="BJ362" s="647"/>
      <c r="BK362" s="647"/>
      <c r="BL362" s="647"/>
      <c r="BM362" s="647"/>
      <c r="BN362" s="647"/>
      <c r="BO362" s="647"/>
      <c r="BP362" s="647"/>
      <c r="BQ362" s="647"/>
      <c r="BR362" s="647"/>
      <c r="BS362" s="647"/>
      <c r="BT362" s="647"/>
      <c r="BU362" s="647"/>
      <c r="BV362" s="647"/>
      <c r="BW362" s="647"/>
      <c r="BX362" s="647"/>
      <c r="BY362" s="647"/>
      <c r="BZ362" s="647"/>
      <c r="CA362" s="647"/>
      <c r="CB362" s="647"/>
      <c r="CC362" s="647"/>
      <c r="CD362" s="647"/>
      <c r="CE362" s="647"/>
      <c r="CF362" s="647"/>
      <c r="CG362" s="647"/>
      <c r="CH362" s="647"/>
      <c r="CI362" s="647"/>
      <c r="CJ362" s="647"/>
      <c r="CK362" s="647"/>
      <c r="CL362" s="647"/>
      <c r="CM362" s="647"/>
      <c r="CN362" s="647"/>
      <c r="CO362" s="647"/>
      <c r="CP362" s="647"/>
      <c r="CQ362" s="647"/>
      <c r="CR362" s="647"/>
      <c r="CS362" s="647"/>
      <c r="CT362" s="647"/>
      <c r="CU362" s="647"/>
      <c r="CV362" s="647"/>
      <c r="CW362" s="647"/>
      <c r="CX362" s="647"/>
      <c r="CY362" s="647"/>
      <c r="CZ362" s="647"/>
      <c r="DA362" s="647"/>
      <c r="DB362" s="647"/>
      <c r="DC362" s="647"/>
      <c r="DD362" s="647"/>
      <c r="DE362" s="647"/>
      <c r="DF362" s="647"/>
      <c r="DG362" s="647"/>
    </row>
    <row r="363" ht="44.25" customHeight="1">
      <c r="A363" s="396" t="s">
        <v>586</v>
      </c>
      <c r="B363" s="41" t="s">
        <v>107</v>
      </c>
      <c r="C363" s="41" t="s">
        <v>1821</v>
      </c>
      <c r="E363" s="641" t="s">
        <v>2073</v>
      </c>
      <c r="F363" s="52" t="s">
        <v>2074</v>
      </c>
      <c r="G363" s="52" t="s">
        <v>1822</v>
      </c>
      <c r="H363" s="140">
        <v>45460.0</v>
      </c>
      <c r="I363" s="409">
        <v>45642.0</v>
      </c>
      <c r="J363" s="52" t="s">
        <v>2086</v>
      </c>
      <c r="K363" s="202" t="s">
        <v>2093</v>
      </c>
      <c r="L363" s="52" t="s">
        <v>2077</v>
      </c>
      <c r="M363" s="52" t="s">
        <v>2078</v>
      </c>
      <c r="N363" s="355">
        <v>2.0</v>
      </c>
      <c r="O363" s="353" t="str">
        <f t="shared" si="15"/>
        <v>10.1111--j.1540-5885.2010.00778.x.pdf</v>
      </c>
      <c r="P363" s="48" t="str">
        <f t="array" ref="P363">HYPERLINK(INDEX('File Links'!B:B, MATCH(O363, 'File Links'!C:C, 0)))
</f>
        <v>https://drive.google.com/file/d/1NV42SOubbZFwoBVl2IhhGw3jTa6CF1Ns/view?usp=drivesdk</v>
      </c>
      <c r="Q363" s="52" t="s">
        <v>2087</v>
      </c>
      <c r="R363" s="52" t="s">
        <v>2080</v>
      </c>
      <c r="S363" s="55"/>
      <c r="T363" s="646">
        <v>1.0</v>
      </c>
      <c r="U363" s="354" t="str">
        <f t="shared" si="16"/>
        <v>10.1080--02650487.2024.2362015.pdf</v>
      </c>
      <c r="V363" s="52" t="s">
        <v>2088</v>
      </c>
      <c r="W363" s="45" t="str">
        <f t="array" ref="W363">HYPERLINK(INDEX('File Links'!B:B, MATCH(U363, 'File Links'!C:C, 0)))
</f>
        <v>#N/A</v>
      </c>
      <c r="X363" s="55"/>
      <c r="Y363" s="52" t="s">
        <v>2083</v>
      </c>
      <c r="Z363" s="52" t="s">
        <v>2089</v>
      </c>
      <c r="AA363" s="52" t="s">
        <v>2090</v>
      </c>
      <c r="AB363" s="52" t="s">
        <v>2094</v>
      </c>
      <c r="AC363" s="52" t="s">
        <v>2092</v>
      </c>
      <c r="AD363" s="115">
        <v>27.0</v>
      </c>
      <c r="AE363" s="355">
        <v>158.0</v>
      </c>
      <c r="AF363" s="355">
        <v>7.5</v>
      </c>
      <c r="AG363" s="330" t="s">
        <v>162</v>
      </c>
      <c r="AH363" s="52" t="s">
        <v>1896</v>
      </c>
      <c r="AI363" s="55"/>
      <c r="AJ363" s="60"/>
      <c r="AK363" s="613" t="s">
        <v>165</v>
      </c>
      <c r="AL363" s="613" t="s">
        <v>165</v>
      </c>
      <c r="AM363" s="52" t="s">
        <v>165</v>
      </c>
      <c r="AN363" s="355">
        <v>156.0</v>
      </c>
      <c r="AO363" s="355">
        <v>-0.047</v>
      </c>
      <c r="AP363" s="52" t="s">
        <v>166</v>
      </c>
      <c r="AQ363" s="355">
        <f t="shared" si="17"/>
        <v>-0.04672126145</v>
      </c>
      <c r="AR363" s="55"/>
      <c r="AS363" s="60"/>
      <c r="AT363" s="614" t="s">
        <v>165</v>
      </c>
      <c r="AU363" s="614" t="s">
        <v>165</v>
      </c>
      <c r="AV363" s="147" t="s">
        <v>165</v>
      </c>
      <c r="AW363" s="147" t="s">
        <v>142</v>
      </c>
      <c r="AX363" s="115" t="s">
        <v>2093</v>
      </c>
      <c r="AZ363" s="333"/>
      <c r="BA363" s="333"/>
      <c r="BB363" s="333"/>
      <c r="BC363" s="333"/>
      <c r="BD363" s="333"/>
      <c r="BE363" s="333"/>
      <c r="BF363" s="333"/>
      <c r="BG363" s="333"/>
      <c r="BH363" s="333"/>
      <c r="BI363" s="333"/>
      <c r="BJ363" s="333"/>
      <c r="BK363" s="333"/>
      <c r="BL363" s="333"/>
      <c r="BM363" s="333"/>
      <c r="BN363" s="333"/>
      <c r="BO363" s="333"/>
      <c r="BP363" s="333"/>
      <c r="BQ363" s="333"/>
      <c r="BR363" s="333"/>
      <c r="BS363" s="333"/>
      <c r="BT363" s="333"/>
      <c r="BU363" s="333"/>
      <c r="BV363" s="333"/>
      <c r="BW363" s="333"/>
      <c r="BX363" s="333"/>
      <c r="BY363" s="333"/>
      <c r="BZ363" s="333"/>
      <c r="CA363" s="333"/>
      <c r="CB363" s="333"/>
      <c r="CC363" s="333"/>
      <c r="CD363" s="333"/>
      <c r="CE363" s="333"/>
      <c r="CF363" s="333"/>
      <c r="CG363" s="333"/>
      <c r="CH363" s="333"/>
      <c r="CI363" s="333"/>
      <c r="CJ363" s="333"/>
      <c r="CK363" s="333"/>
      <c r="CL363" s="333"/>
      <c r="CM363" s="333"/>
      <c r="CN363" s="333"/>
      <c r="CO363" s="333"/>
      <c r="CP363" s="333"/>
      <c r="CQ363" s="333"/>
      <c r="CR363" s="333"/>
      <c r="CS363" s="333"/>
      <c r="CT363" s="333"/>
      <c r="CU363" s="333"/>
      <c r="CV363" s="333"/>
      <c r="CW363" s="333"/>
      <c r="CX363" s="333"/>
      <c r="CY363" s="333"/>
      <c r="CZ363" s="333"/>
      <c r="DA363" s="333"/>
      <c r="DB363" s="333"/>
      <c r="DC363" s="333"/>
      <c r="DD363" s="333"/>
      <c r="DE363" s="333"/>
      <c r="DF363" s="333"/>
      <c r="DG363" s="333"/>
    </row>
    <row r="364" ht="20.25" customHeight="1">
      <c r="A364" s="396" t="s">
        <v>279</v>
      </c>
      <c r="B364" s="41" t="s">
        <v>107</v>
      </c>
      <c r="C364" s="41" t="s">
        <v>1821</v>
      </c>
      <c r="E364" s="641" t="s">
        <v>2073</v>
      </c>
      <c r="F364" s="52" t="s">
        <v>2074</v>
      </c>
      <c r="G364" s="52" t="s">
        <v>1822</v>
      </c>
      <c r="H364" s="140">
        <v>45460.0</v>
      </c>
      <c r="I364" s="409">
        <v>45642.0</v>
      </c>
      <c r="J364" s="52" t="s">
        <v>2086</v>
      </c>
      <c r="K364" s="55"/>
      <c r="L364" s="52" t="s">
        <v>2077</v>
      </c>
      <c r="M364" s="52" t="s">
        <v>2078</v>
      </c>
      <c r="N364" s="355">
        <v>2.0</v>
      </c>
      <c r="O364" s="353" t="str">
        <f t="shared" si="15"/>
        <v>10.1111--j.1540-5885.2010.00778.x.pdf</v>
      </c>
      <c r="P364" s="48" t="str">
        <f t="array" ref="P364">HYPERLINK(INDEX('File Links'!B:B, MATCH(O364, 'File Links'!C:C, 0)))
</f>
        <v>https://drive.google.com/file/d/1NV42SOubbZFwoBVl2IhhGw3jTa6CF1Ns/view?usp=drivesdk</v>
      </c>
      <c r="Q364" s="52" t="s">
        <v>2087</v>
      </c>
      <c r="R364" s="52" t="s">
        <v>2080</v>
      </c>
      <c r="S364" s="55"/>
      <c r="T364" s="646">
        <v>1.0</v>
      </c>
      <c r="U364" s="354" t="str">
        <f t="shared" si="16"/>
        <v>10.1080--02650487.2024.2362015.pdf</v>
      </c>
      <c r="V364" s="52" t="s">
        <v>2088</v>
      </c>
      <c r="W364" s="45" t="str">
        <f t="array" ref="W364">HYPERLINK(INDEX('File Links'!B:B, MATCH(U364, 'File Links'!C:C, 0)))
</f>
        <v>#N/A</v>
      </c>
      <c r="X364" s="55"/>
      <c r="Y364" s="52" t="s">
        <v>2083</v>
      </c>
      <c r="Z364" s="52" t="s">
        <v>2089</v>
      </c>
      <c r="AA364" s="52" t="s">
        <v>2090</v>
      </c>
      <c r="AB364" s="52" t="s">
        <v>2095</v>
      </c>
      <c r="AC364" s="52" t="s">
        <v>2092</v>
      </c>
      <c r="AD364" s="115">
        <v>27.0</v>
      </c>
      <c r="AE364" s="355">
        <v>153.0</v>
      </c>
      <c r="AF364" s="355">
        <v>4.5</v>
      </c>
      <c r="AG364" s="330" t="s">
        <v>162</v>
      </c>
      <c r="AH364" s="52" t="s">
        <v>1896</v>
      </c>
      <c r="AI364" s="55"/>
      <c r="AJ364" s="60"/>
      <c r="AK364" s="613" t="s">
        <v>165</v>
      </c>
      <c r="AL364" s="613" t="s">
        <v>165</v>
      </c>
      <c r="AM364" s="52" t="s">
        <v>165</v>
      </c>
      <c r="AN364" s="355">
        <v>156.0</v>
      </c>
      <c r="AO364" s="355">
        <v>-0.047</v>
      </c>
      <c r="AP364" s="52" t="s">
        <v>166</v>
      </c>
      <c r="AQ364" s="355">
        <f t="shared" si="17"/>
        <v>-0.04672126145</v>
      </c>
      <c r="AR364" s="55"/>
      <c r="AS364" s="60"/>
      <c r="AT364" s="614" t="s">
        <v>165</v>
      </c>
      <c r="AU364" s="614" t="s">
        <v>165</v>
      </c>
      <c r="AV364" s="147" t="s">
        <v>165</v>
      </c>
      <c r="AW364" s="147" t="s">
        <v>142</v>
      </c>
      <c r="AX364" s="55"/>
      <c r="AZ364" s="647"/>
      <c r="BA364" s="647"/>
      <c r="BB364" s="647"/>
      <c r="BC364" s="647"/>
      <c r="BD364" s="647"/>
      <c r="BE364" s="647"/>
      <c r="BF364" s="647"/>
      <c r="BG364" s="647"/>
      <c r="BH364" s="647"/>
      <c r="BI364" s="647"/>
      <c r="BJ364" s="647"/>
      <c r="BK364" s="647"/>
      <c r="BL364" s="647"/>
      <c r="BM364" s="647"/>
      <c r="BN364" s="647"/>
      <c r="BO364" s="647"/>
      <c r="BP364" s="647"/>
      <c r="BQ364" s="647"/>
      <c r="BR364" s="647"/>
      <c r="BS364" s="647"/>
      <c r="BT364" s="647"/>
      <c r="BU364" s="647"/>
      <c r="BV364" s="647"/>
      <c r="BW364" s="647"/>
      <c r="BX364" s="647"/>
      <c r="BY364" s="647"/>
      <c r="BZ364" s="647"/>
      <c r="CA364" s="647"/>
      <c r="CB364" s="647"/>
      <c r="CC364" s="647"/>
      <c r="CD364" s="647"/>
      <c r="CE364" s="647"/>
      <c r="CF364" s="647"/>
      <c r="CG364" s="647"/>
      <c r="CH364" s="647"/>
      <c r="CI364" s="647"/>
      <c r="CJ364" s="647"/>
      <c r="CK364" s="647"/>
      <c r="CL364" s="647"/>
      <c r="CM364" s="647"/>
      <c r="CN364" s="647"/>
      <c r="CO364" s="647"/>
      <c r="CP364" s="647"/>
      <c r="CQ364" s="647"/>
      <c r="CR364" s="647"/>
      <c r="CS364" s="647"/>
      <c r="CT364" s="647"/>
      <c r="CU364" s="647"/>
      <c r="CV364" s="647"/>
      <c r="CW364" s="647"/>
      <c r="CX364" s="647"/>
      <c r="CY364" s="647"/>
      <c r="CZ364" s="647"/>
      <c r="DA364" s="647"/>
      <c r="DB364" s="647"/>
      <c r="DC364" s="647"/>
      <c r="DD364" s="647"/>
      <c r="DE364" s="647"/>
      <c r="DF364" s="647"/>
      <c r="DG364" s="647"/>
    </row>
    <row r="365" ht="20.25" customHeight="1">
      <c r="A365" s="396" t="s">
        <v>279</v>
      </c>
      <c r="B365" s="41" t="s">
        <v>107</v>
      </c>
      <c r="C365" s="41" t="s">
        <v>1821</v>
      </c>
      <c r="E365" s="641" t="s">
        <v>2073</v>
      </c>
      <c r="F365" s="52" t="s">
        <v>2074</v>
      </c>
      <c r="G365" s="52" t="s">
        <v>1822</v>
      </c>
      <c r="H365" s="140">
        <v>45460.0</v>
      </c>
      <c r="I365" s="409">
        <v>45642.0</v>
      </c>
      <c r="J365" s="52" t="s">
        <v>2086</v>
      </c>
      <c r="K365" s="55"/>
      <c r="L365" s="52" t="s">
        <v>2077</v>
      </c>
      <c r="M365" s="52" t="s">
        <v>2078</v>
      </c>
      <c r="N365" s="355">
        <v>2.0</v>
      </c>
      <c r="O365" s="353" t="str">
        <f t="shared" si="15"/>
        <v>10.1111--j.1540-5885.2010.00778.x.pdf</v>
      </c>
      <c r="P365" s="48" t="str">
        <f t="array" ref="P365">HYPERLINK(INDEX('File Links'!B:B, MATCH(O365, 'File Links'!C:C, 0)))
</f>
        <v>https://drive.google.com/file/d/1NV42SOubbZFwoBVl2IhhGw3jTa6CF1Ns/view?usp=drivesdk</v>
      </c>
      <c r="Q365" s="52" t="s">
        <v>2087</v>
      </c>
      <c r="R365" s="52" t="s">
        <v>2080</v>
      </c>
      <c r="S365" s="55"/>
      <c r="T365" s="646">
        <v>1.0</v>
      </c>
      <c r="U365" s="354" t="str">
        <f t="shared" si="16"/>
        <v>10.1080--02650487.2024.2362015.pdf</v>
      </c>
      <c r="V365" s="52" t="s">
        <v>2088</v>
      </c>
      <c r="W365" s="45" t="str">
        <f t="array" ref="W365">HYPERLINK(INDEX('File Links'!B:B, MATCH(U365, 'File Links'!C:C, 0)))
</f>
        <v>#N/A</v>
      </c>
      <c r="X365" s="55"/>
      <c r="Y365" s="52" t="s">
        <v>2083</v>
      </c>
      <c r="Z365" s="52" t="s">
        <v>2089</v>
      </c>
      <c r="AA365" s="52" t="s">
        <v>2090</v>
      </c>
      <c r="AB365" s="52" t="s">
        <v>2096</v>
      </c>
      <c r="AC365" s="52" t="s">
        <v>2092</v>
      </c>
      <c r="AD365" s="115">
        <v>27.0</v>
      </c>
      <c r="AE365" s="355">
        <v>156.0</v>
      </c>
      <c r="AF365" s="355">
        <v>8.0</v>
      </c>
      <c r="AG365" s="330" t="s">
        <v>162</v>
      </c>
      <c r="AH365" s="52" t="s">
        <v>1896</v>
      </c>
      <c r="AI365" s="55"/>
      <c r="AJ365" s="60"/>
      <c r="AK365" s="613" t="s">
        <v>165</v>
      </c>
      <c r="AL365" s="613" t="s">
        <v>165</v>
      </c>
      <c r="AM365" s="52" t="s">
        <v>165</v>
      </c>
      <c r="AN365" s="355">
        <v>156.0</v>
      </c>
      <c r="AO365" s="355">
        <v>-0.312</v>
      </c>
      <c r="AP365" s="52" t="s">
        <v>166</v>
      </c>
      <c r="AQ365" s="355">
        <f t="shared" ref="AQ365:AQ367" si="18">(5.12-5.52)/SQRT(((79-1)*1.33^2+(77-1)*1.23^2)/(79+77-2))</f>
        <v>-0.3121038033</v>
      </c>
      <c r="AR365" s="55"/>
      <c r="AS365" s="60"/>
      <c r="AT365" s="614" t="s">
        <v>165</v>
      </c>
      <c r="AU365" s="614" t="s">
        <v>165</v>
      </c>
      <c r="AV365" s="147" t="s">
        <v>165</v>
      </c>
      <c r="AW365" s="147" t="s">
        <v>142</v>
      </c>
      <c r="AX365" s="55"/>
      <c r="AZ365" s="333"/>
      <c r="BA365" s="333"/>
      <c r="BB365" s="333"/>
      <c r="BC365" s="333"/>
      <c r="BD365" s="333"/>
      <c r="BE365" s="333"/>
      <c r="BF365" s="333"/>
      <c r="BG365" s="333"/>
      <c r="BH365" s="333"/>
      <c r="BI365" s="333"/>
      <c r="BJ365" s="333"/>
      <c r="BK365" s="333"/>
      <c r="BL365" s="333"/>
      <c r="BM365" s="333"/>
      <c r="BN365" s="333"/>
      <c r="BO365" s="333"/>
      <c r="BP365" s="333"/>
      <c r="BQ365" s="333"/>
      <c r="BR365" s="333"/>
      <c r="BS365" s="333"/>
      <c r="BT365" s="333"/>
      <c r="BU365" s="333"/>
      <c r="BV365" s="333"/>
      <c r="BW365" s="333"/>
      <c r="BX365" s="333"/>
      <c r="BY365" s="333"/>
      <c r="BZ365" s="333"/>
      <c r="CA365" s="333"/>
      <c r="CB365" s="333"/>
      <c r="CC365" s="333"/>
      <c r="CD365" s="333"/>
      <c r="CE365" s="333"/>
      <c r="CF365" s="333"/>
      <c r="CG365" s="333"/>
      <c r="CH365" s="333"/>
      <c r="CI365" s="333"/>
      <c r="CJ365" s="333"/>
      <c r="CK365" s="333"/>
      <c r="CL365" s="333"/>
      <c r="CM365" s="333"/>
      <c r="CN365" s="333"/>
      <c r="CO365" s="333"/>
      <c r="CP365" s="333"/>
      <c r="CQ365" s="333"/>
      <c r="CR365" s="333"/>
      <c r="CS365" s="333"/>
      <c r="CT365" s="333"/>
      <c r="CU365" s="333"/>
      <c r="CV365" s="333"/>
      <c r="CW365" s="333"/>
      <c r="CX365" s="333"/>
      <c r="CY365" s="333"/>
      <c r="CZ365" s="333"/>
      <c r="DA365" s="333"/>
      <c r="DB365" s="333"/>
      <c r="DC365" s="333"/>
      <c r="DD365" s="333"/>
      <c r="DE365" s="333"/>
      <c r="DF365" s="333"/>
      <c r="DG365" s="333"/>
    </row>
    <row r="366" ht="20.25" customHeight="1">
      <c r="A366" s="396" t="s">
        <v>279</v>
      </c>
      <c r="B366" s="41" t="s">
        <v>107</v>
      </c>
      <c r="C366" s="41" t="s">
        <v>1821</v>
      </c>
      <c r="E366" s="641" t="s">
        <v>2073</v>
      </c>
      <c r="F366" s="52" t="s">
        <v>2074</v>
      </c>
      <c r="G366" s="52" t="s">
        <v>1822</v>
      </c>
      <c r="H366" s="140">
        <v>45460.0</v>
      </c>
      <c r="I366" s="409">
        <v>45642.0</v>
      </c>
      <c r="J366" s="52" t="s">
        <v>2086</v>
      </c>
      <c r="K366" s="55"/>
      <c r="L366" s="52" t="s">
        <v>2077</v>
      </c>
      <c r="M366" s="52" t="s">
        <v>2078</v>
      </c>
      <c r="N366" s="355">
        <v>2.0</v>
      </c>
      <c r="O366" s="353" t="str">
        <f t="shared" si="15"/>
        <v>10.1111--j.1540-5885.2010.00778.x.pdf</v>
      </c>
      <c r="P366" s="48" t="str">
        <f t="array" ref="P366">HYPERLINK(INDEX('File Links'!B:B, MATCH(O366, 'File Links'!C:C, 0)))
</f>
        <v>https://drive.google.com/file/d/1NV42SOubbZFwoBVl2IhhGw3jTa6CF1Ns/view?usp=drivesdk</v>
      </c>
      <c r="Q366" s="52" t="s">
        <v>2087</v>
      </c>
      <c r="R366" s="52" t="s">
        <v>2080</v>
      </c>
      <c r="S366" s="55"/>
      <c r="T366" s="646">
        <v>1.0</v>
      </c>
      <c r="U366" s="354" t="str">
        <f t="shared" si="16"/>
        <v>10.1080--02650487.2024.2362015.pdf</v>
      </c>
      <c r="V366" s="52" t="s">
        <v>2088</v>
      </c>
      <c r="W366" s="45" t="str">
        <f t="array" ref="W366">HYPERLINK(INDEX('File Links'!B:B, MATCH(U366, 'File Links'!C:C, 0)))
</f>
        <v>#N/A</v>
      </c>
      <c r="X366" s="55"/>
      <c r="Y366" s="52" t="s">
        <v>2083</v>
      </c>
      <c r="Z366" s="52" t="s">
        <v>2089</v>
      </c>
      <c r="AA366" s="52" t="s">
        <v>2090</v>
      </c>
      <c r="AB366" s="52" t="s">
        <v>2097</v>
      </c>
      <c r="AC366" s="52" t="s">
        <v>2092</v>
      </c>
      <c r="AD366" s="115">
        <v>27.0</v>
      </c>
      <c r="AE366" s="355">
        <v>158.0</v>
      </c>
      <c r="AF366" s="355">
        <v>7.5</v>
      </c>
      <c r="AG366" s="330" t="s">
        <v>162</v>
      </c>
      <c r="AH366" s="52" t="s">
        <v>1896</v>
      </c>
      <c r="AI366" s="55"/>
      <c r="AJ366" s="60"/>
      <c r="AK366" s="613" t="s">
        <v>165</v>
      </c>
      <c r="AL366" s="613" t="s">
        <v>165</v>
      </c>
      <c r="AM366" s="52" t="s">
        <v>165</v>
      </c>
      <c r="AN366" s="355">
        <v>156.0</v>
      </c>
      <c r="AO366" s="355">
        <v>-0.312</v>
      </c>
      <c r="AP366" s="52" t="s">
        <v>166</v>
      </c>
      <c r="AQ366" s="355">
        <f t="shared" si="18"/>
        <v>-0.3121038033</v>
      </c>
      <c r="AR366" s="55"/>
      <c r="AS366" s="60"/>
      <c r="AT366" s="614" t="s">
        <v>165</v>
      </c>
      <c r="AU366" s="614" t="s">
        <v>165</v>
      </c>
      <c r="AV366" s="147" t="s">
        <v>165</v>
      </c>
      <c r="AW366" s="147" t="s">
        <v>142</v>
      </c>
      <c r="AX366" s="55"/>
      <c r="AZ366" s="647"/>
      <c r="BA366" s="647"/>
      <c r="BB366" s="647"/>
      <c r="BC366" s="647"/>
      <c r="BD366" s="647"/>
      <c r="BE366" s="647"/>
      <c r="BF366" s="647"/>
      <c r="BG366" s="647"/>
      <c r="BH366" s="647"/>
      <c r="BI366" s="647"/>
      <c r="BJ366" s="647"/>
      <c r="BK366" s="647"/>
      <c r="BL366" s="647"/>
      <c r="BM366" s="647"/>
      <c r="BN366" s="647"/>
      <c r="BO366" s="647"/>
      <c r="BP366" s="647"/>
      <c r="BQ366" s="647"/>
      <c r="BR366" s="647"/>
      <c r="BS366" s="647"/>
      <c r="BT366" s="647"/>
      <c r="BU366" s="647"/>
      <c r="BV366" s="647"/>
      <c r="BW366" s="647"/>
      <c r="BX366" s="647"/>
      <c r="BY366" s="647"/>
      <c r="BZ366" s="647"/>
      <c r="CA366" s="647"/>
      <c r="CB366" s="647"/>
      <c r="CC366" s="647"/>
      <c r="CD366" s="647"/>
      <c r="CE366" s="647"/>
      <c r="CF366" s="647"/>
      <c r="CG366" s="647"/>
      <c r="CH366" s="647"/>
      <c r="CI366" s="647"/>
      <c r="CJ366" s="647"/>
      <c r="CK366" s="647"/>
      <c r="CL366" s="647"/>
      <c r="CM366" s="647"/>
      <c r="CN366" s="647"/>
      <c r="CO366" s="647"/>
      <c r="CP366" s="647"/>
      <c r="CQ366" s="647"/>
      <c r="CR366" s="647"/>
      <c r="CS366" s="647"/>
      <c r="CT366" s="647"/>
      <c r="CU366" s="647"/>
      <c r="CV366" s="647"/>
      <c r="CW366" s="647"/>
      <c r="CX366" s="647"/>
      <c r="CY366" s="647"/>
      <c r="CZ366" s="647"/>
      <c r="DA366" s="647"/>
      <c r="DB366" s="647"/>
      <c r="DC366" s="647"/>
      <c r="DD366" s="647"/>
      <c r="DE366" s="647"/>
      <c r="DF366" s="647"/>
      <c r="DG366" s="647"/>
    </row>
    <row r="367" ht="20.25" customHeight="1">
      <c r="A367" s="396" t="s">
        <v>279</v>
      </c>
      <c r="B367" s="41" t="s">
        <v>107</v>
      </c>
      <c r="C367" s="41" t="s">
        <v>1821</v>
      </c>
      <c r="E367" s="641" t="s">
        <v>2073</v>
      </c>
      <c r="F367" s="52" t="s">
        <v>2074</v>
      </c>
      <c r="G367" s="52" t="s">
        <v>1822</v>
      </c>
      <c r="H367" s="140">
        <v>45460.0</v>
      </c>
      <c r="I367" s="409">
        <v>45642.0</v>
      </c>
      <c r="J367" s="52" t="s">
        <v>2086</v>
      </c>
      <c r="K367" s="55"/>
      <c r="L367" s="52" t="s">
        <v>2077</v>
      </c>
      <c r="M367" s="52" t="s">
        <v>2078</v>
      </c>
      <c r="N367" s="355">
        <v>2.0</v>
      </c>
      <c r="O367" s="353" t="str">
        <f t="shared" si="15"/>
        <v>10.1111--j.1540-5885.2010.00778.x.pdf</v>
      </c>
      <c r="P367" s="48" t="str">
        <f t="array" ref="P367">HYPERLINK(INDEX('File Links'!B:B, MATCH(O367, 'File Links'!C:C, 0)))
</f>
        <v>https://drive.google.com/file/d/1NV42SOubbZFwoBVl2IhhGw3jTa6CF1Ns/view?usp=drivesdk</v>
      </c>
      <c r="Q367" s="52" t="s">
        <v>2087</v>
      </c>
      <c r="R367" s="52" t="s">
        <v>2080</v>
      </c>
      <c r="S367" s="55"/>
      <c r="T367" s="646">
        <v>1.0</v>
      </c>
      <c r="U367" s="354" t="str">
        <f t="shared" si="16"/>
        <v>10.1080--02650487.2024.2362015.pdf</v>
      </c>
      <c r="V367" s="52" t="s">
        <v>2088</v>
      </c>
      <c r="W367" s="45" t="str">
        <f t="array" ref="W367">HYPERLINK(INDEX('File Links'!B:B, MATCH(U367, 'File Links'!C:C, 0)))
</f>
        <v>#N/A</v>
      </c>
      <c r="X367" s="55"/>
      <c r="Y367" s="52" t="s">
        <v>2083</v>
      </c>
      <c r="Z367" s="52" t="s">
        <v>2089</v>
      </c>
      <c r="AA367" s="52" t="s">
        <v>2090</v>
      </c>
      <c r="AB367" s="52" t="s">
        <v>2098</v>
      </c>
      <c r="AC367" s="52" t="s">
        <v>2092</v>
      </c>
      <c r="AD367" s="115">
        <v>27.0</v>
      </c>
      <c r="AE367" s="355">
        <v>153.0</v>
      </c>
      <c r="AF367" s="355">
        <v>4.5</v>
      </c>
      <c r="AG367" s="330" t="s">
        <v>162</v>
      </c>
      <c r="AH367" s="52" t="s">
        <v>1896</v>
      </c>
      <c r="AI367" s="55"/>
      <c r="AJ367" s="60"/>
      <c r="AK367" s="613" t="s">
        <v>165</v>
      </c>
      <c r="AL367" s="613" t="s">
        <v>165</v>
      </c>
      <c r="AM367" s="52" t="s">
        <v>165</v>
      </c>
      <c r="AN367" s="355">
        <v>156.0</v>
      </c>
      <c r="AO367" s="355">
        <v>-0.312</v>
      </c>
      <c r="AP367" s="52" t="s">
        <v>166</v>
      </c>
      <c r="AQ367" s="355">
        <f t="shared" si="18"/>
        <v>-0.3121038033</v>
      </c>
      <c r="AR367" s="55"/>
      <c r="AS367" s="60"/>
      <c r="AT367" s="614" t="s">
        <v>165</v>
      </c>
      <c r="AU367" s="614" t="s">
        <v>165</v>
      </c>
      <c r="AV367" s="147" t="s">
        <v>165</v>
      </c>
      <c r="AW367" s="147" t="s">
        <v>142</v>
      </c>
      <c r="AX367" s="55"/>
      <c r="AZ367" s="333"/>
      <c r="BA367" s="333"/>
      <c r="BB367" s="333"/>
      <c r="BC367" s="333"/>
      <c r="BD367" s="333"/>
      <c r="BE367" s="333"/>
      <c r="BF367" s="333"/>
      <c r="BG367" s="333"/>
      <c r="BH367" s="333"/>
      <c r="BI367" s="333"/>
      <c r="BJ367" s="333"/>
      <c r="BK367" s="333"/>
      <c r="BL367" s="333"/>
      <c r="BM367" s="333"/>
      <c r="BN367" s="333"/>
      <c r="BO367" s="333"/>
      <c r="BP367" s="333"/>
      <c r="BQ367" s="333"/>
      <c r="BR367" s="333"/>
      <c r="BS367" s="333"/>
      <c r="BT367" s="333"/>
      <c r="BU367" s="333"/>
      <c r="BV367" s="333"/>
      <c r="BW367" s="333"/>
      <c r="BX367" s="333"/>
      <c r="BY367" s="333"/>
      <c r="BZ367" s="333"/>
      <c r="CA367" s="333"/>
      <c r="CB367" s="333"/>
      <c r="CC367" s="333"/>
      <c r="CD367" s="333"/>
      <c r="CE367" s="333"/>
      <c r="CF367" s="333"/>
      <c r="CG367" s="333"/>
      <c r="CH367" s="333"/>
      <c r="CI367" s="333"/>
      <c r="CJ367" s="333"/>
      <c r="CK367" s="333"/>
      <c r="CL367" s="333"/>
      <c r="CM367" s="333"/>
      <c r="CN367" s="333"/>
      <c r="CO367" s="333"/>
      <c r="CP367" s="333"/>
      <c r="CQ367" s="333"/>
      <c r="CR367" s="333"/>
      <c r="CS367" s="333"/>
      <c r="CT367" s="333"/>
      <c r="CU367" s="333"/>
      <c r="CV367" s="333"/>
      <c r="CW367" s="333"/>
      <c r="CX367" s="333"/>
      <c r="CY367" s="333"/>
      <c r="CZ367" s="333"/>
      <c r="DA367" s="333"/>
      <c r="DB367" s="333"/>
      <c r="DC367" s="333"/>
      <c r="DD367" s="333"/>
      <c r="DE367" s="333"/>
      <c r="DF367" s="333"/>
      <c r="DG367" s="333"/>
    </row>
    <row r="368" ht="20.25" customHeight="1">
      <c r="A368" s="396" t="s">
        <v>279</v>
      </c>
      <c r="B368" s="41" t="s">
        <v>107</v>
      </c>
      <c r="C368" s="41" t="s">
        <v>1821</v>
      </c>
      <c r="E368" s="641" t="s">
        <v>2073</v>
      </c>
      <c r="F368" s="52" t="s">
        <v>2074</v>
      </c>
      <c r="G368" s="52" t="s">
        <v>1822</v>
      </c>
      <c r="H368" s="140">
        <v>45460.0</v>
      </c>
      <c r="I368" s="409">
        <v>45642.0</v>
      </c>
      <c r="J368" s="52" t="s">
        <v>2099</v>
      </c>
      <c r="K368" s="55"/>
      <c r="L368" s="52" t="s">
        <v>2077</v>
      </c>
      <c r="M368" s="52" t="s">
        <v>2078</v>
      </c>
      <c r="N368" s="355">
        <v>2.0</v>
      </c>
      <c r="O368" s="353" t="str">
        <f t="shared" si="15"/>
        <v>10.1111--j.1540-5885.2010.00778.x.pdf</v>
      </c>
      <c r="P368" s="48" t="str">
        <f t="array" ref="P368">HYPERLINK(INDEX('File Links'!B:B, MATCH(O368, 'File Links'!C:C, 0)))
</f>
        <v>https://drive.google.com/file/d/1NV42SOubbZFwoBVl2IhhGw3jTa6CF1Ns/view?usp=drivesdk</v>
      </c>
      <c r="Q368" s="52" t="s">
        <v>2087</v>
      </c>
      <c r="R368" s="52" t="s">
        <v>2080</v>
      </c>
      <c r="S368" s="55"/>
      <c r="T368" s="646">
        <v>1.0</v>
      </c>
      <c r="U368" s="354" t="str">
        <f t="shared" si="16"/>
        <v>10.1080--02650487.2024.2362015.pdf</v>
      </c>
      <c r="V368" s="52" t="s">
        <v>2088</v>
      </c>
      <c r="W368" s="45" t="str">
        <f t="array" ref="W368">HYPERLINK(INDEX('File Links'!B:B, MATCH(U368, 'File Links'!C:C, 0)))
</f>
        <v>#N/A</v>
      </c>
      <c r="X368" s="55"/>
      <c r="Y368" s="52" t="s">
        <v>2083</v>
      </c>
      <c r="Z368" s="52" t="s">
        <v>2089</v>
      </c>
      <c r="AA368" s="52" t="s">
        <v>2090</v>
      </c>
      <c r="AB368" s="52" t="s">
        <v>2100</v>
      </c>
      <c r="AC368" s="52" t="s">
        <v>2101</v>
      </c>
      <c r="AD368" s="115">
        <v>27.0</v>
      </c>
      <c r="AE368" s="355">
        <v>92.0</v>
      </c>
      <c r="AF368" s="55"/>
      <c r="AG368" s="329"/>
      <c r="AH368" s="55"/>
      <c r="AI368" s="355">
        <v>0.05</v>
      </c>
      <c r="AJ368" s="147" t="s">
        <v>127</v>
      </c>
      <c r="AK368" s="613" t="s">
        <v>165</v>
      </c>
      <c r="AL368" s="613" t="s">
        <v>165</v>
      </c>
      <c r="AM368" s="52" t="s">
        <v>165</v>
      </c>
      <c r="AN368" s="355">
        <v>156.0</v>
      </c>
      <c r="AO368" s="355">
        <v>-0.042</v>
      </c>
      <c r="AP368" s="52" t="s">
        <v>166</v>
      </c>
      <c r="AQ368" s="355">
        <f t="shared" ref="AQ368:AQ370" si="19">(6.18-6.22)/SQRT(((79-1)*0.84^2+(77-1)*1.05^2)/(79+77-2))</f>
        <v>-0.04212924684</v>
      </c>
      <c r="AR368" s="55"/>
      <c r="AS368" s="60"/>
      <c r="AT368" s="614" t="s">
        <v>165</v>
      </c>
      <c r="AU368" s="614" t="s">
        <v>165</v>
      </c>
      <c r="AV368" s="147" t="s">
        <v>165</v>
      </c>
      <c r="AW368" s="147" t="s">
        <v>142</v>
      </c>
      <c r="AX368" s="55"/>
      <c r="AZ368" s="647"/>
      <c r="BA368" s="647"/>
      <c r="BB368" s="647"/>
      <c r="BC368" s="647"/>
      <c r="BD368" s="647"/>
      <c r="BE368" s="647"/>
      <c r="BF368" s="647"/>
      <c r="BG368" s="647"/>
      <c r="BH368" s="647"/>
      <c r="BI368" s="647"/>
      <c r="BJ368" s="647"/>
      <c r="BK368" s="647"/>
      <c r="BL368" s="647"/>
      <c r="BM368" s="647"/>
      <c r="BN368" s="647"/>
      <c r="BO368" s="647"/>
      <c r="BP368" s="647"/>
      <c r="BQ368" s="647"/>
      <c r="BR368" s="647"/>
      <c r="BS368" s="647"/>
      <c r="BT368" s="647"/>
      <c r="BU368" s="647"/>
      <c r="BV368" s="647"/>
      <c r="BW368" s="647"/>
      <c r="BX368" s="647"/>
      <c r="BY368" s="647"/>
      <c r="BZ368" s="647"/>
      <c r="CA368" s="647"/>
      <c r="CB368" s="647"/>
      <c r="CC368" s="647"/>
      <c r="CD368" s="647"/>
      <c r="CE368" s="647"/>
      <c r="CF368" s="647"/>
      <c r="CG368" s="647"/>
      <c r="CH368" s="647"/>
      <c r="CI368" s="647"/>
      <c r="CJ368" s="647"/>
      <c r="CK368" s="647"/>
      <c r="CL368" s="647"/>
      <c r="CM368" s="647"/>
      <c r="CN368" s="647"/>
      <c r="CO368" s="647"/>
      <c r="CP368" s="647"/>
      <c r="CQ368" s="647"/>
      <c r="CR368" s="647"/>
      <c r="CS368" s="647"/>
      <c r="CT368" s="647"/>
      <c r="CU368" s="647"/>
      <c r="CV368" s="647"/>
      <c r="CW368" s="647"/>
      <c r="CX368" s="647"/>
      <c r="CY368" s="647"/>
      <c r="CZ368" s="647"/>
      <c r="DA368" s="647"/>
      <c r="DB368" s="647"/>
      <c r="DC368" s="647"/>
      <c r="DD368" s="647"/>
      <c r="DE368" s="647"/>
      <c r="DF368" s="647"/>
      <c r="DG368" s="647"/>
    </row>
    <row r="369" ht="20.25" customHeight="1">
      <c r="A369" s="396" t="s">
        <v>279</v>
      </c>
      <c r="B369" s="41" t="s">
        <v>107</v>
      </c>
      <c r="C369" s="41" t="s">
        <v>1821</v>
      </c>
      <c r="E369" s="641" t="s">
        <v>2073</v>
      </c>
      <c r="F369" s="52" t="s">
        <v>2074</v>
      </c>
      <c r="G369" s="52" t="s">
        <v>1822</v>
      </c>
      <c r="H369" s="140">
        <v>45460.0</v>
      </c>
      <c r="I369" s="409">
        <v>45642.0</v>
      </c>
      <c r="J369" s="52" t="s">
        <v>2099</v>
      </c>
      <c r="K369" s="55"/>
      <c r="L369" s="52" t="s">
        <v>2077</v>
      </c>
      <c r="M369" s="52" t="s">
        <v>2078</v>
      </c>
      <c r="N369" s="355">
        <v>2.0</v>
      </c>
      <c r="O369" s="353" t="str">
        <f t="shared" si="15"/>
        <v>10.1111--j.1540-5885.2010.00778.x.pdf</v>
      </c>
      <c r="P369" s="48" t="str">
        <f t="array" ref="P369">HYPERLINK(INDEX('File Links'!B:B, MATCH(O369, 'File Links'!C:C, 0)))
</f>
        <v>https://drive.google.com/file/d/1NV42SOubbZFwoBVl2IhhGw3jTa6CF1Ns/view?usp=drivesdk</v>
      </c>
      <c r="Q369" s="52" t="s">
        <v>2087</v>
      </c>
      <c r="R369" s="52" t="s">
        <v>2080</v>
      </c>
      <c r="S369" s="55"/>
      <c r="T369" s="646">
        <v>1.0</v>
      </c>
      <c r="U369" s="354" t="str">
        <f t="shared" si="16"/>
        <v>10.1080--02650487.2024.2362015.pdf</v>
      </c>
      <c r="V369" s="52" t="s">
        <v>2088</v>
      </c>
      <c r="W369" s="45" t="str">
        <f t="array" ref="W369">HYPERLINK(INDEX('File Links'!B:B, MATCH(U369, 'File Links'!C:C, 0)))
</f>
        <v>#N/A</v>
      </c>
      <c r="X369" s="55"/>
      <c r="Y369" s="52" t="s">
        <v>2083</v>
      </c>
      <c r="Z369" s="52" t="s">
        <v>2089</v>
      </c>
      <c r="AA369" s="52" t="s">
        <v>2090</v>
      </c>
      <c r="AB369" s="52" t="s">
        <v>2102</v>
      </c>
      <c r="AC369" s="52" t="s">
        <v>2103</v>
      </c>
      <c r="AD369" s="115">
        <v>27.0</v>
      </c>
      <c r="AE369" s="355">
        <v>158.0</v>
      </c>
      <c r="AF369" s="55"/>
      <c r="AG369" s="329"/>
      <c r="AH369" s="55"/>
      <c r="AI369" s="355">
        <v>0.001</v>
      </c>
      <c r="AJ369" s="147" t="s">
        <v>127</v>
      </c>
      <c r="AK369" s="613" t="s">
        <v>165</v>
      </c>
      <c r="AL369" s="613" t="s">
        <v>165</v>
      </c>
      <c r="AM369" s="52" t="s">
        <v>165</v>
      </c>
      <c r="AN369" s="355">
        <v>156.0</v>
      </c>
      <c r="AO369" s="355">
        <v>-0.042</v>
      </c>
      <c r="AP369" s="52" t="s">
        <v>166</v>
      </c>
      <c r="AQ369" s="355">
        <f t="shared" si="19"/>
        <v>-0.04212924684</v>
      </c>
      <c r="AR369" s="55"/>
      <c r="AS369" s="60"/>
      <c r="AT369" s="614" t="s">
        <v>165</v>
      </c>
      <c r="AU369" s="614" t="s">
        <v>165</v>
      </c>
      <c r="AV369" s="147" t="s">
        <v>165</v>
      </c>
      <c r="AW369" s="147" t="s">
        <v>142</v>
      </c>
      <c r="AX369" s="55"/>
      <c r="AZ369" s="647"/>
      <c r="BA369" s="647"/>
      <c r="BB369" s="647"/>
      <c r="BC369" s="647"/>
      <c r="BD369" s="647"/>
      <c r="BE369" s="647"/>
      <c r="BF369" s="647"/>
      <c r="BG369" s="647"/>
      <c r="BH369" s="647"/>
      <c r="BI369" s="647"/>
      <c r="BJ369" s="647"/>
      <c r="BK369" s="647"/>
      <c r="BL369" s="647"/>
      <c r="BM369" s="647"/>
      <c r="BN369" s="647"/>
      <c r="BO369" s="647"/>
      <c r="BP369" s="647"/>
      <c r="BQ369" s="647"/>
      <c r="BR369" s="647"/>
      <c r="BS369" s="647"/>
      <c r="BT369" s="647"/>
      <c r="BU369" s="647"/>
      <c r="BV369" s="647"/>
      <c r="BW369" s="647"/>
      <c r="BX369" s="647"/>
      <c r="BY369" s="647"/>
      <c r="BZ369" s="647"/>
      <c r="CA369" s="647"/>
      <c r="CB369" s="647"/>
      <c r="CC369" s="647"/>
      <c r="CD369" s="647"/>
      <c r="CE369" s="647"/>
      <c r="CF369" s="647"/>
      <c r="CG369" s="647"/>
      <c r="CH369" s="647"/>
      <c r="CI369" s="647"/>
      <c r="CJ369" s="647"/>
      <c r="CK369" s="647"/>
      <c r="CL369" s="647"/>
      <c r="CM369" s="647"/>
      <c r="CN369" s="647"/>
      <c r="CO369" s="647"/>
      <c r="CP369" s="647"/>
      <c r="CQ369" s="647"/>
      <c r="CR369" s="647"/>
      <c r="CS369" s="647"/>
      <c r="CT369" s="647"/>
      <c r="CU369" s="647"/>
      <c r="CV369" s="647"/>
      <c r="CW369" s="647"/>
      <c r="CX369" s="647"/>
      <c r="CY369" s="647"/>
      <c r="CZ369" s="647"/>
      <c r="DA369" s="647"/>
      <c r="DB369" s="647"/>
      <c r="DC369" s="647"/>
      <c r="DD369" s="647"/>
      <c r="DE369" s="647"/>
      <c r="DF369" s="647"/>
      <c r="DG369" s="647"/>
    </row>
    <row r="370" ht="20.25" customHeight="1">
      <c r="A370" s="396" t="s">
        <v>279</v>
      </c>
      <c r="B370" s="41" t="s">
        <v>107</v>
      </c>
      <c r="C370" s="41" t="s">
        <v>1821</v>
      </c>
      <c r="E370" s="641" t="s">
        <v>2073</v>
      </c>
      <c r="F370" s="52" t="s">
        <v>2074</v>
      </c>
      <c r="G370" s="52" t="s">
        <v>1822</v>
      </c>
      <c r="H370" s="140">
        <v>45460.0</v>
      </c>
      <c r="I370" s="409">
        <v>45642.0</v>
      </c>
      <c r="J370" s="52" t="s">
        <v>2099</v>
      </c>
      <c r="K370" s="55"/>
      <c r="L370" s="52" t="s">
        <v>2077</v>
      </c>
      <c r="M370" s="52" t="s">
        <v>2078</v>
      </c>
      <c r="N370" s="355">
        <v>2.0</v>
      </c>
      <c r="O370" s="353" t="str">
        <f t="shared" si="15"/>
        <v>10.1111--j.1540-5885.2010.00778.x.pdf</v>
      </c>
      <c r="P370" s="48" t="str">
        <f t="array" ref="P370">HYPERLINK(INDEX('File Links'!B:B, MATCH(O370, 'File Links'!C:C, 0)))
</f>
        <v>https://drive.google.com/file/d/1NV42SOubbZFwoBVl2IhhGw3jTa6CF1Ns/view?usp=drivesdk</v>
      </c>
      <c r="Q370" s="52" t="s">
        <v>2087</v>
      </c>
      <c r="R370" s="52" t="s">
        <v>2080</v>
      </c>
      <c r="S370" s="55"/>
      <c r="T370" s="646">
        <v>1.0</v>
      </c>
      <c r="U370" s="354" t="str">
        <f t="shared" si="16"/>
        <v>10.1080--02650487.2024.2362015.pdf</v>
      </c>
      <c r="V370" s="52" t="s">
        <v>2088</v>
      </c>
      <c r="W370" s="45" t="str">
        <f t="array" ref="W370">HYPERLINK(INDEX('File Links'!B:B, MATCH(U370, 'File Links'!C:C, 0)))
</f>
        <v>#N/A</v>
      </c>
      <c r="X370" s="55"/>
      <c r="Y370" s="52" t="s">
        <v>2083</v>
      </c>
      <c r="Z370" s="52" t="s">
        <v>2089</v>
      </c>
      <c r="AA370" s="52" t="s">
        <v>2090</v>
      </c>
      <c r="AB370" s="52" t="s">
        <v>2104</v>
      </c>
      <c r="AC370" s="52" t="s">
        <v>2105</v>
      </c>
      <c r="AD370" s="115">
        <v>27.0</v>
      </c>
      <c r="AE370" s="355">
        <v>153.0</v>
      </c>
      <c r="AF370" s="55"/>
      <c r="AG370" s="329"/>
      <c r="AH370" s="55"/>
      <c r="AI370" s="355">
        <v>0.001</v>
      </c>
      <c r="AJ370" s="147" t="s">
        <v>127</v>
      </c>
      <c r="AK370" s="613" t="s">
        <v>165</v>
      </c>
      <c r="AL370" s="613" t="s">
        <v>165</v>
      </c>
      <c r="AM370" s="52" t="s">
        <v>165</v>
      </c>
      <c r="AN370" s="355">
        <v>156.0</v>
      </c>
      <c r="AO370" s="355">
        <v>-0.042</v>
      </c>
      <c r="AP370" s="52" t="s">
        <v>166</v>
      </c>
      <c r="AQ370" s="355">
        <f t="shared" si="19"/>
        <v>-0.04212924684</v>
      </c>
      <c r="AR370" s="55"/>
      <c r="AS370" s="60"/>
      <c r="AT370" s="614" t="s">
        <v>165</v>
      </c>
      <c r="AU370" s="614" t="s">
        <v>165</v>
      </c>
      <c r="AV370" s="147" t="s">
        <v>165</v>
      </c>
      <c r="AW370" s="147" t="s">
        <v>142</v>
      </c>
      <c r="AX370" s="55"/>
      <c r="AZ370" s="647"/>
      <c r="BA370" s="647"/>
      <c r="BB370" s="647"/>
      <c r="BC370" s="647"/>
      <c r="BD370" s="647"/>
      <c r="BE370" s="647"/>
      <c r="BF370" s="647"/>
      <c r="BG370" s="647"/>
      <c r="BH370" s="647"/>
      <c r="BI370" s="647"/>
      <c r="BJ370" s="647"/>
      <c r="BK370" s="647"/>
      <c r="BL370" s="647"/>
      <c r="BM370" s="647"/>
      <c r="BN370" s="647"/>
      <c r="BO370" s="647"/>
      <c r="BP370" s="647"/>
      <c r="BQ370" s="647"/>
      <c r="BR370" s="647"/>
      <c r="BS370" s="647"/>
      <c r="BT370" s="647"/>
      <c r="BU370" s="647"/>
      <c r="BV370" s="647"/>
      <c r="BW370" s="647"/>
      <c r="BX370" s="647"/>
      <c r="BY370" s="647"/>
      <c r="BZ370" s="647"/>
      <c r="CA370" s="647"/>
      <c r="CB370" s="647"/>
      <c r="CC370" s="647"/>
      <c r="CD370" s="647"/>
      <c r="CE370" s="647"/>
      <c r="CF370" s="647"/>
      <c r="CG370" s="647"/>
      <c r="CH370" s="647"/>
      <c r="CI370" s="647"/>
      <c r="CJ370" s="647"/>
      <c r="CK370" s="647"/>
      <c r="CL370" s="647"/>
      <c r="CM370" s="647"/>
      <c r="CN370" s="647"/>
      <c r="CO370" s="647"/>
      <c r="CP370" s="647"/>
      <c r="CQ370" s="647"/>
      <c r="CR370" s="647"/>
      <c r="CS370" s="647"/>
      <c r="CT370" s="647"/>
      <c r="CU370" s="647"/>
      <c r="CV370" s="647"/>
      <c r="CW370" s="647"/>
      <c r="CX370" s="647"/>
      <c r="CY370" s="647"/>
      <c r="CZ370" s="647"/>
      <c r="DA370" s="647"/>
      <c r="DB370" s="647"/>
      <c r="DC370" s="647"/>
      <c r="DD370" s="647"/>
      <c r="DE370" s="647"/>
      <c r="DF370" s="647"/>
      <c r="DG370" s="647"/>
    </row>
    <row r="371" ht="20.25" customHeight="1">
      <c r="A371" s="396" t="s">
        <v>279</v>
      </c>
      <c r="B371" s="41" t="s">
        <v>107</v>
      </c>
      <c r="C371" s="41" t="s">
        <v>1821</v>
      </c>
      <c r="E371" s="641" t="s">
        <v>2073</v>
      </c>
      <c r="F371" s="52" t="s">
        <v>2074</v>
      </c>
      <c r="G371" s="52" t="s">
        <v>1822</v>
      </c>
      <c r="H371" s="140">
        <v>45460.0</v>
      </c>
      <c r="I371" s="409">
        <v>45642.0</v>
      </c>
      <c r="J371" s="52" t="s">
        <v>2086</v>
      </c>
      <c r="K371" s="55"/>
      <c r="L371" s="52" t="s">
        <v>2077</v>
      </c>
      <c r="M371" s="52" t="s">
        <v>2078</v>
      </c>
      <c r="N371" s="355">
        <v>2.0</v>
      </c>
      <c r="O371" s="353" t="str">
        <f t="shared" si="15"/>
        <v>10.1111--j.1540-5885.2010.00778.x.pdf</v>
      </c>
      <c r="P371" s="48" t="str">
        <f t="array" ref="P371">HYPERLINK(INDEX('File Links'!B:B, MATCH(O371, 'File Links'!C:C, 0)))
</f>
        <v>https://drive.google.com/file/d/1NV42SOubbZFwoBVl2IhhGw3jTa6CF1Ns/view?usp=drivesdk</v>
      </c>
      <c r="Q371" s="52" t="s">
        <v>2087</v>
      </c>
      <c r="R371" s="52" t="s">
        <v>2080</v>
      </c>
      <c r="S371" s="55"/>
      <c r="T371" s="646">
        <v>2.0</v>
      </c>
      <c r="U371" s="354" t="str">
        <f t="shared" si="16"/>
        <v>10.1080--02650487.2024.2362015.pdf</v>
      </c>
      <c r="V371" s="52" t="s">
        <v>2088</v>
      </c>
      <c r="W371" s="45" t="str">
        <f t="array" ref="W371">HYPERLINK(INDEX('File Links'!B:B, MATCH(U371, 'File Links'!C:C, 0)))
</f>
        <v>#N/A</v>
      </c>
      <c r="X371" s="55"/>
      <c r="Y371" s="52" t="s">
        <v>2083</v>
      </c>
      <c r="Z371" s="52" t="s">
        <v>2089</v>
      </c>
      <c r="AA371" s="52" t="s">
        <v>2090</v>
      </c>
      <c r="AB371" s="52" t="s">
        <v>2106</v>
      </c>
      <c r="AC371" s="52" t="s">
        <v>2092</v>
      </c>
      <c r="AD371" s="115">
        <v>27.0</v>
      </c>
      <c r="AE371" s="355">
        <v>92.0</v>
      </c>
      <c r="AF371" s="355">
        <v>-3.0</v>
      </c>
      <c r="AG371" s="330" t="s">
        <v>162</v>
      </c>
      <c r="AH371" s="52" t="s">
        <v>1896</v>
      </c>
      <c r="AI371" s="55"/>
      <c r="AJ371" s="60"/>
      <c r="AK371" s="613" t="s">
        <v>165</v>
      </c>
      <c r="AL371" s="613" t="s">
        <v>165</v>
      </c>
      <c r="AM371" s="52" t="s">
        <v>165</v>
      </c>
      <c r="AN371" s="355">
        <v>151.0</v>
      </c>
      <c r="AO371" s="355">
        <v>-0.132</v>
      </c>
      <c r="AP371" s="52" t="s">
        <v>166</v>
      </c>
      <c r="AQ371" s="355">
        <f t="shared" ref="AQ371:AQ373" si="20">(6.12-6.24)/SQRT(((77-1)*0.92^2+(74-1)*0.9^2)/(77+74-2))</f>
        <v>-0.1318310089</v>
      </c>
      <c r="AR371" s="55"/>
      <c r="AS371" s="60"/>
      <c r="AT371" s="614" t="s">
        <v>165</v>
      </c>
      <c r="AU371" s="614" t="s">
        <v>165</v>
      </c>
      <c r="AV371" s="147" t="s">
        <v>165</v>
      </c>
      <c r="AW371" s="147" t="s">
        <v>142</v>
      </c>
      <c r="AX371" s="55"/>
      <c r="BB371" s="95"/>
      <c r="BC371" s="95"/>
      <c r="BD371" s="95"/>
      <c r="BE371" s="95"/>
      <c r="BF371" s="95"/>
      <c r="BG371" s="95"/>
      <c r="BH371" s="95"/>
      <c r="BI371" s="95"/>
      <c r="BJ371" s="95"/>
      <c r="BK371" s="95"/>
      <c r="BL371" s="95"/>
      <c r="BM371" s="95"/>
      <c r="BQ371" s="95"/>
      <c r="BR371" s="95"/>
      <c r="BS371" s="95"/>
      <c r="BT371" s="95"/>
      <c r="BU371" s="95"/>
      <c r="BV371" s="95"/>
      <c r="BW371" s="95"/>
      <c r="BX371" s="95"/>
      <c r="BY371" s="95"/>
      <c r="BZ371" s="95"/>
      <c r="CA371" s="95"/>
      <c r="CB371" s="95"/>
      <c r="CC371" s="95"/>
      <c r="CD371" s="95"/>
      <c r="CE371" s="95"/>
      <c r="CF371" s="95"/>
      <c r="CG371" s="95"/>
      <c r="CH371" s="95"/>
      <c r="CI371" s="95"/>
      <c r="CJ371" s="95"/>
      <c r="CK371" s="95"/>
      <c r="CL371" s="95"/>
      <c r="CM371" s="95"/>
      <c r="CN371" s="95"/>
      <c r="CO371" s="95"/>
      <c r="CP371" s="95"/>
      <c r="CQ371" s="95"/>
      <c r="CR371" s="95"/>
      <c r="CS371" s="95"/>
      <c r="CT371" s="95"/>
      <c r="CU371" s="95"/>
      <c r="CV371" s="95"/>
      <c r="CW371" s="95"/>
      <c r="CX371" s="95"/>
      <c r="CY371" s="95"/>
      <c r="CZ371" s="95"/>
      <c r="DA371" s="95"/>
      <c r="DB371" s="95"/>
      <c r="DC371" s="95"/>
      <c r="DD371" s="95"/>
      <c r="DE371" s="95"/>
      <c r="DF371" s="95"/>
      <c r="DG371" s="95"/>
    </row>
    <row r="372" ht="20.25" customHeight="1">
      <c r="A372" s="396" t="s">
        <v>279</v>
      </c>
      <c r="B372" s="41" t="s">
        <v>107</v>
      </c>
      <c r="C372" s="41" t="s">
        <v>1821</v>
      </c>
      <c r="E372" s="641" t="s">
        <v>2073</v>
      </c>
      <c r="F372" s="52" t="s">
        <v>2074</v>
      </c>
      <c r="G372" s="52" t="s">
        <v>1822</v>
      </c>
      <c r="H372" s="140">
        <v>45460.0</v>
      </c>
      <c r="I372" s="409">
        <v>45642.0</v>
      </c>
      <c r="J372" s="52" t="s">
        <v>2086</v>
      </c>
      <c r="K372" s="55"/>
      <c r="L372" s="52" t="s">
        <v>2077</v>
      </c>
      <c r="M372" s="52" t="s">
        <v>2078</v>
      </c>
      <c r="N372" s="355">
        <v>2.0</v>
      </c>
      <c r="O372" s="353" t="str">
        <f t="shared" si="15"/>
        <v>10.1111--j.1540-5885.2010.00778.x.pdf</v>
      </c>
      <c r="P372" s="48" t="str">
        <f t="array" ref="P372">HYPERLINK(INDEX('File Links'!B:B, MATCH(O372, 'File Links'!C:C, 0)))
</f>
        <v>https://drive.google.com/file/d/1NV42SOubbZFwoBVl2IhhGw3jTa6CF1Ns/view?usp=drivesdk</v>
      </c>
      <c r="Q372" s="52" t="s">
        <v>2087</v>
      </c>
      <c r="R372" s="52" t="s">
        <v>2080</v>
      </c>
      <c r="S372" s="55"/>
      <c r="T372" s="646">
        <v>2.0</v>
      </c>
      <c r="U372" s="354" t="str">
        <f t="shared" si="16"/>
        <v>10.1080--02650487.2024.2362015.pdf</v>
      </c>
      <c r="V372" s="52" t="s">
        <v>2088</v>
      </c>
      <c r="W372" s="45" t="str">
        <f t="array" ref="W372">HYPERLINK(INDEX('File Links'!B:B, MATCH(U372, 'File Links'!C:C, 0)))
</f>
        <v>#N/A</v>
      </c>
      <c r="X372" s="55"/>
      <c r="Y372" s="52" t="s">
        <v>2083</v>
      </c>
      <c r="Z372" s="52" t="s">
        <v>2089</v>
      </c>
      <c r="AA372" s="52" t="s">
        <v>2090</v>
      </c>
      <c r="AB372" s="52" t="s">
        <v>2107</v>
      </c>
      <c r="AC372" s="52" t="s">
        <v>2092</v>
      </c>
      <c r="AD372" s="115">
        <v>27.0</v>
      </c>
      <c r="AE372" s="355">
        <v>158.0</v>
      </c>
      <c r="AF372" s="355">
        <v>-4.5</v>
      </c>
      <c r="AG372" s="330" t="s">
        <v>162</v>
      </c>
      <c r="AH372" s="52" t="s">
        <v>1896</v>
      </c>
      <c r="AI372" s="55"/>
      <c r="AJ372" s="60"/>
      <c r="AK372" s="613" t="s">
        <v>165</v>
      </c>
      <c r="AL372" s="613" t="s">
        <v>165</v>
      </c>
      <c r="AM372" s="52" t="s">
        <v>165</v>
      </c>
      <c r="AN372" s="355">
        <v>151.0</v>
      </c>
      <c r="AO372" s="355">
        <v>-0.132</v>
      </c>
      <c r="AP372" s="52" t="s">
        <v>166</v>
      </c>
      <c r="AQ372" s="355">
        <f t="shared" si="20"/>
        <v>-0.1318310089</v>
      </c>
      <c r="AR372" s="55"/>
      <c r="AS372" s="60"/>
      <c r="AT372" s="614" t="s">
        <v>165</v>
      </c>
      <c r="AU372" s="614" t="s">
        <v>165</v>
      </c>
      <c r="AV372" s="147" t="s">
        <v>165</v>
      </c>
      <c r="AW372" s="147" t="s">
        <v>142</v>
      </c>
      <c r="AX372" s="55"/>
      <c r="BB372" s="25"/>
      <c r="BC372" s="25"/>
      <c r="BG372" s="25"/>
      <c r="BH372" s="25"/>
      <c r="BL372" s="25"/>
      <c r="BO372" s="25"/>
      <c r="BP372" s="25"/>
      <c r="BT372" s="25"/>
      <c r="BV372" s="25"/>
      <c r="BZ372" s="25"/>
      <c r="CA372" s="25"/>
      <c r="CB372" s="25"/>
      <c r="CC372" s="25"/>
      <c r="CD372" s="25"/>
      <c r="CE372" s="25"/>
      <c r="CF372" s="25"/>
      <c r="CG372" s="25"/>
      <c r="CH372" s="25"/>
      <c r="CI372" s="25"/>
      <c r="CJ372" s="25"/>
      <c r="CK372" s="25"/>
      <c r="CL372" s="25"/>
      <c r="CM372" s="25"/>
      <c r="CN372" s="25"/>
      <c r="CO372" s="25"/>
      <c r="CP372" s="25"/>
      <c r="CQ372" s="25"/>
      <c r="CR372" s="25"/>
      <c r="CT372" s="25"/>
      <c r="DG372" s="95"/>
    </row>
    <row r="373" ht="20.25" customHeight="1">
      <c r="A373" s="396" t="s">
        <v>279</v>
      </c>
      <c r="B373" s="41" t="s">
        <v>107</v>
      </c>
      <c r="C373" s="41" t="s">
        <v>1821</v>
      </c>
      <c r="E373" s="641" t="s">
        <v>2073</v>
      </c>
      <c r="F373" s="52" t="s">
        <v>2074</v>
      </c>
      <c r="G373" s="52" t="s">
        <v>1822</v>
      </c>
      <c r="H373" s="140">
        <v>45460.0</v>
      </c>
      <c r="I373" s="409">
        <v>45642.0</v>
      </c>
      <c r="J373" s="52" t="s">
        <v>2086</v>
      </c>
      <c r="K373" s="55"/>
      <c r="L373" s="52" t="s">
        <v>2077</v>
      </c>
      <c r="M373" s="52" t="s">
        <v>2078</v>
      </c>
      <c r="N373" s="355">
        <v>2.0</v>
      </c>
      <c r="O373" s="353" t="str">
        <f t="shared" si="15"/>
        <v>10.1111--j.1540-5885.2010.00778.x.pdf</v>
      </c>
      <c r="P373" s="48" t="str">
        <f t="array" ref="P373">HYPERLINK(INDEX('File Links'!B:B, MATCH(O373, 'File Links'!C:C, 0)))
</f>
        <v>https://drive.google.com/file/d/1NV42SOubbZFwoBVl2IhhGw3jTa6CF1Ns/view?usp=drivesdk</v>
      </c>
      <c r="Q373" s="52" t="s">
        <v>2087</v>
      </c>
      <c r="R373" s="52" t="s">
        <v>2080</v>
      </c>
      <c r="S373" s="55"/>
      <c r="T373" s="646">
        <v>2.0</v>
      </c>
      <c r="U373" s="354" t="str">
        <f t="shared" si="16"/>
        <v>10.1080--02650487.2024.2362015.pdf</v>
      </c>
      <c r="V373" s="52" t="s">
        <v>2088</v>
      </c>
      <c r="W373" s="45" t="str">
        <f t="array" ref="W373">HYPERLINK(INDEX('File Links'!B:B, MATCH(U373, 'File Links'!C:C, 0)))
</f>
        <v>#N/A</v>
      </c>
      <c r="X373" s="55"/>
      <c r="Y373" s="52" t="s">
        <v>2083</v>
      </c>
      <c r="Z373" s="52" t="s">
        <v>2089</v>
      </c>
      <c r="AA373" s="52" t="s">
        <v>2090</v>
      </c>
      <c r="AB373" s="52" t="s">
        <v>2095</v>
      </c>
      <c r="AC373" s="52" t="s">
        <v>2092</v>
      </c>
      <c r="AD373" s="115">
        <v>27.0</v>
      </c>
      <c r="AE373" s="355">
        <v>153.0</v>
      </c>
      <c r="AF373" s="355">
        <v>-2.5</v>
      </c>
      <c r="AG373" s="330" t="s">
        <v>162</v>
      </c>
      <c r="AH373" s="52" t="s">
        <v>1896</v>
      </c>
      <c r="AI373" s="55"/>
      <c r="AJ373" s="60"/>
      <c r="AK373" s="613" t="s">
        <v>165</v>
      </c>
      <c r="AL373" s="613" t="s">
        <v>165</v>
      </c>
      <c r="AM373" s="52" t="s">
        <v>165</v>
      </c>
      <c r="AN373" s="355">
        <v>151.0</v>
      </c>
      <c r="AO373" s="355">
        <v>-0.132</v>
      </c>
      <c r="AP373" s="52" t="s">
        <v>166</v>
      </c>
      <c r="AQ373" s="355">
        <f t="shared" si="20"/>
        <v>-0.1318310089</v>
      </c>
      <c r="AR373" s="55"/>
      <c r="AS373" s="60"/>
      <c r="AT373" s="614" t="s">
        <v>165</v>
      </c>
      <c r="AU373" s="614" t="s">
        <v>165</v>
      </c>
      <c r="AV373" s="147" t="s">
        <v>165</v>
      </c>
      <c r="AW373" s="147" t="s">
        <v>142</v>
      </c>
      <c r="AX373" s="55"/>
      <c r="BB373" s="64"/>
      <c r="BC373" s="64"/>
      <c r="BD373" s="64"/>
      <c r="BE373" s="64"/>
      <c r="BF373" s="64"/>
      <c r="BG373" s="64"/>
      <c r="BH373" s="64"/>
      <c r="BI373" s="64"/>
      <c r="BJ373" s="64"/>
      <c r="BK373" s="64"/>
      <c r="BL373" s="64"/>
      <c r="BM373" s="64"/>
      <c r="BQ373" s="64"/>
      <c r="BR373" s="64"/>
      <c r="BS373" s="64"/>
      <c r="BT373" s="64"/>
      <c r="BU373" s="64"/>
      <c r="BV373" s="64"/>
      <c r="BW373" s="64"/>
      <c r="BX373" s="64"/>
      <c r="BY373" s="64"/>
      <c r="BZ373" s="64"/>
      <c r="CA373" s="64"/>
      <c r="CB373" s="64"/>
      <c r="CC373" s="64"/>
      <c r="CD373" s="64"/>
      <c r="CE373" s="64"/>
      <c r="CF373" s="64"/>
      <c r="CG373" s="64"/>
      <c r="CH373" s="64"/>
      <c r="CI373" s="64"/>
      <c r="CJ373" s="64"/>
      <c r="CK373" s="64"/>
      <c r="CL373" s="64"/>
      <c r="CM373" s="64"/>
      <c r="CN373" s="64"/>
      <c r="CO373" s="64"/>
      <c r="CP373" s="64"/>
      <c r="CQ373" s="64"/>
      <c r="CR373" s="64"/>
      <c r="CS373" s="64"/>
      <c r="CT373" s="64"/>
      <c r="CU373" s="64"/>
      <c r="CV373" s="64"/>
      <c r="CW373" s="64"/>
      <c r="CX373" s="64"/>
      <c r="CY373" s="64"/>
      <c r="CZ373" s="64"/>
      <c r="DA373" s="64"/>
      <c r="DB373" s="64"/>
      <c r="DC373" s="64"/>
      <c r="DD373" s="64"/>
      <c r="DE373" s="64"/>
      <c r="DF373" s="64"/>
      <c r="DG373" s="64"/>
    </row>
    <row r="374" ht="20.25" customHeight="1">
      <c r="A374" s="396" t="s">
        <v>279</v>
      </c>
      <c r="B374" s="41" t="s">
        <v>107</v>
      </c>
      <c r="C374" s="41" t="s">
        <v>1821</v>
      </c>
      <c r="E374" s="641" t="s">
        <v>2073</v>
      </c>
      <c r="F374" s="52" t="s">
        <v>2074</v>
      </c>
      <c r="G374" s="52" t="s">
        <v>1822</v>
      </c>
      <c r="H374" s="140">
        <v>45460.0</v>
      </c>
      <c r="I374" s="409">
        <v>45642.0</v>
      </c>
      <c r="J374" s="52" t="s">
        <v>2086</v>
      </c>
      <c r="K374" s="55"/>
      <c r="L374" s="52" t="s">
        <v>2077</v>
      </c>
      <c r="M374" s="52" t="s">
        <v>2078</v>
      </c>
      <c r="N374" s="355">
        <v>2.0</v>
      </c>
      <c r="O374" s="353" t="str">
        <f t="shared" si="15"/>
        <v>10.1111--j.1540-5885.2010.00778.x.pdf</v>
      </c>
      <c r="P374" s="48" t="str">
        <f t="array" ref="P374">HYPERLINK(INDEX('File Links'!B:B, MATCH(O374, 'File Links'!C:C, 0)))
</f>
        <v>https://drive.google.com/file/d/1NV42SOubbZFwoBVl2IhhGw3jTa6CF1Ns/view?usp=drivesdk</v>
      </c>
      <c r="Q374" s="52" t="s">
        <v>2087</v>
      </c>
      <c r="R374" s="52" t="s">
        <v>2080</v>
      </c>
      <c r="S374" s="55"/>
      <c r="T374" s="646">
        <v>2.0</v>
      </c>
      <c r="U374" s="354" t="str">
        <f t="shared" si="16"/>
        <v>10.1080--02650487.2024.2362015.pdf</v>
      </c>
      <c r="V374" s="52" t="s">
        <v>2088</v>
      </c>
      <c r="W374" s="45" t="str">
        <f t="array" ref="W374">HYPERLINK(INDEX('File Links'!B:B, MATCH(U374, 'File Links'!C:C, 0)))
</f>
        <v>#N/A</v>
      </c>
      <c r="X374" s="55"/>
      <c r="Y374" s="52" t="s">
        <v>2083</v>
      </c>
      <c r="Z374" s="52" t="s">
        <v>2089</v>
      </c>
      <c r="AA374" s="52" t="s">
        <v>2090</v>
      </c>
      <c r="AB374" s="52" t="s">
        <v>2108</v>
      </c>
      <c r="AC374" s="52" t="s">
        <v>2092</v>
      </c>
      <c r="AD374" s="115">
        <v>27.0</v>
      </c>
      <c r="AE374" s="355">
        <v>92.0</v>
      </c>
      <c r="AF374" s="355">
        <v>-3.0</v>
      </c>
      <c r="AG374" s="330" t="s">
        <v>162</v>
      </c>
      <c r="AH374" s="52" t="s">
        <v>1896</v>
      </c>
      <c r="AI374" s="55"/>
      <c r="AJ374" s="60"/>
      <c r="AK374" s="613" t="s">
        <v>165</v>
      </c>
      <c r="AL374" s="613" t="s">
        <v>165</v>
      </c>
      <c r="AM374" s="52" t="s">
        <v>165</v>
      </c>
      <c r="AN374" s="355">
        <v>151.0</v>
      </c>
      <c r="AO374" s="355">
        <v>-0.184</v>
      </c>
      <c r="AP374" s="52" t="s">
        <v>166</v>
      </c>
      <c r="AQ374" s="355">
        <f>(6.12-6.24)/SQRT(((77-1)*0.92^2+(AT4275-1)*0.9^2)/(77+74-2))</f>
        <v>-0.1837940479</v>
      </c>
      <c r="AR374" s="55"/>
      <c r="AS374" s="60"/>
      <c r="AT374" s="614" t="s">
        <v>165</v>
      </c>
      <c r="AU374" s="614" t="s">
        <v>165</v>
      </c>
      <c r="AV374" s="147" t="s">
        <v>165</v>
      </c>
      <c r="AW374" s="147" t="s">
        <v>142</v>
      </c>
      <c r="AX374" s="55"/>
      <c r="BB374" s="632"/>
      <c r="BC374" s="632"/>
      <c r="BD374" s="632"/>
      <c r="BE374" s="632"/>
      <c r="BF374" s="632"/>
      <c r="BG374" s="632"/>
      <c r="BH374" s="632"/>
      <c r="BI374" s="632"/>
      <c r="BJ374" s="632"/>
      <c r="BK374" s="632"/>
      <c r="BL374" s="632"/>
      <c r="BM374" s="632"/>
      <c r="BQ374" s="632"/>
      <c r="BR374" s="632"/>
      <c r="BS374" s="632"/>
      <c r="BT374" s="632"/>
      <c r="BU374" s="632"/>
      <c r="BV374" s="632"/>
      <c r="BW374" s="632"/>
      <c r="BX374" s="632"/>
      <c r="BY374" s="632"/>
      <c r="BZ374" s="632"/>
      <c r="CA374" s="632"/>
      <c r="CB374" s="632"/>
      <c r="CC374" s="632"/>
      <c r="CD374" s="632"/>
      <c r="CE374" s="632"/>
      <c r="CF374" s="632"/>
      <c r="CG374" s="632"/>
      <c r="CH374" s="632"/>
      <c r="CI374" s="632"/>
      <c r="CJ374" s="632"/>
      <c r="CK374" s="632"/>
      <c r="CL374" s="632"/>
      <c r="CM374" s="632"/>
      <c r="CN374" s="632"/>
      <c r="CO374" s="632"/>
      <c r="CP374" s="632"/>
      <c r="CQ374" s="632"/>
      <c r="CR374" s="632"/>
      <c r="CS374" s="632"/>
      <c r="CT374" s="632"/>
      <c r="CU374" s="632"/>
      <c r="CV374" s="632"/>
      <c r="CW374" s="632"/>
      <c r="CX374" s="632"/>
      <c r="CY374" s="632"/>
      <c r="CZ374" s="632"/>
      <c r="DA374" s="632"/>
      <c r="DB374" s="632"/>
      <c r="DC374" s="632"/>
      <c r="DD374" s="632"/>
      <c r="DE374" s="632"/>
      <c r="DF374" s="632"/>
      <c r="DG374" s="632"/>
    </row>
    <row r="375" ht="20.25" customHeight="1">
      <c r="A375" s="396" t="s">
        <v>279</v>
      </c>
      <c r="B375" s="41" t="s">
        <v>107</v>
      </c>
      <c r="C375" s="41" t="s">
        <v>1821</v>
      </c>
      <c r="E375" s="641" t="s">
        <v>2073</v>
      </c>
      <c r="F375" s="52" t="s">
        <v>2074</v>
      </c>
      <c r="G375" s="52" t="s">
        <v>1822</v>
      </c>
      <c r="H375" s="140">
        <v>45460.0</v>
      </c>
      <c r="I375" s="409">
        <v>45642.0</v>
      </c>
      <c r="J375" s="52" t="s">
        <v>2086</v>
      </c>
      <c r="K375" s="55"/>
      <c r="L375" s="52" t="s">
        <v>2077</v>
      </c>
      <c r="M375" s="52" t="s">
        <v>2078</v>
      </c>
      <c r="N375" s="355">
        <v>2.0</v>
      </c>
      <c r="O375" s="353" t="str">
        <f t="shared" si="15"/>
        <v>10.1111--j.1540-5885.2010.00778.x.pdf</v>
      </c>
      <c r="P375" s="48" t="str">
        <f t="array" ref="P375">HYPERLINK(INDEX('File Links'!B:B, MATCH(O375, 'File Links'!C:C, 0)))
</f>
        <v>https://drive.google.com/file/d/1NV42SOubbZFwoBVl2IhhGw3jTa6CF1Ns/view?usp=drivesdk</v>
      </c>
      <c r="Q375" s="52" t="s">
        <v>2087</v>
      </c>
      <c r="R375" s="52" t="s">
        <v>2080</v>
      </c>
      <c r="S375" s="55"/>
      <c r="T375" s="646">
        <v>2.0</v>
      </c>
      <c r="U375" s="354" t="str">
        <f t="shared" si="16"/>
        <v>10.1080--02650487.2024.2362015.pdf</v>
      </c>
      <c r="V375" s="52" t="s">
        <v>2088</v>
      </c>
      <c r="W375" s="45" t="str">
        <f t="array" ref="W375">HYPERLINK(INDEX('File Links'!B:B, MATCH(U375, 'File Links'!C:C, 0)))
</f>
        <v>#N/A</v>
      </c>
      <c r="X375" s="55"/>
      <c r="Y375" s="52" t="s">
        <v>2083</v>
      </c>
      <c r="Z375" s="52" t="s">
        <v>2089</v>
      </c>
      <c r="AA375" s="52" t="s">
        <v>2090</v>
      </c>
      <c r="AB375" s="52" t="s">
        <v>2109</v>
      </c>
      <c r="AC375" s="52" t="s">
        <v>2092</v>
      </c>
      <c r="AD375" s="115">
        <v>27.0</v>
      </c>
      <c r="AE375" s="355">
        <v>158.0</v>
      </c>
      <c r="AF375" s="355">
        <v>-13.5</v>
      </c>
      <c r="AG375" s="330" t="s">
        <v>162</v>
      </c>
      <c r="AH375" s="52" t="s">
        <v>1896</v>
      </c>
      <c r="AI375" s="55"/>
      <c r="AJ375" s="60"/>
      <c r="AK375" s="613" t="s">
        <v>165</v>
      </c>
      <c r="AL375" s="613" t="s">
        <v>165</v>
      </c>
      <c r="AM375" s="52" t="s">
        <v>165</v>
      </c>
      <c r="AN375" s="355">
        <v>151.0</v>
      </c>
      <c r="AO375" s="355">
        <v>-0.184</v>
      </c>
      <c r="AP375" s="52" t="s">
        <v>166</v>
      </c>
      <c r="AQ375" s="355">
        <f>(6.12-6.24)/SQRT(((77-1)*0.92^2+(AT4275-1)*0.9^2)/(77+74-2))</f>
        <v>-0.1837940479</v>
      </c>
      <c r="AR375" s="55"/>
      <c r="AS375" s="60"/>
      <c r="AT375" s="614" t="s">
        <v>165</v>
      </c>
      <c r="AU375" s="614" t="s">
        <v>165</v>
      </c>
      <c r="AV375" s="147" t="s">
        <v>165</v>
      </c>
      <c r="AW375" s="147" t="s">
        <v>142</v>
      </c>
      <c r="AX375" s="55"/>
      <c r="BB375" s="632"/>
      <c r="BC375" s="632"/>
      <c r="BD375" s="632"/>
      <c r="BE375" s="632"/>
      <c r="BF375" s="632"/>
      <c r="BG375" s="632"/>
      <c r="BH375" s="632"/>
      <c r="BI375" s="632"/>
      <c r="BJ375" s="632"/>
      <c r="BK375" s="632"/>
      <c r="BL375" s="632"/>
      <c r="BM375" s="632"/>
      <c r="BQ375" s="632"/>
      <c r="BR375" s="632"/>
      <c r="BS375" s="632"/>
      <c r="BT375" s="632"/>
      <c r="BU375" s="632"/>
      <c r="BV375" s="632"/>
      <c r="BW375" s="632"/>
      <c r="BX375" s="632"/>
      <c r="BY375" s="632"/>
      <c r="BZ375" s="632"/>
      <c r="CA375" s="632"/>
      <c r="CB375" s="632"/>
      <c r="CC375" s="632"/>
      <c r="CD375" s="632"/>
      <c r="CE375" s="632"/>
      <c r="CF375" s="632"/>
      <c r="CG375" s="632"/>
      <c r="CH375" s="632"/>
      <c r="CI375" s="632"/>
      <c r="CJ375" s="632"/>
      <c r="CK375" s="632"/>
      <c r="CL375" s="632"/>
      <c r="CM375" s="632"/>
      <c r="CN375" s="632"/>
      <c r="CO375" s="632"/>
      <c r="CP375" s="632"/>
      <c r="CQ375" s="632"/>
      <c r="CR375" s="632"/>
      <c r="CS375" s="632"/>
      <c r="CT375" s="632"/>
      <c r="CU375" s="632"/>
      <c r="CV375" s="632"/>
      <c r="CW375" s="632"/>
      <c r="CX375" s="632"/>
      <c r="CY375" s="632"/>
      <c r="CZ375" s="632"/>
      <c r="DA375" s="632"/>
      <c r="DB375" s="632"/>
      <c r="DC375" s="632"/>
      <c r="DD375" s="632"/>
      <c r="DE375" s="632"/>
      <c r="DF375" s="632"/>
      <c r="DG375" s="632"/>
    </row>
    <row r="376" ht="20.25" customHeight="1">
      <c r="A376" s="396" t="s">
        <v>279</v>
      </c>
      <c r="B376" s="41" t="s">
        <v>107</v>
      </c>
      <c r="C376" s="41" t="s">
        <v>1821</v>
      </c>
      <c r="E376" s="641" t="s">
        <v>2073</v>
      </c>
      <c r="F376" s="52" t="s">
        <v>2074</v>
      </c>
      <c r="G376" s="52" t="s">
        <v>1822</v>
      </c>
      <c r="H376" s="140">
        <v>45460.0</v>
      </c>
      <c r="I376" s="409">
        <v>45642.0</v>
      </c>
      <c r="J376" s="52" t="s">
        <v>2086</v>
      </c>
      <c r="K376" s="55"/>
      <c r="L376" s="52" t="s">
        <v>2077</v>
      </c>
      <c r="M376" s="52" t="s">
        <v>2078</v>
      </c>
      <c r="N376" s="355">
        <v>2.0</v>
      </c>
      <c r="O376" s="353" t="str">
        <f t="shared" si="15"/>
        <v>10.1111--j.1540-5885.2010.00778.x.pdf</v>
      </c>
      <c r="P376" s="48" t="str">
        <f t="array" ref="P376">HYPERLINK(INDEX('File Links'!B:B, MATCH(O376, 'File Links'!C:C, 0)))
</f>
        <v>https://drive.google.com/file/d/1NV42SOubbZFwoBVl2IhhGw3jTa6CF1Ns/view?usp=drivesdk</v>
      </c>
      <c r="Q376" s="52" t="s">
        <v>2087</v>
      </c>
      <c r="R376" s="52" t="s">
        <v>2080</v>
      </c>
      <c r="S376" s="55"/>
      <c r="T376" s="646">
        <v>2.0</v>
      </c>
      <c r="U376" s="354" t="str">
        <f t="shared" si="16"/>
        <v>10.1080--02650487.2024.2362015.pdf</v>
      </c>
      <c r="V376" s="52" t="s">
        <v>2088</v>
      </c>
      <c r="W376" s="45" t="str">
        <f t="array" ref="W376">HYPERLINK(INDEX('File Links'!B:B, MATCH(U376, 'File Links'!C:C, 0)))
</f>
        <v>#N/A</v>
      </c>
      <c r="X376" s="55"/>
      <c r="Y376" s="52" t="s">
        <v>2083</v>
      </c>
      <c r="Z376" s="52" t="s">
        <v>2089</v>
      </c>
      <c r="AA376" s="52" t="s">
        <v>2090</v>
      </c>
      <c r="AB376" s="52" t="s">
        <v>2110</v>
      </c>
      <c r="AC376" s="52" t="s">
        <v>2092</v>
      </c>
      <c r="AD376" s="115">
        <v>27.0</v>
      </c>
      <c r="AE376" s="355">
        <v>153.0</v>
      </c>
      <c r="AF376" s="355">
        <v>-2.5</v>
      </c>
      <c r="AG376" s="330" t="s">
        <v>162</v>
      </c>
      <c r="AH376" s="52" t="s">
        <v>1896</v>
      </c>
      <c r="AI376" s="55"/>
      <c r="AJ376" s="60"/>
      <c r="AK376" s="613" t="s">
        <v>165</v>
      </c>
      <c r="AL376" s="613" t="s">
        <v>165</v>
      </c>
      <c r="AM376" s="52" t="s">
        <v>165</v>
      </c>
      <c r="AN376" s="355">
        <v>151.0</v>
      </c>
      <c r="AO376" s="355">
        <v>-0.184</v>
      </c>
      <c r="AP376" s="52" t="s">
        <v>166</v>
      </c>
      <c r="AQ376" s="355">
        <f>(6.12-6.24)/SQRT(((77-1)*0.92^2+(AT4275-1)*0.9^2)/(77+74-2))</f>
        <v>-0.1837940479</v>
      </c>
      <c r="AR376" s="55"/>
      <c r="AS376" s="60"/>
      <c r="AT376" s="614" t="s">
        <v>165</v>
      </c>
      <c r="AU376" s="614" t="s">
        <v>165</v>
      </c>
      <c r="AV376" s="147" t="s">
        <v>165</v>
      </c>
      <c r="AW376" s="147" t="s">
        <v>142</v>
      </c>
      <c r="AX376" s="55"/>
      <c r="BB376" s="209"/>
      <c r="BC376" s="209"/>
      <c r="BD376" s="209"/>
      <c r="BE376" s="209"/>
      <c r="BF376" s="209"/>
      <c r="BG376" s="209"/>
      <c r="BH376" s="209"/>
      <c r="BI376" s="209"/>
      <c r="BJ376" s="209"/>
      <c r="BK376" s="209"/>
      <c r="BL376" s="209"/>
      <c r="BM376" s="209"/>
      <c r="BN376" s="209"/>
      <c r="BO376" s="209"/>
      <c r="BP376" s="209"/>
      <c r="BQ376" s="209"/>
      <c r="BR376" s="209"/>
      <c r="BS376" s="209"/>
      <c r="BT376" s="209"/>
      <c r="BU376" s="209"/>
      <c r="BV376" s="209"/>
      <c r="BW376" s="209"/>
      <c r="BX376" s="209"/>
      <c r="BY376" s="209"/>
      <c r="BZ376" s="209"/>
      <c r="CA376" s="209"/>
      <c r="CB376" s="209"/>
      <c r="CC376" s="209"/>
      <c r="CD376" s="209"/>
      <c r="CE376" s="209"/>
      <c r="CF376" s="209"/>
      <c r="CG376" s="209"/>
      <c r="CH376" s="209"/>
      <c r="CI376" s="209"/>
      <c r="CJ376" s="209"/>
      <c r="CK376" s="209"/>
      <c r="CL376" s="209"/>
      <c r="CM376" s="209"/>
      <c r="CN376" s="209"/>
      <c r="CO376" s="209"/>
      <c r="CP376" s="209"/>
      <c r="CQ376" s="209"/>
      <c r="CR376" s="209"/>
      <c r="CS376" s="209"/>
      <c r="CT376" s="209"/>
      <c r="CU376" s="209"/>
      <c r="CV376" s="209"/>
      <c r="CW376" s="209"/>
      <c r="CX376" s="209"/>
      <c r="CY376" s="209"/>
      <c r="CZ376" s="209"/>
      <c r="DA376" s="209"/>
      <c r="DB376" s="209"/>
      <c r="DC376" s="209"/>
      <c r="DD376" s="209"/>
      <c r="DE376" s="209"/>
      <c r="DF376" s="209"/>
      <c r="DG376" s="209"/>
    </row>
    <row r="377" ht="20.25" customHeight="1">
      <c r="A377" s="396" t="s">
        <v>279</v>
      </c>
      <c r="B377" s="41" t="s">
        <v>107</v>
      </c>
      <c r="C377" s="41" t="s">
        <v>1821</v>
      </c>
      <c r="E377" s="641" t="s">
        <v>2073</v>
      </c>
      <c r="F377" s="52" t="s">
        <v>2074</v>
      </c>
      <c r="G377" s="52" t="s">
        <v>1822</v>
      </c>
      <c r="H377" s="140">
        <v>45460.0</v>
      </c>
      <c r="I377" s="409">
        <v>45642.0</v>
      </c>
      <c r="J377" s="52" t="s">
        <v>2099</v>
      </c>
      <c r="K377" s="55"/>
      <c r="L377" s="52" t="s">
        <v>2077</v>
      </c>
      <c r="M377" s="52" t="s">
        <v>2078</v>
      </c>
      <c r="N377" s="355">
        <v>2.0</v>
      </c>
      <c r="O377" s="353" t="str">
        <f t="shared" si="15"/>
        <v>10.1111--j.1540-5885.2010.00778.x.pdf</v>
      </c>
      <c r="P377" s="48" t="str">
        <f t="array" ref="P377">HYPERLINK(INDEX('File Links'!B:B, MATCH(O377, 'File Links'!C:C, 0)))
</f>
        <v>https://drive.google.com/file/d/1NV42SOubbZFwoBVl2IhhGw3jTa6CF1Ns/view?usp=drivesdk</v>
      </c>
      <c r="Q377" s="52" t="s">
        <v>2087</v>
      </c>
      <c r="R377" s="52" t="s">
        <v>2080</v>
      </c>
      <c r="S377" s="55"/>
      <c r="T377" s="646">
        <v>2.0</v>
      </c>
      <c r="U377" s="354" t="str">
        <f t="shared" si="16"/>
        <v>10.1080--02650487.2024.2362015.pdf</v>
      </c>
      <c r="V377" s="52" t="s">
        <v>2088</v>
      </c>
      <c r="W377" s="45" t="str">
        <f t="array" ref="W377">HYPERLINK(INDEX('File Links'!B:B, MATCH(U377, 'File Links'!C:C, 0)))
</f>
        <v>#N/A</v>
      </c>
      <c r="X377" s="55"/>
      <c r="Y377" s="52" t="s">
        <v>2083</v>
      </c>
      <c r="Z377" s="52" t="s">
        <v>2089</v>
      </c>
      <c r="AA377" s="52" t="s">
        <v>2090</v>
      </c>
      <c r="AB377" s="52" t="s">
        <v>2111</v>
      </c>
      <c r="AC377" s="52" t="s">
        <v>2101</v>
      </c>
      <c r="AD377" s="115">
        <v>27.0</v>
      </c>
      <c r="AE377" s="355">
        <v>92.0</v>
      </c>
      <c r="AF377" s="55"/>
      <c r="AG377" s="329"/>
      <c r="AH377" s="55"/>
      <c r="AI377" s="355">
        <v>0.1</v>
      </c>
      <c r="AJ377" s="147" t="s">
        <v>127</v>
      </c>
      <c r="AK377" s="613" t="s">
        <v>165</v>
      </c>
      <c r="AL377" s="613" t="s">
        <v>165</v>
      </c>
      <c r="AM377" s="52" t="s">
        <v>165</v>
      </c>
      <c r="AN377" s="355">
        <v>151.0</v>
      </c>
      <c r="AO377" s="355">
        <v>-0.118</v>
      </c>
      <c r="AP377" s="52" t="s">
        <v>166</v>
      </c>
      <c r="AQ377" s="355">
        <f t="shared" ref="AQ377:AQ379" si="21">(6.13-6.23)/SQRT(((77-1)*0.82^2+(74-1)*0.87^2)/(77+74-2))</f>
        <v>-0.1183619012</v>
      </c>
      <c r="AR377" s="55"/>
      <c r="AS377" s="60"/>
      <c r="AT377" s="614" t="s">
        <v>165</v>
      </c>
      <c r="AU377" s="614" t="s">
        <v>165</v>
      </c>
      <c r="AV377" s="147" t="s">
        <v>165</v>
      </c>
      <c r="AW377" s="147" t="s">
        <v>142</v>
      </c>
      <c r="AX377" s="55"/>
      <c r="BB377" s="209"/>
      <c r="BC377" s="209"/>
      <c r="BD377" s="209"/>
      <c r="BE377" s="209"/>
      <c r="BF377" s="209"/>
      <c r="BG377" s="209"/>
      <c r="BH377" s="209"/>
      <c r="BI377" s="209"/>
      <c r="BJ377" s="209"/>
      <c r="BK377" s="209"/>
      <c r="BL377" s="209"/>
      <c r="BM377" s="209"/>
      <c r="BN377" s="209"/>
      <c r="BO377" s="209"/>
      <c r="BP377" s="209"/>
      <c r="BQ377" s="209"/>
      <c r="BR377" s="209"/>
      <c r="BS377" s="209"/>
      <c r="BT377" s="209"/>
      <c r="BU377" s="209"/>
      <c r="BV377" s="209"/>
      <c r="BW377" s="209"/>
      <c r="BX377" s="209"/>
      <c r="BY377" s="209"/>
      <c r="BZ377" s="209"/>
      <c r="CA377" s="209"/>
      <c r="CB377" s="209"/>
      <c r="CC377" s="209"/>
      <c r="CD377" s="209"/>
      <c r="CE377" s="209"/>
      <c r="CF377" s="209"/>
      <c r="CG377" s="209"/>
      <c r="CH377" s="209"/>
      <c r="CI377" s="209"/>
      <c r="CJ377" s="209"/>
      <c r="CK377" s="209"/>
      <c r="CL377" s="209"/>
      <c r="CM377" s="209"/>
      <c r="CN377" s="209"/>
      <c r="CO377" s="209"/>
      <c r="CP377" s="209"/>
      <c r="CQ377" s="209"/>
      <c r="CR377" s="209"/>
      <c r="CS377" s="209"/>
      <c r="CT377" s="209"/>
      <c r="CU377" s="209"/>
      <c r="CV377" s="209"/>
      <c r="CW377" s="209"/>
      <c r="CX377" s="209"/>
      <c r="CY377" s="209"/>
      <c r="CZ377" s="209"/>
      <c r="DA377" s="209"/>
      <c r="DB377" s="209"/>
      <c r="DC377" s="209"/>
      <c r="DD377" s="209"/>
      <c r="DE377" s="209"/>
      <c r="DF377" s="209"/>
      <c r="DG377" s="209"/>
    </row>
    <row r="378" ht="20.25" customHeight="1">
      <c r="A378" s="396" t="s">
        <v>279</v>
      </c>
      <c r="B378" s="41" t="s">
        <v>107</v>
      </c>
      <c r="C378" s="41" t="s">
        <v>1821</v>
      </c>
      <c r="E378" s="641" t="s">
        <v>2073</v>
      </c>
      <c r="F378" s="52" t="s">
        <v>2074</v>
      </c>
      <c r="G378" s="52" t="s">
        <v>1822</v>
      </c>
      <c r="H378" s="140">
        <v>45460.0</v>
      </c>
      <c r="I378" s="409">
        <v>45642.0</v>
      </c>
      <c r="J378" s="52" t="s">
        <v>2099</v>
      </c>
      <c r="K378" s="55"/>
      <c r="L378" s="52" t="s">
        <v>2077</v>
      </c>
      <c r="M378" s="52" t="s">
        <v>2078</v>
      </c>
      <c r="N378" s="355">
        <v>2.0</v>
      </c>
      <c r="O378" s="353" t="str">
        <f t="shared" si="15"/>
        <v>10.1111--j.1540-5885.2010.00778.x.pdf</v>
      </c>
      <c r="P378" s="48" t="str">
        <f t="array" ref="P378">HYPERLINK(INDEX('File Links'!B:B, MATCH(O378, 'File Links'!C:C, 0)))
</f>
        <v>https://drive.google.com/file/d/1NV42SOubbZFwoBVl2IhhGw3jTa6CF1Ns/view?usp=drivesdk</v>
      </c>
      <c r="Q378" s="52" t="s">
        <v>2087</v>
      </c>
      <c r="R378" s="52" t="s">
        <v>2080</v>
      </c>
      <c r="S378" s="55"/>
      <c r="T378" s="646">
        <v>2.0</v>
      </c>
      <c r="U378" s="354" t="str">
        <f t="shared" si="16"/>
        <v>10.1080--02650487.2024.2362015.pdf</v>
      </c>
      <c r="V378" s="52" t="s">
        <v>2088</v>
      </c>
      <c r="W378" s="45" t="str">
        <f t="array" ref="W378">HYPERLINK(INDEX('File Links'!B:B, MATCH(U378, 'File Links'!C:C, 0)))
</f>
        <v>#N/A</v>
      </c>
      <c r="X378" s="55"/>
      <c r="Y378" s="52" t="s">
        <v>2083</v>
      </c>
      <c r="Z378" s="52" t="s">
        <v>2089</v>
      </c>
      <c r="AA378" s="52" t="s">
        <v>2090</v>
      </c>
      <c r="AB378" s="52" t="s">
        <v>2112</v>
      </c>
      <c r="AC378" s="52" t="s">
        <v>2103</v>
      </c>
      <c r="AD378" s="115">
        <v>27.0</v>
      </c>
      <c r="AE378" s="355">
        <v>158.0</v>
      </c>
      <c r="AF378" s="55"/>
      <c r="AG378" s="329"/>
      <c r="AH378" s="55"/>
      <c r="AI378" s="355">
        <v>0.001</v>
      </c>
      <c r="AJ378" s="147" t="s">
        <v>127</v>
      </c>
      <c r="AK378" s="613" t="s">
        <v>165</v>
      </c>
      <c r="AL378" s="613" t="s">
        <v>165</v>
      </c>
      <c r="AM378" s="52" t="s">
        <v>165</v>
      </c>
      <c r="AN378" s="355">
        <v>151.0</v>
      </c>
      <c r="AO378" s="355">
        <v>-0.118</v>
      </c>
      <c r="AP378" s="52" t="s">
        <v>166</v>
      </c>
      <c r="AQ378" s="355">
        <f t="shared" si="21"/>
        <v>-0.1183619012</v>
      </c>
      <c r="AR378" s="55"/>
      <c r="AS378" s="60"/>
      <c r="AT378" s="614" t="s">
        <v>165</v>
      </c>
      <c r="AU378" s="614" t="s">
        <v>165</v>
      </c>
      <c r="AV378" s="147" t="s">
        <v>165</v>
      </c>
      <c r="AW378" s="147" t="s">
        <v>142</v>
      </c>
      <c r="AX378" s="55"/>
      <c r="BB378" s="209"/>
      <c r="BC378" s="209"/>
      <c r="BD378" s="209"/>
      <c r="BE378" s="209"/>
      <c r="BF378" s="209"/>
      <c r="BG378" s="209"/>
      <c r="BH378" s="209"/>
      <c r="BI378" s="209"/>
      <c r="BJ378" s="209"/>
      <c r="BK378" s="209"/>
      <c r="BL378" s="209"/>
      <c r="BM378" s="209"/>
      <c r="BN378" s="209"/>
      <c r="BO378" s="209"/>
      <c r="BP378" s="209"/>
      <c r="BQ378" s="209"/>
      <c r="BR378" s="209"/>
      <c r="BS378" s="209"/>
      <c r="BT378" s="209"/>
      <c r="BU378" s="209"/>
      <c r="BV378" s="209"/>
      <c r="BW378" s="209"/>
      <c r="BX378" s="209"/>
      <c r="BY378" s="209"/>
      <c r="BZ378" s="209"/>
      <c r="CA378" s="209"/>
      <c r="CB378" s="209"/>
      <c r="CC378" s="209"/>
      <c r="CD378" s="209"/>
      <c r="CE378" s="209"/>
      <c r="CF378" s="209"/>
      <c r="CG378" s="209"/>
      <c r="CH378" s="209"/>
      <c r="CI378" s="209"/>
      <c r="CJ378" s="209"/>
      <c r="CK378" s="209"/>
      <c r="CL378" s="209"/>
      <c r="CM378" s="209"/>
      <c r="CN378" s="209"/>
      <c r="CO378" s="209"/>
      <c r="CP378" s="209"/>
      <c r="CQ378" s="209"/>
      <c r="CR378" s="209"/>
      <c r="CS378" s="209"/>
      <c r="CT378" s="209"/>
      <c r="CU378" s="209"/>
      <c r="CV378" s="209"/>
      <c r="CW378" s="209"/>
      <c r="CX378" s="209"/>
      <c r="CY378" s="209"/>
      <c r="CZ378" s="209"/>
      <c r="DA378" s="209"/>
      <c r="DB378" s="209"/>
      <c r="DC378" s="209"/>
      <c r="DD378" s="209"/>
      <c r="DE378" s="209"/>
      <c r="DF378" s="209"/>
      <c r="DG378" s="209"/>
    </row>
    <row r="379" ht="20.25" customHeight="1">
      <c r="A379" s="396" t="s">
        <v>279</v>
      </c>
      <c r="B379" s="41" t="s">
        <v>107</v>
      </c>
      <c r="C379" s="41" t="s">
        <v>1821</v>
      </c>
      <c r="E379" s="641" t="s">
        <v>2073</v>
      </c>
      <c r="F379" s="52" t="s">
        <v>2074</v>
      </c>
      <c r="G379" s="52" t="s">
        <v>1822</v>
      </c>
      <c r="H379" s="140">
        <v>45460.0</v>
      </c>
      <c r="I379" s="409">
        <v>45642.0</v>
      </c>
      <c r="J379" s="52" t="s">
        <v>2099</v>
      </c>
      <c r="K379" s="55"/>
      <c r="L379" s="52" t="s">
        <v>2077</v>
      </c>
      <c r="M379" s="52" t="s">
        <v>2078</v>
      </c>
      <c r="N379" s="355">
        <v>2.0</v>
      </c>
      <c r="O379" s="353" t="str">
        <f t="shared" si="15"/>
        <v>10.1111--j.1540-5885.2010.00778.x.pdf</v>
      </c>
      <c r="P379" s="48" t="str">
        <f t="array" ref="P379">HYPERLINK(INDEX('File Links'!B:B, MATCH(O379, 'File Links'!C:C, 0)))
</f>
        <v>https://drive.google.com/file/d/1NV42SOubbZFwoBVl2IhhGw3jTa6CF1Ns/view?usp=drivesdk</v>
      </c>
      <c r="Q379" s="52" t="s">
        <v>2087</v>
      </c>
      <c r="R379" s="52" t="s">
        <v>2080</v>
      </c>
      <c r="S379" s="55"/>
      <c r="T379" s="646">
        <v>2.0</v>
      </c>
      <c r="U379" s="354" t="str">
        <f t="shared" si="16"/>
        <v>10.1080--02650487.2024.2362015.pdf</v>
      </c>
      <c r="V379" s="52" t="s">
        <v>2088</v>
      </c>
      <c r="W379" s="45" t="str">
        <f t="array" ref="W379">HYPERLINK(INDEX('File Links'!B:B, MATCH(U379, 'File Links'!C:C, 0)))
</f>
        <v>#N/A</v>
      </c>
      <c r="X379" s="55"/>
      <c r="Y379" s="52" t="s">
        <v>2083</v>
      </c>
      <c r="Z379" s="52" t="s">
        <v>2089</v>
      </c>
      <c r="AA379" s="52" t="s">
        <v>2090</v>
      </c>
      <c r="AB379" s="52" t="s">
        <v>2113</v>
      </c>
      <c r="AC379" s="52" t="s">
        <v>2105</v>
      </c>
      <c r="AD379" s="115">
        <v>27.0</v>
      </c>
      <c r="AE379" s="355">
        <v>153.0</v>
      </c>
      <c r="AF379" s="55"/>
      <c r="AG379" s="329"/>
      <c r="AH379" s="55"/>
      <c r="AI379" s="355">
        <v>0.001</v>
      </c>
      <c r="AJ379" s="147" t="s">
        <v>127</v>
      </c>
      <c r="AK379" s="613" t="s">
        <v>165</v>
      </c>
      <c r="AL379" s="613" t="s">
        <v>165</v>
      </c>
      <c r="AM379" s="52" t="s">
        <v>165</v>
      </c>
      <c r="AN379" s="355">
        <v>151.0</v>
      </c>
      <c r="AO379" s="355">
        <v>-0.118</v>
      </c>
      <c r="AP379" s="52" t="s">
        <v>166</v>
      </c>
      <c r="AQ379" s="355">
        <f t="shared" si="21"/>
        <v>-0.1183619012</v>
      </c>
      <c r="AR379" s="55"/>
      <c r="AS379" s="60"/>
      <c r="AT379" s="614" t="s">
        <v>165</v>
      </c>
      <c r="AU379" s="614" t="s">
        <v>165</v>
      </c>
      <c r="AV379" s="147" t="s">
        <v>165</v>
      </c>
      <c r="AW379" s="147" t="s">
        <v>142</v>
      </c>
      <c r="AX379" s="55"/>
      <c r="BB379" s="209"/>
      <c r="BC379" s="209"/>
      <c r="BD379" s="209"/>
      <c r="BE379" s="209"/>
      <c r="BF379" s="209"/>
      <c r="BG379" s="209"/>
      <c r="BH379" s="209"/>
      <c r="BI379" s="209"/>
      <c r="BJ379" s="209"/>
      <c r="BK379" s="209"/>
      <c r="BL379" s="209"/>
      <c r="BM379" s="209"/>
      <c r="BN379" s="209"/>
      <c r="BO379" s="209"/>
      <c r="BP379" s="209"/>
      <c r="BQ379" s="209"/>
      <c r="BR379" s="209"/>
      <c r="BS379" s="209"/>
      <c r="BT379" s="209"/>
      <c r="BU379" s="209"/>
      <c r="BV379" s="209"/>
      <c r="BW379" s="209"/>
      <c r="BX379" s="209"/>
      <c r="BY379" s="209"/>
      <c r="BZ379" s="209"/>
      <c r="CA379" s="209"/>
      <c r="CB379" s="209"/>
      <c r="CC379" s="209"/>
      <c r="CD379" s="209"/>
      <c r="CE379" s="209"/>
      <c r="CF379" s="209"/>
      <c r="CG379" s="209"/>
      <c r="CH379" s="209"/>
      <c r="CI379" s="209"/>
      <c r="CJ379" s="209"/>
      <c r="CK379" s="209"/>
      <c r="CL379" s="209"/>
      <c r="CM379" s="209"/>
      <c r="CN379" s="209"/>
      <c r="CO379" s="209"/>
      <c r="CP379" s="209"/>
      <c r="CQ379" s="209"/>
      <c r="CR379" s="209"/>
      <c r="CS379" s="209"/>
      <c r="CT379" s="209"/>
      <c r="CU379" s="209"/>
      <c r="CV379" s="209"/>
      <c r="CW379" s="209"/>
      <c r="CX379" s="209"/>
      <c r="CY379" s="209"/>
      <c r="CZ379" s="209"/>
      <c r="DA379" s="209"/>
      <c r="DB379" s="209"/>
      <c r="DC379" s="209"/>
      <c r="DD379" s="209"/>
      <c r="DE379" s="209"/>
      <c r="DF379" s="209"/>
      <c r="DG379" s="209"/>
    </row>
    <row r="380" ht="20.25" customHeight="1">
      <c r="A380" s="441" t="s">
        <v>143</v>
      </c>
      <c r="B380" s="441" t="s">
        <v>107</v>
      </c>
      <c r="C380" s="110" t="s">
        <v>1455</v>
      </c>
      <c r="D380" s="95"/>
      <c r="E380" s="212" t="s">
        <v>2114</v>
      </c>
      <c r="F380" s="112" t="s">
        <v>2115</v>
      </c>
      <c r="G380" s="112" t="s">
        <v>1548</v>
      </c>
      <c r="H380" s="502">
        <v>45640.0</v>
      </c>
      <c r="I380" s="503">
        <v>45671.0</v>
      </c>
      <c r="J380" s="112" t="s">
        <v>2116</v>
      </c>
      <c r="K380" s="202" t="s">
        <v>2117</v>
      </c>
      <c r="L380" s="112" t="s">
        <v>2118</v>
      </c>
      <c r="M380" s="112" t="s">
        <v>2119</v>
      </c>
      <c r="N380" s="128">
        <v>1.0</v>
      </c>
      <c r="O380" s="212" t="str">
        <f>SUBSTITUTE(LOWER(M380), "/", "--") &amp;  ".pdf"</f>
        <v>10.1089--cyber.2015.0311.pdf</v>
      </c>
      <c r="P380" s="48" t="str">
        <f t="array" ref="P380">HYPERLINK(INDEX('File Links'!B:B, MATCH(O380, 'File Links'!C:C, 0)))
</f>
        <v>https://drive.google.com/file/d/1UOcUsx-QUxFrulQIBnkUuR_13YgQP2Vd/view?usp=drivesdk</v>
      </c>
      <c r="Q380" s="112" t="s">
        <v>2120</v>
      </c>
      <c r="R380" s="112" t="s">
        <v>2121</v>
      </c>
      <c r="S380" s="119"/>
      <c r="T380" s="134">
        <v>1.0</v>
      </c>
      <c r="U380" s="112" t="str">
        <f>HYPERLINK(VLOOKUP(LOWER(R380),#REF!, 2, FALSE), SUBSTITUTE(LOWER(R380), "/", "--") &amp;  ".pdf")</f>
        <v>10.1016--j.bbr.2024.115096.pdf</v>
      </c>
      <c r="V380" s="522" t="s">
        <v>1696</v>
      </c>
      <c r="W380" s="45" t="str">
        <f t="array" ref="W380">HYPERLINK(INDEX('File Links'!B:B, MATCH(U380, 'File Links'!C:C, 0)))
</f>
        <v>#N/A</v>
      </c>
      <c r="X380" s="119"/>
      <c r="Y380" s="112" t="s">
        <v>139</v>
      </c>
      <c r="Z380" s="112" t="s">
        <v>2122</v>
      </c>
      <c r="AA380" s="112" t="s">
        <v>2123</v>
      </c>
      <c r="AB380" s="112" t="s">
        <v>2124</v>
      </c>
      <c r="AC380" s="116" t="s">
        <v>2125</v>
      </c>
      <c r="AD380" s="117">
        <v>3.0</v>
      </c>
      <c r="AE380" s="117">
        <v>20.0</v>
      </c>
      <c r="AF380" s="117">
        <v>0.19</v>
      </c>
      <c r="AG380" s="311" t="s">
        <v>130</v>
      </c>
      <c r="AH380" s="128">
        <v>3.0</v>
      </c>
      <c r="AI380" s="117">
        <v>0.05</v>
      </c>
      <c r="AJ380" s="111" t="s">
        <v>164</v>
      </c>
      <c r="AK380" s="119" t="s">
        <v>179</v>
      </c>
      <c r="AL380" s="119" t="s">
        <v>132</v>
      </c>
      <c r="AM380" s="128" t="s">
        <v>165</v>
      </c>
      <c r="AN380" s="117">
        <v>27.0</v>
      </c>
      <c r="AO380" s="119" t="s">
        <v>2126</v>
      </c>
      <c r="AP380" s="112" t="s">
        <v>162</v>
      </c>
      <c r="AQ380" s="112" t="s">
        <v>894</v>
      </c>
      <c r="AR380" s="117">
        <v>0.999</v>
      </c>
      <c r="AS380" s="111" t="s">
        <v>329</v>
      </c>
      <c r="AT380" s="111" t="s">
        <v>179</v>
      </c>
      <c r="AU380" s="111" t="s">
        <v>132</v>
      </c>
      <c r="AV380" s="128" t="s">
        <v>165</v>
      </c>
      <c r="AW380" s="648" t="s">
        <v>434</v>
      </c>
      <c r="AX380" s="115" t="s">
        <v>2127</v>
      </c>
      <c r="AY380" s="110" t="s">
        <v>135</v>
      </c>
      <c r="BB380" s="209"/>
      <c r="BC380" s="209"/>
      <c r="BD380" s="209"/>
      <c r="BE380" s="209"/>
      <c r="BF380" s="209"/>
      <c r="BG380" s="209"/>
      <c r="BH380" s="209"/>
      <c r="BI380" s="209"/>
      <c r="BJ380" s="209"/>
      <c r="BK380" s="209"/>
      <c r="BL380" s="209"/>
      <c r="BM380" s="209"/>
      <c r="BN380" s="209"/>
      <c r="BO380" s="209"/>
      <c r="BP380" s="209"/>
      <c r="BQ380" s="209"/>
      <c r="BR380" s="209"/>
      <c r="BS380" s="209"/>
      <c r="BT380" s="209"/>
      <c r="BU380" s="209"/>
      <c r="BV380" s="209"/>
      <c r="BW380" s="209"/>
      <c r="BX380" s="209"/>
      <c r="BY380" s="209"/>
      <c r="BZ380" s="209"/>
      <c r="CA380" s="209"/>
      <c r="CB380" s="209"/>
      <c r="CC380" s="209"/>
      <c r="CD380" s="209"/>
      <c r="CE380" s="209"/>
      <c r="CF380" s="209"/>
      <c r="CG380" s="209"/>
      <c r="CH380" s="209"/>
      <c r="CI380" s="209"/>
      <c r="CJ380" s="209"/>
      <c r="CK380" s="209"/>
      <c r="CL380" s="209"/>
      <c r="CM380" s="209"/>
      <c r="CN380" s="209"/>
      <c r="CO380" s="209"/>
      <c r="CP380" s="209"/>
      <c r="CQ380" s="209"/>
      <c r="CR380" s="209"/>
      <c r="CS380" s="209"/>
      <c r="CT380" s="209"/>
      <c r="CU380" s="209"/>
      <c r="CV380" s="209"/>
      <c r="CW380" s="209"/>
      <c r="CX380" s="209"/>
      <c r="CY380" s="209"/>
      <c r="CZ380" s="209"/>
      <c r="DA380" s="209"/>
      <c r="DB380" s="209"/>
      <c r="DC380" s="209"/>
      <c r="DD380" s="209"/>
      <c r="DE380" s="209"/>
      <c r="DF380" s="209"/>
      <c r="DG380" s="209"/>
    </row>
    <row r="381" ht="20.25" customHeight="1">
      <c r="A381" s="136" t="s">
        <v>106</v>
      </c>
      <c r="B381" s="136" t="s">
        <v>107</v>
      </c>
      <c r="C381" s="136" t="s">
        <v>1821</v>
      </c>
      <c r="D381" s="64"/>
      <c r="E381" s="108" t="s">
        <v>2114</v>
      </c>
      <c r="F381" s="99" t="s">
        <v>2115</v>
      </c>
      <c r="G381" s="99" t="s">
        <v>1822</v>
      </c>
      <c r="H381" s="100">
        <v>45642.0</v>
      </c>
      <c r="I381" s="503">
        <v>45671.0</v>
      </c>
      <c r="J381" s="101"/>
      <c r="K381" s="202" t="s">
        <v>2128</v>
      </c>
      <c r="L381" s="99" t="s">
        <v>2118</v>
      </c>
      <c r="M381" s="99" t="s">
        <v>2119</v>
      </c>
      <c r="N381" s="101"/>
      <c r="O381" s="107" t="str">
        <f t="shared" ref="O381:O384" si="22"> SUBSTITUTE(lower(M381), "/", "--") &amp;  ".pdf"</f>
        <v>10.1089--cyber.2015.0311.pdf</v>
      </c>
      <c r="P381" s="48" t="str">
        <f t="array" ref="P381">HYPERLINK(INDEX('File Links'!B:B, MATCH(O381, 'File Links'!C:C, 0)))
</f>
        <v>https://drive.google.com/file/d/1UOcUsx-QUxFrulQIBnkUuR_13YgQP2Vd/view?usp=drivesdk</v>
      </c>
      <c r="Q381" s="99" t="s">
        <v>2120</v>
      </c>
      <c r="R381" s="99" t="s">
        <v>2121</v>
      </c>
      <c r="S381" s="101"/>
      <c r="T381" s="106"/>
      <c r="U381" s="99" t="str">
        <f t="shared" ref="U381:U384" si="23"> hyperlink(vlookup(lower(R381),#REF!, 2, FALSE), SUBSTITUTE(lower(R381), "/", "--") &amp;  ".pdf")</f>
        <v>10.1016--j.bbr.2024.115096.pdf</v>
      </c>
      <c r="V381" s="99" t="s">
        <v>2129</v>
      </c>
      <c r="W381" s="45" t="str">
        <f t="array" ref="W381">HYPERLINK(INDEX('File Links'!B:B, MATCH(U381, 'File Links'!C:C, 0)))
</f>
        <v>#N/A</v>
      </c>
      <c r="X381" s="101"/>
      <c r="Y381" s="99" t="s">
        <v>849</v>
      </c>
      <c r="Z381" s="99" t="s">
        <v>1781</v>
      </c>
      <c r="AA381" s="99" t="s">
        <v>2130</v>
      </c>
      <c r="AB381" s="99" t="s">
        <v>2131</v>
      </c>
      <c r="AC381" s="101"/>
      <c r="AD381" s="101"/>
      <c r="AE381" s="104">
        <v>23.0</v>
      </c>
      <c r="AF381" s="104">
        <v>4.32</v>
      </c>
      <c r="AG381" s="107" t="s">
        <v>1051</v>
      </c>
      <c r="AH381" s="99" t="s">
        <v>505</v>
      </c>
      <c r="AI381" s="104">
        <v>0.05</v>
      </c>
      <c r="AJ381" s="108" t="s">
        <v>164</v>
      </c>
      <c r="AK381" s="649" t="s">
        <v>165</v>
      </c>
      <c r="AL381" s="649" t="s">
        <v>165</v>
      </c>
      <c r="AM381" s="99" t="s">
        <v>165</v>
      </c>
      <c r="AN381" s="104">
        <v>27.0</v>
      </c>
      <c r="AO381" s="650" t="s">
        <v>2132</v>
      </c>
      <c r="AP381" s="99" t="s">
        <v>162</v>
      </c>
      <c r="AQ381" s="99" t="s">
        <v>894</v>
      </c>
      <c r="AR381" s="104">
        <v>0.999</v>
      </c>
      <c r="AS381" s="108" t="s">
        <v>2133</v>
      </c>
      <c r="AT381" s="651" t="s">
        <v>165</v>
      </c>
      <c r="AU381" s="651" t="s">
        <v>165</v>
      </c>
      <c r="AV381" s="108" t="s">
        <v>165</v>
      </c>
      <c r="AW381" s="108" t="s">
        <v>434</v>
      </c>
      <c r="AX381" s="115" t="s">
        <v>2128</v>
      </c>
      <c r="AY381" s="110" t="s">
        <v>135</v>
      </c>
      <c r="AZ381" s="95"/>
      <c r="BA381" s="95"/>
      <c r="BB381" s="95"/>
      <c r="BC381" s="95"/>
      <c r="BD381" s="95"/>
      <c r="BE381" s="95"/>
      <c r="BF381" s="95"/>
      <c r="BG381" s="95"/>
      <c r="BH381" s="95"/>
      <c r="BI381" s="95"/>
      <c r="BJ381" s="95"/>
      <c r="BK381" s="95"/>
      <c r="BL381" s="95"/>
      <c r="BM381" s="95"/>
      <c r="BN381" s="95"/>
      <c r="BO381" s="95"/>
      <c r="BP381" s="95"/>
      <c r="BQ381" s="95"/>
      <c r="BR381" s="95"/>
      <c r="BS381" s="95"/>
      <c r="BT381" s="95"/>
      <c r="BU381" s="95"/>
      <c r="BV381" s="95"/>
      <c r="BW381" s="95"/>
      <c r="BX381" s="95"/>
      <c r="BY381" s="95"/>
      <c r="BZ381" s="95"/>
      <c r="CA381" s="95"/>
      <c r="CB381" s="95"/>
      <c r="CC381" s="95"/>
      <c r="CD381" s="95"/>
      <c r="CE381" s="95"/>
      <c r="CF381" s="95"/>
      <c r="CG381" s="95"/>
      <c r="CH381" s="95"/>
      <c r="CI381" s="95"/>
      <c r="CJ381" s="95"/>
      <c r="CK381" s="95"/>
      <c r="CL381" s="95"/>
      <c r="CM381" s="95"/>
      <c r="CN381" s="95"/>
      <c r="CO381" s="95"/>
      <c r="CP381" s="95"/>
      <c r="CQ381" s="95"/>
      <c r="CR381" s="95"/>
      <c r="CS381" s="95"/>
      <c r="CT381" s="95"/>
      <c r="CU381" s="95"/>
      <c r="CV381" s="95"/>
      <c r="CW381" s="95"/>
      <c r="CX381" s="95"/>
      <c r="CY381" s="95"/>
      <c r="CZ381" s="95"/>
      <c r="DA381" s="95"/>
      <c r="DB381" s="95"/>
      <c r="DC381" s="95"/>
      <c r="DD381" s="95"/>
      <c r="DE381" s="95"/>
      <c r="DF381" s="95"/>
      <c r="DG381" s="95"/>
    </row>
    <row r="382" ht="20.25" customHeight="1">
      <c r="A382" s="136" t="s">
        <v>106</v>
      </c>
      <c r="B382" s="136" t="s">
        <v>107</v>
      </c>
      <c r="C382" s="136" t="s">
        <v>1821</v>
      </c>
      <c r="D382" s="64"/>
      <c r="E382" s="108" t="s">
        <v>2114</v>
      </c>
      <c r="F382" s="99" t="s">
        <v>2115</v>
      </c>
      <c r="G382" s="99" t="s">
        <v>1822</v>
      </c>
      <c r="H382" s="100">
        <v>45642.0</v>
      </c>
      <c r="I382" s="503">
        <v>45671.0</v>
      </c>
      <c r="J382" s="101"/>
      <c r="K382" s="101"/>
      <c r="L382" s="99" t="s">
        <v>2118</v>
      </c>
      <c r="M382" s="99" t="s">
        <v>2119</v>
      </c>
      <c r="N382" s="101"/>
      <c r="O382" s="107" t="str">
        <f t="shared" si="22"/>
        <v>10.1089--cyber.2015.0311.pdf</v>
      </c>
      <c r="P382" s="48" t="str">
        <f t="array" ref="P382">HYPERLINK(INDEX('File Links'!B:B, MATCH(O382, 'File Links'!C:C, 0)))
</f>
        <v>https://drive.google.com/file/d/1UOcUsx-QUxFrulQIBnkUuR_13YgQP2Vd/view?usp=drivesdk</v>
      </c>
      <c r="Q382" s="99" t="s">
        <v>2120</v>
      </c>
      <c r="R382" s="99" t="s">
        <v>2121</v>
      </c>
      <c r="S382" s="101"/>
      <c r="T382" s="106"/>
      <c r="U382" s="99" t="str">
        <f t="shared" si="23"/>
        <v>10.1016--j.bbr.2024.115096.pdf</v>
      </c>
      <c r="V382" s="99" t="s">
        <v>2129</v>
      </c>
      <c r="W382" s="45" t="str">
        <f t="array" ref="W382">HYPERLINK(INDEX('File Links'!B:B, MATCH(U382, 'File Links'!C:C, 0)))
</f>
        <v>#N/A</v>
      </c>
      <c r="X382" s="101"/>
      <c r="Y382" s="99" t="s">
        <v>849</v>
      </c>
      <c r="Z382" s="99" t="s">
        <v>1781</v>
      </c>
      <c r="AA382" s="99" t="s">
        <v>2130</v>
      </c>
      <c r="AB382" s="99" t="s">
        <v>2131</v>
      </c>
      <c r="AC382" s="101"/>
      <c r="AD382" s="101"/>
      <c r="AE382" s="104">
        <v>23.0</v>
      </c>
      <c r="AF382" s="104">
        <v>12.9</v>
      </c>
      <c r="AG382" s="107" t="s">
        <v>1051</v>
      </c>
      <c r="AH382" s="99" t="s">
        <v>505</v>
      </c>
      <c r="AI382" s="104">
        <v>0.002</v>
      </c>
      <c r="AJ382" s="108" t="s">
        <v>164</v>
      </c>
      <c r="AK382" s="649" t="s">
        <v>165</v>
      </c>
      <c r="AL382" s="649" t="s">
        <v>165</v>
      </c>
      <c r="AM382" s="99" t="s">
        <v>165</v>
      </c>
      <c r="AN382" s="104">
        <v>27.0</v>
      </c>
      <c r="AO382" s="104">
        <v>0.58</v>
      </c>
      <c r="AP382" s="99" t="s">
        <v>208</v>
      </c>
      <c r="AQ382" s="99" t="s">
        <v>894</v>
      </c>
      <c r="AR382" s="104">
        <v>0.47</v>
      </c>
      <c r="AS382" s="108" t="s">
        <v>164</v>
      </c>
      <c r="AT382" s="651" t="s">
        <v>165</v>
      </c>
      <c r="AU382" s="651" t="s">
        <v>165</v>
      </c>
      <c r="AV382" s="108" t="s">
        <v>165</v>
      </c>
      <c r="AW382" s="108" t="s">
        <v>434</v>
      </c>
      <c r="AX382" s="55"/>
      <c r="AY382" s="110" t="s">
        <v>135</v>
      </c>
      <c r="AZ382" s="217"/>
      <c r="BA382" s="217"/>
      <c r="BB382" s="217"/>
      <c r="BC382" s="217"/>
      <c r="BD382" s="217"/>
      <c r="BE382" s="217"/>
      <c r="BF382" s="217"/>
      <c r="BG382" s="217"/>
      <c r="BH382" s="217"/>
      <c r="BI382" s="217"/>
      <c r="BJ382" s="217"/>
      <c r="BK382" s="217"/>
      <c r="BL382" s="217"/>
      <c r="BM382" s="217"/>
      <c r="BN382" s="217"/>
      <c r="BO382" s="217"/>
      <c r="BP382" s="217"/>
      <c r="BQ382" s="217"/>
      <c r="BR382" s="217"/>
      <c r="BS382" s="217"/>
      <c r="BT382" s="217"/>
      <c r="BU382" s="217"/>
      <c r="BV382" s="217"/>
      <c r="BW382" s="217"/>
      <c r="BX382" s="217"/>
      <c r="BY382" s="217"/>
      <c r="BZ382" s="217"/>
      <c r="CA382" s="217"/>
      <c r="CB382" s="217"/>
      <c r="CC382" s="217"/>
      <c r="CD382" s="217"/>
      <c r="CE382" s="217"/>
      <c r="CF382" s="217"/>
      <c r="CG382" s="217"/>
      <c r="CH382" s="217"/>
      <c r="CI382" s="217"/>
      <c r="CJ382" s="217"/>
      <c r="CK382" s="217"/>
      <c r="CL382" s="217"/>
      <c r="CM382" s="217"/>
      <c r="CN382" s="217"/>
      <c r="CO382" s="217"/>
      <c r="CP382" s="217"/>
      <c r="CQ382" s="217"/>
      <c r="CR382" s="217"/>
      <c r="CS382" s="217"/>
      <c r="CT382" s="217"/>
      <c r="CU382" s="217"/>
      <c r="CV382" s="217"/>
      <c r="CW382" s="217"/>
      <c r="CX382" s="217"/>
      <c r="CY382" s="217"/>
      <c r="CZ382" s="217"/>
      <c r="DA382" s="217"/>
      <c r="DB382" s="217"/>
      <c r="DC382" s="217"/>
      <c r="DD382" s="217"/>
      <c r="DE382" s="217"/>
      <c r="DF382" s="217"/>
      <c r="DG382" s="217"/>
    </row>
    <row r="383" ht="20.25" customHeight="1">
      <c r="A383" s="136" t="s">
        <v>106</v>
      </c>
      <c r="B383" s="136" t="s">
        <v>107</v>
      </c>
      <c r="C383" s="136" t="s">
        <v>1821</v>
      </c>
      <c r="D383" s="64"/>
      <c r="E383" s="108" t="s">
        <v>2114</v>
      </c>
      <c r="F383" s="99" t="s">
        <v>2115</v>
      </c>
      <c r="G383" s="99" t="s">
        <v>1822</v>
      </c>
      <c r="H383" s="100">
        <v>45642.0</v>
      </c>
      <c r="I383" s="503">
        <v>45671.0</v>
      </c>
      <c r="J383" s="101"/>
      <c r="K383" s="101"/>
      <c r="L383" s="99" t="s">
        <v>2118</v>
      </c>
      <c r="M383" s="99" t="s">
        <v>2119</v>
      </c>
      <c r="N383" s="101"/>
      <c r="O383" s="107" t="str">
        <f t="shared" si="22"/>
        <v>10.1089--cyber.2015.0311.pdf</v>
      </c>
      <c r="P383" s="48" t="str">
        <f t="array" ref="P383">HYPERLINK(INDEX('File Links'!B:B, MATCH(O383, 'File Links'!C:C, 0)))
</f>
        <v>https://drive.google.com/file/d/1UOcUsx-QUxFrulQIBnkUuR_13YgQP2Vd/view?usp=drivesdk</v>
      </c>
      <c r="Q383" s="99" t="s">
        <v>2120</v>
      </c>
      <c r="R383" s="99" t="s">
        <v>2121</v>
      </c>
      <c r="S383" s="101"/>
      <c r="T383" s="106"/>
      <c r="U383" s="99" t="str">
        <f t="shared" si="23"/>
        <v>10.1016--j.bbr.2024.115096.pdf</v>
      </c>
      <c r="V383" s="99" t="s">
        <v>2129</v>
      </c>
      <c r="W383" s="45" t="str">
        <f t="array" ref="W383">HYPERLINK(INDEX('File Links'!B:B, MATCH(U383, 'File Links'!C:C, 0)))
</f>
        <v>#N/A</v>
      </c>
      <c r="X383" s="101"/>
      <c r="Y383" s="99" t="s">
        <v>849</v>
      </c>
      <c r="Z383" s="99" t="s">
        <v>1781</v>
      </c>
      <c r="AA383" s="99" t="s">
        <v>2130</v>
      </c>
      <c r="AB383" s="99" t="s">
        <v>2131</v>
      </c>
      <c r="AC383" s="101"/>
      <c r="AD383" s="101"/>
      <c r="AE383" s="104">
        <v>23.0</v>
      </c>
      <c r="AF383" s="104">
        <v>3.692</v>
      </c>
      <c r="AG383" s="107" t="s">
        <v>1051</v>
      </c>
      <c r="AH383" s="99" t="s">
        <v>505</v>
      </c>
      <c r="AI383" s="104">
        <v>0.002</v>
      </c>
      <c r="AJ383" s="108" t="s">
        <v>164</v>
      </c>
      <c r="AK383" s="649" t="s">
        <v>165</v>
      </c>
      <c r="AL383" s="649" t="s">
        <v>165</v>
      </c>
      <c r="AM383" s="99" t="s">
        <v>165</v>
      </c>
      <c r="AN383" s="104">
        <v>27.0</v>
      </c>
      <c r="AO383" s="104">
        <v>7.05</v>
      </c>
      <c r="AP383" s="99" t="s">
        <v>1051</v>
      </c>
      <c r="AQ383" s="99" t="s">
        <v>894</v>
      </c>
      <c r="AR383" s="104">
        <v>0.001</v>
      </c>
      <c r="AS383" s="108" t="s">
        <v>2134</v>
      </c>
      <c r="AT383" s="651" t="s">
        <v>165</v>
      </c>
      <c r="AU383" s="651" t="s">
        <v>165</v>
      </c>
      <c r="AV383" s="108" t="s">
        <v>165</v>
      </c>
      <c r="AW383" s="108" t="s">
        <v>434</v>
      </c>
      <c r="AX383" s="55"/>
      <c r="AY383" s="110" t="s">
        <v>135</v>
      </c>
      <c r="AZ383" s="217"/>
      <c r="BA383" s="217"/>
      <c r="BB383" s="217"/>
      <c r="BC383" s="217"/>
      <c r="BD383" s="217"/>
      <c r="BE383" s="217"/>
      <c r="BF383" s="217"/>
      <c r="BG383" s="217"/>
      <c r="BH383" s="217"/>
      <c r="BI383" s="217"/>
      <c r="BJ383" s="217"/>
      <c r="BK383" s="217"/>
      <c r="BL383" s="217"/>
      <c r="BM383" s="217"/>
      <c r="BN383" s="217"/>
      <c r="BO383" s="217"/>
      <c r="BP383" s="217"/>
      <c r="BQ383" s="217"/>
      <c r="BR383" s="217"/>
      <c r="BS383" s="217"/>
      <c r="BT383" s="217"/>
      <c r="BU383" s="217"/>
      <c r="BV383" s="217"/>
      <c r="BW383" s="217"/>
      <c r="BX383" s="217"/>
      <c r="BY383" s="217"/>
      <c r="BZ383" s="217"/>
      <c r="CA383" s="217"/>
      <c r="CB383" s="217"/>
      <c r="CC383" s="217"/>
      <c r="CD383" s="217"/>
      <c r="CE383" s="217"/>
      <c r="CF383" s="217"/>
      <c r="CG383" s="217"/>
      <c r="CH383" s="217"/>
      <c r="CI383" s="217"/>
      <c r="CJ383" s="217"/>
      <c r="CK383" s="217"/>
      <c r="CL383" s="217"/>
      <c r="CM383" s="217"/>
      <c r="CN383" s="217"/>
      <c r="CO383" s="217"/>
      <c r="CP383" s="217"/>
      <c r="CQ383" s="217"/>
      <c r="CR383" s="217"/>
      <c r="CS383" s="217"/>
      <c r="CT383" s="217"/>
      <c r="CU383" s="217"/>
      <c r="CV383" s="217"/>
      <c r="CW383" s="217"/>
      <c r="CX383" s="217"/>
      <c r="CY383" s="217"/>
      <c r="CZ383" s="217"/>
      <c r="DA383" s="217"/>
      <c r="DB383" s="217"/>
      <c r="DC383" s="217"/>
      <c r="DD383" s="217"/>
      <c r="DE383" s="217"/>
      <c r="DF383" s="217"/>
      <c r="DG383" s="217"/>
    </row>
    <row r="384" ht="20.25" customHeight="1">
      <c r="A384" s="136" t="s">
        <v>106</v>
      </c>
      <c r="B384" s="136" t="s">
        <v>107</v>
      </c>
      <c r="C384" s="136" t="s">
        <v>1821</v>
      </c>
      <c r="D384" s="64"/>
      <c r="E384" s="108" t="s">
        <v>2114</v>
      </c>
      <c r="F384" s="99" t="s">
        <v>2115</v>
      </c>
      <c r="G384" s="99" t="s">
        <v>1822</v>
      </c>
      <c r="H384" s="100">
        <v>45642.0</v>
      </c>
      <c r="I384" s="503">
        <v>45671.0</v>
      </c>
      <c r="J384" s="101"/>
      <c r="K384" s="101"/>
      <c r="L384" s="99" t="s">
        <v>2118</v>
      </c>
      <c r="M384" s="99" t="s">
        <v>2119</v>
      </c>
      <c r="N384" s="101"/>
      <c r="O384" s="107" t="str">
        <f t="shared" si="22"/>
        <v>10.1089--cyber.2015.0311.pdf</v>
      </c>
      <c r="P384" s="48" t="str">
        <f t="array" ref="P384">HYPERLINK(INDEX('File Links'!B:B, MATCH(O384, 'File Links'!C:C, 0)))
</f>
        <v>https://drive.google.com/file/d/1UOcUsx-QUxFrulQIBnkUuR_13YgQP2Vd/view?usp=drivesdk</v>
      </c>
      <c r="Q384" s="99" t="s">
        <v>2120</v>
      </c>
      <c r="R384" s="99" t="s">
        <v>2121</v>
      </c>
      <c r="S384" s="101"/>
      <c r="T384" s="106"/>
      <c r="U384" s="99" t="str">
        <f t="shared" si="23"/>
        <v>10.1016--j.bbr.2024.115096.pdf</v>
      </c>
      <c r="V384" s="99" t="s">
        <v>2129</v>
      </c>
      <c r="W384" s="45" t="str">
        <f t="array" ref="W384">HYPERLINK(INDEX('File Links'!B:B, MATCH(U384, 'File Links'!C:C, 0)))
</f>
        <v>#N/A</v>
      </c>
      <c r="X384" s="101"/>
      <c r="Y384" s="99" t="s">
        <v>849</v>
      </c>
      <c r="Z384" s="99" t="s">
        <v>1781</v>
      </c>
      <c r="AA384" s="99" t="s">
        <v>2130</v>
      </c>
      <c r="AB384" s="99" t="s">
        <v>2131</v>
      </c>
      <c r="AC384" s="101"/>
      <c r="AD384" s="101"/>
      <c r="AE384" s="104">
        <v>23.0</v>
      </c>
      <c r="AF384" s="104">
        <v>0.428</v>
      </c>
      <c r="AG384" s="107" t="s">
        <v>208</v>
      </c>
      <c r="AH384" s="99" t="s">
        <v>494</v>
      </c>
      <c r="AI384" s="104">
        <v>0.03</v>
      </c>
      <c r="AJ384" s="108" t="s">
        <v>164</v>
      </c>
      <c r="AK384" s="649" t="s">
        <v>165</v>
      </c>
      <c r="AL384" s="649" t="s">
        <v>165</v>
      </c>
      <c r="AM384" s="99" t="s">
        <v>165</v>
      </c>
      <c r="AN384" s="104">
        <v>27.0</v>
      </c>
      <c r="AO384" s="104">
        <v>-0.19</v>
      </c>
      <c r="AP384" s="99" t="s">
        <v>208</v>
      </c>
      <c r="AQ384" s="99" t="s">
        <v>894</v>
      </c>
      <c r="AR384" s="99" t="s">
        <v>2135</v>
      </c>
      <c r="AS384" s="108" t="s">
        <v>165</v>
      </c>
      <c r="AT384" s="651" t="s">
        <v>165</v>
      </c>
      <c r="AU384" s="651" t="s">
        <v>165</v>
      </c>
      <c r="AV384" s="108" t="s">
        <v>165</v>
      </c>
      <c r="AW384" s="108" t="s">
        <v>434</v>
      </c>
      <c r="AX384" s="55"/>
      <c r="AY384" s="110" t="s">
        <v>135</v>
      </c>
      <c r="AZ384" s="217"/>
      <c r="BA384" s="217"/>
      <c r="BB384" s="217"/>
      <c r="BC384" s="217"/>
      <c r="BD384" s="217"/>
      <c r="BE384" s="217"/>
      <c r="BF384" s="217"/>
      <c r="BG384" s="217"/>
      <c r="BH384" s="217"/>
      <c r="BI384" s="217"/>
      <c r="BJ384" s="217"/>
      <c r="BK384" s="217"/>
      <c r="BL384" s="217"/>
      <c r="BM384" s="217"/>
      <c r="BN384" s="217"/>
      <c r="BO384" s="217"/>
      <c r="BP384" s="217"/>
      <c r="BQ384" s="217"/>
      <c r="BR384" s="217"/>
      <c r="BS384" s="217"/>
      <c r="BT384" s="217"/>
      <c r="BU384" s="217"/>
      <c r="BV384" s="217"/>
      <c r="BW384" s="217"/>
      <c r="BX384" s="217"/>
      <c r="BY384" s="217"/>
      <c r="BZ384" s="217"/>
      <c r="CA384" s="217"/>
      <c r="CB384" s="217"/>
      <c r="CC384" s="217"/>
      <c r="CD384" s="217"/>
      <c r="CE384" s="217"/>
      <c r="CF384" s="217"/>
      <c r="CG384" s="217"/>
      <c r="CH384" s="217"/>
      <c r="CI384" s="217"/>
      <c r="CJ384" s="217"/>
      <c r="CK384" s="217"/>
      <c r="CL384" s="217"/>
      <c r="CM384" s="217"/>
      <c r="CN384" s="217"/>
      <c r="CO384" s="217"/>
      <c r="CP384" s="217"/>
      <c r="CQ384" s="217"/>
      <c r="CR384" s="217"/>
      <c r="CS384" s="217"/>
      <c r="CT384" s="217"/>
      <c r="CU384" s="217"/>
      <c r="CV384" s="217"/>
      <c r="CW384" s="217"/>
      <c r="CX384" s="217"/>
      <c r="CY384" s="217"/>
      <c r="CZ384" s="217"/>
      <c r="DA384" s="217"/>
      <c r="DB384" s="217"/>
      <c r="DC384" s="217"/>
      <c r="DD384" s="217"/>
      <c r="DE384" s="217"/>
      <c r="DF384" s="217"/>
      <c r="DG384" s="217"/>
    </row>
    <row r="385" ht="20.25" customHeight="1">
      <c r="A385" s="441" t="s">
        <v>143</v>
      </c>
      <c r="B385" s="441" t="s">
        <v>107</v>
      </c>
      <c r="C385" s="110" t="s">
        <v>1455</v>
      </c>
      <c r="D385" s="95"/>
      <c r="E385" s="108" t="s">
        <v>2114</v>
      </c>
      <c r="F385" s="112" t="s">
        <v>2136</v>
      </c>
      <c r="G385" s="112" t="s">
        <v>1548</v>
      </c>
      <c r="H385" s="502">
        <v>45640.0</v>
      </c>
      <c r="I385" s="503">
        <v>45671.0</v>
      </c>
      <c r="J385" s="112" t="s">
        <v>2116</v>
      </c>
      <c r="K385" s="119"/>
      <c r="L385" s="112" t="s">
        <v>2118</v>
      </c>
      <c r="M385" s="112" t="s">
        <v>2119</v>
      </c>
      <c r="N385" s="128">
        <v>1.0</v>
      </c>
      <c r="O385" s="212" t="str">
        <f t="shared" ref="O385:O396" si="24">SUBSTITUTE(LOWER(M385), "/", "--") &amp;  ".pdf"</f>
        <v>10.1089--cyber.2015.0311.pdf</v>
      </c>
      <c r="P385" s="48" t="str">
        <f t="array" ref="P385">HYPERLINK(INDEX('File Links'!B:B, MATCH(O385, 'File Links'!C:C, 0)))
</f>
        <v>https://drive.google.com/file/d/1UOcUsx-QUxFrulQIBnkUuR_13YgQP2Vd/view?usp=drivesdk</v>
      </c>
      <c r="Q385" s="112" t="s">
        <v>2120</v>
      </c>
      <c r="R385" s="112" t="s">
        <v>2121</v>
      </c>
      <c r="S385" s="119"/>
      <c r="T385" s="134">
        <v>1.0</v>
      </c>
      <c r="U385" s="112" t="str">
        <f t="shared" ref="U385:U396" si="25">HYPERLINK(VLOOKUP(LOWER(R385),#REF!, 2, FALSE), SUBSTITUTE(LOWER(R385), "/", "--") &amp;  ".pdf")</f>
        <v>10.1016--j.bbr.2024.115096.pdf</v>
      </c>
      <c r="V385" s="522" t="s">
        <v>1696</v>
      </c>
      <c r="W385" s="45" t="str">
        <f t="array" ref="W385">HYPERLINK(INDEX('File Links'!B:B, MATCH(U385, 'File Links'!C:C, 0)))
</f>
        <v>#N/A</v>
      </c>
      <c r="X385" s="119"/>
      <c r="Y385" s="112" t="s">
        <v>139</v>
      </c>
      <c r="Z385" s="112" t="s">
        <v>2122</v>
      </c>
      <c r="AA385" s="112" t="s">
        <v>2123</v>
      </c>
      <c r="AB385" s="112" t="s">
        <v>2137</v>
      </c>
      <c r="AC385" s="116" t="s">
        <v>2125</v>
      </c>
      <c r="AD385" s="117">
        <v>3.0</v>
      </c>
      <c r="AE385" s="117">
        <v>20.0</v>
      </c>
      <c r="AF385" s="117">
        <v>0.19</v>
      </c>
      <c r="AG385" s="311" t="s">
        <v>130</v>
      </c>
      <c r="AH385" s="128">
        <v>3.0</v>
      </c>
      <c r="AI385" s="117">
        <v>0.05</v>
      </c>
      <c r="AJ385" s="111" t="s">
        <v>164</v>
      </c>
      <c r="AK385" s="119" t="s">
        <v>179</v>
      </c>
      <c r="AL385" s="119" t="s">
        <v>132</v>
      </c>
      <c r="AM385" s="128" t="s">
        <v>165</v>
      </c>
      <c r="AN385" s="117">
        <v>27.0</v>
      </c>
      <c r="AO385" s="119" t="s">
        <v>2138</v>
      </c>
      <c r="AP385" s="112" t="s">
        <v>162</v>
      </c>
      <c r="AQ385" s="112" t="s">
        <v>894</v>
      </c>
      <c r="AR385" s="117">
        <v>0.73</v>
      </c>
      <c r="AS385" s="111" t="s">
        <v>329</v>
      </c>
      <c r="AT385" s="111" t="s">
        <v>179</v>
      </c>
      <c r="AU385" s="111" t="s">
        <v>132</v>
      </c>
      <c r="AV385" s="128" t="s">
        <v>165</v>
      </c>
      <c r="AW385" s="648" t="s">
        <v>434</v>
      </c>
      <c r="AX385" s="55"/>
      <c r="AY385" s="110" t="s">
        <v>135</v>
      </c>
      <c r="AZ385" s="217"/>
      <c r="BA385" s="217"/>
      <c r="BB385" s="217"/>
      <c r="BC385" s="217"/>
      <c r="BD385" s="217"/>
      <c r="BE385" s="217"/>
      <c r="BF385" s="217"/>
      <c r="BG385" s="217"/>
      <c r="BH385" s="217"/>
      <c r="BI385" s="217"/>
      <c r="BJ385" s="217"/>
      <c r="BK385" s="217"/>
      <c r="BL385" s="217"/>
      <c r="BM385" s="217"/>
      <c r="BN385" s="217"/>
      <c r="BO385" s="217"/>
      <c r="BP385" s="217"/>
      <c r="BQ385" s="217"/>
      <c r="BR385" s="217"/>
      <c r="BS385" s="217"/>
      <c r="BT385" s="217"/>
      <c r="BU385" s="217"/>
      <c r="BV385" s="217"/>
      <c r="BW385" s="217"/>
      <c r="BX385" s="217"/>
      <c r="BY385" s="217"/>
      <c r="BZ385" s="217"/>
      <c r="CA385" s="217"/>
      <c r="CB385" s="217"/>
      <c r="CC385" s="217"/>
      <c r="CD385" s="217"/>
      <c r="CE385" s="217"/>
      <c r="CF385" s="217"/>
      <c r="CG385" s="217"/>
      <c r="CH385" s="217"/>
      <c r="CI385" s="217"/>
      <c r="CJ385" s="217"/>
      <c r="CK385" s="217"/>
      <c r="CL385" s="217"/>
      <c r="CM385" s="217"/>
      <c r="CN385" s="217"/>
      <c r="CO385" s="217"/>
      <c r="CP385" s="217"/>
      <c r="CQ385" s="217"/>
      <c r="CR385" s="217"/>
      <c r="CS385" s="217"/>
      <c r="CT385" s="217"/>
      <c r="CU385" s="217"/>
      <c r="CV385" s="217"/>
      <c r="CW385" s="217"/>
      <c r="CX385" s="217"/>
      <c r="CY385" s="217"/>
      <c r="CZ385" s="217"/>
      <c r="DA385" s="217"/>
      <c r="DB385" s="217"/>
      <c r="DC385" s="217"/>
      <c r="DD385" s="217"/>
      <c r="DE385" s="217"/>
      <c r="DF385" s="217"/>
      <c r="DG385" s="217"/>
    </row>
    <row r="386" ht="20.25" customHeight="1">
      <c r="A386" s="441" t="s">
        <v>143</v>
      </c>
      <c r="B386" s="441" t="s">
        <v>107</v>
      </c>
      <c r="C386" s="110" t="s">
        <v>1455</v>
      </c>
      <c r="D386" s="95"/>
      <c r="E386" s="108" t="s">
        <v>2114</v>
      </c>
      <c r="F386" s="112" t="s">
        <v>2139</v>
      </c>
      <c r="G386" s="112" t="s">
        <v>1548</v>
      </c>
      <c r="H386" s="502">
        <v>45640.0</v>
      </c>
      <c r="I386" s="503">
        <v>45671.0</v>
      </c>
      <c r="J386" s="119"/>
      <c r="K386" s="119"/>
      <c r="L386" s="112" t="s">
        <v>2118</v>
      </c>
      <c r="M386" s="112" t="s">
        <v>2119</v>
      </c>
      <c r="N386" s="128">
        <v>1.0</v>
      </c>
      <c r="O386" s="212" t="str">
        <f t="shared" si="24"/>
        <v>10.1089--cyber.2015.0311.pdf</v>
      </c>
      <c r="P386" s="48" t="str">
        <f t="array" ref="P386">HYPERLINK(INDEX('File Links'!B:B, MATCH(O386, 'File Links'!C:C, 0)))
</f>
        <v>https://drive.google.com/file/d/1UOcUsx-QUxFrulQIBnkUuR_13YgQP2Vd/view?usp=drivesdk</v>
      </c>
      <c r="Q386" s="112" t="s">
        <v>2120</v>
      </c>
      <c r="R386" s="112" t="s">
        <v>2121</v>
      </c>
      <c r="S386" s="119"/>
      <c r="T386" s="134">
        <v>1.0</v>
      </c>
      <c r="U386" s="112" t="str">
        <f t="shared" si="25"/>
        <v>10.1016--j.bbr.2024.115096.pdf</v>
      </c>
      <c r="V386" s="522" t="s">
        <v>1696</v>
      </c>
      <c r="W386" s="45" t="str">
        <f t="array" ref="W386">HYPERLINK(INDEX('File Links'!B:B, MATCH(U386, 'File Links'!C:C, 0)))
</f>
        <v>#N/A</v>
      </c>
      <c r="X386" s="119"/>
      <c r="Y386" s="112" t="s">
        <v>139</v>
      </c>
      <c r="Z386" s="112" t="s">
        <v>2122</v>
      </c>
      <c r="AA386" s="112" t="s">
        <v>2123</v>
      </c>
      <c r="AB386" s="112" t="s">
        <v>2140</v>
      </c>
      <c r="AC386" s="112" t="s">
        <v>2141</v>
      </c>
      <c r="AD386" s="117">
        <v>3.0</v>
      </c>
      <c r="AE386" s="117">
        <v>20.0</v>
      </c>
      <c r="AF386" s="112" t="s">
        <v>2142</v>
      </c>
      <c r="AG386" s="212" t="s">
        <v>162</v>
      </c>
      <c r="AH386" s="128">
        <v>3.0</v>
      </c>
      <c r="AI386" s="117">
        <v>0.11</v>
      </c>
      <c r="AJ386" s="111" t="s">
        <v>164</v>
      </c>
      <c r="AK386" s="119" t="s">
        <v>179</v>
      </c>
      <c r="AL386" s="119" t="s">
        <v>132</v>
      </c>
      <c r="AM386" s="128" t="s">
        <v>165</v>
      </c>
      <c r="AN386" s="117">
        <v>27.0</v>
      </c>
      <c r="AO386" s="119" t="s">
        <v>2138</v>
      </c>
      <c r="AP386" s="112" t="s">
        <v>162</v>
      </c>
      <c r="AQ386" s="112" t="s">
        <v>894</v>
      </c>
      <c r="AR386" s="117">
        <v>0.73</v>
      </c>
      <c r="AS386" s="111" t="s">
        <v>329</v>
      </c>
      <c r="AT386" s="111" t="s">
        <v>179</v>
      </c>
      <c r="AU386" s="111" t="s">
        <v>132</v>
      </c>
      <c r="AV386" s="128" t="s">
        <v>165</v>
      </c>
      <c r="AW386" s="648" t="s">
        <v>434</v>
      </c>
      <c r="AX386" s="55"/>
      <c r="AY386" s="110" t="s">
        <v>135</v>
      </c>
    </row>
    <row r="387" ht="20.25" customHeight="1">
      <c r="A387" s="441" t="s">
        <v>143</v>
      </c>
      <c r="B387" s="441" t="s">
        <v>107</v>
      </c>
      <c r="C387" s="110" t="s">
        <v>1455</v>
      </c>
      <c r="D387" s="95"/>
      <c r="E387" s="108" t="s">
        <v>2114</v>
      </c>
      <c r="F387" s="112" t="s">
        <v>2143</v>
      </c>
      <c r="G387" s="112" t="s">
        <v>1548</v>
      </c>
      <c r="H387" s="502">
        <v>45640.0</v>
      </c>
      <c r="I387" s="503">
        <v>45671.0</v>
      </c>
      <c r="J387" s="119"/>
      <c r="K387" s="202" t="s">
        <v>2144</v>
      </c>
      <c r="L387" s="112" t="s">
        <v>2118</v>
      </c>
      <c r="M387" s="112" t="s">
        <v>2119</v>
      </c>
      <c r="N387" s="128">
        <v>1.0</v>
      </c>
      <c r="O387" s="212" t="str">
        <f t="shared" si="24"/>
        <v>10.1089--cyber.2015.0311.pdf</v>
      </c>
      <c r="P387" s="48" t="str">
        <f t="array" ref="P387">HYPERLINK(INDEX('File Links'!B:B, MATCH(O387, 'File Links'!C:C, 0)))
</f>
        <v>https://drive.google.com/file/d/1UOcUsx-QUxFrulQIBnkUuR_13YgQP2Vd/view?usp=drivesdk</v>
      </c>
      <c r="Q387" s="112" t="s">
        <v>2120</v>
      </c>
      <c r="R387" s="112" t="s">
        <v>2121</v>
      </c>
      <c r="S387" s="119"/>
      <c r="T387" s="134">
        <v>1.0</v>
      </c>
      <c r="U387" s="112" t="str">
        <f t="shared" si="25"/>
        <v>10.1016--j.bbr.2024.115096.pdf</v>
      </c>
      <c r="V387" s="522" t="s">
        <v>1696</v>
      </c>
      <c r="W387" s="45" t="str">
        <f t="array" ref="W387">HYPERLINK(INDEX('File Links'!B:B, MATCH(U387, 'File Links'!C:C, 0)))
</f>
        <v>#N/A</v>
      </c>
      <c r="X387" s="119"/>
      <c r="Y387" s="112" t="s">
        <v>139</v>
      </c>
      <c r="Z387" s="112" t="s">
        <v>2122</v>
      </c>
      <c r="AA387" s="112" t="s">
        <v>2123</v>
      </c>
      <c r="AB387" s="112" t="s">
        <v>2145</v>
      </c>
      <c r="AC387" s="112" t="s">
        <v>2146</v>
      </c>
      <c r="AD387" s="117">
        <v>3.0</v>
      </c>
      <c r="AE387" s="117">
        <v>20.0</v>
      </c>
      <c r="AF387" s="112" t="s">
        <v>2147</v>
      </c>
      <c r="AG387" s="212" t="s">
        <v>162</v>
      </c>
      <c r="AH387" s="128">
        <v>3.0</v>
      </c>
      <c r="AI387" s="652">
        <v>0.72</v>
      </c>
      <c r="AJ387" s="111" t="s">
        <v>164</v>
      </c>
      <c r="AK387" s="119" t="s">
        <v>179</v>
      </c>
      <c r="AL387" s="119" t="s">
        <v>132</v>
      </c>
      <c r="AM387" s="128" t="s">
        <v>165</v>
      </c>
      <c r="AN387" s="117">
        <v>27.0</v>
      </c>
      <c r="AO387" s="117">
        <v>0.012</v>
      </c>
      <c r="AP387" s="119" t="s">
        <v>130</v>
      </c>
      <c r="AQ387" s="112" t="s">
        <v>894</v>
      </c>
      <c r="AR387" s="117">
        <v>0.002</v>
      </c>
      <c r="AS387" s="111" t="s">
        <v>164</v>
      </c>
      <c r="AT387" s="111" t="s">
        <v>179</v>
      </c>
      <c r="AU387" s="111" t="s">
        <v>132</v>
      </c>
      <c r="AV387" s="128" t="s">
        <v>165</v>
      </c>
      <c r="AW387" s="648" t="s">
        <v>434</v>
      </c>
      <c r="AX387" s="115" t="s">
        <v>2144</v>
      </c>
      <c r="AY387" s="110" t="s">
        <v>135</v>
      </c>
    </row>
    <row r="388" ht="20.25" customHeight="1">
      <c r="A388" s="441" t="s">
        <v>143</v>
      </c>
      <c r="B388" s="441" t="s">
        <v>107</v>
      </c>
      <c r="C388" s="110" t="s">
        <v>1455</v>
      </c>
      <c r="D388" s="95"/>
      <c r="E388" s="108" t="s">
        <v>2114</v>
      </c>
      <c r="F388" s="112" t="s">
        <v>2148</v>
      </c>
      <c r="G388" s="112" t="s">
        <v>1548</v>
      </c>
      <c r="H388" s="502">
        <v>45640.0</v>
      </c>
      <c r="I388" s="503">
        <v>45671.0</v>
      </c>
      <c r="J388" s="119"/>
      <c r="K388" s="119"/>
      <c r="L388" s="112" t="s">
        <v>2118</v>
      </c>
      <c r="M388" s="112" t="s">
        <v>2119</v>
      </c>
      <c r="N388" s="128">
        <v>1.0</v>
      </c>
      <c r="O388" s="212" t="str">
        <f t="shared" si="24"/>
        <v>10.1089--cyber.2015.0311.pdf</v>
      </c>
      <c r="P388" s="48" t="str">
        <f t="array" ref="P388">HYPERLINK(INDEX('File Links'!B:B, MATCH(O388, 'File Links'!C:C, 0)))
</f>
        <v>https://drive.google.com/file/d/1UOcUsx-QUxFrulQIBnkUuR_13YgQP2Vd/view?usp=drivesdk</v>
      </c>
      <c r="Q388" s="112" t="s">
        <v>2120</v>
      </c>
      <c r="R388" s="112" t="s">
        <v>2121</v>
      </c>
      <c r="S388" s="119"/>
      <c r="T388" s="134">
        <v>1.0</v>
      </c>
      <c r="U388" s="112" t="str">
        <f t="shared" si="25"/>
        <v>10.1016--j.bbr.2024.115096.pdf</v>
      </c>
      <c r="V388" s="522" t="s">
        <v>1696</v>
      </c>
      <c r="W388" s="45" t="str">
        <f t="array" ref="W388">HYPERLINK(INDEX('File Links'!B:B, MATCH(U388, 'File Links'!C:C, 0)))
</f>
        <v>#N/A</v>
      </c>
      <c r="X388" s="119"/>
      <c r="Y388" s="112" t="s">
        <v>139</v>
      </c>
      <c r="Z388" s="112" t="s">
        <v>2122</v>
      </c>
      <c r="AA388" s="112" t="s">
        <v>2123</v>
      </c>
      <c r="AB388" s="112" t="s">
        <v>2149</v>
      </c>
      <c r="AC388" s="112" t="s">
        <v>2150</v>
      </c>
      <c r="AD388" s="117">
        <v>3.0</v>
      </c>
      <c r="AE388" s="117">
        <v>20.0</v>
      </c>
      <c r="AF388" s="117">
        <v>0.41</v>
      </c>
      <c r="AG388" s="311" t="s">
        <v>130</v>
      </c>
      <c r="AH388" s="128">
        <v>3.0</v>
      </c>
      <c r="AI388" s="117">
        <v>0.002</v>
      </c>
      <c r="AJ388" s="111" t="s">
        <v>164</v>
      </c>
      <c r="AK388" s="119" t="s">
        <v>179</v>
      </c>
      <c r="AL388" s="119" t="s">
        <v>132</v>
      </c>
      <c r="AM388" s="128" t="s">
        <v>165</v>
      </c>
      <c r="AN388" s="117">
        <v>27.0</v>
      </c>
      <c r="AO388" s="119" t="s">
        <v>2151</v>
      </c>
      <c r="AP388" s="112" t="s">
        <v>162</v>
      </c>
      <c r="AQ388" s="112" t="s">
        <v>894</v>
      </c>
      <c r="AR388" s="117">
        <v>0.999</v>
      </c>
      <c r="AS388" s="111" t="s">
        <v>329</v>
      </c>
      <c r="AT388" s="111" t="s">
        <v>179</v>
      </c>
      <c r="AU388" s="111" t="s">
        <v>132</v>
      </c>
      <c r="AV388" s="128" t="s">
        <v>165</v>
      </c>
      <c r="AW388" s="648" t="s">
        <v>434</v>
      </c>
      <c r="AX388" s="55"/>
      <c r="AY388" s="110" t="s">
        <v>135</v>
      </c>
    </row>
    <row r="389" ht="20.25" customHeight="1">
      <c r="A389" s="441" t="s">
        <v>143</v>
      </c>
      <c r="B389" s="441" t="s">
        <v>107</v>
      </c>
      <c r="C389" s="110" t="s">
        <v>1455</v>
      </c>
      <c r="D389" s="95"/>
      <c r="E389" s="108" t="s">
        <v>2114</v>
      </c>
      <c r="F389" s="112" t="s">
        <v>2152</v>
      </c>
      <c r="G389" s="112" t="s">
        <v>1548</v>
      </c>
      <c r="H389" s="502">
        <v>45640.0</v>
      </c>
      <c r="I389" s="503">
        <v>45671.0</v>
      </c>
      <c r="J389" s="112" t="s">
        <v>2116</v>
      </c>
      <c r="K389" s="128" t="s">
        <v>2153</v>
      </c>
      <c r="L389" s="112" t="s">
        <v>2118</v>
      </c>
      <c r="M389" s="112" t="s">
        <v>2119</v>
      </c>
      <c r="N389" s="128">
        <v>1.0</v>
      </c>
      <c r="O389" s="212" t="str">
        <f t="shared" si="24"/>
        <v>10.1089--cyber.2015.0311.pdf</v>
      </c>
      <c r="P389" s="48" t="str">
        <f t="array" ref="P389">HYPERLINK(INDEX('File Links'!B:B, MATCH(O389, 'File Links'!C:C, 0)))
</f>
        <v>https://drive.google.com/file/d/1UOcUsx-QUxFrulQIBnkUuR_13YgQP2Vd/view?usp=drivesdk</v>
      </c>
      <c r="Q389" s="112" t="s">
        <v>2120</v>
      </c>
      <c r="R389" s="112" t="s">
        <v>2121</v>
      </c>
      <c r="S389" s="119"/>
      <c r="T389" s="134">
        <v>1.0</v>
      </c>
      <c r="U389" s="112" t="str">
        <f t="shared" si="25"/>
        <v>10.1016--j.bbr.2024.115096.pdf</v>
      </c>
      <c r="V389" s="522" t="s">
        <v>1696</v>
      </c>
      <c r="W389" s="45" t="str">
        <f t="array" ref="W389">HYPERLINK(INDEX('File Links'!B:B, MATCH(U389, 'File Links'!C:C, 0)))
</f>
        <v>#N/A</v>
      </c>
      <c r="X389" s="119"/>
      <c r="Y389" s="112" t="s">
        <v>139</v>
      </c>
      <c r="Z389" s="112" t="s">
        <v>2122</v>
      </c>
      <c r="AA389" s="112" t="s">
        <v>2123</v>
      </c>
      <c r="AB389" s="112" t="s">
        <v>2154</v>
      </c>
      <c r="AC389" s="112" t="s">
        <v>2155</v>
      </c>
      <c r="AD389" s="117">
        <v>3.0</v>
      </c>
      <c r="AE389" s="117">
        <v>20.0</v>
      </c>
      <c r="AF389" s="117">
        <v>0.19</v>
      </c>
      <c r="AG389" s="311" t="s">
        <v>130</v>
      </c>
      <c r="AH389" s="128">
        <v>3.0</v>
      </c>
      <c r="AI389" s="117">
        <v>0.05</v>
      </c>
      <c r="AJ389" s="111" t="s">
        <v>164</v>
      </c>
      <c r="AK389" s="119" t="s">
        <v>179</v>
      </c>
      <c r="AL389" s="119" t="s">
        <v>132</v>
      </c>
      <c r="AM389" s="128" t="s">
        <v>165</v>
      </c>
      <c r="AN389" s="117">
        <v>27.0</v>
      </c>
      <c r="AO389" s="119" t="s">
        <v>2156</v>
      </c>
      <c r="AP389" s="119" t="s">
        <v>208</v>
      </c>
      <c r="AQ389" s="112" t="s">
        <v>894</v>
      </c>
      <c r="AR389" s="117">
        <v>0.001</v>
      </c>
      <c r="AS389" s="111" t="s">
        <v>127</v>
      </c>
      <c r="AT389" s="111" t="s">
        <v>179</v>
      </c>
      <c r="AU389" s="111" t="s">
        <v>132</v>
      </c>
      <c r="AV389" s="128" t="s">
        <v>165</v>
      </c>
      <c r="AW389" s="648" t="s">
        <v>434</v>
      </c>
      <c r="AX389" s="115" t="s">
        <v>2153</v>
      </c>
      <c r="AY389" s="110" t="s">
        <v>135</v>
      </c>
    </row>
    <row r="390" ht="20.25" customHeight="1">
      <c r="A390" s="441" t="s">
        <v>143</v>
      </c>
      <c r="B390" s="441" t="s">
        <v>107</v>
      </c>
      <c r="C390" s="110" t="s">
        <v>1455</v>
      </c>
      <c r="D390" s="95"/>
      <c r="E390" s="108" t="s">
        <v>2114</v>
      </c>
      <c r="F390" s="112" t="s">
        <v>2157</v>
      </c>
      <c r="G390" s="112" t="s">
        <v>1548</v>
      </c>
      <c r="H390" s="502">
        <v>45640.0</v>
      </c>
      <c r="I390" s="503">
        <v>45671.0</v>
      </c>
      <c r="J390" s="112" t="s">
        <v>2116</v>
      </c>
      <c r="K390" s="119"/>
      <c r="L390" s="112" t="s">
        <v>2118</v>
      </c>
      <c r="M390" s="112" t="s">
        <v>2119</v>
      </c>
      <c r="N390" s="128">
        <v>1.0</v>
      </c>
      <c r="O390" s="212" t="str">
        <f t="shared" si="24"/>
        <v>10.1089--cyber.2015.0311.pdf</v>
      </c>
      <c r="P390" s="48" t="str">
        <f t="array" ref="P390">HYPERLINK(INDEX('File Links'!B:B, MATCH(O390, 'File Links'!C:C, 0)))
</f>
        <v>https://drive.google.com/file/d/1UOcUsx-QUxFrulQIBnkUuR_13YgQP2Vd/view?usp=drivesdk</v>
      </c>
      <c r="Q390" s="112" t="s">
        <v>2120</v>
      </c>
      <c r="R390" s="112" t="s">
        <v>2121</v>
      </c>
      <c r="S390" s="119"/>
      <c r="T390" s="134">
        <v>1.0</v>
      </c>
      <c r="U390" s="112" t="str">
        <f t="shared" si="25"/>
        <v>10.1016--j.bbr.2024.115096.pdf</v>
      </c>
      <c r="V390" s="522" t="s">
        <v>1696</v>
      </c>
      <c r="W390" s="45" t="str">
        <f t="array" ref="W390">HYPERLINK(INDEX('File Links'!B:B, MATCH(U390, 'File Links'!C:C, 0)))
</f>
        <v>#N/A</v>
      </c>
      <c r="X390" s="119"/>
      <c r="Y390" s="112" t="s">
        <v>139</v>
      </c>
      <c r="Z390" s="112" t="s">
        <v>2122</v>
      </c>
      <c r="AA390" s="112" t="s">
        <v>2123</v>
      </c>
      <c r="AB390" s="112" t="s">
        <v>2158</v>
      </c>
      <c r="AC390" s="112" t="s">
        <v>2155</v>
      </c>
      <c r="AD390" s="117">
        <v>3.0</v>
      </c>
      <c r="AE390" s="117">
        <v>20.0</v>
      </c>
      <c r="AF390" s="117">
        <v>0.19</v>
      </c>
      <c r="AG390" s="311" t="s">
        <v>130</v>
      </c>
      <c r="AH390" s="128">
        <v>3.0</v>
      </c>
      <c r="AI390" s="117">
        <v>0.05</v>
      </c>
      <c r="AJ390" s="111" t="s">
        <v>164</v>
      </c>
      <c r="AK390" s="119" t="s">
        <v>179</v>
      </c>
      <c r="AL390" s="119" t="s">
        <v>132</v>
      </c>
      <c r="AM390" s="128" t="s">
        <v>165</v>
      </c>
      <c r="AN390" s="117">
        <v>27.0</v>
      </c>
      <c r="AO390" s="119" t="s">
        <v>2159</v>
      </c>
      <c r="AP390" s="112" t="s">
        <v>162</v>
      </c>
      <c r="AQ390" s="112" t="s">
        <v>894</v>
      </c>
      <c r="AR390" s="117">
        <v>0.999</v>
      </c>
      <c r="AS390" s="111" t="s">
        <v>329</v>
      </c>
      <c r="AT390" s="111" t="s">
        <v>179</v>
      </c>
      <c r="AU390" s="111" t="s">
        <v>132</v>
      </c>
      <c r="AV390" s="128" t="s">
        <v>165</v>
      </c>
      <c r="AW390" s="648" t="s">
        <v>434</v>
      </c>
      <c r="AX390" s="55"/>
      <c r="AY390" s="110" t="s">
        <v>135</v>
      </c>
    </row>
    <row r="391" ht="20.25" customHeight="1">
      <c r="A391" s="441" t="s">
        <v>143</v>
      </c>
      <c r="B391" s="441" t="s">
        <v>107</v>
      </c>
      <c r="C391" s="110" t="s">
        <v>1455</v>
      </c>
      <c r="D391" s="95"/>
      <c r="E391" s="108" t="s">
        <v>2114</v>
      </c>
      <c r="F391" s="112" t="s">
        <v>2160</v>
      </c>
      <c r="G391" s="112" t="s">
        <v>1548</v>
      </c>
      <c r="H391" s="502">
        <v>45640.0</v>
      </c>
      <c r="I391" s="503">
        <v>45671.0</v>
      </c>
      <c r="J391" s="119"/>
      <c r="K391" s="119"/>
      <c r="L391" s="112" t="s">
        <v>2118</v>
      </c>
      <c r="M391" s="112" t="s">
        <v>2119</v>
      </c>
      <c r="N391" s="128">
        <v>1.0</v>
      </c>
      <c r="O391" s="212" t="str">
        <f t="shared" si="24"/>
        <v>10.1089--cyber.2015.0311.pdf</v>
      </c>
      <c r="P391" s="48" t="str">
        <f t="array" ref="P391">HYPERLINK(INDEX('File Links'!B:B, MATCH(O391, 'File Links'!C:C, 0)))
</f>
        <v>https://drive.google.com/file/d/1UOcUsx-QUxFrulQIBnkUuR_13YgQP2Vd/view?usp=drivesdk</v>
      </c>
      <c r="Q391" s="112" t="s">
        <v>2120</v>
      </c>
      <c r="R391" s="112" t="s">
        <v>2121</v>
      </c>
      <c r="S391" s="119"/>
      <c r="T391" s="134">
        <v>1.0</v>
      </c>
      <c r="U391" s="112" t="str">
        <f t="shared" si="25"/>
        <v>10.1016--j.bbr.2024.115096.pdf</v>
      </c>
      <c r="V391" s="522" t="s">
        <v>1696</v>
      </c>
      <c r="W391" s="45" t="str">
        <f t="array" ref="W391">HYPERLINK(INDEX('File Links'!B:B, MATCH(U391, 'File Links'!C:C, 0)))
</f>
        <v>#N/A</v>
      </c>
      <c r="X391" s="119"/>
      <c r="Y391" s="112" t="s">
        <v>139</v>
      </c>
      <c r="Z391" s="112" t="s">
        <v>2122</v>
      </c>
      <c r="AA391" s="112" t="s">
        <v>2123</v>
      </c>
      <c r="AB391" s="112" t="s">
        <v>2161</v>
      </c>
      <c r="AC391" s="112" t="s">
        <v>2162</v>
      </c>
      <c r="AD391" s="117">
        <v>3.0</v>
      </c>
      <c r="AE391" s="117">
        <v>20.0</v>
      </c>
      <c r="AF391" s="112" t="s">
        <v>2163</v>
      </c>
      <c r="AG391" s="212" t="s">
        <v>162</v>
      </c>
      <c r="AH391" s="128">
        <v>3.0</v>
      </c>
      <c r="AI391" s="117">
        <v>0.29</v>
      </c>
      <c r="AJ391" s="111" t="s">
        <v>164</v>
      </c>
      <c r="AK391" s="119" t="s">
        <v>179</v>
      </c>
      <c r="AL391" s="119" t="s">
        <v>132</v>
      </c>
      <c r="AM391" s="128" t="s">
        <v>165</v>
      </c>
      <c r="AN391" s="117">
        <v>27.0</v>
      </c>
      <c r="AO391" s="117">
        <v>0.21</v>
      </c>
      <c r="AP391" s="119" t="s">
        <v>130</v>
      </c>
      <c r="AQ391" s="214" t="s">
        <v>892</v>
      </c>
      <c r="AR391" s="117">
        <v>0.001</v>
      </c>
      <c r="AS391" s="111" t="s">
        <v>127</v>
      </c>
      <c r="AT391" s="111" t="s">
        <v>179</v>
      </c>
      <c r="AU391" s="111" t="s">
        <v>132</v>
      </c>
      <c r="AV391" s="128" t="s">
        <v>165</v>
      </c>
      <c r="AW391" s="648" t="s">
        <v>434</v>
      </c>
      <c r="AX391" s="55"/>
      <c r="AY391" s="110" t="s">
        <v>135</v>
      </c>
    </row>
    <row r="392" ht="20.25" customHeight="1">
      <c r="A392" s="441" t="s">
        <v>143</v>
      </c>
      <c r="B392" s="441" t="s">
        <v>107</v>
      </c>
      <c r="C392" s="110" t="s">
        <v>1455</v>
      </c>
      <c r="D392" s="95"/>
      <c r="E392" s="108" t="s">
        <v>2114</v>
      </c>
      <c r="F392" s="112" t="s">
        <v>2164</v>
      </c>
      <c r="G392" s="112" t="s">
        <v>1548</v>
      </c>
      <c r="H392" s="502">
        <v>45640.0</v>
      </c>
      <c r="I392" s="503">
        <v>45671.0</v>
      </c>
      <c r="J392" s="119"/>
      <c r="K392" s="119"/>
      <c r="L392" s="112" t="s">
        <v>2118</v>
      </c>
      <c r="M392" s="112" t="s">
        <v>2119</v>
      </c>
      <c r="N392" s="128">
        <v>1.0</v>
      </c>
      <c r="O392" s="212" t="str">
        <f t="shared" si="24"/>
        <v>10.1089--cyber.2015.0311.pdf</v>
      </c>
      <c r="P392" s="48" t="str">
        <f t="array" ref="P392">HYPERLINK(INDEX('File Links'!B:B, MATCH(O392, 'File Links'!C:C, 0)))
</f>
        <v>https://drive.google.com/file/d/1UOcUsx-QUxFrulQIBnkUuR_13YgQP2Vd/view?usp=drivesdk</v>
      </c>
      <c r="Q392" s="112" t="s">
        <v>2120</v>
      </c>
      <c r="R392" s="112" t="s">
        <v>2121</v>
      </c>
      <c r="S392" s="119"/>
      <c r="T392" s="134">
        <v>1.0</v>
      </c>
      <c r="U392" s="112" t="str">
        <f t="shared" si="25"/>
        <v>10.1016--j.bbr.2024.115096.pdf</v>
      </c>
      <c r="V392" s="522" t="s">
        <v>1696</v>
      </c>
      <c r="W392" s="45" t="str">
        <f t="array" ref="W392">HYPERLINK(INDEX('File Links'!B:B, MATCH(U392, 'File Links'!C:C, 0)))
</f>
        <v>#N/A</v>
      </c>
      <c r="X392" s="119"/>
      <c r="Y392" s="112" t="s">
        <v>139</v>
      </c>
      <c r="Z392" s="112" t="s">
        <v>2122</v>
      </c>
      <c r="AA392" s="112" t="s">
        <v>2123</v>
      </c>
      <c r="AB392" s="112" t="s">
        <v>2165</v>
      </c>
      <c r="AC392" s="112" t="s">
        <v>2166</v>
      </c>
      <c r="AD392" s="117">
        <v>3.0</v>
      </c>
      <c r="AE392" s="117">
        <v>20.0</v>
      </c>
      <c r="AF392" s="117">
        <v>0.16</v>
      </c>
      <c r="AG392" s="212" t="s">
        <v>166</v>
      </c>
      <c r="AH392" s="128">
        <v>3.0</v>
      </c>
      <c r="AI392" s="117">
        <v>0.002</v>
      </c>
      <c r="AJ392" s="111" t="s">
        <v>164</v>
      </c>
      <c r="AK392" s="119" t="s">
        <v>179</v>
      </c>
      <c r="AL392" s="119" t="s">
        <v>132</v>
      </c>
      <c r="AM392" s="128" t="s">
        <v>165</v>
      </c>
      <c r="AN392" s="117">
        <v>27.0</v>
      </c>
      <c r="AO392" s="117">
        <v>0.16</v>
      </c>
      <c r="AP392" s="119" t="s">
        <v>130</v>
      </c>
      <c r="AQ392" s="214" t="s">
        <v>131</v>
      </c>
      <c r="AR392" s="117">
        <v>0.003</v>
      </c>
      <c r="AS392" s="111" t="s">
        <v>164</v>
      </c>
      <c r="AT392" s="111" t="s">
        <v>179</v>
      </c>
      <c r="AU392" s="111" t="s">
        <v>132</v>
      </c>
      <c r="AV392" s="128" t="s">
        <v>165</v>
      </c>
      <c r="AW392" s="648" t="s">
        <v>434</v>
      </c>
      <c r="AX392" s="55"/>
      <c r="AY392" s="110" t="s">
        <v>135</v>
      </c>
    </row>
    <row r="393" ht="20.25" customHeight="1">
      <c r="A393" s="441" t="s">
        <v>143</v>
      </c>
      <c r="B393" s="441" t="s">
        <v>107</v>
      </c>
      <c r="C393" s="110" t="s">
        <v>1455</v>
      </c>
      <c r="D393" s="95"/>
      <c r="E393" s="108" t="s">
        <v>2114</v>
      </c>
      <c r="F393" s="112" t="s">
        <v>2167</v>
      </c>
      <c r="G393" s="112" t="s">
        <v>1548</v>
      </c>
      <c r="H393" s="502">
        <v>45640.0</v>
      </c>
      <c r="I393" s="503">
        <v>45671.0</v>
      </c>
      <c r="J393" s="119"/>
      <c r="K393" s="119"/>
      <c r="L393" s="112" t="s">
        <v>2118</v>
      </c>
      <c r="M393" s="112" t="s">
        <v>2119</v>
      </c>
      <c r="N393" s="128">
        <v>1.0</v>
      </c>
      <c r="O393" s="212" t="str">
        <f t="shared" si="24"/>
        <v>10.1089--cyber.2015.0311.pdf</v>
      </c>
      <c r="P393" s="48" t="str">
        <f t="array" ref="P393">HYPERLINK(INDEX('File Links'!B:B, MATCH(O393, 'File Links'!C:C, 0)))
</f>
        <v>https://drive.google.com/file/d/1UOcUsx-QUxFrulQIBnkUuR_13YgQP2Vd/view?usp=drivesdk</v>
      </c>
      <c r="Q393" s="112" t="s">
        <v>2120</v>
      </c>
      <c r="R393" s="112" t="s">
        <v>2121</v>
      </c>
      <c r="S393" s="119"/>
      <c r="T393" s="134">
        <v>1.0</v>
      </c>
      <c r="U393" s="112" t="str">
        <f t="shared" si="25"/>
        <v>10.1016--j.bbr.2024.115096.pdf</v>
      </c>
      <c r="V393" s="522" t="s">
        <v>1696</v>
      </c>
      <c r="W393" s="45" t="str">
        <f t="array" ref="W393">HYPERLINK(INDEX('File Links'!B:B, MATCH(U393, 'File Links'!C:C, 0)))
</f>
        <v>#N/A</v>
      </c>
      <c r="X393" s="119"/>
      <c r="Y393" s="112" t="s">
        <v>139</v>
      </c>
      <c r="Z393" s="112" t="s">
        <v>2122</v>
      </c>
      <c r="AA393" s="112" t="s">
        <v>2123</v>
      </c>
      <c r="AB393" s="112" t="s">
        <v>2168</v>
      </c>
      <c r="AC393" s="112" t="s">
        <v>2169</v>
      </c>
      <c r="AD393" s="117">
        <v>4.0</v>
      </c>
      <c r="AE393" s="117">
        <v>20.0</v>
      </c>
      <c r="AF393" s="117">
        <v>0.28</v>
      </c>
      <c r="AG393" s="212" t="s">
        <v>166</v>
      </c>
      <c r="AH393" s="128">
        <v>4.0</v>
      </c>
      <c r="AI393" s="117">
        <v>0.09</v>
      </c>
      <c r="AJ393" s="111" t="s">
        <v>164</v>
      </c>
      <c r="AK393" s="119" t="s">
        <v>179</v>
      </c>
      <c r="AL393" s="119" t="s">
        <v>132</v>
      </c>
      <c r="AM393" s="128" t="s">
        <v>165</v>
      </c>
      <c r="AN393" s="117">
        <v>27.0</v>
      </c>
      <c r="AO393" s="119" t="s">
        <v>2170</v>
      </c>
      <c r="AP393" s="112" t="s">
        <v>162</v>
      </c>
      <c r="AQ393" s="214" t="s">
        <v>892</v>
      </c>
      <c r="AR393" s="117">
        <v>0.572</v>
      </c>
      <c r="AS393" s="111" t="s">
        <v>329</v>
      </c>
      <c r="AT393" s="111" t="s">
        <v>179</v>
      </c>
      <c r="AU393" s="111" t="s">
        <v>132</v>
      </c>
      <c r="AV393" s="128" t="s">
        <v>165</v>
      </c>
      <c r="AW393" s="648" t="s">
        <v>434</v>
      </c>
      <c r="AX393" s="55"/>
      <c r="AY393" s="110" t="s">
        <v>135</v>
      </c>
    </row>
    <row r="394" ht="20.25" customHeight="1">
      <c r="A394" s="441" t="s">
        <v>143</v>
      </c>
      <c r="B394" s="441" t="s">
        <v>107</v>
      </c>
      <c r="C394" s="110" t="s">
        <v>1455</v>
      </c>
      <c r="D394" s="95"/>
      <c r="E394" s="108" t="s">
        <v>2114</v>
      </c>
      <c r="F394" s="112" t="s">
        <v>2171</v>
      </c>
      <c r="G394" s="112" t="s">
        <v>1548</v>
      </c>
      <c r="H394" s="502">
        <v>45640.0</v>
      </c>
      <c r="I394" s="503">
        <v>45671.0</v>
      </c>
      <c r="J394" s="112" t="s">
        <v>2172</v>
      </c>
      <c r="K394" s="128" t="s">
        <v>2173</v>
      </c>
      <c r="L394" s="112" t="s">
        <v>2118</v>
      </c>
      <c r="M394" s="112" t="s">
        <v>2119</v>
      </c>
      <c r="N394" s="128">
        <v>1.0</v>
      </c>
      <c r="O394" s="212" t="str">
        <f t="shared" si="24"/>
        <v>10.1089--cyber.2015.0311.pdf</v>
      </c>
      <c r="P394" s="48" t="str">
        <f t="array" ref="P394">HYPERLINK(INDEX('File Links'!B:B, MATCH(O394, 'File Links'!C:C, 0)))
</f>
        <v>https://drive.google.com/file/d/1UOcUsx-QUxFrulQIBnkUuR_13YgQP2Vd/view?usp=drivesdk</v>
      </c>
      <c r="Q394" s="112" t="s">
        <v>2120</v>
      </c>
      <c r="R394" s="112" t="s">
        <v>2121</v>
      </c>
      <c r="S394" s="119"/>
      <c r="T394" s="134">
        <v>1.0</v>
      </c>
      <c r="U394" s="112" t="str">
        <f t="shared" si="25"/>
        <v>10.1016--j.bbr.2024.115096.pdf</v>
      </c>
      <c r="V394" s="522" t="s">
        <v>1696</v>
      </c>
      <c r="W394" s="45" t="str">
        <f t="array" ref="W394">HYPERLINK(INDEX('File Links'!B:B, MATCH(U394, 'File Links'!C:C, 0)))
</f>
        <v>#N/A</v>
      </c>
      <c r="X394" s="119"/>
      <c r="Y394" s="112" t="s">
        <v>139</v>
      </c>
      <c r="Z394" s="112" t="s">
        <v>2122</v>
      </c>
      <c r="AA394" s="112" t="s">
        <v>2123</v>
      </c>
      <c r="AB394" s="112" t="s">
        <v>2174</v>
      </c>
      <c r="AC394" s="112" t="s">
        <v>2175</v>
      </c>
      <c r="AD394" s="117">
        <v>4.0</v>
      </c>
      <c r="AE394" s="117">
        <v>20.0</v>
      </c>
      <c r="AF394" s="117">
        <v>0.428</v>
      </c>
      <c r="AG394" s="212" t="s">
        <v>208</v>
      </c>
      <c r="AH394" s="128">
        <v>4.0</v>
      </c>
      <c r="AI394" s="117">
        <v>0.03</v>
      </c>
      <c r="AJ394" s="111" t="s">
        <v>164</v>
      </c>
      <c r="AK394" s="653" t="s">
        <v>179</v>
      </c>
      <c r="AL394" s="119" t="s">
        <v>129</v>
      </c>
      <c r="AM394" s="128" t="s">
        <v>165</v>
      </c>
      <c r="AN394" s="117">
        <v>27.0</v>
      </c>
      <c r="AO394" s="116" t="s">
        <v>165</v>
      </c>
      <c r="AP394" s="112"/>
      <c r="AQ394" s="214" t="s">
        <v>892</v>
      </c>
      <c r="AR394" s="116" t="s">
        <v>165</v>
      </c>
      <c r="AS394" s="116" t="s">
        <v>165</v>
      </c>
      <c r="AT394" s="111" t="s">
        <v>179</v>
      </c>
      <c r="AU394" s="111" t="s">
        <v>132</v>
      </c>
      <c r="AV394" s="128" t="s">
        <v>165</v>
      </c>
      <c r="AW394" s="648" t="s">
        <v>434</v>
      </c>
      <c r="AX394" s="115" t="s">
        <v>2173</v>
      </c>
      <c r="AY394" s="110" t="s">
        <v>135</v>
      </c>
      <c r="AZ394" s="64"/>
      <c r="BA394" s="64"/>
      <c r="BB394" s="64"/>
      <c r="BC394" s="64"/>
      <c r="BD394" s="64"/>
      <c r="BE394" s="64"/>
      <c r="BF394" s="64"/>
      <c r="BG394" s="64"/>
      <c r="BH394" s="64"/>
      <c r="BI394" s="64"/>
      <c r="BJ394" s="64"/>
      <c r="BK394" s="64"/>
      <c r="BL394" s="64"/>
      <c r="BM394" s="64"/>
      <c r="BN394" s="64"/>
      <c r="BO394" s="64"/>
      <c r="BP394" s="64"/>
      <c r="BQ394" s="64"/>
      <c r="BR394" s="64"/>
      <c r="BS394" s="64"/>
      <c r="BT394" s="64"/>
      <c r="BU394" s="64"/>
      <c r="BV394" s="64"/>
      <c r="BW394" s="64"/>
      <c r="BX394" s="64"/>
      <c r="BY394" s="64"/>
      <c r="BZ394" s="64"/>
      <c r="CA394" s="64"/>
      <c r="CB394" s="64"/>
      <c r="CC394" s="64"/>
      <c r="CD394" s="64"/>
      <c r="CE394" s="64"/>
      <c r="CF394" s="64"/>
      <c r="CG394" s="64"/>
      <c r="CH394" s="64"/>
      <c r="CI394" s="64"/>
      <c r="CJ394" s="64"/>
      <c r="CK394" s="64"/>
      <c r="CL394" s="64"/>
      <c r="CM394" s="64"/>
      <c r="CN394" s="64"/>
      <c r="CO394" s="64"/>
      <c r="CP394" s="64"/>
      <c r="CQ394" s="64"/>
      <c r="CR394" s="64"/>
      <c r="CS394" s="64"/>
      <c r="CT394" s="64"/>
      <c r="CU394" s="64"/>
      <c r="CV394" s="64"/>
      <c r="CW394" s="64"/>
      <c r="CX394" s="64"/>
      <c r="CY394" s="64"/>
      <c r="CZ394" s="64"/>
      <c r="DA394" s="64"/>
      <c r="DB394" s="64"/>
      <c r="DC394" s="64"/>
      <c r="DD394" s="64"/>
      <c r="DE394" s="64"/>
      <c r="DF394" s="64"/>
      <c r="DG394" s="64"/>
    </row>
    <row r="395" ht="20.25" customHeight="1">
      <c r="A395" s="441" t="s">
        <v>143</v>
      </c>
      <c r="B395" s="441" t="s">
        <v>107</v>
      </c>
      <c r="C395" s="110" t="s">
        <v>1455</v>
      </c>
      <c r="D395" s="95"/>
      <c r="E395" s="108" t="s">
        <v>2114</v>
      </c>
      <c r="F395" s="112" t="s">
        <v>2176</v>
      </c>
      <c r="G395" s="112" t="s">
        <v>1548</v>
      </c>
      <c r="H395" s="502">
        <v>45640.0</v>
      </c>
      <c r="I395" s="503">
        <v>45671.0</v>
      </c>
      <c r="J395" s="119"/>
      <c r="K395" s="119"/>
      <c r="L395" s="112" t="s">
        <v>2118</v>
      </c>
      <c r="M395" s="112" t="s">
        <v>2119</v>
      </c>
      <c r="N395" s="128">
        <v>1.0</v>
      </c>
      <c r="O395" s="212" t="str">
        <f t="shared" si="24"/>
        <v>10.1089--cyber.2015.0311.pdf</v>
      </c>
      <c r="P395" s="48" t="str">
        <f t="array" ref="P395">HYPERLINK(INDEX('File Links'!B:B, MATCH(O395, 'File Links'!C:C, 0)))
</f>
        <v>https://drive.google.com/file/d/1UOcUsx-QUxFrulQIBnkUuR_13YgQP2Vd/view?usp=drivesdk</v>
      </c>
      <c r="Q395" s="112" t="s">
        <v>2120</v>
      </c>
      <c r="R395" s="112" t="s">
        <v>2121</v>
      </c>
      <c r="S395" s="119"/>
      <c r="T395" s="134">
        <v>1.0</v>
      </c>
      <c r="U395" s="112" t="str">
        <f t="shared" si="25"/>
        <v>10.1016--j.bbr.2024.115096.pdf</v>
      </c>
      <c r="V395" s="522" t="s">
        <v>1696</v>
      </c>
      <c r="W395" s="45" t="str">
        <f t="array" ref="W395">HYPERLINK(INDEX('File Links'!B:B, MATCH(U395, 'File Links'!C:C, 0)))
</f>
        <v>#N/A</v>
      </c>
      <c r="X395" s="119"/>
      <c r="Y395" s="112" t="s">
        <v>139</v>
      </c>
      <c r="Z395" s="112" t="s">
        <v>2122</v>
      </c>
      <c r="AA395" s="112" t="s">
        <v>2123</v>
      </c>
      <c r="AB395" s="112" t="s">
        <v>2177</v>
      </c>
      <c r="AC395" s="112" t="s">
        <v>2178</v>
      </c>
      <c r="AD395" s="117">
        <v>4.0</v>
      </c>
      <c r="AE395" s="117">
        <v>20.0</v>
      </c>
      <c r="AF395" s="117">
        <v>0.15</v>
      </c>
      <c r="AG395" s="212" t="s">
        <v>208</v>
      </c>
      <c r="AH395" s="128">
        <v>4.0</v>
      </c>
      <c r="AI395" s="117">
        <v>0.059</v>
      </c>
      <c r="AJ395" s="111" t="s">
        <v>164</v>
      </c>
      <c r="AK395" s="119" t="s">
        <v>179</v>
      </c>
      <c r="AL395" s="119" t="s">
        <v>129</v>
      </c>
      <c r="AM395" s="128" t="s">
        <v>165</v>
      </c>
      <c r="AN395" s="117">
        <v>27.0</v>
      </c>
      <c r="AO395" s="117">
        <v>0.47</v>
      </c>
      <c r="AP395" s="112" t="s">
        <v>166</v>
      </c>
      <c r="AQ395" s="214" t="s">
        <v>892</v>
      </c>
      <c r="AR395" s="117">
        <v>0.125</v>
      </c>
      <c r="AS395" s="111" t="s">
        <v>164</v>
      </c>
      <c r="AT395" s="111" t="s">
        <v>179</v>
      </c>
      <c r="AU395" s="111" t="s">
        <v>132</v>
      </c>
      <c r="AV395" s="128" t="s">
        <v>165</v>
      </c>
      <c r="AW395" s="648" t="s">
        <v>434</v>
      </c>
      <c r="AX395" s="55"/>
      <c r="AY395" s="110" t="s">
        <v>135</v>
      </c>
      <c r="AZ395" s="64"/>
      <c r="BA395" s="64"/>
      <c r="BB395" s="64"/>
      <c r="BC395" s="64"/>
      <c r="BD395" s="64"/>
      <c r="BE395" s="64"/>
      <c r="BF395" s="64"/>
      <c r="BG395" s="64"/>
      <c r="BH395" s="64"/>
      <c r="BI395" s="64"/>
      <c r="BJ395" s="64"/>
      <c r="BK395" s="64"/>
      <c r="BL395" s="64"/>
      <c r="BM395" s="64"/>
      <c r="BN395" s="64"/>
      <c r="BO395" s="64"/>
      <c r="BP395" s="64"/>
      <c r="BQ395" s="64"/>
      <c r="BR395" s="64"/>
      <c r="BS395" s="64"/>
      <c r="BT395" s="64"/>
      <c r="BU395" s="64"/>
      <c r="BV395" s="64"/>
      <c r="BW395" s="64"/>
      <c r="BX395" s="64"/>
      <c r="BY395" s="64"/>
      <c r="BZ395" s="64"/>
      <c r="CA395" s="64"/>
      <c r="CB395" s="64"/>
      <c r="CC395" s="64"/>
      <c r="CD395" s="64"/>
      <c r="CE395" s="64"/>
      <c r="CF395" s="64"/>
      <c r="CG395" s="64"/>
      <c r="CH395" s="64"/>
      <c r="CI395" s="64"/>
      <c r="CJ395" s="64"/>
      <c r="CK395" s="64"/>
      <c r="CL395" s="64"/>
      <c r="CM395" s="64"/>
      <c r="CN395" s="64"/>
      <c r="CO395" s="64"/>
      <c r="CP395" s="64"/>
      <c r="CQ395" s="64"/>
      <c r="CR395" s="64"/>
      <c r="CS395" s="64"/>
      <c r="CT395" s="64"/>
      <c r="CU395" s="64"/>
      <c r="CV395" s="64"/>
      <c r="CW395" s="64"/>
      <c r="CX395" s="64"/>
      <c r="CY395" s="64"/>
      <c r="CZ395" s="64"/>
      <c r="DA395" s="64"/>
      <c r="DB395" s="64"/>
      <c r="DC395" s="64"/>
      <c r="DD395" s="64"/>
      <c r="DE395" s="64"/>
      <c r="DF395" s="64"/>
      <c r="DG395" s="64"/>
    </row>
    <row r="396" ht="20.25" customHeight="1">
      <c r="A396" s="441" t="s">
        <v>143</v>
      </c>
      <c r="B396" s="441" t="s">
        <v>107</v>
      </c>
      <c r="C396" s="110" t="s">
        <v>1455</v>
      </c>
      <c r="D396" s="95"/>
      <c r="E396" s="108" t="s">
        <v>2114</v>
      </c>
      <c r="F396" s="112" t="s">
        <v>2179</v>
      </c>
      <c r="G396" s="112" t="s">
        <v>1548</v>
      </c>
      <c r="H396" s="502">
        <v>45640.0</v>
      </c>
      <c r="I396" s="503">
        <v>45671.0</v>
      </c>
      <c r="J396" s="119"/>
      <c r="K396" s="119"/>
      <c r="L396" s="112" t="s">
        <v>2118</v>
      </c>
      <c r="M396" s="112" t="s">
        <v>2119</v>
      </c>
      <c r="N396" s="128">
        <v>1.0</v>
      </c>
      <c r="O396" s="212" t="str">
        <f t="shared" si="24"/>
        <v>10.1089--cyber.2015.0311.pdf</v>
      </c>
      <c r="P396" s="48" t="str">
        <f t="array" ref="P396">HYPERLINK(INDEX('File Links'!B:B, MATCH(O396, 'File Links'!C:C, 0)))
</f>
        <v>https://drive.google.com/file/d/1UOcUsx-QUxFrulQIBnkUuR_13YgQP2Vd/view?usp=drivesdk</v>
      </c>
      <c r="Q396" s="112" t="s">
        <v>2120</v>
      </c>
      <c r="R396" s="112" t="s">
        <v>2121</v>
      </c>
      <c r="S396" s="119"/>
      <c r="T396" s="134">
        <v>1.0</v>
      </c>
      <c r="U396" s="112" t="str">
        <f t="shared" si="25"/>
        <v>10.1016--j.bbr.2024.115096.pdf</v>
      </c>
      <c r="V396" s="522" t="s">
        <v>1696</v>
      </c>
      <c r="W396" s="45" t="str">
        <f t="array" ref="W396">HYPERLINK(INDEX('File Links'!B:B, MATCH(U396, 'File Links'!C:C, 0)))
</f>
        <v>#N/A</v>
      </c>
      <c r="X396" s="119"/>
      <c r="Y396" s="112" t="s">
        <v>139</v>
      </c>
      <c r="Z396" s="112" t="s">
        <v>2122</v>
      </c>
      <c r="AA396" s="112" t="s">
        <v>2123</v>
      </c>
      <c r="AB396" s="112" t="s">
        <v>2180</v>
      </c>
      <c r="AC396" s="112" t="s">
        <v>2178</v>
      </c>
      <c r="AD396" s="117">
        <v>4.0</v>
      </c>
      <c r="AE396" s="117">
        <v>20.0</v>
      </c>
      <c r="AF396" s="117">
        <v>0.15</v>
      </c>
      <c r="AG396" s="212" t="s">
        <v>208</v>
      </c>
      <c r="AH396" s="128">
        <v>4.0</v>
      </c>
      <c r="AI396" s="117">
        <v>0.059</v>
      </c>
      <c r="AJ396" s="111" t="s">
        <v>164</v>
      </c>
      <c r="AK396" s="119" t="s">
        <v>179</v>
      </c>
      <c r="AL396" s="119" t="s">
        <v>129</v>
      </c>
      <c r="AM396" s="128" t="s">
        <v>165</v>
      </c>
      <c r="AN396" s="117">
        <v>27.0</v>
      </c>
      <c r="AO396" s="117">
        <v>1.13</v>
      </c>
      <c r="AP396" s="112" t="s">
        <v>166</v>
      </c>
      <c r="AQ396" s="214" t="s">
        <v>892</v>
      </c>
      <c r="AR396" s="117">
        <v>0.001</v>
      </c>
      <c r="AS396" s="111" t="s">
        <v>127</v>
      </c>
      <c r="AT396" s="111" t="s">
        <v>179</v>
      </c>
      <c r="AU396" s="111" t="s">
        <v>132</v>
      </c>
      <c r="AV396" s="128" t="s">
        <v>165</v>
      </c>
      <c r="AW396" s="648" t="s">
        <v>434</v>
      </c>
      <c r="AX396" s="55"/>
      <c r="AY396" s="110" t="s">
        <v>135</v>
      </c>
      <c r="AZ396" s="64"/>
      <c r="BA396" s="64"/>
      <c r="BB396" s="64"/>
      <c r="BC396" s="64"/>
      <c r="BD396" s="64"/>
      <c r="BE396" s="64"/>
      <c r="BF396" s="64"/>
      <c r="BG396" s="64"/>
      <c r="BH396" s="64"/>
      <c r="BI396" s="64"/>
      <c r="BJ396" s="64"/>
      <c r="BK396" s="64"/>
      <c r="BL396" s="64"/>
      <c r="BM396" s="64"/>
      <c r="BN396" s="64"/>
      <c r="BO396" s="64"/>
      <c r="BP396" s="64"/>
      <c r="BQ396" s="64"/>
      <c r="BR396" s="64"/>
      <c r="BS396" s="64"/>
      <c r="BT396" s="64"/>
      <c r="BU396" s="64"/>
      <c r="BV396" s="64"/>
      <c r="BW396" s="64"/>
      <c r="BX396" s="64"/>
      <c r="BY396" s="64"/>
      <c r="BZ396" s="64"/>
      <c r="CA396" s="64"/>
      <c r="CB396" s="64"/>
      <c r="CC396" s="64"/>
      <c r="CD396" s="64"/>
      <c r="CE396" s="64"/>
      <c r="CF396" s="64"/>
      <c r="CG396" s="64"/>
      <c r="CH396" s="64"/>
      <c r="CI396" s="64"/>
      <c r="CJ396" s="64"/>
      <c r="CK396" s="64"/>
      <c r="CL396" s="64"/>
      <c r="CM396" s="64"/>
      <c r="CN396" s="64"/>
      <c r="CO396" s="64"/>
      <c r="CP396" s="64"/>
      <c r="CQ396" s="64"/>
      <c r="CR396" s="64"/>
      <c r="CS396" s="64"/>
      <c r="CT396" s="64"/>
      <c r="CU396" s="64"/>
      <c r="CV396" s="64"/>
      <c r="CW396" s="64"/>
      <c r="CX396" s="64"/>
      <c r="CY396" s="64"/>
      <c r="CZ396" s="64"/>
      <c r="DA396" s="64"/>
      <c r="DB396" s="64"/>
      <c r="DC396" s="64"/>
      <c r="DD396" s="64"/>
      <c r="DE396" s="64"/>
      <c r="DF396" s="64"/>
      <c r="DG396" s="64"/>
    </row>
    <row r="397" ht="20.25" customHeight="1">
      <c r="A397" s="654" t="s">
        <v>143</v>
      </c>
      <c r="B397" s="654" t="s">
        <v>107</v>
      </c>
      <c r="C397" s="654" t="s">
        <v>1821</v>
      </c>
      <c r="D397" s="632"/>
      <c r="E397" s="655" t="s">
        <v>2181</v>
      </c>
      <c r="F397" s="656" t="s">
        <v>2182</v>
      </c>
      <c r="G397" s="656" t="s">
        <v>1822</v>
      </c>
      <c r="H397" s="657">
        <v>45642.0</v>
      </c>
      <c r="I397" s="503">
        <v>45671.0</v>
      </c>
      <c r="J397" s="656" t="s">
        <v>2183</v>
      </c>
      <c r="K397" s="347" t="s">
        <v>2184</v>
      </c>
      <c r="L397" s="656" t="s">
        <v>2185</v>
      </c>
      <c r="M397" s="656" t="s">
        <v>2186</v>
      </c>
      <c r="N397" s="658">
        <v>1.0</v>
      </c>
      <c r="O397" s="659" t="str">
        <f t="shared" ref="O397:O416" si="26"> SUBSTITUTE(lower(M397), "/", "--") &amp;  ".pdf"</f>
        <v>10.1037--0021-9010.77.4.419.pdf</v>
      </c>
      <c r="P397" s="48" t="str">
        <f t="array" ref="P397">HYPERLINK(INDEX('File Links'!B:B, MATCH(O397, 'File Links'!C:C, 0)))
</f>
        <v>https://drive.google.com/file/d/1XtfL3wumyr6mb9iCgCxuHmUHHvQhg4yN/view?usp=drivesdk</v>
      </c>
      <c r="Q397" s="656" t="s">
        <v>2187</v>
      </c>
      <c r="R397" s="656" t="s">
        <v>2188</v>
      </c>
      <c r="S397" s="660"/>
      <c r="T397" s="659" t="s">
        <v>2189</v>
      </c>
      <c r="U397" s="656" t="str">
        <f t="shared" ref="U397:U449" si="27"> hyperlink(vlookup(lower(R397),#REF!, 2, FALSE), SUBSTITUTE(lower(R397), "/", "--") &amp;  ".pdf")</f>
        <v>10.1037--xap0000321.pdf</v>
      </c>
      <c r="V397" s="656" t="s">
        <v>2190</v>
      </c>
      <c r="W397" s="45" t="str">
        <f t="array" ref="W397">HYPERLINK(INDEX('File Links'!B:B, MATCH(U397, 'File Links'!C:C, 0)))
</f>
        <v>#N/A</v>
      </c>
      <c r="X397" s="660"/>
      <c r="Y397" s="656" t="s">
        <v>203</v>
      </c>
      <c r="Z397" s="656" t="s">
        <v>2191</v>
      </c>
      <c r="AA397" s="656" t="s">
        <v>2192</v>
      </c>
      <c r="AB397" s="656" t="s">
        <v>2193</v>
      </c>
      <c r="AC397" s="656" t="s">
        <v>2194</v>
      </c>
      <c r="AD397" s="661">
        <v>5.0</v>
      </c>
      <c r="AE397" s="661">
        <v>60.0</v>
      </c>
      <c r="AF397" s="661">
        <v>0.598</v>
      </c>
      <c r="AG397" s="659" t="s">
        <v>166</v>
      </c>
      <c r="AH397" s="661">
        <f>(5.1-4)/SQRT(((30-1)*1.7^2+(30-1)*1.97^2)/(30+30-2))</f>
        <v>0.5978393308</v>
      </c>
      <c r="AI397" s="661">
        <v>0.05</v>
      </c>
      <c r="AJ397" s="655" t="s">
        <v>127</v>
      </c>
      <c r="AK397" s="373" t="s">
        <v>179</v>
      </c>
      <c r="AL397" s="662" t="s">
        <v>129</v>
      </c>
      <c r="AM397" s="656" t="s">
        <v>165</v>
      </c>
      <c r="AN397" s="661">
        <v>404.0</v>
      </c>
      <c r="AO397" s="661">
        <v>-0.04</v>
      </c>
      <c r="AP397" s="656" t="s">
        <v>166</v>
      </c>
      <c r="AQ397" s="656" t="s">
        <v>2195</v>
      </c>
      <c r="AR397" s="661">
        <v>0.77</v>
      </c>
      <c r="AS397" s="655" t="s">
        <v>164</v>
      </c>
      <c r="AT397" s="381" t="s">
        <v>179</v>
      </c>
      <c r="AU397" s="663" t="s">
        <v>165</v>
      </c>
      <c r="AV397" s="655" t="s">
        <v>165</v>
      </c>
      <c r="AW397" s="655" t="s">
        <v>134</v>
      </c>
      <c r="AX397" s="115"/>
      <c r="AY397" s="110" t="s">
        <v>135</v>
      </c>
      <c r="AZ397" s="64"/>
      <c r="BA397" s="64"/>
      <c r="BB397" s="64"/>
      <c r="BC397" s="64"/>
      <c r="BD397" s="64"/>
      <c r="BE397" s="64"/>
      <c r="BF397" s="64"/>
      <c r="BG397" s="64"/>
      <c r="BH397" s="64"/>
      <c r="BI397" s="64"/>
      <c r="BJ397" s="64"/>
      <c r="BK397" s="64"/>
      <c r="BL397" s="64"/>
      <c r="BM397" s="64"/>
      <c r="BN397" s="64"/>
      <c r="BO397" s="64"/>
      <c r="BP397" s="64"/>
      <c r="BQ397" s="64"/>
      <c r="BR397" s="64"/>
      <c r="BS397" s="64"/>
      <c r="BT397" s="64"/>
      <c r="BU397" s="64"/>
      <c r="BV397" s="64"/>
      <c r="BW397" s="64"/>
      <c r="BX397" s="64"/>
      <c r="BY397" s="64"/>
      <c r="BZ397" s="64"/>
      <c r="CA397" s="64"/>
      <c r="CB397" s="64"/>
      <c r="CC397" s="64"/>
      <c r="CD397" s="64"/>
      <c r="CE397" s="64"/>
      <c r="CF397" s="64"/>
      <c r="CG397" s="64"/>
      <c r="CH397" s="64"/>
      <c r="CI397" s="64"/>
      <c r="CJ397" s="64"/>
      <c r="CK397" s="64"/>
      <c r="CL397" s="64"/>
      <c r="CM397" s="64"/>
      <c r="CN397" s="64"/>
      <c r="CO397" s="64"/>
      <c r="CP397" s="64"/>
      <c r="CQ397" s="64"/>
      <c r="CR397" s="64"/>
      <c r="CS397" s="64"/>
      <c r="CT397" s="64"/>
      <c r="CU397" s="64"/>
      <c r="CV397" s="64"/>
      <c r="CW397" s="64"/>
      <c r="CX397" s="64"/>
      <c r="CY397" s="64"/>
      <c r="CZ397" s="64"/>
      <c r="DA397" s="64"/>
      <c r="DB397" s="64"/>
      <c r="DC397" s="64"/>
      <c r="DD397" s="64"/>
      <c r="DE397" s="64"/>
      <c r="DF397" s="64"/>
      <c r="DG397" s="64"/>
    </row>
    <row r="398" ht="20.25" customHeight="1">
      <c r="A398" s="371" t="s">
        <v>106</v>
      </c>
      <c r="B398" s="371" t="s">
        <v>107</v>
      </c>
      <c r="C398" s="371" t="s">
        <v>2196</v>
      </c>
      <c r="D398" s="209"/>
      <c r="E398" s="381" t="s">
        <v>2181</v>
      </c>
      <c r="F398" s="373" t="s">
        <v>2182</v>
      </c>
      <c r="G398" s="381" t="s">
        <v>2197</v>
      </c>
      <c r="H398" s="664">
        <v>45640.0</v>
      </c>
      <c r="I398" s="503">
        <v>45671.0</v>
      </c>
      <c r="J398" s="372"/>
      <c r="K398" s="372"/>
      <c r="L398" s="381" t="s">
        <v>2185</v>
      </c>
      <c r="M398" s="381" t="s">
        <v>2186</v>
      </c>
      <c r="N398" s="372"/>
      <c r="O398" s="381" t="str">
        <f t="shared" si="26"/>
        <v>10.1037--0021-9010.77.4.419.pdf</v>
      </c>
      <c r="P398" s="48" t="str">
        <f t="array" ref="P398">HYPERLINK(INDEX('File Links'!B:B, MATCH(O398, 'File Links'!C:C, 0)))
</f>
        <v>https://drive.google.com/file/d/1XtfL3wumyr6mb9iCgCxuHmUHHvQhg4yN/view?usp=drivesdk</v>
      </c>
      <c r="Q398" s="381" t="s">
        <v>2187</v>
      </c>
      <c r="R398" s="381" t="s">
        <v>2188</v>
      </c>
      <c r="S398" s="372"/>
      <c r="T398" s="665">
        <v>1.0</v>
      </c>
      <c r="U398" s="381" t="str">
        <f t="shared" si="27"/>
        <v>10.1037--xap0000321.pdf</v>
      </c>
      <c r="V398" s="381" t="s">
        <v>2198</v>
      </c>
      <c r="W398" s="45" t="str">
        <f t="array" ref="W398">HYPERLINK(INDEX('File Links'!B:B, MATCH(U398, 'File Links'!C:C, 0)))
</f>
        <v>#N/A</v>
      </c>
      <c r="X398" s="372"/>
      <c r="Y398" s="381" t="s">
        <v>1820</v>
      </c>
      <c r="Z398" s="381" t="s">
        <v>2199</v>
      </c>
      <c r="AA398" s="381" t="s">
        <v>2200</v>
      </c>
      <c r="AB398" s="381" t="s">
        <v>2201</v>
      </c>
      <c r="AC398" s="381" t="s">
        <v>2202</v>
      </c>
      <c r="AD398" s="666">
        <v>45448.0</v>
      </c>
      <c r="AE398" s="665">
        <v>193.0</v>
      </c>
      <c r="AF398" s="381" t="s">
        <v>2203</v>
      </c>
      <c r="AG398" s="377" t="s">
        <v>1051</v>
      </c>
      <c r="AH398" s="373" t="s">
        <v>131</v>
      </c>
      <c r="AI398" s="380">
        <v>0.001</v>
      </c>
      <c r="AJ398" s="381" t="s">
        <v>127</v>
      </c>
      <c r="AK398" s="373" t="s">
        <v>179</v>
      </c>
      <c r="AL398" s="381" t="s">
        <v>129</v>
      </c>
      <c r="AM398" s="656" t="s">
        <v>165</v>
      </c>
      <c r="AN398" s="665">
        <v>205.0</v>
      </c>
      <c r="AO398" s="665">
        <v>0.003</v>
      </c>
      <c r="AP398" s="372" t="s">
        <v>130</v>
      </c>
      <c r="AQ398" s="381" t="s">
        <v>131</v>
      </c>
      <c r="AR398" s="665">
        <v>0.81</v>
      </c>
      <c r="AS398" s="381" t="s">
        <v>164</v>
      </c>
      <c r="AT398" s="381" t="s">
        <v>179</v>
      </c>
      <c r="AU398" s="381" t="s">
        <v>129</v>
      </c>
      <c r="AV398" s="655" t="s">
        <v>165</v>
      </c>
      <c r="AW398" s="381" t="s">
        <v>134</v>
      </c>
      <c r="AX398" s="60"/>
      <c r="AY398" s="110" t="s">
        <v>135</v>
      </c>
      <c r="AZ398" s="64"/>
      <c r="BA398" s="64"/>
      <c r="BB398" s="64"/>
      <c r="BC398" s="64"/>
      <c r="BD398" s="64"/>
      <c r="BE398" s="64"/>
      <c r="BF398" s="64"/>
      <c r="BG398" s="64"/>
      <c r="BH398" s="64"/>
      <c r="BI398" s="64"/>
      <c r="BJ398" s="64"/>
      <c r="BK398" s="64"/>
      <c r="BL398" s="64"/>
      <c r="BM398" s="64"/>
      <c r="BN398" s="64"/>
      <c r="BO398" s="64"/>
      <c r="BP398" s="64"/>
      <c r="BQ398" s="64"/>
      <c r="BR398" s="64"/>
      <c r="BS398" s="64"/>
      <c r="BT398" s="64"/>
      <c r="BU398" s="64"/>
      <c r="BV398" s="64"/>
      <c r="BW398" s="64"/>
      <c r="BX398" s="64"/>
      <c r="BY398" s="64"/>
      <c r="BZ398" s="64"/>
      <c r="CA398" s="64"/>
      <c r="CB398" s="64"/>
      <c r="CC398" s="64"/>
      <c r="CD398" s="64"/>
      <c r="CE398" s="64"/>
      <c r="CF398" s="64"/>
      <c r="CG398" s="64"/>
      <c r="CH398" s="64"/>
      <c r="CI398" s="64"/>
      <c r="CJ398" s="64"/>
      <c r="CK398" s="64"/>
      <c r="CL398" s="64"/>
      <c r="CM398" s="64"/>
      <c r="CN398" s="64"/>
      <c r="CO398" s="64"/>
      <c r="CP398" s="64"/>
      <c r="CQ398" s="64"/>
      <c r="CR398" s="64"/>
      <c r="CS398" s="64"/>
      <c r="CT398" s="64"/>
      <c r="CU398" s="64"/>
      <c r="CV398" s="64"/>
      <c r="CW398" s="64"/>
      <c r="CX398" s="64"/>
      <c r="CY398" s="64"/>
      <c r="CZ398" s="64"/>
      <c r="DA398" s="64"/>
      <c r="DB398" s="64"/>
      <c r="DC398" s="64"/>
      <c r="DD398" s="64"/>
      <c r="DE398" s="64"/>
      <c r="DF398" s="64"/>
      <c r="DG398" s="64"/>
    </row>
    <row r="399" ht="20.25" customHeight="1">
      <c r="A399" s="654" t="s">
        <v>143</v>
      </c>
      <c r="B399" s="654" t="s">
        <v>107</v>
      </c>
      <c r="C399" s="654" t="s">
        <v>1821</v>
      </c>
      <c r="D399" s="632"/>
      <c r="E399" s="655" t="s">
        <v>2181</v>
      </c>
      <c r="F399" s="667" t="s">
        <v>2204</v>
      </c>
      <c r="G399" s="656" t="s">
        <v>1822</v>
      </c>
      <c r="H399" s="657">
        <v>45642.0</v>
      </c>
      <c r="I399" s="503">
        <v>45671.0</v>
      </c>
      <c r="J399" s="656" t="s">
        <v>2183</v>
      </c>
      <c r="K399" s="347" t="s">
        <v>2184</v>
      </c>
      <c r="L399" s="656" t="s">
        <v>2185</v>
      </c>
      <c r="M399" s="656" t="s">
        <v>2186</v>
      </c>
      <c r="N399" s="658">
        <v>1.0</v>
      </c>
      <c r="O399" s="659" t="str">
        <f t="shared" si="26"/>
        <v>10.1037--0021-9010.77.4.419.pdf</v>
      </c>
      <c r="P399" s="48" t="str">
        <f t="array" ref="P399">HYPERLINK(INDEX('File Links'!B:B, MATCH(O399, 'File Links'!C:C, 0)))
</f>
        <v>https://drive.google.com/file/d/1XtfL3wumyr6mb9iCgCxuHmUHHvQhg4yN/view?usp=drivesdk</v>
      </c>
      <c r="Q399" s="656" t="s">
        <v>2187</v>
      </c>
      <c r="R399" s="656" t="s">
        <v>2188</v>
      </c>
      <c r="S399" s="660"/>
      <c r="T399" s="659" t="s">
        <v>2189</v>
      </c>
      <c r="U399" s="656" t="str">
        <f t="shared" si="27"/>
        <v>10.1037--xap0000321.pdf</v>
      </c>
      <c r="V399" s="656" t="s">
        <v>2190</v>
      </c>
      <c r="W399" s="45" t="str">
        <f t="array" ref="W399">HYPERLINK(INDEX('File Links'!B:B, MATCH(U399, 'File Links'!C:C, 0)))
</f>
        <v>#N/A</v>
      </c>
      <c r="X399" s="660"/>
      <c r="Y399" s="656" t="s">
        <v>203</v>
      </c>
      <c r="Z399" s="656" t="s">
        <v>2191</v>
      </c>
      <c r="AA399" s="656" t="s">
        <v>2192</v>
      </c>
      <c r="AB399" s="656" t="s">
        <v>2193</v>
      </c>
      <c r="AC399" s="656" t="s">
        <v>2205</v>
      </c>
      <c r="AD399" s="661">
        <v>5.0</v>
      </c>
      <c r="AE399" s="661">
        <v>60.0</v>
      </c>
      <c r="AF399" s="661">
        <v>-0.374</v>
      </c>
      <c r="AG399" s="659" t="s">
        <v>166</v>
      </c>
      <c r="AH399" s="661">
        <f>(5.1-5.8)/SQRT(((30-1)*1.7^2+(30-1)*2.03^2)/(30+30-2))</f>
        <v>-0.3738747637</v>
      </c>
      <c r="AI399" s="661">
        <v>0.05</v>
      </c>
      <c r="AJ399" s="655" t="s">
        <v>329</v>
      </c>
      <c r="AK399" s="373" t="s">
        <v>179</v>
      </c>
      <c r="AL399" s="662" t="s">
        <v>129</v>
      </c>
      <c r="AM399" s="656" t="s">
        <v>165</v>
      </c>
      <c r="AN399" s="661">
        <v>404.0</v>
      </c>
      <c r="AO399" s="661">
        <v>0.03</v>
      </c>
      <c r="AP399" s="656" t="s">
        <v>166</v>
      </c>
      <c r="AQ399" s="656" t="s">
        <v>2195</v>
      </c>
      <c r="AR399" s="661">
        <v>0.55</v>
      </c>
      <c r="AS399" s="655" t="s">
        <v>164</v>
      </c>
      <c r="AT399" s="381" t="s">
        <v>179</v>
      </c>
      <c r="AU399" s="663" t="s">
        <v>165</v>
      </c>
      <c r="AV399" s="655" t="s">
        <v>165</v>
      </c>
      <c r="AW399" s="655" t="s">
        <v>134</v>
      </c>
      <c r="AX399" s="115"/>
      <c r="AY399" s="110" t="s">
        <v>135</v>
      </c>
      <c r="AZ399" s="64"/>
      <c r="BA399" s="64"/>
      <c r="BB399" s="64"/>
      <c r="BC399" s="64"/>
      <c r="BD399" s="64"/>
      <c r="BE399" s="64"/>
      <c r="BF399" s="64"/>
      <c r="BG399" s="64"/>
      <c r="BH399" s="64"/>
      <c r="BI399" s="64"/>
      <c r="BJ399" s="64"/>
      <c r="BK399" s="64"/>
      <c r="BL399" s="64"/>
      <c r="BM399" s="64"/>
      <c r="BN399" s="64"/>
      <c r="BO399" s="64"/>
      <c r="BP399" s="64"/>
      <c r="BQ399" s="64"/>
      <c r="BR399" s="64"/>
      <c r="BS399" s="64"/>
      <c r="BT399" s="64"/>
      <c r="BU399" s="64"/>
      <c r="BV399" s="64"/>
      <c r="BW399" s="64"/>
      <c r="BX399" s="64"/>
      <c r="BY399" s="64"/>
      <c r="BZ399" s="64"/>
      <c r="CA399" s="64"/>
      <c r="CB399" s="64"/>
      <c r="CC399" s="64"/>
      <c r="CD399" s="64"/>
      <c r="CE399" s="64"/>
      <c r="CF399" s="64"/>
      <c r="CG399" s="64"/>
      <c r="CH399" s="64"/>
      <c r="CI399" s="64"/>
      <c r="CJ399" s="64"/>
      <c r="CK399" s="64"/>
      <c r="CL399" s="64"/>
      <c r="CM399" s="64"/>
      <c r="CN399" s="64"/>
      <c r="CO399" s="64"/>
      <c r="CP399" s="64"/>
      <c r="CQ399" s="64"/>
      <c r="CR399" s="64"/>
      <c r="CS399" s="64"/>
      <c r="CT399" s="64"/>
      <c r="CU399" s="64"/>
      <c r="CV399" s="64"/>
      <c r="CW399" s="64"/>
      <c r="CX399" s="64"/>
      <c r="CY399" s="64"/>
      <c r="CZ399" s="64"/>
      <c r="DA399" s="64"/>
      <c r="DB399" s="64"/>
      <c r="DC399" s="64"/>
      <c r="DD399" s="64"/>
      <c r="DE399" s="64"/>
      <c r="DF399" s="64"/>
      <c r="DG399" s="64"/>
    </row>
    <row r="400" ht="20.25" customHeight="1">
      <c r="A400" s="371" t="s">
        <v>106</v>
      </c>
      <c r="B400" s="371" t="s">
        <v>107</v>
      </c>
      <c r="C400" s="371" t="s">
        <v>2196</v>
      </c>
      <c r="D400" s="209"/>
      <c r="E400" s="655" t="s">
        <v>2181</v>
      </c>
      <c r="F400" s="373" t="s">
        <v>2204</v>
      </c>
      <c r="G400" s="381" t="s">
        <v>2197</v>
      </c>
      <c r="H400" s="664">
        <v>45643.0</v>
      </c>
      <c r="I400" s="503">
        <v>45671.0</v>
      </c>
      <c r="J400" s="372"/>
      <c r="K400" s="372"/>
      <c r="L400" s="381" t="s">
        <v>2185</v>
      </c>
      <c r="M400" s="381" t="s">
        <v>2186</v>
      </c>
      <c r="N400" s="372"/>
      <c r="O400" s="381" t="str">
        <f t="shared" si="26"/>
        <v>10.1037--0021-9010.77.4.419.pdf</v>
      </c>
      <c r="P400" s="48" t="str">
        <f t="array" ref="P400">HYPERLINK(INDEX('File Links'!B:B, MATCH(O400, 'File Links'!C:C, 0)))
</f>
        <v>https://drive.google.com/file/d/1XtfL3wumyr6mb9iCgCxuHmUHHvQhg4yN/view?usp=drivesdk</v>
      </c>
      <c r="Q400" s="585" t="s">
        <v>2206</v>
      </c>
      <c r="R400" s="585" t="s">
        <v>2188</v>
      </c>
      <c r="S400" s="372"/>
      <c r="T400" s="665">
        <v>1.0</v>
      </c>
      <c r="U400" s="381" t="str">
        <f t="shared" si="27"/>
        <v>10.1037--xap0000321.pdf</v>
      </c>
      <c r="V400" s="381" t="s">
        <v>2198</v>
      </c>
      <c r="W400" s="45" t="str">
        <f t="array" ref="W400">HYPERLINK(INDEX('File Links'!B:B, MATCH(U400, 'File Links'!C:C, 0)))
</f>
        <v>#N/A</v>
      </c>
      <c r="X400" s="372"/>
      <c r="Y400" s="381" t="s">
        <v>1820</v>
      </c>
      <c r="Z400" s="381" t="s">
        <v>2199</v>
      </c>
      <c r="AA400" s="381" t="s">
        <v>2200</v>
      </c>
      <c r="AB400" s="381" t="s">
        <v>2207</v>
      </c>
      <c r="AC400" s="381" t="s">
        <v>2208</v>
      </c>
      <c r="AD400" s="665">
        <v>6.0</v>
      </c>
      <c r="AE400" s="665">
        <v>60.0</v>
      </c>
      <c r="AF400" s="381" t="s">
        <v>2209</v>
      </c>
      <c r="AG400" s="377" t="s">
        <v>1051</v>
      </c>
      <c r="AH400" s="373" t="s">
        <v>131</v>
      </c>
      <c r="AI400" s="380">
        <v>0.05</v>
      </c>
      <c r="AJ400" s="381" t="s">
        <v>127</v>
      </c>
      <c r="AK400" s="373" t="s">
        <v>179</v>
      </c>
      <c r="AL400" s="381" t="s">
        <v>129</v>
      </c>
      <c r="AM400" s="656" t="s">
        <v>165</v>
      </c>
      <c r="AN400" s="665">
        <v>205.0</v>
      </c>
      <c r="AO400" s="665">
        <v>0.003</v>
      </c>
      <c r="AP400" s="372" t="s">
        <v>130</v>
      </c>
      <c r="AQ400" s="381" t="s">
        <v>131</v>
      </c>
      <c r="AR400" s="665">
        <v>0.54</v>
      </c>
      <c r="AS400" s="381" t="s">
        <v>2210</v>
      </c>
      <c r="AT400" s="381" t="s">
        <v>179</v>
      </c>
      <c r="AU400" s="381" t="s">
        <v>129</v>
      </c>
      <c r="AV400" s="655" t="s">
        <v>165</v>
      </c>
      <c r="AW400" s="381" t="s">
        <v>134</v>
      </c>
      <c r="AX400" s="60"/>
      <c r="AY400" s="110" t="s">
        <v>135</v>
      </c>
      <c r="AZ400" s="64"/>
      <c r="BA400" s="64"/>
      <c r="BB400" s="64"/>
      <c r="BC400" s="64"/>
      <c r="BD400" s="64"/>
      <c r="BE400" s="64"/>
      <c r="BF400" s="64"/>
      <c r="BG400" s="64"/>
      <c r="BH400" s="64"/>
      <c r="BI400" s="64"/>
      <c r="BJ400" s="64"/>
      <c r="BK400" s="64"/>
      <c r="BL400" s="64"/>
      <c r="BM400" s="64"/>
      <c r="BN400" s="64"/>
      <c r="BO400" s="64"/>
      <c r="BP400" s="64"/>
      <c r="BQ400" s="64"/>
      <c r="BR400" s="64"/>
      <c r="BS400" s="64"/>
      <c r="BT400" s="64"/>
      <c r="BU400" s="64"/>
      <c r="BV400" s="64"/>
      <c r="BW400" s="64"/>
      <c r="BX400" s="64"/>
      <c r="BY400" s="64"/>
      <c r="BZ400" s="64"/>
      <c r="CA400" s="64"/>
      <c r="CB400" s="64"/>
      <c r="CC400" s="64"/>
      <c r="CD400" s="64"/>
      <c r="CE400" s="64"/>
      <c r="CF400" s="64"/>
      <c r="CG400" s="64"/>
      <c r="CH400" s="64"/>
      <c r="CI400" s="64"/>
      <c r="CJ400" s="64"/>
      <c r="CK400" s="64"/>
      <c r="CL400" s="64"/>
      <c r="CM400" s="64"/>
      <c r="CN400" s="64"/>
      <c r="CO400" s="64"/>
      <c r="CP400" s="64"/>
      <c r="CQ400" s="64"/>
      <c r="CR400" s="64"/>
      <c r="CS400" s="64"/>
      <c r="CT400" s="64"/>
      <c r="CU400" s="64"/>
      <c r="CV400" s="64"/>
      <c r="CW400" s="64"/>
      <c r="CX400" s="64"/>
      <c r="CY400" s="64"/>
      <c r="CZ400" s="64"/>
      <c r="DA400" s="64"/>
      <c r="DB400" s="64"/>
      <c r="DC400" s="64"/>
      <c r="DD400" s="64"/>
      <c r="DE400" s="64"/>
      <c r="DF400" s="64"/>
      <c r="DG400" s="64"/>
    </row>
    <row r="401" ht="20.25" customHeight="1">
      <c r="A401" s="654" t="s">
        <v>143</v>
      </c>
      <c r="B401" s="654" t="s">
        <v>107</v>
      </c>
      <c r="C401" s="654" t="s">
        <v>1821</v>
      </c>
      <c r="D401" s="632"/>
      <c r="E401" s="655" t="s">
        <v>2181</v>
      </c>
      <c r="F401" s="667" t="s">
        <v>2211</v>
      </c>
      <c r="G401" s="656" t="s">
        <v>1822</v>
      </c>
      <c r="H401" s="657">
        <v>45642.0</v>
      </c>
      <c r="I401" s="503">
        <v>45671.0</v>
      </c>
      <c r="J401" s="656" t="s">
        <v>2183</v>
      </c>
      <c r="K401" s="347" t="s">
        <v>2184</v>
      </c>
      <c r="L401" s="656" t="s">
        <v>2185</v>
      </c>
      <c r="M401" s="656" t="s">
        <v>2186</v>
      </c>
      <c r="N401" s="658">
        <v>1.0</v>
      </c>
      <c r="O401" s="659" t="str">
        <f t="shared" si="26"/>
        <v>10.1037--0021-9010.77.4.419.pdf</v>
      </c>
      <c r="P401" s="48" t="str">
        <f t="array" ref="P401">HYPERLINK(INDEX('File Links'!B:B, MATCH(O401, 'File Links'!C:C, 0)))
</f>
        <v>https://drive.google.com/file/d/1XtfL3wumyr6mb9iCgCxuHmUHHvQhg4yN/view?usp=drivesdk</v>
      </c>
      <c r="Q401" s="656" t="s">
        <v>2187</v>
      </c>
      <c r="R401" s="656" t="s">
        <v>2188</v>
      </c>
      <c r="S401" s="660"/>
      <c r="T401" s="659" t="s">
        <v>2189</v>
      </c>
      <c r="U401" s="656" t="str">
        <f t="shared" si="27"/>
        <v>10.1037--xap0000321.pdf</v>
      </c>
      <c r="V401" s="656" t="s">
        <v>2190</v>
      </c>
      <c r="W401" s="45" t="str">
        <f t="array" ref="W401">HYPERLINK(INDEX('File Links'!B:B, MATCH(U401, 'File Links'!C:C, 0)))
</f>
        <v>#N/A</v>
      </c>
      <c r="X401" s="660"/>
      <c r="Y401" s="656" t="s">
        <v>203</v>
      </c>
      <c r="Z401" s="656" t="s">
        <v>2191</v>
      </c>
      <c r="AA401" s="656" t="s">
        <v>2192</v>
      </c>
      <c r="AB401" s="656" t="s">
        <v>2193</v>
      </c>
      <c r="AC401" s="656" t="s">
        <v>2212</v>
      </c>
      <c r="AD401" s="661">
        <v>6.0</v>
      </c>
      <c r="AE401" s="661">
        <v>60.0</v>
      </c>
      <c r="AF401" s="661">
        <v>0.9</v>
      </c>
      <c r="AG401" s="659" t="s">
        <v>166</v>
      </c>
      <c r="AH401" s="661">
        <f>(5.8-4)/SQRT(((30-1)*2.03^2+(30-1)*1.97^2)/(30+30-2))</f>
        <v>0.8998987671</v>
      </c>
      <c r="AI401" s="661">
        <v>0.01</v>
      </c>
      <c r="AJ401" s="655" t="s">
        <v>127</v>
      </c>
      <c r="AK401" s="373" t="s">
        <v>179</v>
      </c>
      <c r="AL401" s="662" t="s">
        <v>129</v>
      </c>
      <c r="AM401" s="656" t="s">
        <v>165</v>
      </c>
      <c r="AN401" s="661">
        <v>404.0</v>
      </c>
      <c r="AO401" s="661">
        <v>-0.08</v>
      </c>
      <c r="AP401" s="656" t="s">
        <v>166</v>
      </c>
      <c r="AQ401" s="656" t="s">
        <v>2195</v>
      </c>
      <c r="AR401" s="661">
        <v>0.82</v>
      </c>
      <c r="AS401" s="655" t="s">
        <v>164</v>
      </c>
      <c r="AT401" s="381" t="s">
        <v>179</v>
      </c>
      <c r="AU401" s="663" t="s">
        <v>165</v>
      </c>
      <c r="AV401" s="655" t="s">
        <v>165</v>
      </c>
      <c r="AW401" s="655" t="s">
        <v>134</v>
      </c>
      <c r="AX401" s="115"/>
      <c r="AY401" s="110" t="s">
        <v>135</v>
      </c>
      <c r="AZ401" s="64"/>
      <c r="BA401" s="64"/>
      <c r="BB401" s="64"/>
      <c r="BC401" s="64"/>
      <c r="BD401" s="64"/>
      <c r="BE401" s="64"/>
      <c r="BF401" s="64"/>
      <c r="BG401" s="64"/>
      <c r="BH401" s="64"/>
      <c r="BI401" s="64"/>
      <c r="BJ401" s="64"/>
      <c r="BK401" s="64"/>
      <c r="BL401" s="64"/>
      <c r="BM401" s="64"/>
      <c r="BN401" s="64"/>
      <c r="BO401" s="64"/>
      <c r="BP401" s="64"/>
      <c r="BQ401" s="64"/>
      <c r="BR401" s="64"/>
      <c r="BS401" s="64"/>
      <c r="BT401" s="64"/>
      <c r="BU401" s="64"/>
      <c r="BV401" s="64"/>
      <c r="BW401" s="64"/>
      <c r="BX401" s="64"/>
      <c r="BY401" s="64"/>
      <c r="BZ401" s="64"/>
      <c r="CA401" s="64"/>
      <c r="CB401" s="64"/>
      <c r="CC401" s="64"/>
      <c r="CD401" s="64"/>
      <c r="CE401" s="64"/>
      <c r="CF401" s="64"/>
      <c r="CG401" s="64"/>
      <c r="CH401" s="64"/>
      <c r="CI401" s="64"/>
      <c r="CJ401" s="64"/>
      <c r="CK401" s="64"/>
      <c r="CL401" s="64"/>
      <c r="CM401" s="64"/>
      <c r="CN401" s="64"/>
      <c r="CO401" s="64"/>
      <c r="CP401" s="64"/>
      <c r="CQ401" s="64"/>
      <c r="CR401" s="64"/>
      <c r="CS401" s="64"/>
      <c r="CT401" s="64"/>
      <c r="CU401" s="64"/>
      <c r="CV401" s="64"/>
      <c r="CW401" s="64"/>
      <c r="CX401" s="64"/>
      <c r="CY401" s="64"/>
      <c r="CZ401" s="64"/>
      <c r="DA401" s="64"/>
      <c r="DB401" s="64"/>
      <c r="DC401" s="64"/>
      <c r="DD401" s="64"/>
      <c r="DE401" s="64"/>
      <c r="DF401" s="64"/>
      <c r="DG401" s="64"/>
    </row>
    <row r="402" ht="20.25" customHeight="1">
      <c r="A402" s="371" t="s">
        <v>106</v>
      </c>
      <c r="B402" s="371" t="s">
        <v>107</v>
      </c>
      <c r="C402" s="371" t="s">
        <v>2196</v>
      </c>
      <c r="D402" s="209"/>
      <c r="E402" s="655" t="s">
        <v>2181</v>
      </c>
      <c r="F402" s="373" t="s">
        <v>2211</v>
      </c>
      <c r="G402" s="381" t="s">
        <v>2197</v>
      </c>
      <c r="H402" s="664">
        <v>45643.0</v>
      </c>
      <c r="I402" s="503">
        <v>45671.0</v>
      </c>
      <c r="J402" s="372"/>
      <c r="K402" s="372"/>
      <c r="L402" s="381" t="s">
        <v>2185</v>
      </c>
      <c r="M402" s="381" t="s">
        <v>2186</v>
      </c>
      <c r="N402" s="372"/>
      <c r="O402" s="381" t="str">
        <f t="shared" si="26"/>
        <v>10.1037--0021-9010.77.4.419.pdf</v>
      </c>
      <c r="P402" s="48" t="str">
        <f t="array" ref="P402">HYPERLINK(INDEX('File Links'!B:B, MATCH(O402, 'File Links'!C:C, 0)))
</f>
        <v>https://drive.google.com/file/d/1XtfL3wumyr6mb9iCgCxuHmUHHvQhg4yN/view?usp=drivesdk</v>
      </c>
      <c r="Q402" s="585" t="s">
        <v>2213</v>
      </c>
      <c r="R402" s="585" t="s">
        <v>2188</v>
      </c>
      <c r="S402" s="372"/>
      <c r="T402" s="665">
        <v>1.0</v>
      </c>
      <c r="U402" s="381" t="str">
        <f t="shared" si="27"/>
        <v>10.1037--xap0000321.pdf</v>
      </c>
      <c r="V402" s="381" t="s">
        <v>2198</v>
      </c>
      <c r="W402" s="45" t="str">
        <f t="array" ref="W402">HYPERLINK(INDEX('File Links'!B:B, MATCH(U402, 'File Links'!C:C, 0)))
</f>
        <v>#N/A</v>
      </c>
      <c r="X402" s="372"/>
      <c r="Y402" s="381" t="s">
        <v>1820</v>
      </c>
      <c r="Z402" s="381" t="s">
        <v>2199</v>
      </c>
      <c r="AA402" s="381" t="s">
        <v>2200</v>
      </c>
      <c r="AB402" s="381" t="s">
        <v>2214</v>
      </c>
      <c r="AC402" s="381" t="s">
        <v>2215</v>
      </c>
      <c r="AD402" s="665">
        <v>6.0</v>
      </c>
      <c r="AE402" s="665">
        <v>60.0</v>
      </c>
      <c r="AF402" s="381" t="s">
        <v>2216</v>
      </c>
      <c r="AG402" s="377" t="s">
        <v>1051</v>
      </c>
      <c r="AH402" s="373" t="s">
        <v>131</v>
      </c>
      <c r="AI402" s="380">
        <v>0.01</v>
      </c>
      <c r="AJ402" s="381" t="s">
        <v>127</v>
      </c>
      <c r="AK402" s="373" t="s">
        <v>179</v>
      </c>
      <c r="AL402" s="381" t="s">
        <v>129</v>
      </c>
      <c r="AM402" s="656" t="s">
        <v>165</v>
      </c>
      <c r="AN402" s="665">
        <v>205.0</v>
      </c>
      <c r="AO402" s="665">
        <v>0.003</v>
      </c>
      <c r="AP402" s="372" t="s">
        <v>130</v>
      </c>
      <c r="AQ402" s="381" t="s">
        <v>131</v>
      </c>
      <c r="AR402" s="665">
        <v>0.54</v>
      </c>
      <c r="AS402" s="381" t="s">
        <v>2210</v>
      </c>
      <c r="AT402" s="381" t="s">
        <v>179</v>
      </c>
      <c r="AU402" s="381" t="s">
        <v>129</v>
      </c>
      <c r="AV402" s="655" t="s">
        <v>165</v>
      </c>
      <c r="AW402" s="381" t="s">
        <v>134</v>
      </c>
      <c r="AX402" s="60"/>
      <c r="AY402" s="110" t="s">
        <v>135</v>
      </c>
      <c r="AZ402" s="64"/>
      <c r="BA402" s="64"/>
      <c r="BB402" s="64"/>
      <c r="BC402" s="64"/>
      <c r="BD402" s="64"/>
      <c r="BE402" s="64"/>
      <c r="BF402" s="64"/>
      <c r="BG402" s="64"/>
      <c r="BH402" s="64"/>
      <c r="BI402" s="64"/>
      <c r="BJ402" s="64"/>
      <c r="BK402" s="64"/>
      <c r="BL402" s="64"/>
      <c r="BM402" s="64"/>
      <c r="BN402" s="64"/>
      <c r="BO402" s="64"/>
      <c r="BP402" s="64"/>
      <c r="BQ402" s="64"/>
      <c r="BR402" s="64"/>
      <c r="BS402" s="64"/>
      <c r="BT402" s="64"/>
      <c r="BU402" s="64"/>
      <c r="BV402" s="64"/>
      <c r="BW402" s="64"/>
      <c r="BX402" s="64"/>
      <c r="BY402" s="64"/>
      <c r="BZ402" s="64"/>
      <c r="CA402" s="64"/>
      <c r="CB402" s="64"/>
      <c r="CC402" s="64"/>
      <c r="CD402" s="64"/>
      <c r="CE402" s="64"/>
      <c r="CF402" s="64"/>
      <c r="CG402" s="64"/>
      <c r="CH402" s="64"/>
      <c r="CI402" s="64"/>
      <c r="CJ402" s="64"/>
      <c r="CK402" s="64"/>
      <c r="CL402" s="64"/>
      <c r="CM402" s="64"/>
      <c r="CN402" s="64"/>
      <c r="CO402" s="64"/>
      <c r="CP402" s="64"/>
      <c r="CQ402" s="64"/>
      <c r="CR402" s="64"/>
      <c r="CS402" s="64"/>
      <c r="CT402" s="64"/>
      <c r="CU402" s="64"/>
      <c r="CV402" s="64"/>
      <c r="CW402" s="64"/>
      <c r="CX402" s="64"/>
      <c r="CY402" s="64"/>
      <c r="CZ402" s="64"/>
      <c r="DA402" s="64"/>
      <c r="DB402" s="64"/>
      <c r="DC402" s="64"/>
      <c r="DD402" s="64"/>
      <c r="DE402" s="64"/>
      <c r="DF402" s="64"/>
      <c r="DG402" s="64"/>
    </row>
    <row r="403" ht="20.25" customHeight="1">
      <c r="A403" s="371" t="s">
        <v>106</v>
      </c>
      <c r="B403" s="371" t="s">
        <v>107</v>
      </c>
      <c r="C403" s="371" t="s">
        <v>2196</v>
      </c>
      <c r="D403" s="209"/>
      <c r="E403" s="655" t="s">
        <v>2181</v>
      </c>
      <c r="F403" s="373" t="s">
        <v>2217</v>
      </c>
      <c r="G403" s="381" t="s">
        <v>2197</v>
      </c>
      <c r="H403" s="664">
        <v>45643.0</v>
      </c>
      <c r="I403" s="503">
        <v>45671.0</v>
      </c>
      <c r="J403" s="372"/>
      <c r="K403" s="372"/>
      <c r="L403" s="381" t="s">
        <v>2185</v>
      </c>
      <c r="M403" s="381" t="s">
        <v>2186</v>
      </c>
      <c r="N403" s="372"/>
      <c r="O403" s="381" t="str">
        <f t="shared" si="26"/>
        <v>10.1037--0021-9010.77.4.419.pdf</v>
      </c>
      <c r="P403" s="48" t="str">
        <f t="array" ref="P403">HYPERLINK(INDEX('File Links'!B:B, MATCH(O403, 'File Links'!C:C, 0)))
</f>
        <v>https://drive.google.com/file/d/1XtfL3wumyr6mb9iCgCxuHmUHHvQhg4yN/view?usp=drivesdk</v>
      </c>
      <c r="Q403" s="585" t="s">
        <v>2218</v>
      </c>
      <c r="R403" s="585" t="s">
        <v>2188</v>
      </c>
      <c r="S403" s="372"/>
      <c r="T403" s="665">
        <v>2.0</v>
      </c>
      <c r="U403" s="381" t="str">
        <f t="shared" si="27"/>
        <v>10.1037--xap0000321.pdf</v>
      </c>
      <c r="V403" s="381" t="s">
        <v>2198</v>
      </c>
      <c r="W403" s="45" t="str">
        <f t="array" ref="W403">HYPERLINK(INDEX('File Links'!B:B, MATCH(U403, 'File Links'!C:C, 0)))
</f>
        <v>#N/A</v>
      </c>
      <c r="X403" s="372"/>
      <c r="Y403" s="381" t="s">
        <v>1820</v>
      </c>
      <c r="Z403" s="381" t="s">
        <v>2199</v>
      </c>
      <c r="AA403" s="668" t="s">
        <v>2200</v>
      </c>
      <c r="AB403" s="381" t="s">
        <v>2201</v>
      </c>
      <c r="AC403" s="381" t="s">
        <v>2202</v>
      </c>
      <c r="AD403" s="665">
        <v>6.0</v>
      </c>
      <c r="AE403" s="665">
        <v>193.0</v>
      </c>
      <c r="AF403" s="381" t="s">
        <v>2203</v>
      </c>
      <c r="AG403" s="377" t="s">
        <v>1051</v>
      </c>
      <c r="AH403" s="373" t="s">
        <v>131</v>
      </c>
      <c r="AI403" s="380">
        <v>0.001</v>
      </c>
      <c r="AJ403" s="381" t="s">
        <v>127</v>
      </c>
      <c r="AK403" s="373" t="s">
        <v>179</v>
      </c>
      <c r="AL403" s="381" t="s">
        <v>129</v>
      </c>
      <c r="AM403" s="656" t="s">
        <v>165</v>
      </c>
      <c r="AN403" s="665">
        <v>199.0</v>
      </c>
      <c r="AO403" s="665">
        <v>0.006</v>
      </c>
      <c r="AP403" s="372" t="s">
        <v>130</v>
      </c>
      <c r="AQ403" s="381" t="s">
        <v>625</v>
      </c>
      <c r="AR403" s="665">
        <v>0.53</v>
      </c>
      <c r="AS403" s="381" t="s">
        <v>2210</v>
      </c>
      <c r="AT403" s="381" t="s">
        <v>179</v>
      </c>
      <c r="AU403" s="381" t="s">
        <v>129</v>
      </c>
      <c r="AV403" s="655" t="s">
        <v>165</v>
      </c>
      <c r="AW403" s="381" t="s">
        <v>142</v>
      </c>
      <c r="AX403" s="60"/>
      <c r="AY403" s="110" t="s">
        <v>135</v>
      </c>
      <c r="AZ403" s="64"/>
      <c r="BA403" s="64"/>
      <c r="BB403" s="64"/>
      <c r="BC403" s="64"/>
      <c r="BD403" s="64"/>
      <c r="BE403" s="64"/>
      <c r="BF403" s="64"/>
      <c r="BG403" s="64"/>
      <c r="BH403" s="64"/>
      <c r="BI403" s="64"/>
      <c r="BJ403" s="64"/>
      <c r="BK403" s="64"/>
      <c r="BL403" s="64"/>
      <c r="BM403" s="64"/>
      <c r="BN403" s="64"/>
      <c r="BO403" s="64"/>
      <c r="BP403" s="64"/>
      <c r="BQ403" s="64"/>
      <c r="BR403" s="64"/>
      <c r="BS403" s="64"/>
      <c r="BT403" s="64"/>
      <c r="BU403" s="64"/>
      <c r="BV403" s="64"/>
      <c r="BW403" s="64"/>
      <c r="BX403" s="64"/>
      <c r="BY403" s="64"/>
      <c r="BZ403" s="64"/>
      <c r="CA403" s="64"/>
      <c r="CB403" s="64"/>
      <c r="CC403" s="64"/>
      <c r="CD403" s="64"/>
      <c r="CE403" s="64"/>
      <c r="CF403" s="64"/>
      <c r="CG403" s="64"/>
      <c r="CH403" s="64"/>
      <c r="CI403" s="64"/>
      <c r="CJ403" s="64"/>
      <c r="CK403" s="64"/>
      <c r="CL403" s="64"/>
      <c r="CM403" s="64"/>
      <c r="CN403" s="64"/>
      <c r="CO403" s="64"/>
      <c r="CP403" s="64"/>
      <c r="CQ403" s="64"/>
      <c r="CR403" s="64"/>
      <c r="CS403" s="64"/>
      <c r="CT403" s="64"/>
      <c r="CU403" s="64"/>
      <c r="CV403" s="64"/>
      <c r="CW403" s="64"/>
      <c r="CX403" s="64"/>
      <c r="CY403" s="64"/>
      <c r="CZ403" s="64"/>
      <c r="DA403" s="64"/>
      <c r="DB403" s="64"/>
      <c r="DC403" s="64"/>
      <c r="DD403" s="64"/>
      <c r="DE403" s="64"/>
      <c r="DF403" s="64"/>
      <c r="DG403" s="64"/>
    </row>
    <row r="404" ht="20.25" customHeight="1">
      <c r="A404" s="157" t="s">
        <v>143</v>
      </c>
      <c r="B404" s="157" t="s">
        <v>107</v>
      </c>
      <c r="C404" s="157" t="s">
        <v>1471</v>
      </c>
      <c r="D404" s="152"/>
      <c r="E404" s="669" t="s">
        <v>2219</v>
      </c>
      <c r="F404" s="175" t="s">
        <v>2220</v>
      </c>
      <c r="G404" s="175" t="s">
        <v>1530</v>
      </c>
      <c r="H404" s="670">
        <v>45489.0</v>
      </c>
      <c r="I404" s="671">
        <v>45641.0</v>
      </c>
      <c r="J404" s="175" t="s">
        <v>2221</v>
      </c>
      <c r="K404" s="164" t="s">
        <v>2222</v>
      </c>
      <c r="L404" s="175" t="s">
        <v>2223</v>
      </c>
      <c r="M404" s="175" t="s">
        <v>2224</v>
      </c>
      <c r="N404" s="672">
        <v>2.0</v>
      </c>
      <c r="O404" s="673" t="str">
        <f t="shared" si="26"/>
        <v>10.1016--j.learninstruc.2014.08.004.pdf</v>
      </c>
      <c r="P404" s="48" t="str">
        <f t="array" ref="P404">HYPERLINK(INDEX('File Links'!B:B, MATCH(O404, 'File Links'!C:C, 0)))
</f>
        <v>https://drive.google.com/file/d/1dE7-AS0QPxKoPMyquy5WhD3ojjC80SWY/view?usp=drivesdk</v>
      </c>
      <c r="Q404" s="175" t="s">
        <v>2225</v>
      </c>
      <c r="R404" s="175" t="s">
        <v>2226</v>
      </c>
      <c r="S404" s="674"/>
      <c r="T404" s="164">
        <v>1.0</v>
      </c>
      <c r="U404" s="175" t="str">
        <f t="shared" si="27"/>
        <v>10.1007--s11251-024-09670-y.pdf</v>
      </c>
      <c r="V404" s="175" t="s">
        <v>2227</v>
      </c>
      <c r="W404" s="50" t="str">
        <f t="array" ref="W404">HYPERLINK(INDEX('File Links'!B:B, MATCH(U404, 'File Links'!C:C, 0)))
</f>
        <v>https://drive.google.com/file/d/1pi6g99iJYyhyD_0jGvDca_hbleDdekCp/view?usp=drivesdk</v>
      </c>
      <c r="X404" s="674"/>
      <c r="Y404" s="175" t="s">
        <v>235</v>
      </c>
      <c r="Z404" s="675" t="s">
        <v>2228</v>
      </c>
      <c r="AA404" s="676" t="s">
        <v>2229</v>
      </c>
      <c r="AB404" s="175" t="s">
        <v>2230</v>
      </c>
      <c r="AC404" s="156" t="s">
        <v>2231</v>
      </c>
      <c r="AD404" s="672">
        <v>9.0</v>
      </c>
      <c r="AE404" s="672">
        <v>202.0</v>
      </c>
      <c r="AF404" s="672">
        <v>0.15</v>
      </c>
      <c r="AG404" s="677" t="s">
        <v>1785</v>
      </c>
      <c r="AH404" s="175" t="s">
        <v>621</v>
      </c>
      <c r="AI404" s="672">
        <v>0.001</v>
      </c>
      <c r="AJ404" s="169" t="s">
        <v>127</v>
      </c>
      <c r="AK404" s="674" t="s">
        <v>179</v>
      </c>
      <c r="AL404" s="175" t="s">
        <v>132</v>
      </c>
      <c r="AM404" s="164" t="s">
        <v>165</v>
      </c>
      <c r="AN404" s="672">
        <v>73.0</v>
      </c>
      <c r="AO404" s="187">
        <v>0.005</v>
      </c>
      <c r="AP404" s="674" t="s">
        <v>1785</v>
      </c>
      <c r="AQ404" s="156" t="s">
        <v>2232</v>
      </c>
      <c r="AR404" s="672">
        <v>0.56</v>
      </c>
      <c r="AS404" s="169" t="s">
        <v>164</v>
      </c>
      <c r="AT404" s="678" t="s">
        <v>179</v>
      </c>
      <c r="AU404" s="675" t="s">
        <v>129</v>
      </c>
      <c r="AV404" s="164" t="s">
        <v>165</v>
      </c>
      <c r="AW404" s="169" t="s">
        <v>142</v>
      </c>
      <c r="AX404" s="115"/>
      <c r="AY404" s="157" t="s">
        <v>135</v>
      </c>
      <c r="AZ404" s="64"/>
      <c r="BA404" s="64"/>
      <c r="BB404" s="64"/>
      <c r="BC404" s="64"/>
      <c r="BD404" s="64"/>
      <c r="BE404" s="64"/>
      <c r="BF404" s="64"/>
      <c r="BG404" s="64"/>
      <c r="BH404" s="64"/>
      <c r="BI404" s="64"/>
      <c r="BJ404" s="64"/>
      <c r="BK404" s="64"/>
      <c r="BL404" s="64"/>
      <c r="BM404" s="64"/>
      <c r="BN404" s="64"/>
      <c r="BO404" s="64"/>
      <c r="BP404" s="64"/>
      <c r="BQ404" s="64"/>
      <c r="BR404" s="64"/>
      <c r="BS404" s="64"/>
      <c r="BT404" s="64"/>
      <c r="BU404" s="64"/>
      <c r="BV404" s="64"/>
      <c r="BW404" s="64"/>
      <c r="BX404" s="64"/>
      <c r="BY404" s="64"/>
      <c r="BZ404" s="64"/>
      <c r="CA404" s="64"/>
      <c r="CB404" s="64"/>
      <c r="CC404" s="64"/>
      <c r="CD404" s="64"/>
      <c r="CE404" s="64"/>
      <c r="CF404" s="64"/>
      <c r="CG404" s="64"/>
      <c r="CH404" s="64"/>
      <c r="CI404" s="64"/>
      <c r="CJ404" s="64"/>
      <c r="CK404" s="64"/>
      <c r="CL404" s="64"/>
      <c r="CM404" s="64"/>
      <c r="CN404" s="64"/>
      <c r="CO404" s="64"/>
      <c r="CP404" s="64"/>
      <c r="CQ404" s="64"/>
      <c r="CR404" s="64"/>
      <c r="CS404" s="64"/>
      <c r="CT404" s="64"/>
      <c r="CU404" s="64"/>
      <c r="CV404" s="64"/>
      <c r="CW404" s="64"/>
      <c r="CX404" s="64"/>
      <c r="CY404" s="64"/>
      <c r="CZ404" s="64"/>
      <c r="DA404" s="64"/>
      <c r="DB404" s="64"/>
      <c r="DC404" s="64"/>
      <c r="DD404" s="64"/>
      <c r="DE404" s="64"/>
      <c r="DF404" s="64"/>
      <c r="DG404" s="64"/>
    </row>
    <row r="405" ht="20.25" customHeight="1">
      <c r="A405" s="157" t="s">
        <v>143</v>
      </c>
      <c r="B405" s="679" t="s">
        <v>107</v>
      </c>
      <c r="C405" s="679" t="s">
        <v>2196</v>
      </c>
      <c r="D405" s="680"/>
      <c r="E405" s="675" t="s">
        <v>2219</v>
      </c>
      <c r="F405" s="681" t="s">
        <v>2220</v>
      </c>
      <c r="G405" s="675" t="s">
        <v>2197</v>
      </c>
      <c r="H405" s="682">
        <v>45489.0</v>
      </c>
      <c r="I405" s="682">
        <v>45662.0</v>
      </c>
      <c r="J405" s="683"/>
      <c r="K405" s="202" t="s">
        <v>2233</v>
      </c>
      <c r="L405" s="675" t="s">
        <v>2223</v>
      </c>
      <c r="M405" s="675" t="s">
        <v>2224</v>
      </c>
      <c r="N405" s="684">
        <v>1.0</v>
      </c>
      <c r="O405" s="675" t="str">
        <f t="shared" si="26"/>
        <v>10.1016--j.learninstruc.2014.08.004.pdf</v>
      </c>
      <c r="P405" s="48" t="str">
        <f t="array" ref="P405">HYPERLINK(INDEX('File Links'!B:B, MATCH(O405, 'File Links'!C:C, 0)))
</f>
        <v>https://drive.google.com/file/d/1dE7-AS0QPxKoPMyquy5WhD3ojjC80SWY/view?usp=drivesdk</v>
      </c>
      <c r="Q405" s="675" t="s">
        <v>2225</v>
      </c>
      <c r="R405" s="675" t="s">
        <v>2226</v>
      </c>
      <c r="S405" s="683"/>
      <c r="T405" s="164">
        <v>1.0</v>
      </c>
      <c r="U405" s="675" t="str">
        <f t="shared" si="27"/>
        <v>10.1007--s11251-024-09670-y.pdf</v>
      </c>
      <c r="V405" s="175" t="s">
        <v>2227</v>
      </c>
      <c r="W405" s="50" t="str">
        <f t="array" ref="W405">HYPERLINK(INDEX('File Links'!B:B, MATCH(U405, 'File Links'!C:C, 0)))
</f>
        <v>https://drive.google.com/file/d/1pi6g99iJYyhyD_0jGvDca_hbleDdekCp/view?usp=drivesdk</v>
      </c>
      <c r="X405" s="683"/>
      <c r="Y405" s="675" t="s">
        <v>235</v>
      </c>
      <c r="Z405" s="675" t="s">
        <v>2228</v>
      </c>
      <c r="AA405" s="676" t="s">
        <v>2229</v>
      </c>
      <c r="AB405" s="675" t="s">
        <v>2234</v>
      </c>
      <c r="AC405" s="676" t="s">
        <v>2235</v>
      </c>
      <c r="AD405" s="684">
        <v>6.0</v>
      </c>
      <c r="AE405" s="684">
        <v>98.0</v>
      </c>
      <c r="AF405" s="684">
        <v>0.27</v>
      </c>
      <c r="AG405" s="685" t="s">
        <v>130</v>
      </c>
      <c r="AH405" s="681" t="s">
        <v>131</v>
      </c>
      <c r="AI405" s="686">
        <v>0.001</v>
      </c>
      <c r="AJ405" s="675" t="s">
        <v>127</v>
      </c>
      <c r="AK405" s="681" t="s">
        <v>179</v>
      </c>
      <c r="AL405" s="675" t="s">
        <v>129</v>
      </c>
      <c r="AM405" s="164" t="s">
        <v>165</v>
      </c>
      <c r="AN405" s="684">
        <v>75.0</v>
      </c>
      <c r="AO405" s="687">
        <v>0.005</v>
      </c>
      <c r="AP405" s="683" t="s">
        <v>130</v>
      </c>
      <c r="AQ405" s="675" t="s">
        <v>2232</v>
      </c>
      <c r="AR405" s="688">
        <v>0.56</v>
      </c>
      <c r="AS405" s="675" t="s">
        <v>164</v>
      </c>
      <c r="AT405" s="675" t="s">
        <v>179</v>
      </c>
      <c r="AU405" s="675" t="s">
        <v>129</v>
      </c>
      <c r="AV405" s="164" t="s">
        <v>165</v>
      </c>
      <c r="AW405" s="169" t="s">
        <v>142</v>
      </c>
      <c r="AX405" s="115" t="s">
        <v>2233</v>
      </c>
      <c r="AY405" s="157" t="s">
        <v>135</v>
      </c>
      <c r="AZ405" s="64"/>
      <c r="BA405" s="64"/>
      <c r="BB405" s="64"/>
      <c r="BC405" s="64"/>
      <c r="BD405" s="64"/>
      <c r="BE405" s="64"/>
      <c r="BF405" s="64"/>
      <c r="BG405" s="64"/>
      <c r="BH405" s="64"/>
      <c r="BI405" s="64"/>
      <c r="BJ405" s="64"/>
      <c r="BK405" s="64"/>
      <c r="BL405" s="64"/>
      <c r="BM405" s="64"/>
      <c r="BN405" s="64"/>
      <c r="BO405" s="64"/>
      <c r="BP405" s="64"/>
      <c r="BQ405" s="64"/>
      <c r="BR405" s="64"/>
      <c r="BS405" s="64"/>
      <c r="BT405" s="64"/>
      <c r="BU405" s="64"/>
      <c r="BV405" s="64"/>
      <c r="BW405" s="64"/>
      <c r="BX405" s="64"/>
      <c r="BY405" s="64"/>
      <c r="BZ405" s="64"/>
      <c r="CA405" s="64"/>
      <c r="CB405" s="64"/>
      <c r="CC405" s="64"/>
      <c r="CD405" s="64"/>
      <c r="CE405" s="64"/>
      <c r="CF405" s="64"/>
      <c r="CG405" s="64"/>
      <c r="CH405" s="64"/>
      <c r="CI405" s="64"/>
      <c r="CJ405" s="64"/>
      <c r="CK405" s="64"/>
      <c r="CL405" s="64"/>
      <c r="CM405" s="64"/>
      <c r="CN405" s="64"/>
      <c r="CO405" s="64"/>
      <c r="CP405" s="64"/>
      <c r="CQ405" s="64"/>
      <c r="CR405" s="64"/>
      <c r="CS405" s="64"/>
      <c r="CT405" s="64"/>
      <c r="CU405" s="64"/>
      <c r="CV405" s="64"/>
      <c r="CW405" s="64"/>
      <c r="CX405" s="64"/>
      <c r="CY405" s="64"/>
      <c r="CZ405" s="64"/>
      <c r="DA405" s="64"/>
      <c r="DB405" s="64"/>
      <c r="DC405" s="64"/>
      <c r="DD405" s="64"/>
      <c r="DE405" s="64"/>
      <c r="DF405" s="64"/>
      <c r="DG405" s="64"/>
    </row>
    <row r="406" ht="20.25" customHeight="1">
      <c r="A406" s="157" t="s">
        <v>143</v>
      </c>
      <c r="B406" s="157" t="s">
        <v>107</v>
      </c>
      <c r="C406" s="157" t="s">
        <v>1471</v>
      </c>
      <c r="D406" s="152"/>
      <c r="E406" s="675" t="s">
        <v>2219</v>
      </c>
      <c r="F406" s="175" t="s">
        <v>2236</v>
      </c>
      <c r="G406" s="175" t="s">
        <v>1530</v>
      </c>
      <c r="H406" s="670">
        <v>45489.0</v>
      </c>
      <c r="I406" s="671">
        <v>45641.0</v>
      </c>
      <c r="J406" s="175" t="s">
        <v>2221</v>
      </c>
      <c r="K406" s="674"/>
      <c r="L406" s="689" t="s">
        <v>2223</v>
      </c>
      <c r="M406" s="689" t="s">
        <v>2224</v>
      </c>
      <c r="N406" s="672">
        <v>2.0</v>
      </c>
      <c r="O406" s="673" t="str">
        <f t="shared" si="26"/>
        <v>10.1016--j.learninstruc.2014.08.004.pdf</v>
      </c>
      <c r="P406" s="48" t="str">
        <f t="array" ref="P406">HYPERLINK(INDEX('File Links'!B:B, MATCH(O406, 'File Links'!C:C, 0)))
</f>
        <v>https://drive.google.com/file/d/1dE7-AS0QPxKoPMyquy5WhD3ojjC80SWY/view?usp=drivesdk</v>
      </c>
      <c r="Q406" s="175" t="s">
        <v>2225</v>
      </c>
      <c r="R406" s="175" t="s">
        <v>2226</v>
      </c>
      <c r="S406" s="674"/>
      <c r="T406" s="164">
        <v>1.0</v>
      </c>
      <c r="U406" s="175" t="str">
        <f t="shared" si="27"/>
        <v>10.1007--s11251-024-09670-y.pdf</v>
      </c>
      <c r="V406" s="175" t="s">
        <v>2227</v>
      </c>
      <c r="W406" s="50" t="str">
        <f t="array" ref="W406">HYPERLINK(INDEX('File Links'!B:B, MATCH(U406, 'File Links'!C:C, 0)))
</f>
        <v>https://drive.google.com/file/d/1pi6g99iJYyhyD_0jGvDca_hbleDdekCp/view?usp=drivesdk</v>
      </c>
      <c r="X406" s="674"/>
      <c r="Y406" s="175" t="s">
        <v>235</v>
      </c>
      <c r="Z406" s="675" t="s">
        <v>2228</v>
      </c>
      <c r="AA406" s="676" t="s">
        <v>2229</v>
      </c>
      <c r="AB406" s="175" t="s">
        <v>2230</v>
      </c>
      <c r="AC406" s="156" t="s">
        <v>2237</v>
      </c>
      <c r="AD406" s="672">
        <v>9.0</v>
      </c>
      <c r="AE406" s="672">
        <v>202.0</v>
      </c>
      <c r="AF406" s="689" t="s">
        <v>2238</v>
      </c>
      <c r="AG406" s="690" t="s">
        <v>162</v>
      </c>
      <c r="AH406" s="175" t="s">
        <v>621</v>
      </c>
      <c r="AI406" s="672">
        <v>0.2</v>
      </c>
      <c r="AJ406" s="169" t="s">
        <v>164</v>
      </c>
      <c r="AK406" s="674" t="s">
        <v>179</v>
      </c>
      <c r="AL406" s="674" t="s">
        <v>132</v>
      </c>
      <c r="AM406" s="164" t="s">
        <v>165</v>
      </c>
      <c r="AN406" s="672">
        <v>73.0</v>
      </c>
      <c r="AO406" s="512">
        <v>0.002</v>
      </c>
      <c r="AP406" s="674" t="s">
        <v>1785</v>
      </c>
      <c r="AQ406" s="156" t="s">
        <v>2232</v>
      </c>
      <c r="AR406" s="672">
        <v>0.73</v>
      </c>
      <c r="AS406" s="169" t="s">
        <v>164</v>
      </c>
      <c r="AT406" s="678" t="s">
        <v>179</v>
      </c>
      <c r="AU406" s="675" t="s">
        <v>129</v>
      </c>
      <c r="AV406" s="164" t="s">
        <v>165</v>
      </c>
      <c r="AW406" s="169" t="s">
        <v>142</v>
      </c>
      <c r="AX406" s="55"/>
      <c r="AY406" s="157" t="s">
        <v>135</v>
      </c>
      <c r="AZ406" s="691"/>
      <c r="BA406" s="691"/>
      <c r="BB406" s="691"/>
      <c r="BC406" s="691"/>
      <c r="BD406" s="691"/>
      <c r="BE406" s="691"/>
      <c r="BF406" s="691"/>
      <c r="BG406" s="691"/>
      <c r="BH406" s="691"/>
      <c r="BI406" s="691"/>
      <c r="BJ406" s="691"/>
      <c r="BK406" s="691"/>
      <c r="BL406" s="691"/>
      <c r="BM406" s="691"/>
      <c r="BN406" s="691"/>
      <c r="BO406" s="691"/>
      <c r="BP406" s="691"/>
      <c r="BQ406" s="691"/>
      <c r="BR406" s="691"/>
      <c r="BS406" s="691"/>
      <c r="BT406" s="691"/>
      <c r="BU406" s="691"/>
      <c r="BV406" s="691"/>
      <c r="BW406" s="691"/>
      <c r="BX406" s="691"/>
      <c r="BY406" s="691"/>
      <c r="BZ406" s="691"/>
      <c r="CA406" s="691"/>
      <c r="CB406" s="691"/>
      <c r="CC406" s="691"/>
      <c r="CD406" s="691"/>
      <c r="CE406" s="691"/>
      <c r="CF406" s="691"/>
      <c r="CG406" s="691"/>
      <c r="CH406" s="691"/>
      <c r="CI406" s="691"/>
      <c r="CJ406" s="691"/>
      <c r="CK406" s="691"/>
      <c r="CL406" s="691"/>
      <c r="CM406" s="691"/>
      <c r="CN406" s="691"/>
      <c r="CO406" s="691"/>
      <c r="CP406" s="691"/>
      <c r="CQ406" s="691"/>
      <c r="CR406" s="691"/>
      <c r="CS406" s="691"/>
      <c r="CT406" s="691"/>
      <c r="CU406" s="691"/>
      <c r="CV406" s="691"/>
      <c r="CW406" s="691"/>
      <c r="CX406" s="691"/>
      <c r="CY406" s="691"/>
      <c r="CZ406" s="691"/>
      <c r="DA406" s="691"/>
      <c r="DB406" s="691"/>
      <c r="DC406" s="691"/>
      <c r="DD406" s="691"/>
      <c r="DE406" s="691"/>
      <c r="DF406" s="691"/>
      <c r="DG406" s="691"/>
    </row>
    <row r="407" ht="20.25" customHeight="1">
      <c r="A407" s="157" t="s">
        <v>143</v>
      </c>
      <c r="B407" s="679" t="s">
        <v>107</v>
      </c>
      <c r="C407" s="679" t="s">
        <v>2196</v>
      </c>
      <c r="D407" s="680"/>
      <c r="E407" s="675" t="s">
        <v>2219</v>
      </c>
      <c r="F407" s="681" t="s">
        <v>2236</v>
      </c>
      <c r="G407" s="675" t="s">
        <v>2197</v>
      </c>
      <c r="H407" s="682">
        <v>45662.0</v>
      </c>
      <c r="I407" s="692"/>
      <c r="J407" s="683"/>
      <c r="K407" s="683"/>
      <c r="L407" s="675" t="s">
        <v>2223</v>
      </c>
      <c r="M407" s="675" t="s">
        <v>2224</v>
      </c>
      <c r="N407" s="684">
        <v>1.0</v>
      </c>
      <c r="O407" s="675" t="str">
        <f t="shared" si="26"/>
        <v>10.1016--j.learninstruc.2014.08.004.pdf</v>
      </c>
      <c r="P407" s="48" t="str">
        <f t="array" ref="P407">HYPERLINK(INDEX('File Links'!B:B, MATCH(O407, 'File Links'!C:C, 0)))
</f>
        <v>https://drive.google.com/file/d/1dE7-AS0QPxKoPMyquy5WhD3ojjC80SWY/view?usp=drivesdk</v>
      </c>
      <c r="Q407" s="675" t="s">
        <v>2225</v>
      </c>
      <c r="R407" s="675" t="s">
        <v>2226</v>
      </c>
      <c r="S407" s="683"/>
      <c r="T407" s="164">
        <v>1.0</v>
      </c>
      <c r="U407" s="675" t="str">
        <f t="shared" si="27"/>
        <v>10.1007--s11251-024-09670-y.pdf</v>
      </c>
      <c r="V407" s="175" t="s">
        <v>2227</v>
      </c>
      <c r="W407" s="50" t="str">
        <f t="array" ref="W407">HYPERLINK(INDEX('File Links'!B:B, MATCH(U407, 'File Links'!C:C, 0)))
</f>
        <v>https://drive.google.com/file/d/1pi6g99iJYyhyD_0jGvDca_hbleDdekCp/view?usp=drivesdk</v>
      </c>
      <c r="X407" s="683"/>
      <c r="Y407" s="675" t="s">
        <v>235</v>
      </c>
      <c r="Z407" s="675" t="s">
        <v>2228</v>
      </c>
      <c r="AA407" s="676" t="s">
        <v>2229</v>
      </c>
      <c r="AB407" s="675" t="s">
        <v>2239</v>
      </c>
      <c r="AC407" s="676" t="s">
        <v>2240</v>
      </c>
      <c r="AD407" s="684">
        <v>6.0</v>
      </c>
      <c r="AE407" s="684">
        <v>98.0</v>
      </c>
      <c r="AF407" s="675" t="s">
        <v>2241</v>
      </c>
      <c r="AG407" s="693" t="s">
        <v>1051</v>
      </c>
      <c r="AH407" s="681" t="s">
        <v>131</v>
      </c>
      <c r="AI407" s="686">
        <v>0.15</v>
      </c>
      <c r="AJ407" s="675" t="s">
        <v>164</v>
      </c>
      <c r="AK407" s="681" t="s">
        <v>179</v>
      </c>
      <c r="AL407" s="675" t="s">
        <v>129</v>
      </c>
      <c r="AM407" s="164" t="s">
        <v>165</v>
      </c>
      <c r="AN407" s="684">
        <v>75.0</v>
      </c>
      <c r="AO407" s="198">
        <v>0.002</v>
      </c>
      <c r="AP407" s="683" t="s">
        <v>130</v>
      </c>
      <c r="AQ407" s="675" t="s">
        <v>2232</v>
      </c>
      <c r="AR407" s="684">
        <v>0.73</v>
      </c>
      <c r="AS407" s="675" t="s">
        <v>164</v>
      </c>
      <c r="AT407" s="675" t="s">
        <v>179</v>
      </c>
      <c r="AU407" s="675" t="s">
        <v>129</v>
      </c>
      <c r="AV407" s="164" t="s">
        <v>165</v>
      </c>
      <c r="AW407" s="169" t="s">
        <v>142</v>
      </c>
      <c r="AX407" s="60"/>
      <c r="AY407" s="157" t="s">
        <v>135</v>
      </c>
      <c r="AZ407" s="84"/>
      <c r="BA407" s="84"/>
      <c r="BB407" s="84"/>
      <c r="BC407" s="84"/>
      <c r="BD407" s="84"/>
      <c r="BE407" s="84"/>
      <c r="BF407" s="84"/>
      <c r="BG407" s="84"/>
      <c r="BH407" s="84"/>
      <c r="BI407" s="84"/>
      <c r="BJ407" s="84"/>
      <c r="BK407" s="84"/>
      <c r="BL407" s="84"/>
      <c r="BM407" s="84"/>
      <c r="BN407" s="84"/>
      <c r="BO407" s="84"/>
      <c r="BP407" s="84"/>
      <c r="BQ407" s="84"/>
      <c r="BR407" s="84"/>
      <c r="BS407" s="84"/>
      <c r="BT407" s="84"/>
      <c r="BU407" s="84"/>
      <c r="BV407" s="84"/>
      <c r="BW407" s="84"/>
      <c r="BX407" s="84"/>
      <c r="BY407" s="84"/>
      <c r="BZ407" s="84"/>
      <c r="CA407" s="84"/>
      <c r="CB407" s="84"/>
      <c r="CC407" s="84"/>
      <c r="CD407" s="84"/>
      <c r="CE407" s="84"/>
      <c r="CF407" s="84"/>
      <c r="CG407" s="84"/>
      <c r="CH407" s="84"/>
      <c r="CI407" s="84"/>
      <c r="CJ407" s="84"/>
      <c r="CK407" s="84"/>
      <c r="CL407" s="84"/>
      <c r="CM407" s="84"/>
      <c r="CN407" s="84"/>
      <c r="CO407" s="84"/>
      <c r="CP407" s="84"/>
      <c r="CQ407" s="84"/>
      <c r="CR407" s="84"/>
      <c r="CS407" s="84"/>
      <c r="CT407" s="84"/>
      <c r="CU407" s="84"/>
      <c r="CV407" s="84"/>
      <c r="CW407" s="84"/>
      <c r="CX407" s="84"/>
      <c r="CY407" s="84"/>
      <c r="CZ407" s="84"/>
      <c r="DA407" s="84"/>
      <c r="DB407" s="84"/>
      <c r="DC407" s="84"/>
      <c r="DD407" s="84"/>
      <c r="DE407" s="84"/>
      <c r="DF407" s="84"/>
      <c r="DG407" s="84"/>
    </row>
    <row r="408" ht="20.25" customHeight="1">
      <c r="A408" s="157" t="s">
        <v>143</v>
      </c>
      <c r="B408" s="157" t="s">
        <v>107</v>
      </c>
      <c r="C408" s="157" t="s">
        <v>1471</v>
      </c>
      <c r="D408" s="152"/>
      <c r="E408" s="675" t="s">
        <v>2219</v>
      </c>
      <c r="F408" s="175" t="s">
        <v>2242</v>
      </c>
      <c r="G408" s="175" t="s">
        <v>1530</v>
      </c>
      <c r="H408" s="670">
        <v>45489.0</v>
      </c>
      <c r="I408" s="671">
        <v>45641.0</v>
      </c>
      <c r="J408" s="175" t="s">
        <v>2221</v>
      </c>
      <c r="K408" s="674"/>
      <c r="L408" s="689" t="s">
        <v>2223</v>
      </c>
      <c r="M408" s="689" t="s">
        <v>2224</v>
      </c>
      <c r="N408" s="672">
        <v>2.0</v>
      </c>
      <c r="O408" s="673" t="str">
        <f t="shared" si="26"/>
        <v>10.1016--j.learninstruc.2014.08.004.pdf</v>
      </c>
      <c r="P408" s="48" t="str">
        <f t="array" ref="P408">HYPERLINK(INDEX('File Links'!B:B, MATCH(O408, 'File Links'!C:C, 0)))
</f>
        <v>https://drive.google.com/file/d/1dE7-AS0QPxKoPMyquy5WhD3ojjC80SWY/view?usp=drivesdk</v>
      </c>
      <c r="Q408" s="175" t="s">
        <v>2225</v>
      </c>
      <c r="R408" s="175" t="s">
        <v>2226</v>
      </c>
      <c r="S408" s="674"/>
      <c r="T408" s="164">
        <v>1.0</v>
      </c>
      <c r="U408" s="175" t="str">
        <f t="shared" si="27"/>
        <v>10.1007--s11251-024-09670-y.pdf</v>
      </c>
      <c r="V408" s="175" t="s">
        <v>2227</v>
      </c>
      <c r="W408" s="50" t="str">
        <f t="array" ref="W408">HYPERLINK(INDEX('File Links'!B:B, MATCH(U408, 'File Links'!C:C, 0)))
</f>
        <v>https://drive.google.com/file/d/1pi6g99iJYyhyD_0jGvDca_hbleDdekCp/view?usp=drivesdk</v>
      </c>
      <c r="X408" s="674"/>
      <c r="Y408" s="175" t="s">
        <v>235</v>
      </c>
      <c r="Z408" s="675" t="s">
        <v>2228</v>
      </c>
      <c r="AA408" s="676" t="s">
        <v>2229</v>
      </c>
      <c r="AB408" s="175" t="s">
        <v>2230</v>
      </c>
      <c r="AC408" s="156" t="s">
        <v>2243</v>
      </c>
      <c r="AD408" s="672">
        <v>9.0</v>
      </c>
      <c r="AE408" s="672">
        <v>202.0</v>
      </c>
      <c r="AF408" s="689" t="s">
        <v>2244</v>
      </c>
      <c r="AG408" s="690" t="s">
        <v>162</v>
      </c>
      <c r="AH408" s="175" t="s">
        <v>621</v>
      </c>
      <c r="AI408" s="672">
        <v>0.3</v>
      </c>
      <c r="AJ408" s="169" t="s">
        <v>164</v>
      </c>
      <c r="AK408" s="674" t="s">
        <v>179</v>
      </c>
      <c r="AL408" s="674" t="s">
        <v>132</v>
      </c>
      <c r="AM408" s="164" t="s">
        <v>165</v>
      </c>
      <c r="AN408" s="672">
        <v>73.0</v>
      </c>
      <c r="AO408" s="672">
        <v>0.012</v>
      </c>
      <c r="AP408" s="674" t="s">
        <v>1785</v>
      </c>
      <c r="AQ408" s="156" t="s">
        <v>2232</v>
      </c>
      <c r="AR408" s="672">
        <v>0.36</v>
      </c>
      <c r="AS408" s="169" t="s">
        <v>164</v>
      </c>
      <c r="AT408" s="678" t="s">
        <v>179</v>
      </c>
      <c r="AU408" s="675" t="s">
        <v>129</v>
      </c>
      <c r="AV408" s="164" t="s">
        <v>165</v>
      </c>
      <c r="AW408" s="169" t="s">
        <v>142</v>
      </c>
      <c r="AX408" s="55"/>
      <c r="AY408" s="157" t="s">
        <v>135</v>
      </c>
      <c r="AZ408" s="84"/>
      <c r="BA408" s="84"/>
      <c r="BB408" s="84"/>
      <c r="BC408" s="84"/>
      <c r="BD408" s="84"/>
      <c r="BE408" s="84"/>
      <c r="BF408" s="84"/>
      <c r="BG408" s="84"/>
      <c r="BH408" s="84"/>
      <c r="BI408" s="84"/>
      <c r="BJ408" s="84"/>
      <c r="BK408" s="84"/>
      <c r="BL408" s="84"/>
      <c r="BM408" s="84"/>
      <c r="BN408" s="84"/>
      <c r="BO408" s="84"/>
      <c r="BP408" s="84"/>
      <c r="BQ408" s="84"/>
      <c r="BR408" s="84"/>
      <c r="BS408" s="84"/>
      <c r="BT408" s="84"/>
      <c r="BU408" s="84"/>
      <c r="BV408" s="84"/>
      <c r="BW408" s="84"/>
      <c r="BX408" s="84"/>
      <c r="BY408" s="84"/>
      <c r="BZ408" s="84"/>
      <c r="CA408" s="84"/>
      <c r="CB408" s="84"/>
      <c r="CC408" s="84"/>
      <c r="CD408" s="84"/>
      <c r="CE408" s="84"/>
      <c r="CF408" s="84"/>
      <c r="CG408" s="84"/>
      <c r="CH408" s="84"/>
      <c r="CI408" s="84"/>
      <c r="CJ408" s="84"/>
      <c r="CK408" s="84"/>
      <c r="CL408" s="84"/>
      <c r="CM408" s="84"/>
      <c r="CN408" s="84"/>
      <c r="CO408" s="84"/>
      <c r="CP408" s="84"/>
      <c r="CQ408" s="84"/>
      <c r="CR408" s="84"/>
      <c r="CS408" s="84"/>
      <c r="CT408" s="84"/>
      <c r="CU408" s="84"/>
      <c r="CV408" s="84"/>
      <c r="CW408" s="84"/>
      <c r="CX408" s="84"/>
      <c r="CY408" s="84"/>
      <c r="CZ408" s="84"/>
      <c r="DA408" s="84"/>
      <c r="DB408" s="84"/>
      <c r="DC408" s="84"/>
      <c r="DD408" s="84"/>
      <c r="DE408" s="84"/>
      <c r="DF408" s="84"/>
      <c r="DG408" s="84"/>
    </row>
    <row r="409" ht="20.25" customHeight="1">
      <c r="A409" s="157" t="s">
        <v>143</v>
      </c>
      <c r="B409" s="679" t="s">
        <v>107</v>
      </c>
      <c r="C409" s="679" t="s">
        <v>2196</v>
      </c>
      <c r="D409" s="680"/>
      <c r="E409" s="675" t="s">
        <v>2219</v>
      </c>
      <c r="F409" s="681" t="s">
        <v>2242</v>
      </c>
      <c r="G409" s="675" t="s">
        <v>2197</v>
      </c>
      <c r="H409" s="682">
        <v>45662.0</v>
      </c>
      <c r="I409" s="683"/>
      <c r="J409" s="683"/>
      <c r="K409" s="683"/>
      <c r="L409" s="675" t="s">
        <v>2223</v>
      </c>
      <c r="M409" s="675" t="s">
        <v>2224</v>
      </c>
      <c r="N409" s="684">
        <v>1.0</v>
      </c>
      <c r="O409" s="675" t="str">
        <f t="shared" si="26"/>
        <v>10.1016--j.learninstruc.2014.08.004.pdf</v>
      </c>
      <c r="P409" s="48" t="str">
        <f t="array" ref="P409">HYPERLINK(INDEX('File Links'!B:B, MATCH(O409, 'File Links'!C:C, 0)))
</f>
        <v>https://drive.google.com/file/d/1dE7-AS0QPxKoPMyquy5WhD3ojjC80SWY/view?usp=drivesdk</v>
      </c>
      <c r="Q409" s="675" t="s">
        <v>2225</v>
      </c>
      <c r="R409" s="675" t="s">
        <v>2226</v>
      </c>
      <c r="S409" s="683"/>
      <c r="T409" s="164">
        <v>1.0</v>
      </c>
      <c r="U409" s="675" t="str">
        <f t="shared" si="27"/>
        <v>10.1007--s11251-024-09670-y.pdf</v>
      </c>
      <c r="V409" s="175" t="s">
        <v>2227</v>
      </c>
      <c r="W409" s="50" t="str">
        <f t="array" ref="W409">HYPERLINK(INDEX('File Links'!B:B, MATCH(U409, 'File Links'!C:C, 0)))
</f>
        <v>https://drive.google.com/file/d/1pi6g99iJYyhyD_0jGvDca_hbleDdekCp/view?usp=drivesdk</v>
      </c>
      <c r="X409" s="683"/>
      <c r="Y409" s="675" t="s">
        <v>235</v>
      </c>
      <c r="Z409" s="675" t="s">
        <v>2228</v>
      </c>
      <c r="AA409" s="676" t="s">
        <v>2229</v>
      </c>
      <c r="AB409" s="675" t="s">
        <v>2245</v>
      </c>
      <c r="AC409" s="675" t="s">
        <v>2246</v>
      </c>
      <c r="AD409" s="684">
        <v>6.0</v>
      </c>
      <c r="AE409" s="684">
        <v>98.0</v>
      </c>
      <c r="AF409" s="684">
        <v>0.09</v>
      </c>
      <c r="AG409" s="685" t="s">
        <v>130</v>
      </c>
      <c r="AH409" s="681" t="s">
        <v>131</v>
      </c>
      <c r="AI409" s="686">
        <v>0.01</v>
      </c>
      <c r="AJ409" s="675" t="s">
        <v>164</v>
      </c>
      <c r="AK409" s="681" t="s">
        <v>179</v>
      </c>
      <c r="AL409" s="683" t="s">
        <v>129</v>
      </c>
      <c r="AM409" s="164" t="s">
        <v>165</v>
      </c>
      <c r="AN409" s="684">
        <v>75.0</v>
      </c>
      <c r="AO409" s="694">
        <v>0.005</v>
      </c>
      <c r="AP409" s="683" t="s">
        <v>130</v>
      </c>
      <c r="AQ409" s="675" t="s">
        <v>2232</v>
      </c>
      <c r="AR409" s="684">
        <v>0.55</v>
      </c>
      <c r="AS409" s="675" t="s">
        <v>164</v>
      </c>
      <c r="AT409" s="675" t="s">
        <v>179</v>
      </c>
      <c r="AU409" s="675" t="s">
        <v>129</v>
      </c>
      <c r="AV409" s="164" t="s">
        <v>165</v>
      </c>
      <c r="AW409" s="169" t="s">
        <v>142</v>
      </c>
      <c r="AX409" s="60"/>
      <c r="AY409" s="157" t="s">
        <v>135</v>
      </c>
      <c r="AZ409" s="691"/>
      <c r="BA409" s="691"/>
      <c r="BB409" s="691"/>
      <c r="BC409" s="691"/>
      <c r="BD409" s="691"/>
      <c r="BE409" s="691"/>
      <c r="BF409" s="691"/>
      <c r="BG409" s="691"/>
      <c r="BH409" s="691"/>
      <c r="BI409" s="691"/>
      <c r="BJ409" s="691"/>
      <c r="BK409" s="691"/>
      <c r="BL409" s="691"/>
      <c r="BM409" s="691"/>
      <c r="BN409" s="691"/>
      <c r="BO409" s="691"/>
      <c r="BP409" s="691"/>
      <c r="BQ409" s="691"/>
      <c r="BR409" s="691"/>
      <c r="BS409" s="691"/>
      <c r="BT409" s="691"/>
      <c r="BU409" s="691"/>
      <c r="BV409" s="691"/>
      <c r="BW409" s="691"/>
      <c r="BX409" s="691"/>
      <c r="BY409" s="691"/>
      <c r="BZ409" s="691"/>
      <c r="CA409" s="691"/>
      <c r="CB409" s="691"/>
      <c r="CC409" s="691"/>
      <c r="CD409" s="691"/>
      <c r="CE409" s="691"/>
      <c r="CF409" s="691"/>
      <c r="CG409" s="691"/>
      <c r="CH409" s="691"/>
      <c r="CI409" s="691"/>
      <c r="CJ409" s="691"/>
      <c r="CK409" s="691"/>
      <c r="CL409" s="691"/>
      <c r="CM409" s="691"/>
      <c r="CN409" s="691"/>
      <c r="CO409" s="691"/>
      <c r="CP409" s="691"/>
      <c r="CQ409" s="691"/>
      <c r="CR409" s="691"/>
      <c r="CS409" s="691"/>
      <c r="CT409" s="691"/>
      <c r="CU409" s="691"/>
      <c r="CV409" s="691"/>
      <c r="CW409" s="691"/>
      <c r="CX409" s="691"/>
      <c r="CY409" s="691"/>
      <c r="CZ409" s="691"/>
      <c r="DA409" s="691"/>
      <c r="DB409" s="691"/>
      <c r="DC409" s="691"/>
      <c r="DD409" s="691"/>
      <c r="DE409" s="691"/>
      <c r="DF409" s="691"/>
      <c r="DG409" s="691"/>
    </row>
    <row r="410" ht="20.25" customHeight="1">
      <c r="A410" s="157" t="s">
        <v>143</v>
      </c>
      <c r="B410" s="157" t="s">
        <v>107</v>
      </c>
      <c r="C410" s="157" t="s">
        <v>1471</v>
      </c>
      <c r="D410" s="152"/>
      <c r="E410" s="675" t="s">
        <v>2219</v>
      </c>
      <c r="F410" s="175" t="s">
        <v>2247</v>
      </c>
      <c r="G410" s="175" t="s">
        <v>1530</v>
      </c>
      <c r="H410" s="670">
        <v>45489.0</v>
      </c>
      <c r="I410" s="671">
        <v>45641.0</v>
      </c>
      <c r="J410" s="175" t="s">
        <v>2221</v>
      </c>
      <c r="K410" s="674"/>
      <c r="L410" s="689" t="s">
        <v>2223</v>
      </c>
      <c r="M410" s="689" t="s">
        <v>2224</v>
      </c>
      <c r="N410" s="672">
        <v>2.0</v>
      </c>
      <c r="O410" s="673" t="str">
        <f t="shared" si="26"/>
        <v>10.1016--j.learninstruc.2014.08.004.pdf</v>
      </c>
      <c r="P410" s="48" t="str">
        <f t="array" ref="P410">HYPERLINK(INDEX('File Links'!B:B, MATCH(O410, 'File Links'!C:C, 0)))
</f>
        <v>https://drive.google.com/file/d/1dE7-AS0QPxKoPMyquy5WhD3ojjC80SWY/view?usp=drivesdk</v>
      </c>
      <c r="Q410" s="175" t="s">
        <v>2225</v>
      </c>
      <c r="R410" s="175" t="s">
        <v>2226</v>
      </c>
      <c r="S410" s="674"/>
      <c r="T410" s="164">
        <v>1.0</v>
      </c>
      <c r="U410" s="175" t="str">
        <f t="shared" si="27"/>
        <v>10.1007--s11251-024-09670-y.pdf</v>
      </c>
      <c r="V410" s="175" t="s">
        <v>2227</v>
      </c>
      <c r="W410" s="50" t="str">
        <f t="array" ref="W410">HYPERLINK(INDEX('File Links'!B:B, MATCH(U410, 'File Links'!C:C, 0)))
</f>
        <v>https://drive.google.com/file/d/1pi6g99iJYyhyD_0jGvDca_hbleDdekCp/view?usp=drivesdk</v>
      </c>
      <c r="X410" s="674"/>
      <c r="Y410" s="175" t="s">
        <v>235</v>
      </c>
      <c r="Z410" s="675" t="s">
        <v>2228</v>
      </c>
      <c r="AA410" s="676" t="s">
        <v>2229</v>
      </c>
      <c r="AB410" s="175" t="s">
        <v>2230</v>
      </c>
      <c r="AC410" s="674" t="s">
        <v>2248</v>
      </c>
      <c r="AD410" s="672">
        <v>9.0</v>
      </c>
      <c r="AE410" s="672">
        <v>202.0</v>
      </c>
      <c r="AF410" s="672">
        <v>0.02</v>
      </c>
      <c r="AG410" s="677" t="s">
        <v>1785</v>
      </c>
      <c r="AH410" s="175" t="s">
        <v>621</v>
      </c>
      <c r="AI410" s="672">
        <v>0.047</v>
      </c>
      <c r="AJ410" s="169" t="s">
        <v>164</v>
      </c>
      <c r="AK410" s="674" t="s">
        <v>179</v>
      </c>
      <c r="AL410" s="674" t="s">
        <v>132</v>
      </c>
      <c r="AM410" s="164" t="s">
        <v>165</v>
      </c>
      <c r="AN410" s="672">
        <v>73.0</v>
      </c>
      <c r="AO410" s="187">
        <v>0.001</v>
      </c>
      <c r="AP410" s="674" t="s">
        <v>1785</v>
      </c>
      <c r="AQ410" s="156" t="s">
        <v>2232</v>
      </c>
      <c r="AR410" s="672">
        <v>0.84</v>
      </c>
      <c r="AS410" s="169" t="s">
        <v>164</v>
      </c>
      <c r="AT410" s="678" t="s">
        <v>179</v>
      </c>
      <c r="AU410" s="675" t="s">
        <v>129</v>
      </c>
      <c r="AV410" s="164" t="s">
        <v>165</v>
      </c>
      <c r="AW410" s="169" t="s">
        <v>142</v>
      </c>
      <c r="AX410" s="55"/>
      <c r="AY410" s="157" t="s">
        <v>135</v>
      </c>
      <c r="AZ410" s="84"/>
      <c r="BA410" s="84"/>
      <c r="BB410" s="84"/>
      <c r="BC410" s="84"/>
      <c r="BD410" s="84"/>
      <c r="BE410" s="84"/>
      <c r="BF410" s="84"/>
      <c r="BG410" s="84"/>
      <c r="BH410" s="84"/>
      <c r="BI410" s="84"/>
      <c r="BJ410" s="84"/>
      <c r="BK410" s="84"/>
      <c r="BL410" s="84"/>
      <c r="BM410" s="84"/>
      <c r="BN410" s="84"/>
      <c r="BO410" s="84"/>
      <c r="BP410" s="84"/>
      <c r="BQ410" s="84"/>
      <c r="BR410" s="84"/>
      <c r="BS410" s="84"/>
      <c r="BT410" s="84"/>
      <c r="BU410" s="84"/>
      <c r="BV410" s="84"/>
      <c r="BW410" s="84"/>
      <c r="BX410" s="84"/>
      <c r="BY410" s="84"/>
      <c r="BZ410" s="84"/>
      <c r="CA410" s="84"/>
      <c r="CB410" s="84"/>
      <c r="CC410" s="84"/>
      <c r="CD410" s="84"/>
      <c r="CE410" s="84"/>
      <c r="CF410" s="84"/>
      <c r="CG410" s="84"/>
      <c r="CH410" s="84"/>
      <c r="CI410" s="84"/>
      <c r="CJ410" s="84"/>
      <c r="CK410" s="84"/>
      <c r="CL410" s="84"/>
      <c r="CM410" s="84"/>
      <c r="CN410" s="84"/>
      <c r="CO410" s="84"/>
      <c r="CP410" s="84"/>
      <c r="CQ410" s="84"/>
      <c r="CR410" s="84"/>
      <c r="CS410" s="84"/>
      <c r="CT410" s="84"/>
      <c r="CU410" s="84"/>
      <c r="CV410" s="84"/>
      <c r="CW410" s="84"/>
      <c r="CX410" s="84"/>
      <c r="CY410" s="84"/>
      <c r="CZ410" s="84"/>
      <c r="DA410" s="84"/>
      <c r="DB410" s="84"/>
      <c r="DC410" s="84"/>
      <c r="DD410" s="84"/>
      <c r="DE410" s="84"/>
      <c r="DF410" s="84"/>
      <c r="DG410" s="84"/>
    </row>
    <row r="411" ht="20.25" customHeight="1">
      <c r="A411" s="157" t="s">
        <v>143</v>
      </c>
      <c r="B411" s="679" t="s">
        <v>107</v>
      </c>
      <c r="C411" s="679" t="s">
        <v>2196</v>
      </c>
      <c r="D411" s="680"/>
      <c r="E411" s="675" t="s">
        <v>2219</v>
      </c>
      <c r="F411" s="681" t="s">
        <v>2247</v>
      </c>
      <c r="G411" s="675" t="s">
        <v>2197</v>
      </c>
      <c r="H411" s="682">
        <v>45662.0</v>
      </c>
      <c r="I411" s="683"/>
      <c r="J411" s="683"/>
      <c r="K411" s="683"/>
      <c r="L411" s="675" t="s">
        <v>2223</v>
      </c>
      <c r="M411" s="675" t="s">
        <v>2224</v>
      </c>
      <c r="N411" s="684">
        <v>1.0</v>
      </c>
      <c r="O411" s="675" t="str">
        <f t="shared" si="26"/>
        <v>10.1016--j.learninstruc.2014.08.004.pdf</v>
      </c>
      <c r="P411" s="48" t="str">
        <f t="array" ref="P411">HYPERLINK(INDEX('File Links'!B:B, MATCH(O411, 'File Links'!C:C, 0)))
</f>
        <v>https://drive.google.com/file/d/1dE7-AS0QPxKoPMyquy5WhD3ojjC80SWY/view?usp=drivesdk</v>
      </c>
      <c r="Q411" s="675" t="s">
        <v>2225</v>
      </c>
      <c r="R411" s="675" t="s">
        <v>2226</v>
      </c>
      <c r="S411" s="683"/>
      <c r="T411" s="164">
        <v>1.0</v>
      </c>
      <c r="U411" s="675" t="str">
        <f t="shared" si="27"/>
        <v>10.1007--s11251-024-09670-y.pdf</v>
      </c>
      <c r="V411" s="175" t="s">
        <v>2227</v>
      </c>
      <c r="W411" s="50" t="str">
        <f t="array" ref="W411">HYPERLINK(INDEX('File Links'!B:B, MATCH(U411, 'File Links'!C:C, 0)))
</f>
        <v>https://drive.google.com/file/d/1pi6g99iJYyhyD_0jGvDca_hbleDdekCp/view?usp=drivesdk</v>
      </c>
      <c r="X411" s="683"/>
      <c r="Y411" s="675" t="s">
        <v>235</v>
      </c>
      <c r="Z411" s="675" t="s">
        <v>2228</v>
      </c>
      <c r="AA411" s="676" t="s">
        <v>2229</v>
      </c>
      <c r="AB411" s="675" t="s">
        <v>2249</v>
      </c>
      <c r="AC411" s="675" t="s">
        <v>2250</v>
      </c>
      <c r="AD411" s="684">
        <v>6.0</v>
      </c>
      <c r="AE411" s="684">
        <v>98.0</v>
      </c>
      <c r="AF411" s="675" t="s">
        <v>2251</v>
      </c>
      <c r="AG411" s="685" t="s">
        <v>1051</v>
      </c>
      <c r="AH411" s="681" t="s">
        <v>131</v>
      </c>
      <c r="AI411" s="686">
        <v>0.72</v>
      </c>
      <c r="AJ411" s="675" t="s">
        <v>1313</v>
      </c>
      <c r="AK411" s="681" t="s">
        <v>179</v>
      </c>
      <c r="AL411" s="683" t="s">
        <v>129</v>
      </c>
      <c r="AM411" s="164" t="s">
        <v>165</v>
      </c>
      <c r="AN411" s="684">
        <v>75.0</v>
      </c>
      <c r="AO411" s="695">
        <v>0.001</v>
      </c>
      <c r="AP411" s="683" t="s">
        <v>130</v>
      </c>
      <c r="AQ411" s="675" t="s">
        <v>2232</v>
      </c>
      <c r="AR411" s="684">
        <v>0.84</v>
      </c>
      <c r="AS411" s="675" t="s">
        <v>164</v>
      </c>
      <c r="AT411" s="675" t="s">
        <v>179</v>
      </c>
      <c r="AU411" s="675" t="s">
        <v>129</v>
      </c>
      <c r="AV411" s="164" t="s">
        <v>165</v>
      </c>
      <c r="AW411" s="169" t="s">
        <v>142</v>
      </c>
      <c r="AX411" s="60"/>
      <c r="AY411" s="157" t="s">
        <v>135</v>
      </c>
      <c r="AZ411" s="64"/>
      <c r="BA411" s="64"/>
      <c r="BB411" s="64"/>
      <c r="BC411" s="64"/>
      <c r="BD411" s="64"/>
      <c r="BE411" s="64"/>
      <c r="BF411" s="64"/>
      <c r="BG411" s="64"/>
      <c r="BH411" s="64"/>
      <c r="BI411" s="64"/>
      <c r="BJ411" s="64"/>
      <c r="BK411" s="64"/>
      <c r="BL411" s="64"/>
      <c r="BM411" s="64"/>
      <c r="BN411" s="64"/>
      <c r="BO411" s="64"/>
      <c r="BP411" s="64"/>
      <c r="BQ411" s="64"/>
      <c r="BR411" s="64"/>
      <c r="BS411" s="64"/>
      <c r="BT411" s="64"/>
      <c r="BU411" s="64"/>
      <c r="BV411" s="64"/>
      <c r="BW411" s="64"/>
      <c r="BX411" s="64"/>
      <c r="BY411" s="64"/>
      <c r="BZ411" s="64"/>
      <c r="CA411" s="64"/>
      <c r="CB411" s="64"/>
      <c r="CC411" s="64"/>
      <c r="CD411" s="64"/>
      <c r="CE411" s="64"/>
      <c r="CF411" s="64"/>
      <c r="CG411" s="64"/>
      <c r="CH411" s="64"/>
      <c r="CI411" s="64"/>
      <c r="CJ411" s="64"/>
      <c r="CK411" s="64"/>
      <c r="CL411" s="64"/>
      <c r="CM411" s="64"/>
      <c r="CN411" s="64"/>
      <c r="CO411" s="64"/>
      <c r="CP411" s="64"/>
      <c r="CQ411" s="64"/>
      <c r="CR411" s="64"/>
      <c r="CS411" s="64"/>
      <c r="CT411" s="64"/>
      <c r="CU411" s="64"/>
      <c r="CV411" s="64"/>
      <c r="CW411" s="64"/>
      <c r="CX411" s="64"/>
      <c r="CY411" s="64"/>
      <c r="CZ411" s="64"/>
      <c r="DA411" s="64"/>
      <c r="DB411" s="64"/>
      <c r="DC411" s="64"/>
      <c r="DD411" s="64"/>
      <c r="DE411" s="64"/>
      <c r="DF411" s="64"/>
      <c r="DG411" s="64"/>
    </row>
    <row r="412" ht="20.25" customHeight="1">
      <c r="A412" s="157" t="s">
        <v>143</v>
      </c>
      <c r="B412" s="157" t="s">
        <v>107</v>
      </c>
      <c r="C412" s="157" t="s">
        <v>1471</v>
      </c>
      <c r="D412" s="152"/>
      <c r="E412" s="675" t="s">
        <v>2219</v>
      </c>
      <c r="F412" s="175" t="s">
        <v>2252</v>
      </c>
      <c r="G412" s="175" t="s">
        <v>1530</v>
      </c>
      <c r="H412" s="670">
        <v>45489.0</v>
      </c>
      <c r="I412" s="671">
        <v>45641.0</v>
      </c>
      <c r="J412" s="175" t="s">
        <v>2221</v>
      </c>
      <c r="K412" s="674"/>
      <c r="L412" s="689" t="s">
        <v>2223</v>
      </c>
      <c r="M412" s="689" t="s">
        <v>2224</v>
      </c>
      <c r="N412" s="672">
        <v>2.0</v>
      </c>
      <c r="O412" s="673" t="str">
        <f t="shared" si="26"/>
        <v>10.1016--j.learninstruc.2014.08.004.pdf</v>
      </c>
      <c r="P412" s="48" t="str">
        <f t="array" ref="P412">HYPERLINK(INDEX('File Links'!B:B, MATCH(O412, 'File Links'!C:C, 0)))
</f>
        <v>https://drive.google.com/file/d/1dE7-AS0QPxKoPMyquy5WhD3ojjC80SWY/view?usp=drivesdk</v>
      </c>
      <c r="Q412" s="175" t="s">
        <v>2225</v>
      </c>
      <c r="R412" s="175" t="s">
        <v>2226</v>
      </c>
      <c r="S412" s="674"/>
      <c r="T412" s="164">
        <v>1.0</v>
      </c>
      <c r="U412" s="175" t="str">
        <f t="shared" si="27"/>
        <v>10.1007--s11251-024-09670-y.pdf</v>
      </c>
      <c r="V412" s="175" t="s">
        <v>2227</v>
      </c>
      <c r="W412" s="50" t="str">
        <f t="array" ref="W412">HYPERLINK(INDEX('File Links'!B:B, MATCH(U412, 'File Links'!C:C, 0)))
</f>
        <v>https://drive.google.com/file/d/1pi6g99iJYyhyD_0jGvDca_hbleDdekCp/view?usp=drivesdk</v>
      </c>
      <c r="X412" s="674"/>
      <c r="Y412" s="175" t="s">
        <v>235</v>
      </c>
      <c r="Z412" s="675" t="s">
        <v>2228</v>
      </c>
      <c r="AA412" s="676" t="s">
        <v>2229</v>
      </c>
      <c r="AB412" s="175" t="s">
        <v>2230</v>
      </c>
      <c r="AC412" s="674" t="s">
        <v>2253</v>
      </c>
      <c r="AD412" s="672">
        <v>9.0</v>
      </c>
      <c r="AE412" s="672">
        <v>202.0</v>
      </c>
      <c r="AF412" s="674" t="s">
        <v>2254</v>
      </c>
      <c r="AG412" s="690" t="s">
        <v>162</v>
      </c>
      <c r="AH412" s="175" t="s">
        <v>621</v>
      </c>
      <c r="AI412" s="672">
        <v>0.53</v>
      </c>
      <c r="AJ412" s="169" t="s">
        <v>164</v>
      </c>
      <c r="AK412" s="674" t="s">
        <v>179</v>
      </c>
      <c r="AL412" s="674" t="s">
        <v>132</v>
      </c>
      <c r="AM412" s="164" t="s">
        <v>165</v>
      </c>
      <c r="AN412" s="672">
        <v>73.0</v>
      </c>
      <c r="AO412" s="512">
        <v>0.005</v>
      </c>
      <c r="AP412" s="674" t="s">
        <v>1785</v>
      </c>
      <c r="AQ412" s="156" t="s">
        <v>2232</v>
      </c>
      <c r="AR412" s="672">
        <v>0.55</v>
      </c>
      <c r="AS412" s="169" t="s">
        <v>164</v>
      </c>
      <c r="AT412" s="678" t="s">
        <v>179</v>
      </c>
      <c r="AU412" s="675" t="s">
        <v>129</v>
      </c>
      <c r="AV412" s="164" t="s">
        <v>165</v>
      </c>
      <c r="AW412" s="169" t="s">
        <v>142</v>
      </c>
      <c r="AX412" s="55"/>
      <c r="AY412" s="157" t="s">
        <v>135</v>
      </c>
      <c r="AZ412" s="95"/>
      <c r="BA412" s="95"/>
      <c r="BB412" s="95"/>
      <c r="BC412" s="95"/>
      <c r="BD412" s="95"/>
      <c r="BE412" s="95"/>
      <c r="BF412" s="95"/>
      <c r="BG412" s="95"/>
      <c r="BH412" s="95"/>
      <c r="BI412" s="95"/>
      <c r="BJ412" s="95"/>
      <c r="BK412" s="95"/>
      <c r="BL412" s="95"/>
      <c r="BM412" s="95"/>
      <c r="BN412" s="95"/>
      <c r="BO412" s="95"/>
      <c r="BP412" s="95"/>
      <c r="BQ412" s="95"/>
      <c r="BR412" s="95"/>
      <c r="BS412" s="95"/>
      <c r="BT412" s="95"/>
      <c r="BU412" s="95"/>
      <c r="BV412" s="95"/>
      <c r="BW412" s="95"/>
      <c r="BX412" s="95"/>
      <c r="BY412" s="95"/>
      <c r="BZ412" s="95"/>
      <c r="CA412" s="95"/>
      <c r="CB412" s="95"/>
      <c r="CC412" s="95"/>
      <c r="CD412" s="95"/>
      <c r="CE412" s="95"/>
      <c r="CF412" s="95"/>
      <c r="CG412" s="95"/>
      <c r="CH412" s="95"/>
      <c r="CI412" s="95"/>
      <c r="CJ412" s="95"/>
      <c r="CK412" s="95"/>
      <c r="CL412" s="95"/>
      <c r="CM412" s="95"/>
      <c r="CN412" s="95"/>
      <c r="CO412" s="95"/>
      <c r="CP412" s="95"/>
      <c r="CQ412" s="95"/>
      <c r="CR412" s="95"/>
      <c r="CS412" s="95"/>
      <c r="CT412" s="95"/>
      <c r="CU412" s="95"/>
      <c r="CV412" s="95"/>
      <c r="CW412" s="95"/>
      <c r="CX412" s="95"/>
      <c r="CY412" s="95"/>
      <c r="CZ412" s="95"/>
      <c r="DA412" s="95"/>
      <c r="DB412" s="95"/>
      <c r="DC412" s="95"/>
      <c r="DD412" s="95"/>
      <c r="DE412" s="95"/>
      <c r="DF412" s="95"/>
      <c r="DG412" s="95"/>
    </row>
    <row r="413" ht="20.25" customHeight="1">
      <c r="A413" s="157" t="s">
        <v>143</v>
      </c>
      <c r="B413" s="679" t="s">
        <v>107</v>
      </c>
      <c r="C413" s="679" t="s">
        <v>2196</v>
      </c>
      <c r="D413" s="680"/>
      <c r="E413" s="675" t="s">
        <v>2219</v>
      </c>
      <c r="F413" s="681" t="s">
        <v>2252</v>
      </c>
      <c r="G413" s="675" t="s">
        <v>2197</v>
      </c>
      <c r="H413" s="682">
        <v>45662.0</v>
      </c>
      <c r="I413" s="683"/>
      <c r="J413" s="683"/>
      <c r="K413" s="683"/>
      <c r="L413" s="675" t="s">
        <v>2223</v>
      </c>
      <c r="M413" s="675" t="s">
        <v>2224</v>
      </c>
      <c r="N413" s="684">
        <v>2.0</v>
      </c>
      <c r="O413" s="675" t="str">
        <f t="shared" si="26"/>
        <v>10.1016--j.learninstruc.2014.08.004.pdf</v>
      </c>
      <c r="P413" s="48" t="str">
        <f t="array" ref="P413">HYPERLINK(INDEX('File Links'!B:B, MATCH(O413, 'File Links'!C:C, 0)))
</f>
        <v>https://drive.google.com/file/d/1dE7-AS0QPxKoPMyquy5WhD3ojjC80SWY/view?usp=drivesdk</v>
      </c>
      <c r="Q413" s="675" t="s">
        <v>2225</v>
      </c>
      <c r="R413" s="675" t="s">
        <v>2226</v>
      </c>
      <c r="S413" s="683"/>
      <c r="T413" s="164">
        <v>1.0</v>
      </c>
      <c r="U413" s="675" t="str">
        <f t="shared" si="27"/>
        <v>10.1007--s11251-024-09670-y.pdf</v>
      </c>
      <c r="V413" s="175" t="s">
        <v>2227</v>
      </c>
      <c r="W413" s="50" t="str">
        <f t="array" ref="W413">HYPERLINK(INDEX('File Links'!B:B, MATCH(U413, 'File Links'!C:C, 0)))
</f>
        <v>https://drive.google.com/file/d/1pi6g99iJYyhyD_0jGvDca_hbleDdekCp/view?usp=drivesdk</v>
      </c>
      <c r="X413" s="683"/>
      <c r="Y413" s="675" t="s">
        <v>235</v>
      </c>
      <c r="Z413" s="675" t="s">
        <v>2228</v>
      </c>
      <c r="AA413" s="676" t="s">
        <v>2229</v>
      </c>
      <c r="AB413" s="675" t="s">
        <v>2234</v>
      </c>
      <c r="AC413" s="676" t="s">
        <v>2255</v>
      </c>
      <c r="AD413" s="684">
        <v>8.0</v>
      </c>
      <c r="AE413" s="684">
        <v>240.0</v>
      </c>
      <c r="AF413" s="684">
        <v>0.16</v>
      </c>
      <c r="AG413" s="685" t="s">
        <v>130</v>
      </c>
      <c r="AH413" s="681" t="s">
        <v>2256</v>
      </c>
      <c r="AI413" s="686">
        <v>0.001</v>
      </c>
      <c r="AJ413" s="675" t="s">
        <v>127</v>
      </c>
      <c r="AK413" s="681" t="s">
        <v>179</v>
      </c>
      <c r="AL413" s="683" t="s">
        <v>129</v>
      </c>
      <c r="AM413" s="164" t="s">
        <v>165</v>
      </c>
      <c r="AN413" s="684">
        <v>75.0</v>
      </c>
      <c r="AO413" s="696">
        <v>0.005</v>
      </c>
      <c r="AP413" s="683" t="s">
        <v>130</v>
      </c>
      <c r="AQ413" s="675" t="s">
        <v>2232</v>
      </c>
      <c r="AR413" s="688">
        <v>0.56</v>
      </c>
      <c r="AS413" s="675" t="s">
        <v>164</v>
      </c>
      <c r="AT413" s="675" t="s">
        <v>179</v>
      </c>
      <c r="AU413" s="675" t="s">
        <v>129</v>
      </c>
      <c r="AV413" s="164" t="s">
        <v>165</v>
      </c>
      <c r="AW413" s="169" t="s">
        <v>142</v>
      </c>
      <c r="AX413" s="60"/>
      <c r="AY413" s="157" t="s">
        <v>135</v>
      </c>
      <c r="AZ413" s="95"/>
      <c r="BA413" s="95"/>
      <c r="BB413" s="95"/>
      <c r="BC413" s="95"/>
      <c r="BD413" s="95"/>
      <c r="BE413" s="95"/>
      <c r="BF413" s="95"/>
      <c r="BG413" s="95"/>
      <c r="BH413" s="95"/>
      <c r="BI413" s="95"/>
      <c r="BJ413" s="95"/>
      <c r="BK413" s="95"/>
      <c r="BL413" s="95"/>
      <c r="BM413" s="95"/>
      <c r="BN413" s="95"/>
      <c r="BO413" s="95"/>
      <c r="BP413" s="95"/>
      <c r="BQ413" s="95"/>
      <c r="BR413" s="95"/>
      <c r="BS413" s="95"/>
      <c r="BT413" s="95"/>
      <c r="BU413" s="95"/>
      <c r="BV413" s="95"/>
      <c r="BW413" s="95"/>
      <c r="BX413" s="95"/>
      <c r="BY413" s="95"/>
      <c r="BZ413" s="95"/>
      <c r="CA413" s="95"/>
      <c r="CB413" s="95"/>
      <c r="CC413" s="95"/>
      <c r="CD413" s="95"/>
      <c r="CE413" s="95"/>
      <c r="CF413" s="95"/>
      <c r="CG413" s="95"/>
      <c r="CH413" s="95"/>
      <c r="CI413" s="95"/>
      <c r="CJ413" s="95"/>
      <c r="CK413" s="95"/>
      <c r="CL413" s="95"/>
      <c r="CM413" s="95"/>
      <c r="CN413" s="95"/>
      <c r="CO413" s="95"/>
      <c r="CP413" s="95"/>
      <c r="CQ413" s="95"/>
      <c r="CR413" s="95"/>
      <c r="CS413" s="95"/>
      <c r="CT413" s="95"/>
      <c r="CU413" s="95"/>
      <c r="CV413" s="95"/>
      <c r="CW413" s="95"/>
      <c r="CX413" s="95"/>
      <c r="CY413" s="95"/>
      <c r="CZ413" s="95"/>
      <c r="DA413" s="95"/>
      <c r="DB413" s="95"/>
      <c r="DC413" s="95"/>
      <c r="DD413" s="95"/>
      <c r="DE413" s="95"/>
      <c r="DF413" s="95"/>
      <c r="DG413" s="95"/>
    </row>
    <row r="414" ht="20.25" customHeight="1">
      <c r="A414" s="157" t="s">
        <v>143</v>
      </c>
      <c r="B414" s="157" t="s">
        <v>107</v>
      </c>
      <c r="C414" s="157" t="s">
        <v>1471</v>
      </c>
      <c r="D414" s="152"/>
      <c r="E414" s="675" t="s">
        <v>2219</v>
      </c>
      <c r="F414" s="175" t="s">
        <v>2257</v>
      </c>
      <c r="G414" s="175" t="s">
        <v>1530</v>
      </c>
      <c r="H414" s="670">
        <v>45489.0</v>
      </c>
      <c r="I414" s="671">
        <v>45641.0</v>
      </c>
      <c r="J414" s="175" t="s">
        <v>2221</v>
      </c>
      <c r="K414" s="674"/>
      <c r="L414" s="689" t="s">
        <v>2223</v>
      </c>
      <c r="M414" s="689" t="s">
        <v>2224</v>
      </c>
      <c r="N414" s="672">
        <v>2.0</v>
      </c>
      <c r="O414" s="673" t="str">
        <f t="shared" si="26"/>
        <v>10.1016--j.learninstruc.2014.08.004.pdf</v>
      </c>
      <c r="P414" s="48" t="str">
        <f t="array" ref="P414">HYPERLINK(INDEX('File Links'!B:B, MATCH(O414, 'File Links'!C:C, 0)))
</f>
        <v>https://drive.google.com/file/d/1dE7-AS0QPxKoPMyquy5WhD3ojjC80SWY/view?usp=drivesdk</v>
      </c>
      <c r="Q414" s="175" t="s">
        <v>2225</v>
      </c>
      <c r="R414" s="175" t="s">
        <v>2226</v>
      </c>
      <c r="S414" s="674"/>
      <c r="T414" s="164">
        <v>1.0</v>
      </c>
      <c r="U414" s="175" t="str">
        <f t="shared" si="27"/>
        <v>10.1007--s11251-024-09670-y.pdf</v>
      </c>
      <c r="V414" s="175" t="s">
        <v>2227</v>
      </c>
      <c r="W414" s="50" t="str">
        <f t="array" ref="W414">HYPERLINK(INDEX('File Links'!B:B, MATCH(U414, 'File Links'!C:C, 0)))
</f>
        <v>https://drive.google.com/file/d/1pi6g99iJYyhyD_0jGvDca_hbleDdekCp/view?usp=drivesdk</v>
      </c>
      <c r="X414" s="674"/>
      <c r="Y414" s="175" t="s">
        <v>235</v>
      </c>
      <c r="Z414" s="675" t="s">
        <v>2228</v>
      </c>
      <c r="AA414" s="676" t="s">
        <v>2229</v>
      </c>
      <c r="AB414" s="175" t="s">
        <v>2230</v>
      </c>
      <c r="AC414" s="175" t="s">
        <v>2258</v>
      </c>
      <c r="AD414" s="672">
        <v>9.0</v>
      </c>
      <c r="AE414" s="672">
        <v>202.0</v>
      </c>
      <c r="AF414" s="689" t="s">
        <v>2259</v>
      </c>
      <c r="AG414" s="690" t="s">
        <v>162</v>
      </c>
      <c r="AH414" s="175" t="s">
        <v>621</v>
      </c>
      <c r="AI414" s="672">
        <v>0.25</v>
      </c>
      <c r="AJ414" s="169" t="s">
        <v>164</v>
      </c>
      <c r="AK414" s="674" t="s">
        <v>179</v>
      </c>
      <c r="AL414" s="674" t="s">
        <v>132</v>
      </c>
      <c r="AM414" s="164" t="s">
        <v>165</v>
      </c>
      <c r="AN414" s="672">
        <v>73.0</v>
      </c>
      <c r="AO414" s="672">
        <v>0.001</v>
      </c>
      <c r="AP414" s="674" t="s">
        <v>1785</v>
      </c>
      <c r="AQ414" s="156" t="s">
        <v>2232</v>
      </c>
      <c r="AR414" s="672">
        <v>0.94</v>
      </c>
      <c r="AS414" s="169" t="s">
        <v>164</v>
      </c>
      <c r="AT414" s="678" t="s">
        <v>179</v>
      </c>
      <c r="AU414" s="675" t="s">
        <v>129</v>
      </c>
      <c r="AV414" s="164" t="s">
        <v>165</v>
      </c>
      <c r="AW414" s="169" t="s">
        <v>142</v>
      </c>
      <c r="AX414" s="55"/>
      <c r="AY414" s="157" t="s">
        <v>135</v>
      </c>
      <c r="AZ414" s="95"/>
      <c r="BA414" s="95"/>
      <c r="BB414" s="95"/>
      <c r="BC414" s="95"/>
      <c r="BD414" s="95"/>
      <c r="BE414" s="95"/>
      <c r="BF414" s="95"/>
      <c r="BG414" s="95"/>
      <c r="BH414" s="95"/>
      <c r="BI414" s="95"/>
      <c r="BJ414" s="95"/>
      <c r="BK414" s="95"/>
      <c r="BL414" s="95"/>
      <c r="BM414" s="95"/>
      <c r="BN414" s="95"/>
      <c r="BO414" s="95"/>
      <c r="BP414" s="95"/>
      <c r="BQ414" s="95"/>
      <c r="BR414" s="95"/>
      <c r="BS414" s="95"/>
      <c r="BT414" s="95"/>
      <c r="BU414" s="95"/>
      <c r="BV414" s="95"/>
      <c r="BW414" s="95"/>
      <c r="BX414" s="95"/>
      <c r="BY414" s="95"/>
      <c r="BZ414" s="95"/>
      <c r="CA414" s="95"/>
      <c r="CB414" s="95"/>
      <c r="CC414" s="95"/>
      <c r="CD414" s="95"/>
      <c r="CE414" s="95"/>
      <c r="CF414" s="95"/>
      <c r="CG414" s="95"/>
      <c r="CH414" s="95"/>
      <c r="CI414" s="95"/>
      <c r="CJ414" s="95"/>
      <c r="CK414" s="95"/>
      <c r="CL414" s="95"/>
      <c r="CM414" s="95"/>
      <c r="CN414" s="95"/>
      <c r="CO414" s="95"/>
      <c r="CP414" s="95"/>
      <c r="CQ414" s="95"/>
      <c r="CR414" s="95"/>
      <c r="CS414" s="95"/>
      <c r="CT414" s="95"/>
      <c r="CU414" s="95"/>
      <c r="CV414" s="95"/>
      <c r="CW414" s="95"/>
      <c r="CX414" s="95"/>
      <c r="CY414" s="95"/>
      <c r="CZ414" s="95"/>
      <c r="DA414" s="95"/>
      <c r="DB414" s="95"/>
      <c r="DC414" s="95"/>
      <c r="DD414" s="95"/>
      <c r="DE414" s="95"/>
      <c r="DF414" s="95"/>
      <c r="DG414" s="95"/>
    </row>
    <row r="415" ht="20.25" customHeight="1">
      <c r="A415" s="157" t="s">
        <v>143</v>
      </c>
      <c r="B415" s="679" t="s">
        <v>107</v>
      </c>
      <c r="C415" s="679" t="s">
        <v>2196</v>
      </c>
      <c r="D415" s="680"/>
      <c r="E415" s="675" t="s">
        <v>2219</v>
      </c>
      <c r="F415" s="681" t="s">
        <v>2257</v>
      </c>
      <c r="G415" s="675" t="s">
        <v>2197</v>
      </c>
      <c r="H415" s="682">
        <v>45662.0</v>
      </c>
      <c r="I415" s="683"/>
      <c r="J415" s="683"/>
      <c r="K415" s="683"/>
      <c r="L415" s="675" t="s">
        <v>2223</v>
      </c>
      <c r="M415" s="675" t="s">
        <v>2224</v>
      </c>
      <c r="N415" s="684">
        <v>2.0</v>
      </c>
      <c r="O415" s="675" t="str">
        <f t="shared" si="26"/>
        <v>10.1016--j.learninstruc.2014.08.004.pdf</v>
      </c>
      <c r="P415" s="48" t="str">
        <f t="array" ref="P415">HYPERLINK(INDEX('File Links'!B:B, MATCH(O415, 'File Links'!C:C, 0)))
</f>
        <v>https://drive.google.com/file/d/1dE7-AS0QPxKoPMyquy5WhD3ojjC80SWY/view?usp=drivesdk</v>
      </c>
      <c r="Q415" s="675" t="s">
        <v>2225</v>
      </c>
      <c r="R415" s="675" t="s">
        <v>2226</v>
      </c>
      <c r="S415" s="683"/>
      <c r="T415" s="164">
        <v>1.0</v>
      </c>
      <c r="U415" s="675" t="str">
        <f t="shared" si="27"/>
        <v>10.1007--s11251-024-09670-y.pdf</v>
      </c>
      <c r="V415" s="175" t="s">
        <v>2227</v>
      </c>
      <c r="W415" s="50" t="str">
        <f t="array" ref="W415">HYPERLINK(INDEX('File Links'!B:B, MATCH(U415, 'File Links'!C:C, 0)))
</f>
        <v>https://drive.google.com/file/d/1pi6g99iJYyhyD_0jGvDca_hbleDdekCp/view?usp=drivesdk</v>
      </c>
      <c r="X415" s="683"/>
      <c r="Y415" s="675" t="s">
        <v>235</v>
      </c>
      <c r="Z415" s="675" t="s">
        <v>2228</v>
      </c>
      <c r="AA415" s="676" t="s">
        <v>2229</v>
      </c>
      <c r="AB415" s="675" t="s">
        <v>2239</v>
      </c>
      <c r="AC415" s="676" t="s">
        <v>2260</v>
      </c>
      <c r="AD415" s="684">
        <v>8.0</v>
      </c>
      <c r="AE415" s="684">
        <v>240.0</v>
      </c>
      <c r="AF415" s="684">
        <v>0.08</v>
      </c>
      <c r="AG415" s="685" t="s">
        <v>130</v>
      </c>
      <c r="AH415" s="681" t="s">
        <v>2256</v>
      </c>
      <c r="AI415" s="686">
        <v>0.001</v>
      </c>
      <c r="AJ415" s="675" t="s">
        <v>127</v>
      </c>
      <c r="AK415" s="681" t="s">
        <v>179</v>
      </c>
      <c r="AL415" s="683" t="s">
        <v>132</v>
      </c>
      <c r="AM415" s="164" t="s">
        <v>165</v>
      </c>
      <c r="AN415" s="684">
        <v>75.0</v>
      </c>
      <c r="AO415" s="684">
        <v>0.002</v>
      </c>
      <c r="AP415" s="683" t="s">
        <v>130</v>
      </c>
      <c r="AQ415" s="675" t="s">
        <v>2232</v>
      </c>
      <c r="AR415" s="684">
        <v>0.73</v>
      </c>
      <c r="AS415" s="675" t="s">
        <v>164</v>
      </c>
      <c r="AT415" s="675" t="s">
        <v>179</v>
      </c>
      <c r="AU415" s="675" t="s">
        <v>129</v>
      </c>
      <c r="AV415" s="164" t="s">
        <v>165</v>
      </c>
      <c r="AW415" s="169" t="s">
        <v>142</v>
      </c>
      <c r="AX415" s="60"/>
      <c r="AY415" s="157" t="s">
        <v>135</v>
      </c>
    </row>
    <row r="416" ht="20.25" customHeight="1">
      <c r="A416" s="157" t="s">
        <v>143</v>
      </c>
      <c r="B416" s="679" t="s">
        <v>107</v>
      </c>
      <c r="C416" s="679" t="s">
        <v>2196</v>
      </c>
      <c r="D416" s="680"/>
      <c r="E416" s="675" t="s">
        <v>2219</v>
      </c>
      <c r="F416" s="681" t="s">
        <v>2261</v>
      </c>
      <c r="G416" s="675" t="s">
        <v>2197</v>
      </c>
      <c r="H416" s="682">
        <v>45662.0</v>
      </c>
      <c r="I416" s="683"/>
      <c r="J416" s="683"/>
      <c r="K416" s="683"/>
      <c r="L416" s="675" t="s">
        <v>2223</v>
      </c>
      <c r="M416" s="675" t="s">
        <v>2224</v>
      </c>
      <c r="N416" s="684">
        <v>2.0</v>
      </c>
      <c r="O416" s="675" t="str">
        <f t="shared" si="26"/>
        <v>10.1016--j.learninstruc.2014.08.004.pdf</v>
      </c>
      <c r="P416" s="48" t="str">
        <f t="array" ref="P416">HYPERLINK(INDEX('File Links'!B:B, MATCH(O416, 'File Links'!C:C, 0)))
</f>
        <v>https://drive.google.com/file/d/1dE7-AS0QPxKoPMyquy5WhD3ojjC80SWY/view?usp=drivesdk</v>
      </c>
      <c r="Q416" s="675" t="s">
        <v>2225</v>
      </c>
      <c r="R416" s="675" t="s">
        <v>2226</v>
      </c>
      <c r="S416" s="683"/>
      <c r="T416" s="164">
        <v>1.0</v>
      </c>
      <c r="U416" s="675" t="str">
        <f t="shared" si="27"/>
        <v>10.1007--s11251-024-09670-y.pdf</v>
      </c>
      <c r="V416" s="175" t="s">
        <v>2227</v>
      </c>
      <c r="W416" s="50" t="str">
        <f t="array" ref="W416">HYPERLINK(INDEX('File Links'!B:B, MATCH(U416, 'File Links'!C:C, 0)))
</f>
        <v>https://drive.google.com/file/d/1pi6g99iJYyhyD_0jGvDca_hbleDdekCp/view?usp=drivesdk</v>
      </c>
      <c r="X416" s="683"/>
      <c r="Y416" s="675" t="s">
        <v>235</v>
      </c>
      <c r="Z416" s="675" t="s">
        <v>2228</v>
      </c>
      <c r="AA416" s="676" t="s">
        <v>2229</v>
      </c>
      <c r="AB416" s="675" t="s">
        <v>2245</v>
      </c>
      <c r="AC416" s="675" t="s">
        <v>2262</v>
      </c>
      <c r="AD416" s="684">
        <v>9.0</v>
      </c>
      <c r="AE416" s="684">
        <v>240.0</v>
      </c>
      <c r="AF416" s="683" t="s">
        <v>2263</v>
      </c>
      <c r="AG416" s="693" t="s">
        <v>1051</v>
      </c>
      <c r="AH416" s="681" t="s">
        <v>625</v>
      </c>
      <c r="AI416" s="697">
        <v>0.97</v>
      </c>
      <c r="AJ416" s="675" t="s">
        <v>164</v>
      </c>
      <c r="AK416" s="681" t="s">
        <v>179</v>
      </c>
      <c r="AL416" s="683" t="s">
        <v>132</v>
      </c>
      <c r="AM416" s="164" t="s">
        <v>165</v>
      </c>
      <c r="AN416" s="684">
        <v>75.0</v>
      </c>
      <c r="AO416" s="694">
        <v>0.005</v>
      </c>
      <c r="AP416" s="683" t="s">
        <v>130</v>
      </c>
      <c r="AQ416" s="675" t="s">
        <v>2232</v>
      </c>
      <c r="AR416" s="684">
        <v>0.55</v>
      </c>
      <c r="AS416" s="675" t="s">
        <v>164</v>
      </c>
      <c r="AT416" s="675" t="s">
        <v>179</v>
      </c>
      <c r="AU416" s="675" t="s">
        <v>129</v>
      </c>
      <c r="AV416" s="164" t="s">
        <v>165</v>
      </c>
      <c r="AW416" s="169" t="s">
        <v>142</v>
      </c>
      <c r="AX416" s="60"/>
      <c r="AY416" s="157" t="s">
        <v>135</v>
      </c>
    </row>
    <row r="417" ht="20.25" customHeight="1">
      <c r="A417" s="157" t="s">
        <v>143</v>
      </c>
      <c r="B417" s="679" t="s">
        <v>107</v>
      </c>
      <c r="C417" s="679" t="s">
        <v>2196</v>
      </c>
      <c r="D417" s="680"/>
      <c r="E417" s="675" t="s">
        <v>2219</v>
      </c>
      <c r="F417" s="681" t="s">
        <v>2261</v>
      </c>
      <c r="G417" s="675" t="s">
        <v>2197</v>
      </c>
      <c r="H417" s="682">
        <v>45662.0</v>
      </c>
      <c r="I417" s="683"/>
      <c r="J417" s="683"/>
      <c r="K417" s="683"/>
      <c r="L417" s="675" t="s">
        <v>2223</v>
      </c>
      <c r="M417" s="675" t="s">
        <v>2224</v>
      </c>
      <c r="N417" s="684">
        <v>2.0</v>
      </c>
      <c r="O417" s="675" t="s">
        <v>2264</v>
      </c>
      <c r="P417" s="48" t="str">
        <f t="array" ref="P417">HYPERLINK(INDEX('File Links'!B:B, MATCH(O417, 'File Links'!C:C, 0)))
</f>
        <v>https://drive.google.com/file/d/1dE7-AS0QPxKoPMyquy5WhD3ojjC80SWY/view?usp=drivesdk</v>
      </c>
      <c r="Q417" s="675" t="s">
        <v>2225</v>
      </c>
      <c r="R417" s="675" t="s">
        <v>2226</v>
      </c>
      <c r="S417" s="683"/>
      <c r="T417" s="164">
        <v>1.0</v>
      </c>
      <c r="U417" s="675" t="str">
        <f t="shared" si="27"/>
        <v>10.1007--s11251-024-09670-y.pdf</v>
      </c>
      <c r="V417" s="175" t="s">
        <v>2227</v>
      </c>
      <c r="W417" s="50" t="str">
        <f t="array" ref="W417">HYPERLINK(INDEX('File Links'!B:B, MATCH(U417, 'File Links'!C:C, 0)))
</f>
        <v>https://drive.google.com/file/d/1pi6g99iJYyhyD_0jGvDca_hbleDdekCp/view?usp=drivesdk</v>
      </c>
      <c r="X417" s="683"/>
      <c r="Y417" s="675" t="s">
        <v>235</v>
      </c>
      <c r="Z417" s="675" t="s">
        <v>2228</v>
      </c>
      <c r="AA417" s="676" t="s">
        <v>2229</v>
      </c>
      <c r="AB417" s="675" t="s">
        <v>2265</v>
      </c>
      <c r="AC417" s="675" t="s">
        <v>2266</v>
      </c>
      <c r="AD417" s="684">
        <v>9.0</v>
      </c>
      <c r="AE417" s="684">
        <v>240.0</v>
      </c>
      <c r="AF417" s="675" t="s">
        <v>2267</v>
      </c>
      <c r="AG417" s="693" t="s">
        <v>1051</v>
      </c>
      <c r="AH417" s="681" t="s">
        <v>2268</v>
      </c>
      <c r="AI417" s="686">
        <v>0.07</v>
      </c>
      <c r="AJ417" s="675" t="s">
        <v>164</v>
      </c>
      <c r="AK417" s="681" t="s">
        <v>179</v>
      </c>
      <c r="AL417" s="683" t="s">
        <v>132</v>
      </c>
      <c r="AM417" s="164" t="s">
        <v>165</v>
      </c>
      <c r="AN417" s="684">
        <v>75.0</v>
      </c>
      <c r="AO417" s="675" t="s">
        <v>2269</v>
      </c>
      <c r="AP417" s="675" t="s">
        <v>1051</v>
      </c>
      <c r="AQ417" s="675" t="s">
        <v>2232</v>
      </c>
      <c r="AR417" s="684">
        <v>0.94</v>
      </c>
      <c r="AS417" s="675" t="s">
        <v>164</v>
      </c>
      <c r="AT417" s="675" t="s">
        <v>179</v>
      </c>
      <c r="AU417" s="675" t="s">
        <v>129</v>
      </c>
      <c r="AV417" s="164" t="s">
        <v>165</v>
      </c>
      <c r="AW417" s="169" t="s">
        <v>142</v>
      </c>
      <c r="AX417" s="60"/>
      <c r="AY417" s="157" t="s">
        <v>135</v>
      </c>
    </row>
    <row r="418" ht="20.25" customHeight="1">
      <c r="A418" s="157" t="s">
        <v>143</v>
      </c>
      <c r="B418" s="679" t="s">
        <v>107</v>
      </c>
      <c r="C418" s="679" t="s">
        <v>2196</v>
      </c>
      <c r="D418" s="680"/>
      <c r="E418" s="675" t="s">
        <v>2219</v>
      </c>
      <c r="F418" s="681" t="s">
        <v>2270</v>
      </c>
      <c r="G418" s="675" t="s">
        <v>2197</v>
      </c>
      <c r="H418" s="682">
        <v>45662.0</v>
      </c>
      <c r="I418" s="683"/>
      <c r="J418" s="683"/>
      <c r="K418" s="683"/>
      <c r="L418" s="675" t="s">
        <v>2223</v>
      </c>
      <c r="M418" s="675" t="s">
        <v>2224</v>
      </c>
      <c r="N418" s="684">
        <v>2.0</v>
      </c>
      <c r="O418" s="675" t="str">
        <f t="shared" ref="O418:O463" si="28"> SUBSTITUTE(lower(M418), "/", "--") &amp;  ".pdf"</f>
        <v>10.1016--j.learninstruc.2014.08.004.pdf</v>
      </c>
      <c r="P418" s="48" t="str">
        <f t="array" ref="P418">HYPERLINK(INDEX('File Links'!B:B, MATCH(O418, 'File Links'!C:C, 0)))
</f>
        <v>https://drive.google.com/file/d/1dE7-AS0QPxKoPMyquy5WhD3ojjC80SWY/view?usp=drivesdk</v>
      </c>
      <c r="Q418" s="675" t="s">
        <v>2225</v>
      </c>
      <c r="R418" s="675" t="s">
        <v>2226</v>
      </c>
      <c r="S418" s="683"/>
      <c r="T418" s="164">
        <v>1.0</v>
      </c>
      <c r="U418" s="675" t="str">
        <f t="shared" si="27"/>
        <v>10.1007--s11251-024-09670-y.pdf</v>
      </c>
      <c r="V418" s="175" t="s">
        <v>2227</v>
      </c>
      <c r="W418" s="50" t="str">
        <f t="array" ref="W418">HYPERLINK(INDEX('File Links'!B:B, MATCH(U418, 'File Links'!C:C, 0)))
</f>
        <v>https://drive.google.com/file/d/1pi6g99iJYyhyD_0jGvDca_hbleDdekCp/view?usp=drivesdk</v>
      </c>
      <c r="X418" s="683"/>
      <c r="Y418" s="675" t="s">
        <v>235</v>
      </c>
      <c r="Z418" s="675" t="s">
        <v>2228</v>
      </c>
      <c r="AA418" s="676" t="s">
        <v>2229</v>
      </c>
      <c r="AB418" s="675" t="s">
        <v>2249</v>
      </c>
      <c r="AC418" s="675" t="s">
        <v>2271</v>
      </c>
      <c r="AD418" s="684">
        <v>9.0</v>
      </c>
      <c r="AE418" s="684">
        <v>240.0</v>
      </c>
      <c r="AF418" s="675" t="s">
        <v>2272</v>
      </c>
      <c r="AG418" s="693" t="s">
        <v>1051</v>
      </c>
      <c r="AH418" s="681" t="s">
        <v>625</v>
      </c>
      <c r="AI418" s="686">
        <v>0.25</v>
      </c>
      <c r="AJ418" s="675" t="s">
        <v>1313</v>
      </c>
      <c r="AK418" s="681" t="s">
        <v>179</v>
      </c>
      <c r="AL418" s="683" t="s">
        <v>132</v>
      </c>
      <c r="AM418" s="164" t="s">
        <v>165</v>
      </c>
      <c r="AN418" s="684">
        <v>75.0</v>
      </c>
      <c r="AO418" s="684">
        <v>0.001</v>
      </c>
      <c r="AP418" s="683" t="s">
        <v>130</v>
      </c>
      <c r="AQ418" s="675" t="s">
        <v>2232</v>
      </c>
      <c r="AR418" s="684">
        <v>0.84</v>
      </c>
      <c r="AS418" s="675" t="s">
        <v>164</v>
      </c>
      <c r="AT418" s="675" t="s">
        <v>179</v>
      </c>
      <c r="AU418" s="675" t="s">
        <v>129</v>
      </c>
      <c r="AV418" s="164" t="s">
        <v>165</v>
      </c>
      <c r="AW418" s="169" t="s">
        <v>142</v>
      </c>
      <c r="AX418" s="60"/>
      <c r="AY418" s="157" t="s">
        <v>135</v>
      </c>
    </row>
    <row r="419" ht="20.25" customHeight="1">
      <c r="A419" s="157" t="s">
        <v>143</v>
      </c>
      <c r="B419" s="679" t="s">
        <v>107</v>
      </c>
      <c r="C419" s="679" t="s">
        <v>2196</v>
      </c>
      <c r="D419" s="680"/>
      <c r="E419" s="675" t="s">
        <v>2219</v>
      </c>
      <c r="F419" s="681" t="s">
        <v>2273</v>
      </c>
      <c r="G419" s="675" t="s">
        <v>2197</v>
      </c>
      <c r="H419" s="682">
        <v>45662.0</v>
      </c>
      <c r="I419" s="683"/>
      <c r="J419" s="683"/>
      <c r="K419" s="683"/>
      <c r="L419" s="675" t="s">
        <v>2223</v>
      </c>
      <c r="M419" s="675" t="s">
        <v>2224</v>
      </c>
      <c r="N419" s="684">
        <v>2.0</v>
      </c>
      <c r="O419" s="675" t="str">
        <f t="shared" si="28"/>
        <v>10.1016--j.learninstruc.2014.08.004.pdf</v>
      </c>
      <c r="P419" s="48" t="str">
        <f t="array" ref="P419">HYPERLINK(INDEX('File Links'!B:B, MATCH(O419, 'File Links'!C:C, 0)))
</f>
        <v>https://drive.google.com/file/d/1dE7-AS0QPxKoPMyquy5WhD3ojjC80SWY/view?usp=drivesdk</v>
      </c>
      <c r="Q419" s="675" t="s">
        <v>2225</v>
      </c>
      <c r="R419" s="675" t="s">
        <v>2226</v>
      </c>
      <c r="S419" s="683"/>
      <c r="T419" s="164">
        <v>1.0</v>
      </c>
      <c r="U419" s="675" t="str">
        <f t="shared" si="27"/>
        <v>10.1007--s11251-024-09670-y.pdf</v>
      </c>
      <c r="V419" s="175" t="s">
        <v>2227</v>
      </c>
      <c r="W419" s="50" t="str">
        <f t="array" ref="W419">HYPERLINK(INDEX('File Links'!B:B, MATCH(U419, 'File Links'!C:C, 0)))
</f>
        <v>https://drive.google.com/file/d/1pi6g99iJYyhyD_0jGvDca_hbleDdekCp/view?usp=drivesdk</v>
      </c>
      <c r="X419" s="683"/>
      <c r="Y419" s="675" t="s">
        <v>235</v>
      </c>
      <c r="Z419" s="675" t="s">
        <v>2228</v>
      </c>
      <c r="AA419" s="676" t="s">
        <v>2229</v>
      </c>
      <c r="AB419" s="675" t="s">
        <v>2274</v>
      </c>
      <c r="AC419" s="675" t="s">
        <v>2275</v>
      </c>
      <c r="AD419" s="684">
        <v>8.0</v>
      </c>
      <c r="AE419" s="684">
        <v>240.0</v>
      </c>
      <c r="AF419" s="684">
        <v>0.02</v>
      </c>
      <c r="AG419" s="685" t="s">
        <v>130</v>
      </c>
      <c r="AH419" s="681" t="s">
        <v>2256</v>
      </c>
      <c r="AI419" s="686">
        <v>0.03</v>
      </c>
      <c r="AJ419" s="675" t="s">
        <v>164</v>
      </c>
      <c r="AK419" s="681" t="s">
        <v>179</v>
      </c>
      <c r="AL419" s="683" t="s">
        <v>132</v>
      </c>
      <c r="AM419" s="164" t="s">
        <v>165</v>
      </c>
      <c r="AN419" s="684">
        <v>75.0</v>
      </c>
      <c r="AO419" s="675" t="s">
        <v>2276</v>
      </c>
      <c r="AP419" s="675" t="s">
        <v>1051</v>
      </c>
      <c r="AQ419" s="675" t="s">
        <v>2232</v>
      </c>
      <c r="AR419" s="684">
        <v>0.36</v>
      </c>
      <c r="AS419" s="675" t="s">
        <v>164</v>
      </c>
      <c r="AT419" s="675" t="s">
        <v>179</v>
      </c>
      <c r="AU419" s="675" t="s">
        <v>129</v>
      </c>
      <c r="AV419" s="164" t="s">
        <v>165</v>
      </c>
      <c r="AW419" s="169" t="s">
        <v>142</v>
      </c>
      <c r="AX419" s="60"/>
      <c r="AY419" s="157" t="s">
        <v>135</v>
      </c>
    </row>
    <row r="420" ht="20.25" customHeight="1">
      <c r="A420" s="110" t="s">
        <v>586</v>
      </c>
      <c r="B420" s="110" t="s">
        <v>107</v>
      </c>
      <c r="C420" s="110" t="s">
        <v>1821</v>
      </c>
      <c r="D420" s="95"/>
      <c r="E420" s="698" t="s">
        <v>2277</v>
      </c>
      <c r="F420" s="112" t="s">
        <v>2278</v>
      </c>
      <c r="G420" s="112" t="s">
        <v>1822</v>
      </c>
      <c r="H420" s="310">
        <v>45461.0</v>
      </c>
      <c r="I420" s="113">
        <v>45642.0</v>
      </c>
      <c r="J420" s="119"/>
      <c r="K420" s="202"/>
      <c r="L420" s="112" t="s">
        <v>2279</v>
      </c>
      <c r="M420" s="112" t="s">
        <v>2280</v>
      </c>
      <c r="N420" s="119"/>
      <c r="O420" s="212" t="str">
        <f t="shared" si="28"/>
        <v>10.1016--0030-5073(76)90005-2.pdf</v>
      </c>
      <c r="P420" s="48" t="str">
        <f t="array" ref="P420">HYPERLINK(INDEX('File Links'!B:B, MATCH(O420, 'File Links'!C:C, 0)))
</f>
        <v>https://drive.google.com/file/d/1ks4sYhMyRxNwDVYxivPVczl4gI-dQ94P/view?usp=drivesdk</v>
      </c>
      <c r="Q420" s="112" t="s">
        <v>2281</v>
      </c>
      <c r="R420" s="112" t="s">
        <v>2282</v>
      </c>
      <c r="S420" s="119"/>
      <c r="T420" s="120">
        <v>1.0</v>
      </c>
      <c r="U420" s="112" t="str">
        <f t="shared" si="27"/>
        <v>10.1037--xap0000366.pdf</v>
      </c>
      <c r="V420" s="112" t="s">
        <v>2190</v>
      </c>
      <c r="W420" s="45" t="str">
        <f t="array" ref="W420">HYPERLINK(INDEX('File Links'!B:B, MATCH(U420, 'File Links'!C:C, 0)))
</f>
        <v>#N/A</v>
      </c>
      <c r="X420" s="119"/>
      <c r="Y420" s="112" t="s">
        <v>1585</v>
      </c>
      <c r="Z420" s="112" t="s">
        <v>2191</v>
      </c>
      <c r="AA420" s="112" t="s">
        <v>2283</v>
      </c>
      <c r="AB420" s="112" t="s">
        <v>2284</v>
      </c>
      <c r="AC420" s="119"/>
      <c r="AD420" s="119"/>
      <c r="AE420" s="117">
        <v>240.0</v>
      </c>
      <c r="AF420" s="117">
        <v>14.4</v>
      </c>
      <c r="AG420" s="212" t="s">
        <v>1051</v>
      </c>
      <c r="AH420" s="112" t="s">
        <v>2285</v>
      </c>
      <c r="AI420" s="117">
        <v>0.001</v>
      </c>
      <c r="AJ420" s="127" t="s">
        <v>127</v>
      </c>
      <c r="AK420" s="622" t="s">
        <v>165</v>
      </c>
      <c r="AL420" s="622" t="s">
        <v>165</v>
      </c>
      <c r="AM420" s="112" t="s">
        <v>165</v>
      </c>
      <c r="AN420" s="117">
        <v>152.0</v>
      </c>
      <c r="AO420" s="117">
        <v>4.4</v>
      </c>
      <c r="AP420" s="112" t="s">
        <v>1051</v>
      </c>
      <c r="AQ420" s="112" t="s">
        <v>2286</v>
      </c>
      <c r="AR420" s="117">
        <v>0.038</v>
      </c>
      <c r="AS420" s="127" t="s">
        <v>164</v>
      </c>
      <c r="AT420" s="623" t="s">
        <v>165</v>
      </c>
      <c r="AU420" s="623" t="s">
        <v>165</v>
      </c>
      <c r="AV420" s="127" t="s">
        <v>165</v>
      </c>
      <c r="AW420" s="127" t="s">
        <v>134</v>
      </c>
      <c r="AX420" s="115" t="s">
        <v>2287</v>
      </c>
      <c r="AY420" s="95"/>
    </row>
    <row r="421" ht="20.25" customHeight="1">
      <c r="A421" s="110" t="s">
        <v>586</v>
      </c>
      <c r="B421" s="110" t="s">
        <v>107</v>
      </c>
      <c r="C421" s="110" t="s">
        <v>1821</v>
      </c>
      <c r="D421" s="95"/>
      <c r="E421" s="698" t="s">
        <v>2277</v>
      </c>
      <c r="F421" s="112" t="s">
        <v>2278</v>
      </c>
      <c r="G421" s="112" t="s">
        <v>1822</v>
      </c>
      <c r="H421" s="310">
        <v>45461.0</v>
      </c>
      <c r="I421" s="113">
        <v>45642.0</v>
      </c>
      <c r="J421" s="119"/>
      <c r="K421" s="119"/>
      <c r="L421" s="112" t="s">
        <v>2279</v>
      </c>
      <c r="M421" s="112" t="s">
        <v>2280</v>
      </c>
      <c r="N421" s="119"/>
      <c r="O421" s="212" t="str">
        <f t="shared" si="28"/>
        <v>10.1016--0030-5073(76)90005-2.pdf</v>
      </c>
      <c r="P421" s="48" t="str">
        <f t="array" ref="P421">HYPERLINK(INDEX('File Links'!B:B, MATCH(O421, 'File Links'!C:C, 0)))
</f>
        <v>https://drive.google.com/file/d/1ks4sYhMyRxNwDVYxivPVczl4gI-dQ94P/view?usp=drivesdk</v>
      </c>
      <c r="Q421" s="112" t="s">
        <v>2281</v>
      </c>
      <c r="R421" s="112" t="s">
        <v>2282</v>
      </c>
      <c r="S421" s="119"/>
      <c r="T421" s="120">
        <v>2.0</v>
      </c>
      <c r="U421" s="112" t="str">
        <f t="shared" si="27"/>
        <v>10.1037--xap0000366.pdf</v>
      </c>
      <c r="V421" s="112" t="s">
        <v>2190</v>
      </c>
      <c r="W421" s="45" t="str">
        <f t="array" ref="W421">HYPERLINK(INDEX('File Links'!B:B, MATCH(U421, 'File Links'!C:C, 0)))
</f>
        <v>#N/A</v>
      </c>
      <c r="X421" s="119"/>
      <c r="Y421" s="112" t="s">
        <v>1585</v>
      </c>
      <c r="Z421" s="112" t="s">
        <v>2191</v>
      </c>
      <c r="AA421" s="112" t="s">
        <v>2283</v>
      </c>
      <c r="AB421" s="112" t="s">
        <v>2284</v>
      </c>
      <c r="AC421" s="119"/>
      <c r="AD421" s="119"/>
      <c r="AE421" s="117">
        <v>240.0</v>
      </c>
      <c r="AF421" s="117">
        <v>14.4</v>
      </c>
      <c r="AG421" s="212" t="s">
        <v>1051</v>
      </c>
      <c r="AH421" s="112" t="s">
        <v>2285</v>
      </c>
      <c r="AI421" s="117">
        <v>0.001</v>
      </c>
      <c r="AJ421" s="127" t="s">
        <v>127</v>
      </c>
      <c r="AK421" s="622" t="s">
        <v>165</v>
      </c>
      <c r="AL421" s="622" t="s">
        <v>165</v>
      </c>
      <c r="AM421" s="112" t="s">
        <v>165</v>
      </c>
      <c r="AN421" s="117">
        <v>161.0</v>
      </c>
      <c r="AO421" s="117">
        <v>6.75</v>
      </c>
      <c r="AP421" s="112" t="s">
        <v>1051</v>
      </c>
      <c r="AQ421" s="112" t="s">
        <v>2288</v>
      </c>
      <c r="AR421" s="117">
        <v>0.1</v>
      </c>
      <c r="AS421" s="127" t="s">
        <v>164</v>
      </c>
      <c r="AT421" s="623" t="s">
        <v>165</v>
      </c>
      <c r="AU421" s="623" t="s">
        <v>165</v>
      </c>
      <c r="AV421" s="127" t="s">
        <v>165</v>
      </c>
      <c r="AW421" s="127" t="s">
        <v>134</v>
      </c>
      <c r="AX421" s="55"/>
      <c r="AY421" s="95"/>
    </row>
    <row r="422" ht="20.25" customHeight="1">
      <c r="A422" s="110" t="s">
        <v>586</v>
      </c>
      <c r="B422" s="110" t="s">
        <v>107</v>
      </c>
      <c r="C422" s="110" t="s">
        <v>1821</v>
      </c>
      <c r="D422" s="95"/>
      <c r="E422" s="698" t="s">
        <v>2277</v>
      </c>
      <c r="F422" s="112" t="s">
        <v>2278</v>
      </c>
      <c r="G422" s="112" t="s">
        <v>1822</v>
      </c>
      <c r="H422" s="310">
        <v>45461.0</v>
      </c>
      <c r="I422" s="113">
        <v>45642.0</v>
      </c>
      <c r="J422" s="119"/>
      <c r="K422" s="119"/>
      <c r="L422" s="112" t="s">
        <v>2279</v>
      </c>
      <c r="M422" s="112" t="s">
        <v>2280</v>
      </c>
      <c r="N422" s="119"/>
      <c r="O422" s="212" t="str">
        <f t="shared" si="28"/>
        <v>10.1016--0030-5073(76)90005-2.pdf</v>
      </c>
      <c r="P422" s="48" t="str">
        <f t="array" ref="P422">HYPERLINK(INDEX('File Links'!B:B, MATCH(O422, 'File Links'!C:C, 0)))
</f>
        <v>https://drive.google.com/file/d/1ks4sYhMyRxNwDVYxivPVczl4gI-dQ94P/view?usp=drivesdk</v>
      </c>
      <c r="Q422" s="112" t="s">
        <v>2281</v>
      </c>
      <c r="R422" s="112" t="s">
        <v>2282</v>
      </c>
      <c r="S422" s="119"/>
      <c r="T422" s="120">
        <v>1.0</v>
      </c>
      <c r="U422" s="112" t="str">
        <f t="shared" si="27"/>
        <v>10.1037--xap0000366.pdf</v>
      </c>
      <c r="V422" s="112" t="s">
        <v>2190</v>
      </c>
      <c r="W422" s="45" t="str">
        <f t="array" ref="W422">HYPERLINK(INDEX('File Links'!B:B, MATCH(U422, 'File Links'!C:C, 0)))
</f>
        <v>#N/A</v>
      </c>
      <c r="X422" s="119"/>
      <c r="Y422" s="112" t="s">
        <v>1585</v>
      </c>
      <c r="Z422" s="112" t="s">
        <v>2191</v>
      </c>
      <c r="AA422" s="112" t="s">
        <v>2283</v>
      </c>
      <c r="AB422" s="112" t="s">
        <v>2284</v>
      </c>
      <c r="AC422" s="119"/>
      <c r="AD422" s="119"/>
      <c r="AE422" s="117">
        <v>240.0</v>
      </c>
      <c r="AF422" s="117">
        <v>17.93</v>
      </c>
      <c r="AG422" s="212" t="s">
        <v>1051</v>
      </c>
      <c r="AH422" s="112" t="s">
        <v>2285</v>
      </c>
      <c r="AI422" s="117">
        <v>0.001</v>
      </c>
      <c r="AJ422" s="127" t="s">
        <v>127</v>
      </c>
      <c r="AK422" s="622" t="s">
        <v>165</v>
      </c>
      <c r="AL422" s="622" t="s">
        <v>165</v>
      </c>
      <c r="AM422" s="112" t="s">
        <v>165</v>
      </c>
      <c r="AN422" s="117">
        <v>152.0</v>
      </c>
      <c r="AO422" s="117">
        <v>174.49</v>
      </c>
      <c r="AP422" s="112" t="s">
        <v>1051</v>
      </c>
      <c r="AQ422" s="112" t="s">
        <v>2289</v>
      </c>
      <c r="AR422" s="117">
        <v>0.001</v>
      </c>
      <c r="AS422" s="127" t="s">
        <v>2134</v>
      </c>
      <c r="AT422" s="623" t="s">
        <v>165</v>
      </c>
      <c r="AU422" s="623" t="s">
        <v>165</v>
      </c>
      <c r="AV422" s="127" t="s">
        <v>165</v>
      </c>
      <c r="AW422" s="127" t="s">
        <v>134</v>
      </c>
      <c r="AX422" s="55"/>
      <c r="AY422" s="95"/>
    </row>
    <row r="423" ht="20.25" customHeight="1">
      <c r="A423" s="110" t="s">
        <v>586</v>
      </c>
      <c r="B423" s="110" t="s">
        <v>107</v>
      </c>
      <c r="C423" s="110" t="s">
        <v>1821</v>
      </c>
      <c r="D423" s="95"/>
      <c r="E423" s="698" t="s">
        <v>2277</v>
      </c>
      <c r="F423" s="112" t="s">
        <v>2278</v>
      </c>
      <c r="G423" s="112" t="s">
        <v>1822</v>
      </c>
      <c r="H423" s="310">
        <v>45461.0</v>
      </c>
      <c r="I423" s="113">
        <v>45642.0</v>
      </c>
      <c r="J423" s="119"/>
      <c r="K423" s="119"/>
      <c r="L423" s="112" t="s">
        <v>2279</v>
      </c>
      <c r="M423" s="112" t="s">
        <v>2280</v>
      </c>
      <c r="N423" s="119"/>
      <c r="O423" s="212" t="str">
        <f t="shared" si="28"/>
        <v>10.1016--0030-5073(76)90005-2.pdf</v>
      </c>
      <c r="P423" s="48" t="str">
        <f t="array" ref="P423">HYPERLINK(INDEX('File Links'!B:B, MATCH(O423, 'File Links'!C:C, 0)))
</f>
        <v>https://drive.google.com/file/d/1ks4sYhMyRxNwDVYxivPVczl4gI-dQ94P/view?usp=drivesdk</v>
      </c>
      <c r="Q423" s="112" t="s">
        <v>2281</v>
      </c>
      <c r="R423" s="112" t="s">
        <v>2282</v>
      </c>
      <c r="S423" s="119"/>
      <c r="T423" s="120">
        <v>2.0</v>
      </c>
      <c r="U423" s="112" t="str">
        <f t="shared" si="27"/>
        <v>10.1037--xap0000366.pdf</v>
      </c>
      <c r="V423" s="112" t="s">
        <v>2190</v>
      </c>
      <c r="W423" s="45" t="str">
        <f t="array" ref="W423">HYPERLINK(INDEX('File Links'!B:B, MATCH(U423, 'File Links'!C:C, 0)))
</f>
        <v>#N/A</v>
      </c>
      <c r="X423" s="119"/>
      <c r="Y423" s="112" t="s">
        <v>1585</v>
      </c>
      <c r="Z423" s="112" t="s">
        <v>2191</v>
      </c>
      <c r="AA423" s="112" t="s">
        <v>2283</v>
      </c>
      <c r="AB423" s="112" t="s">
        <v>2284</v>
      </c>
      <c r="AC423" s="119"/>
      <c r="AD423" s="119"/>
      <c r="AE423" s="117">
        <v>240.0</v>
      </c>
      <c r="AF423" s="117">
        <v>17.93</v>
      </c>
      <c r="AG423" s="212" t="s">
        <v>1051</v>
      </c>
      <c r="AH423" s="112" t="s">
        <v>2285</v>
      </c>
      <c r="AI423" s="117">
        <v>0.001</v>
      </c>
      <c r="AJ423" s="127" t="s">
        <v>127</v>
      </c>
      <c r="AK423" s="622" t="s">
        <v>165</v>
      </c>
      <c r="AL423" s="622" t="s">
        <v>165</v>
      </c>
      <c r="AM423" s="112" t="s">
        <v>165</v>
      </c>
      <c r="AN423" s="117">
        <v>161.0</v>
      </c>
      <c r="AO423" s="117">
        <v>23.32</v>
      </c>
      <c r="AP423" s="112" t="s">
        <v>1051</v>
      </c>
      <c r="AQ423" s="112" t="s">
        <v>2288</v>
      </c>
      <c r="AR423" s="117">
        <v>0.001</v>
      </c>
      <c r="AS423" s="127" t="s">
        <v>2134</v>
      </c>
      <c r="AT423" s="623" t="s">
        <v>165</v>
      </c>
      <c r="AU423" s="623" t="s">
        <v>165</v>
      </c>
      <c r="AV423" s="127" t="s">
        <v>165</v>
      </c>
      <c r="AW423" s="127" t="s">
        <v>134</v>
      </c>
      <c r="AX423" s="55"/>
      <c r="AY423" s="95"/>
    </row>
    <row r="424" ht="20.25" customHeight="1">
      <c r="A424" s="110" t="s">
        <v>586</v>
      </c>
      <c r="B424" s="136" t="s">
        <v>107</v>
      </c>
      <c r="C424" s="136" t="s">
        <v>2196</v>
      </c>
      <c r="D424" s="64"/>
      <c r="E424" s="108" t="s">
        <v>2277</v>
      </c>
      <c r="F424" s="99" t="s">
        <v>2278</v>
      </c>
      <c r="G424" s="108" t="s">
        <v>2197</v>
      </c>
      <c r="H424" s="391">
        <v>45461.0</v>
      </c>
      <c r="I424" s="100">
        <v>45641.0</v>
      </c>
      <c r="J424" s="108" t="s">
        <v>2290</v>
      </c>
      <c r="K424" s="98"/>
      <c r="L424" s="108" t="s">
        <v>2279</v>
      </c>
      <c r="M424" s="108" t="s">
        <v>2280</v>
      </c>
      <c r="N424" s="98"/>
      <c r="O424" s="108" t="str">
        <f t="shared" si="28"/>
        <v>10.1016--0030-5073(76)90005-2.pdf</v>
      </c>
      <c r="P424" s="48" t="str">
        <f t="array" ref="P424">HYPERLINK(INDEX('File Links'!B:B, MATCH(O424, 'File Links'!C:C, 0)))
</f>
        <v>https://drive.google.com/file/d/1ks4sYhMyRxNwDVYxivPVczl4gI-dQ94P/view?usp=drivesdk</v>
      </c>
      <c r="Q424" s="108" t="s">
        <v>2281</v>
      </c>
      <c r="R424" s="108" t="s">
        <v>2282</v>
      </c>
      <c r="S424" s="98"/>
      <c r="T424" s="482">
        <v>1.0</v>
      </c>
      <c r="U424" s="108" t="str">
        <f t="shared" si="27"/>
        <v>10.1037--xap0000366.pdf</v>
      </c>
      <c r="V424" s="108" t="s">
        <v>2291</v>
      </c>
      <c r="W424" s="45" t="str">
        <f t="array" ref="W424">HYPERLINK(INDEX('File Links'!B:B, MATCH(U424, 'File Links'!C:C, 0)))
</f>
        <v>#N/A</v>
      </c>
      <c r="X424" s="98"/>
      <c r="Y424" s="108" t="s">
        <v>1820</v>
      </c>
      <c r="Z424" s="108" t="s">
        <v>2292</v>
      </c>
      <c r="AA424" s="108" t="s">
        <v>2293</v>
      </c>
      <c r="AB424" s="108" t="s">
        <v>2294</v>
      </c>
      <c r="AC424" s="108" t="s">
        <v>2295</v>
      </c>
      <c r="AD424" s="482">
        <v>11.0</v>
      </c>
      <c r="AE424" s="482">
        <v>240.0</v>
      </c>
      <c r="AF424" s="699" t="s">
        <v>2296</v>
      </c>
      <c r="AG424" s="107" t="s">
        <v>1051</v>
      </c>
      <c r="AH424" s="99" t="s">
        <v>299</v>
      </c>
      <c r="AI424" s="104">
        <v>0.001</v>
      </c>
      <c r="AJ424" s="108" t="s">
        <v>127</v>
      </c>
      <c r="AK424" s="99" t="s">
        <v>179</v>
      </c>
      <c r="AL424" s="108" t="s">
        <v>129</v>
      </c>
      <c r="AM424" s="98"/>
      <c r="AN424" s="482">
        <v>152.0</v>
      </c>
      <c r="AO424" s="482">
        <v>0.03</v>
      </c>
      <c r="AP424" s="98" t="s">
        <v>130</v>
      </c>
      <c r="AQ424" s="108" t="s">
        <v>2297</v>
      </c>
      <c r="AR424" s="482">
        <v>0.038</v>
      </c>
      <c r="AS424" s="98" t="s">
        <v>164</v>
      </c>
      <c r="AT424" s="108" t="s">
        <v>179</v>
      </c>
      <c r="AU424" s="108" t="s">
        <v>129</v>
      </c>
      <c r="AV424" s="608" t="s">
        <v>2298</v>
      </c>
      <c r="AW424" s="395" t="s">
        <v>142</v>
      </c>
      <c r="AX424" s="60"/>
      <c r="AY424" s="64"/>
    </row>
    <row r="425" ht="20.25" customHeight="1">
      <c r="A425" s="110" t="s">
        <v>586</v>
      </c>
      <c r="B425" s="136" t="s">
        <v>107</v>
      </c>
      <c r="C425" s="136" t="s">
        <v>2196</v>
      </c>
      <c r="D425" s="64"/>
      <c r="E425" s="108" t="s">
        <v>2277</v>
      </c>
      <c r="F425" s="99" t="s">
        <v>2299</v>
      </c>
      <c r="G425" s="108" t="s">
        <v>2197</v>
      </c>
      <c r="H425" s="100">
        <v>45641.0</v>
      </c>
      <c r="I425" s="100">
        <v>45643.0</v>
      </c>
      <c r="J425" s="108" t="s">
        <v>2290</v>
      </c>
      <c r="K425" s="98"/>
      <c r="L425" s="108" t="s">
        <v>2279</v>
      </c>
      <c r="M425" s="108" t="s">
        <v>2280</v>
      </c>
      <c r="N425" s="98"/>
      <c r="O425" s="108" t="str">
        <f t="shared" si="28"/>
        <v>10.1016--0030-5073(76)90005-2.pdf</v>
      </c>
      <c r="P425" s="48" t="str">
        <f t="array" ref="P425">HYPERLINK(INDEX('File Links'!B:B, MATCH(O425, 'File Links'!C:C, 0)))
</f>
        <v>https://drive.google.com/file/d/1ks4sYhMyRxNwDVYxivPVczl4gI-dQ94P/view?usp=drivesdk</v>
      </c>
      <c r="Q425" s="108" t="s">
        <v>2281</v>
      </c>
      <c r="R425" s="108" t="s">
        <v>2282</v>
      </c>
      <c r="S425" s="98"/>
      <c r="T425" s="482">
        <v>1.0</v>
      </c>
      <c r="U425" s="108" t="str">
        <f t="shared" si="27"/>
        <v>10.1037--xap0000366.pdf</v>
      </c>
      <c r="V425" s="108" t="s">
        <v>2291</v>
      </c>
      <c r="W425" s="45" t="str">
        <f t="array" ref="W425">HYPERLINK(INDEX('File Links'!B:B, MATCH(U425, 'File Links'!C:C, 0)))
</f>
        <v>#N/A</v>
      </c>
      <c r="X425" s="98"/>
      <c r="Y425" s="108" t="s">
        <v>1820</v>
      </c>
      <c r="Z425" s="108" t="s">
        <v>2292</v>
      </c>
      <c r="AA425" s="108" t="s">
        <v>2293</v>
      </c>
      <c r="AB425" s="108" t="s">
        <v>2300</v>
      </c>
      <c r="AC425" s="108" t="s">
        <v>2301</v>
      </c>
      <c r="AD425" s="482">
        <v>11.0</v>
      </c>
      <c r="AE425" s="482">
        <v>240.0</v>
      </c>
      <c r="AF425" s="108" t="s">
        <v>2302</v>
      </c>
      <c r="AG425" s="107" t="s">
        <v>1051</v>
      </c>
      <c r="AH425" s="99" t="s">
        <v>299</v>
      </c>
      <c r="AI425" s="104">
        <v>0.001</v>
      </c>
      <c r="AJ425" s="108" t="s">
        <v>127</v>
      </c>
      <c r="AK425" s="99" t="s">
        <v>179</v>
      </c>
      <c r="AL425" s="108" t="s">
        <v>129</v>
      </c>
      <c r="AM425" s="98"/>
      <c r="AN425" s="482">
        <v>152.0</v>
      </c>
      <c r="AO425" s="98"/>
      <c r="AP425" s="98"/>
      <c r="AQ425" s="108" t="s">
        <v>2303</v>
      </c>
      <c r="AR425" s="98"/>
      <c r="AS425" s="98"/>
      <c r="AT425" s="108" t="s">
        <v>179</v>
      </c>
      <c r="AU425" s="108" t="s">
        <v>129</v>
      </c>
      <c r="AV425" s="608" t="s">
        <v>2298</v>
      </c>
      <c r="AW425" s="395" t="s">
        <v>142</v>
      </c>
      <c r="AX425" s="60"/>
      <c r="AY425" s="64"/>
    </row>
    <row r="426" ht="20.25" customHeight="1">
      <c r="A426" s="110" t="s">
        <v>586</v>
      </c>
      <c r="B426" s="136" t="s">
        <v>107</v>
      </c>
      <c r="C426" s="136" t="s">
        <v>2196</v>
      </c>
      <c r="D426" s="64"/>
      <c r="E426" s="108" t="s">
        <v>2277</v>
      </c>
      <c r="F426" s="99" t="s">
        <v>2304</v>
      </c>
      <c r="G426" s="108" t="s">
        <v>2197</v>
      </c>
      <c r="H426" s="100">
        <v>45641.0</v>
      </c>
      <c r="I426" s="100">
        <v>45643.0</v>
      </c>
      <c r="J426" s="108" t="s">
        <v>2290</v>
      </c>
      <c r="K426" s="98"/>
      <c r="L426" s="108" t="s">
        <v>2279</v>
      </c>
      <c r="M426" s="108" t="s">
        <v>2280</v>
      </c>
      <c r="N426" s="98"/>
      <c r="O426" s="108" t="str">
        <f t="shared" si="28"/>
        <v>10.1016--0030-5073(76)90005-2.pdf</v>
      </c>
      <c r="P426" s="48" t="str">
        <f t="array" ref="P426">HYPERLINK(INDEX('File Links'!B:B, MATCH(O426, 'File Links'!C:C, 0)))
</f>
        <v>https://drive.google.com/file/d/1ks4sYhMyRxNwDVYxivPVczl4gI-dQ94P/view?usp=drivesdk</v>
      </c>
      <c r="Q426" s="108" t="s">
        <v>2281</v>
      </c>
      <c r="R426" s="108" t="s">
        <v>2282</v>
      </c>
      <c r="S426" s="98"/>
      <c r="T426" s="482">
        <v>1.0</v>
      </c>
      <c r="U426" s="108" t="str">
        <f t="shared" si="27"/>
        <v>10.1037--xap0000366.pdf</v>
      </c>
      <c r="V426" s="108" t="s">
        <v>2291</v>
      </c>
      <c r="W426" s="45" t="str">
        <f t="array" ref="W426">HYPERLINK(INDEX('File Links'!B:B, MATCH(U426, 'File Links'!C:C, 0)))
</f>
        <v>#N/A</v>
      </c>
      <c r="X426" s="98"/>
      <c r="Y426" s="108" t="s">
        <v>1820</v>
      </c>
      <c r="Z426" s="108" t="s">
        <v>2292</v>
      </c>
      <c r="AA426" s="108" t="s">
        <v>2293</v>
      </c>
      <c r="AB426" s="108" t="s">
        <v>2305</v>
      </c>
      <c r="AC426" s="108" t="s">
        <v>2306</v>
      </c>
      <c r="AD426" s="482">
        <v>11.0</v>
      </c>
      <c r="AE426" s="482">
        <v>240.0</v>
      </c>
      <c r="AF426" s="108" t="s">
        <v>2307</v>
      </c>
      <c r="AG426" s="107" t="s">
        <v>1051</v>
      </c>
      <c r="AH426" s="99" t="s">
        <v>299</v>
      </c>
      <c r="AI426" s="104">
        <v>0.019</v>
      </c>
      <c r="AJ426" s="108" t="s">
        <v>127</v>
      </c>
      <c r="AK426" s="99" t="s">
        <v>179</v>
      </c>
      <c r="AL426" s="108" t="s">
        <v>129</v>
      </c>
      <c r="AM426" s="98"/>
      <c r="AN426" s="482">
        <v>152.0</v>
      </c>
      <c r="AO426" s="98"/>
      <c r="AP426" s="98"/>
      <c r="AQ426" s="108" t="s">
        <v>2303</v>
      </c>
      <c r="AR426" s="98"/>
      <c r="AS426" s="98"/>
      <c r="AT426" s="108" t="s">
        <v>179</v>
      </c>
      <c r="AU426" s="108" t="s">
        <v>129</v>
      </c>
      <c r="AV426" s="608" t="s">
        <v>2298</v>
      </c>
      <c r="AW426" s="395" t="s">
        <v>142</v>
      </c>
      <c r="AX426" s="60"/>
      <c r="AY426" s="64"/>
    </row>
    <row r="427" ht="20.25" customHeight="1">
      <c r="A427" s="110" t="s">
        <v>586</v>
      </c>
      <c r="B427" s="136" t="s">
        <v>107</v>
      </c>
      <c r="C427" s="136" t="s">
        <v>2196</v>
      </c>
      <c r="D427" s="64"/>
      <c r="E427" s="108" t="s">
        <v>2277</v>
      </c>
      <c r="F427" s="99" t="s">
        <v>2308</v>
      </c>
      <c r="G427" s="108" t="s">
        <v>2197</v>
      </c>
      <c r="H427" s="100">
        <v>45641.0</v>
      </c>
      <c r="I427" s="100">
        <v>45643.0</v>
      </c>
      <c r="J427" s="98"/>
      <c r="K427" s="98"/>
      <c r="L427" s="108" t="s">
        <v>2279</v>
      </c>
      <c r="M427" s="108" t="s">
        <v>2280</v>
      </c>
      <c r="N427" s="98"/>
      <c r="O427" s="108" t="str">
        <f t="shared" si="28"/>
        <v>10.1016--0030-5073(76)90005-2.pdf</v>
      </c>
      <c r="P427" s="48" t="str">
        <f t="array" ref="P427">HYPERLINK(INDEX('File Links'!B:B, MATCH(O427, 'File Links'!C:C, 0)))
</f>
        <v>https://drive.google.com/file/d/1ks4sYhMyRxNwDVYxivPVczl4gI-dQ94P/view?usp=drivesdk</v>
      </c>
      <c r="Q427" s="108" t="s">
        <v>2281</v>
      </c>
      <c r="R427" s="108" t="s">
        <v>2282</v>
      </c>
      <c r="S427" s="98"/>
      <c r="T427" s="482">
        <v>2.0</v>
      </c>
      <c r="U427" s="108" t="str">
        <f t="shared" si="27"/>
        <v>10.1037--xap0000366.pdf</v>
      </c>
      <c r="V427" s="108" t="s">
        <v>2291</v>
      </c>
      <c r="W427" s="45" t="str">
        <f t="array" ref="W427">HYPERLINK(INDEX('File Links'!B:B, MATCH(U427, 'File Links'!C:C, 0)))
</f>
        <v>#N/A</v>
      </c>
      <c r="X427" s="98"/>
      <c r="Y427" s="108" t="s">
        <v>1820</v>
      </c>
      <c r="Z427" s="108" t="s">
        <v>2292</v>
      </c>
      <c r="AA427" s="108" t="s">
        <v>2293</v>
      </c>
      <c r="AB427" s="108" t="s">
        <v>2294</v>
      </c>
      <c r="AC427" s="108" t="s">
        <v>2295</v>
      </c>
      <c r="AD427" s="482">
        <v>11.0</v>
      </c>
      <c r="AE427" s="482">
        <v>240.0</v>
      </c>
      <c r="AF427" s="699" t="s">
        <v>2296</v>
      </c>
      <c r="AG427" s="107" t="s">
        <v>1051</v>
      </c>
      <c r="AH427" s="99" t="s">
        <v>299</v>
      </c>
      <c r="AI427" s="104">
        <v>0.001</v>
      </c>
      <c r="AJ427" s="108" t="s">
        <v>127</v>
      </c>
      <c r="AK427" s="99" t="s">
        <v>179</v>
      </c>
      <c r="AL427" s="108" t="s">
        <v>129</v>
      </c>
      <c r="AM427" s="98"/>
      <c r="AN427" s="482">
        <v>161.0</v>
      </c>
      <c r="AO427" s="482">
        <v>0.05</v>
      </c>
      <c r="AP427" s="98" t="s">
        <v>130</v>
      </c>
      <c r="AQ427" s="108" t="s">
        <v>2309</v>
      </c>
      <c r="AR427" s="482">
        <v>0.003</v>
      </c>
      <c r="AS427" s="108" t="s">
        <v>164</v>
      </c>
      <c r="AT427" s="108" t="s">
        <v>179</v>
      </c>
      <c r="AU427" s="108" t="s">
        <v>129</v>
      </c>
      <c r="AV427" s="608" t="s">
        <v>2298</v>
      </c>
      <c r="AW427" s="395" t="s">
        <v>142</v>
      </c>
      <c r="AX427" s="60"/>
      <c r="AY427" s="64"/>
      <c r="AZ427" s="215"/>
      <c r="BA427" s="215"/>
      <c r="BB427" s="215"/>
      <c r="BC427" s="215"/>
      <c r="BD427" s="215"/>
      <c r="BE427" s="215"/>
      <c r="BF427" s="215"/>
      <c r="BG427" s="215"/>
      <c r="BH427" s="215"/>
      <c r="BI427" s="215"/>
      <c r="BJ427" s="215"/>
      <c r="BK427" s="215"/>
      <c r="BL427" s="215"/>
      <c r="BM427" s="215"/>
      <c r="BN427" s="215"/>
      <c r="BO427" s="215"/>
      <c r="BP427" s="215"/>
      <c r="BQ427" s="215"/>
      <c r="BR427" s="215"/>
      <c r="BS427" s="215"/>
      <c r="BT427" s="215"/>
      <c r="BU427" s="215"/>
      <c r="BV427" s="215"/>
      <c r="BW427" s="215"/>
      <c r="BX427" s="215"/>
      <c r="BY427" s="215"/>
      <c r="BZ427" s="215"/>
      <c r="CA427" s="215"/>
      <c r="CB427" s="215"/>
      <c r="CC427" s="215"/>
      <c r="CD427" s="215"/>
      <c r="CE427" s="215"/>
      <c r="CF427" s="215"/>
      <c r="CG427" s="215"/>
      <c r="CH427" s="215"/>
      <c r="CI427" s="215"/>
      <c r="CJ427" s="215"/>
      <c r="CK427" s="215"/>
      <c r="CL427" s="215"/>
      <c r="CM427" s="215"/>
      <c r="CN427" s="215"/>
      <c r="CO427" s="215"/>
      <c r="CP427" s="215"/>
      <c r="CQ427" s="215"/>
      <c r="CR427" s="215"/>
      <c r="CS427" s="215"/>
      <c r="CT427" s="215"/>
      <c r="CU427" s="215"/>
      <c r="CV427" s="215"/>
      <c r="CW427" s="215"/>
      <c r="CX427" s="215"/>
      <c r="CY427" s="215"/>
      <c r="CZ427" s="215"/>
      <c r="DA427" s="215"/>
      <c r="DB427" s="215"/>
      <c r="DC427" s="215"/>
      <c r="DD427" s="215"/>
      <c r="DE427" s="215"/>
      <c r="DF427" s="215"/>
      <c r="DG427" s="215"/>
    </row>
    <row r="428" ht="20.25" customHeight="1">
      <c r="A428" s="110" t="s">
        <v>586</v>
      </c>
      <c r="B428" s="136" t="s">
        <v>107</v>
      </c>
      <c r="C428" s="136" t="s">
        <v>2196</v>
      </c>
      <c r="D428" s="64"/>
      <c r="E428" s="108" t="s">
        <v>2277</v>
      </c>
      <c r="F428" s="99" t="s">
        <v>2310</v>
      </c>
      <c r="G428" s="108" t="s">
        <v>2197</v>
      </c>
      <c r="H428" s="100">
        <v>45641.0</v>
      </c>
      <c r="I428" s="100">
        <v>45643.0</v>
      </c>
      <c r="J428" s="98"/>
      <c r="K428" s="98"/>
      <c r="L428" s="108" t="s">
        <v>2279</v>
      </c>
      <c r="M428" s="108" t="s">
        <v>2280</v>
      </c>
      <c r="N428" s="98"/>
      <c r="O428" s="108" t="str">
        <f t="shared" si="28"/>
        <v>10.1016--0030-5073(76)90005-2.pdf</v>
      </c>
      <c r="P428" s="48" t="str">
        <f t="array" ref="P428">HYPERLINK(INDEX('File Links'!B:B, MATCH(O428, 'File Links'!C:C, 0)))
</f>
        <v>https://drive.google.com/file/d/1ks4sYhMyRxNwDVYxivPVczl4gI-dQ94P/view?usp=drivesdk</v>
      </c>
      <c r="Q428" s="108" t="s">
        <v>2281</v>
      </c>
      <c r="R428" s="108" t="s">
        <v>2282</v>
      </c>
      <c r="S428" s="98"/>
      <c r="T428" s="482">
        <v>2.0</v>
      </c>
      <c r="U428" s="108" t="str">
        <f t="shared" si="27"/>
        <v>10.1037--xap0000366.pdf</v>
      </c>
      <c r="V428" s="108" t="s">
        <v>2291</v>
      </c>
      <c r="W428" s="45" t="str">
        <f t="array" ref="W428">HYPERLINK(INDEX('File Links'!B:B, MATCH(U428, 'File Links'!C:C, 0)))
</f>
        <v>#N/A</v>
      </c>
      <c r="X428" s="98"/>
      <c r="Y428" s="108" t="s">
        <v>1820</v>
      </c>
      <c r="Z428" s="108" t="s">
        <v>2292</v>
      </c>
      <c r="AA428" s="108" t="s">
        <v>2293</v>
      </c>
      <c r="AB428" s="108" t="s">
        <v>2294</v>
      </c>
      <c r="AC428" s="108" t="s">
        <v>2301</v>
      </c>
      <c r="AD428" s="482">
        <v>11.0</v>
      </c>
      <c r="AE428" s="482">
        <v>240.0</v>
      </c>
      <c r="AF428" s="108" t="s">
        <v>2302</v>
      </c>
      <c r="AG428" s="107" t="s">
        <v>1051</v>
      </c>
      <c r="AH428" s="99" t="s">
        <v>299</v>
      </c>
      <c r="AI428" s="104">
        <v>0.001</v>
      </c>
      <c r="AJ428" s="108" t="s">
        <v>127</v>
      </c>
      <c r="AK428" s="99" t="s">
        <v>179</v>
      </c>
      <c r="AL428" s="108" t="s">
        <v>129</v>
      </c>
      <c r="AM428" s="98"/>
      <c r="AN428" s="482">
        <v>161.0</v>
      </c>
      <c r="AO428" s="482">
        <v>0.13</v>
      </c>
      <c r="AP428" s="98" t="s">
        <v>130</v>
      </c>
      <c r="AQ428" s="108" t="s">
        <v>2309</v>
      </c>
      <c r="AR428" s="482">
        <v>0.001</v>
      </c>
      <c r="AS428" s="108" t="s">
        <v>127</v>
      </c>
      <c r="AT428" s="108" t="s">
        <v>179</v>
      </c>
      <c r="AU428" s="108" t="s">
        <v>129</v>
      </c>
      <c r="AV428" s="608" t="s">
        <v>2298</v>
      </c>
      <c r="AW428" s="395" t="s">
        <v>142</v>
      </c>
      <c r="AX428" s="60"/>
      <c r="AY428" s="64"/>
      <c r="AZ428" s="215"/>
      <c r="BA428" s="215"/>
      <c r="BB428" s="215"/>
      <c r="BC428" s="215"/>
      <c r="BD428" s="215"/>
      <c r="BE428" s="215"/>
      <c r="BF428" s="215"/>
      <c r="BG428" s="215"/>
      <c r="BH428" s="215"/>
      <c r="BI428" s="215"/>
      <c r="BJ428" s="215"/>
      <c r="BK428" s="215"/>
      <c r="BL428" s="215"/>
      <c r="BM428" s="215"/>
      <c r="BN428" s="215"/>
      <c r="BO428" s="215"/>
      <c r="BP428" s="215"/>
      <c r="BQ428" s="215"/>
      <c r="BR428" s="215"/>
      <c r="BS428" s="215"/>
      <c r="BT428" s="215"/>
      <c r="BU428" s="215"/>
      <c r="BV428" s="215"/>
      <c r="BW428" s="215"/>
      <c r="BX428" s="215"/>
      <c r="BY428" s="215"/>
      <c r="BZ428" s="215"/>
      <c r="CA428" s="215"/>
      <c r="CB428" s="215"/>
      <c r="CC428" s="215"/>
      <c r="CD428" s="215"/>
      <c r="CE428" s="215"/>
      <c r="CF428" s="215"/>
      <c r="CG428" s="215"/>
      <c r="CH428" s="215"/>
      <c r="CI428" s="215"/>
      <c r="CJ428" s="215"/>
      <c r="CK428" s="215"/>
      <c r="CL428" s="215"/>
      <c r="CM428" s="215"/>
      <c r="CN428" s="215"/>
      <c r="CO428" s="215"/>
      <c r="CP428" s="215"/>
      <c r="CQ428" s="215"/>
      <c r="CR428" s="215"/>
      <c r="CS428" s="215"/>
      <c r="CT428" s="215"/>
      <c r="CU428" s="215"/>
      <c r="CV428" s="215"/>
      <c r="CW428" s="215"/>
      <c r="CX428" s="215"/>
      <c r="CY428" s="215"/>
      <c r="CZ428" s="215"/>
      <c r="DA428" s="215"/>
      <c r="DB428" s="215"/>
      <c r="DC428" s="215"/>
      <c r="DD428" s="215"/>
      <c r="DE428" s="215"/>
      <c r="DF428" s="215"/>
      <c r="DG428" s="215"/>
    </row>
    <row r="429" ht="20.25" customHeight="1">
      <c r="A429" s="110" t="s">
        <v>586</v>
      </c>
      <c r="B429" s="136" t="s">
        <v>107</v>
      </c>
      <c r="C429" s="136" t="s">
        <v>2196</v>
      </c>
      <c r="D429" s="64"/>
      <c r="E429" s="108" t="s">
        <v>2277</v>
      </c>
      <c r="F429" s="99" t="s">
        <v>2311</v>
      </c>
      <c r="G429" s="108" t="s">
        <v>2197</v>
      </c>
      <c r="H429" s="100">
        <v>45641.0</v>
      </c>
      <c r="I429" s="100">
        <v>45643.0</v>
      </c>
      <c r="J429" s="98"/>
      <c r="K429" s="98"/>
      <c r="L429" s="108" t="s">
        <v>2279</v>
      </c>
      <c r="M429" s="108" t="s">
        <v>2280</v>
      </c>
      <c r="N429" s="98"/>
      <c r="O429" s="108" t="str">
        <f t="shared" si="28"/>
        <v>10.1016--0030-5073(76)90005-2.pdf</v>
      </c>
      <c r="P429" s="48" t="str">
        <f t="array" ref="P429">HYPERLINK(INDEX('File Links'!B:B, MATCH(O429, 'File Links'!C:C, 0)))
</f>
        <v>https://drive.google.com/file/d/1ks4sYhMyRxNwDVYxivPVczl4gI-dQ94P/view?usp=drivesdk</v>
      </c>
      <c r="Q429" s="108" t="s">
        <v>2281</v>
      </c>
      <c r="R429" s="108" t="s">
        <v>2282</v>
      </c>
      <c r="S429" s="98"/>
      <c r="T429" s="482">
        <v>2.0</v>
      </c>
      <c r="U429" s="108" t="str">
        <f t="shared" si="27"/>
        <v>10.1037--xap0000366.pdf</v>
      </c>
      <c r="V429" s="108" t="s">
        <v>2291</v>
      </c>
      <c r="W429" s="45" t="str">
        <f t="array" ref="W429">HYPERLINK(INDEX('File Links'!B:B, MATCH(U429, 'File Links'!C:C, 0)))
</f>
        <v>#N/A</v>
      </c>
      <c r="X429" s="98"/>
      <c r="Y429" s="108" t="s">
        <v>1820</v>
      </c>
      <c r="Z429" s="108" t="s">
        <v>2292</v>
      </c>
      <c r="AA429" s="108" t="s">
        <v>2293</v>
      </c>
      <c r="AB429" s="108" t="s">
        <v>2305</v>
      </c>
      <c r="AC429" s="108" t="s">
        <v>2306</v>
      </c>
      <c r="AD429" s="482">
        <v>11.0</v>
      </c>
      <c r="AE429" s="482">
        <v>240.0</v>
      </c>
      <c r="AF429" s="108" t="s">
        <v>2307</v>
      </c>
      <c r="AG429" s="107" t="s">
        <v>1051</v>
      </c>
      <c r="AH429" s="99" t="s">
        <v>299</v>
      </c>
      <c r="AI429" s="104">
        <v>0.019</v>
      </c>
      <c r="AJ429" s="108" t="s">
        <v>127</v>
      </c>
      <c r="AK429" s="99" t="s">
        <v>179</v>
      </c>
      <c r="AL429" s="108" t="s">
        <v>129</v>
      </c>
      <c r="AM429" s="98"/>
      <c r="AN429" s="482">
        <v>161.0</v>
      </c>
      <c r="AO429" s="482">
        <v>0.0</v>
      </c>
      <c r="AP429" s="98" t="s">
        <v>130</v>
      </c>
      <c r="AQ429" s="108" t="s">
        <v>2309</v>
      </c>
      <c r="AR429" s="482">
        <v>0.546</v>
      </c>
      <c r="AS429" s="108" t="s">
        <v>164</v>
      </c>
      <c r="AT429" s="108" t="s">
        <v>179</v>
      </c>
      <c r="AU429" s="108" t="s">
        <v>129</v>
      </c>
      <c r="AV429" s="608" t="s">
        <v>2298</v>
      </c>
      <c r="AW429" s="395" t="s">
        <v>142</v>
      </c>
      <c r="AX429" s="60"/>
      <c r="AY429" s="64"/>
    </row>
    <row r="430" ht="20.25" customHeight="1">
      <c r="A430" s="654" t="s">
        <v>106</v>
      </c>
      <c r="B430" s="654" t="s">
        <v>107</v>
      </c>
      <c r="C430" s="654" t="s">
        <v>1821</v>
      </c>
      <c r="D430" s="632"/>
      <c r="E430" s="655" t="s">
        <v>2312</v>
      </c>
      <c r="F430" s="656" t="s">
        <v>2313</v>
      </c>
      <c r="G430" s="656" t="s">
        <v>1822</v>
      </c>
      <c r="H430" s="700">
        <v>45672.0</v>
      </c>
      <c r="I430" s="159">
        <v>45685.0</v>
      </c>
      <c r="J430" s="701" t="s">
        <v>2314</v>
      </c>
      <c r="K430" s="658" t="s">
        <v>2315</v>
      </c>
      <c r="L430" s="656" t="s">
        <v>2316</v>
      </c>
      <c r="M430" s="656" t="s">
        <v>2317</v>
      </c>
      <c r="N430" s="660"/>
      <c r="O430" s="659" t="str">
        <f t="shared" si="28"/>
        <v>10.1037--a0019006.pdf</v>
      </c>
      <c r="P430" s="48" t="str">
        <f t="array" ref="P430">HYPERLINK(INDEX('File Links'!B:B, MATCH(O430, 'File Links'!C:C, 0)))
</f>
        <v>https://drive.google.com/file/d/1PYhLwP6tdLfH-XKRuD0puhoFxy-sMmFS/view?usp=drivesdk</v>
      </c>
      <c r="Q430" s="702" t="s">
        <v>2318</v>
      </c>
      <c r="R430" s="656" t="s">
        <v>2319</v>
      </c>
      <c r="S430" s="660"/>
      <c r="T430" s="703"/>
      <c r="U430" s="656" t="str">
        <f t="shared" si="27"/>
        <v>10.1037--emo0001389.pdf</v>
      </c>
      <c r="V430" s="656" t="s">
        <v>2088</v>
      </c>
      <c r="W430" s="50" t="str">
        <f t="array" ref="W430">HYPERLINK(INDEX('File Links'!B:B, MATCH(U430, 'File Links'!C:C, 0)))
</f>
        <v>https://drive.google.com/file/d/1EK0iig6kRzrCroz49dDEP_mf3A-HoVQR/view?usp=drivesdk</v>
      </c>
      <c r="X430" s="660"/>
      <c r="Y430" s="372" t="s">
        <v>1098</v>
      </c>
      <c r="Z430" s="656" t="s">
        <v>2320</v>
      </c>
      <c r="AA430" s="656" t="s">
        <v>2321</v>
      </c>
      <c r="AB430" s="656" t="s">
        <v>2322</v>
      </c>
      <c r="AC430" s="656" t="s">
        <v>2323</v>
      </c>
      <c r="AD430" s="660"/>
      <c r="AE430" s="661">
        <v>226.0</v>
      </c>
      <c r="AF430" s="661">
        <v>0.1082</v>
      </c>
      <c r="AG430" s="659" t="s">
        <v>357</v>
      </c>
      <c r="AH430" s="656" t="s">
        <v>2324</v>
      </c>
      <c r="AI430" s="661">
        <v>0.01</v>
      </c>
      <c r="AJ430" s="655" t="s">
        <v>127</v>
      </c>
      <c r="AK430" s="704" t="s">
        <v>165</v>
      </c>
      <c r="AL430" s="704" t="s">
        <v>165</v>
      </c>
      <c r="AM430" s="656" t="s">
        <v>165</v>
      </c>
      <c r="AN430" s="661">
        <v>582.0</v>
      </c>
      <c r="AO430" s="661">
        <v>0.02</v>
      </c>
      <c r="AP430" s="656" t="s">
        <v>357</v>
      </c>
      <c r="AQ430" s="656" t="s">
        <v>2325</v>
      </c>
      <c r="AR430" s="661">
        <v>0.01</v>
      </c>
      <c r="AS430" s="655" t="s">
        <v>2134</v>
      </c>
      <c r="AT430" s="663" t="s">
        <v>165</v>
      </c>
      <c r="AU430" s="663" t="s">
        <v>165</v>
      </c>
      <c r="AV430" s="655" t="s">
        <v>165</v>
      </c>
      <c r="AW430" s="655" t="s">
        <v>142</v>
      </c>
      <c r="AX430" s="115"/>
      <c r="AY430" s="41" t="s">
        <v>135</v>
      </c>
    </row>
    <row r="431" ht="20.25" customHeight="1">
      <c r="A431" s="654" t="s">
        <v>106</v>
      </c>
      <c r="B431" s="654" t="s">
        <v>107</v>
      </c>
      <c r="C431" s="654" t="s">
        <v>1821</v>
      </c>
      <c r="D431" s="632"/>
      <c r="E431" s="655" t="s">
        <v>2312</v>
      </c>
      <c r="F431" s="656" t="s">
        <v>2313</v>
      </c>
      <c r="G431" s="656" t="s">
        <v>1822</v>
      </c>
      <c r="H431" s="700">
        <v>45672.0</v>
      </c>
      <c r="I431" s="159">
        <v>45685.0</v>
      </c>
      <c r="J431" s="701" t="s">
        <v>2326</v>
      </c>
      <c r="K431" s="202" t="s">
        <v>2327</v>
      </c>
      <c r="L431" s="656" t="s">
        <v>2316</v>
      </c>
      <c r="M431" s="656" t="s">
        <v>2317</v>
      </c>
      <c r="N431" s="660"/>
      <c r="O431" s="659" t="str">
        <f t="shared" si="28"/>
        <v>10.1037--a0019006.pdf</v>
      </c>
      <c r="P431" s="48" t="str">
        <f t="array" ref="P431">HYPERLINK(INDEX('File Links'!B:B, MATCH(O431, 'File Links'!C:C, 0)))
</f>
        <v>https://drive.google.com/file/d/1PYhLwP6tdLfH-XKRuD0puhoFxy-sMmFS/view?usp=drivesdk</v>
      </c>
      <c r="Q431" s="702" t="s">
        <v>2328</v>
      </c>
      <c r="R431" s="656" t="s">
        <v>2319</v>
      </c>
      <c r="S431" s="660"/>
      <c r="T431" s="703"/>
      <c r="U431" s="656" t="str">
        <f t="shared" si="27"/>
        <v>10.1037--emo0001389.pdf</v>
      </c>
      <c r="V431" s="656" t="s">
        <v>2088</v>
      </c>
      <c r="W431" s="50" t="str">
        <f t="array" ref="W431">HYPERLINK(INDEX('File Links'!B:B, MATCH(U431, 'File Links'!C:C, 0)))
</f>
        <v>https://drive.google.com/file/d/1EK0iig6kRzrCroz49dDEP_mf3A-HoVQR/view?usp=drivesdk</v>
      </c>
      <c r="X431" s="660"/>
      <c r="Y431" s="372" t="s">
        <v>1098</v>
      </c>
      <c r="Z431" s="656" t="s">
        <v>2320</v>
      </c>
      <c r="AA431" s="656" t="s">
        <v>2321</v>
      </c>
      <c r="AB431" s="656" t="s">
        <v>2322</v>
      </c>
      <c r="AC431" s="656" t="s">
        <v>2323</v>
      </c>
      <c r="AD431" s="660"/>
      <c r="AE431" s="661">
        <v>217.0</v>
      </c>
      <c r="AF431" s="661">
        <v>0.1116</v>
      </c>
      <c r="AG431" s="659" t="s">
        <v>357</v>
      </c>
      <c r="AH431" s="656" t="s">
        <v>2324</v>
      </c>
      <c r="AI431" s="661">
        <v>0.01</v>
      </c>
      <c r="AJ431" s="655" t="s">
        <v>127</v>
      </c>
      <c r="AK431" s="704" t="s">
        <v>165</v>
      </c>
      <c r="AL431" s="704" t="s">
        <v>165</v>
      </c>
      <c r="AM431" s="656" t="s">
        <v>165</v>
      </c>
      <c r="AN431" s="661">
        <v>582.0</v>
      </c>
      <c r="AO431" s="661">
        <v>0.19</v>
      </c>
      <c r="AP431" s="656" t="s">
        <v>357</v>
      </c>
      <c r="AQ431" s="656" t="s">
        <v>2325</v>
      </c>
      <c r="AR431" s="661">
        <v>0.01</v>
      </c>
      <c r="AS431" s="655" t="s">
        <v>2134</v>
      </c>
      <c r="AT431" s="663" t="s">
        <v>165</v>
      </c>
      <c r="AU431" s="663" t="s">
        <v>165</v>
      </c>
      <c r="AV431" s="655" t="s">
        <v>165</v>
      </c>
      <c r="AW431" s="655" t="s">
        <v>142</v>
      </c>
      <c r="AX431" s="115" t="s">
        <v>2329</v>
      </c>
      <c r="AY431" s="41" t="s">
        <v>135</v>
      </c>
    </row>
    <row r="432" ht="20.25" customHeight="1">
      <c r="A432" s="654" t="s">
        <v>143</v>
      </c>
      <c r="B432" s="371" t="s">
        <v>107</v>
      </c>
      <c r="C432" s="371" t="s">
        <v>2196</v>
      </c>
      <c r="D432" s="209"/>
      <c r="E432" s="381" t="s">
        <v>2312</v>
      </c>
      <c r="F432" s="373" t="s">
        <v>2313</v>
      </c>
      <c r="G432" s="381" t="s">
        <v>2197</v>
      </c>
      <c r="H432" s="664">
        <v>45641.0</v>
      </c>
      <c r="I432" s="159">
        <v>45685.0</v>
      </c>
      <c r="J432" s="372"/>
      <c r="K432" s="658" t="s">
        <v>2315</v>
      </c>
      <c r="L432" s="381" t="s">
        <v>2316</v>
      </c>
      <c r="M432" s="381" t="s">
        <v>2317</v>
      </c>
      <c r="N432" s="568">
        <v>1.0</v>
      </c>
      <c r="O432" s="381" t="str">
        <f t="shared" si="28"/>
        <v>10.1037--a0019006.pdf</v>
      </c>
      <c r="P432" s="48" t="str">
        <f t="array" ref="P432">HYPERLINK(INDEX('File Links'!B:B, MATCH(O432, 'File Links'!C:C, 0)))
</f>
        <v>https://drive.google.com/file/d/1PYhLwP6tdLfH-XKRuD0puhoFxy-sMmFS/view?usp=drivesdk</v>
      </c>
      <c r="Q432" s="702" t="s">
        <v>2330</v>
      </c>
      <c r="R432" s="381" t="s">
        <v>2319</v>
      </c>
      <c r="S432" s="372"/>
      <c r="T432" s="568">
        <v>1.0</v>
      </c>
      <c r="U432" s="381" t="str">
        <f t="shared" si="27"/>
        <v>10.1037--emo0001389.pdf</v>
      </c>
      <c r="V432" s="705" t="s">
        <v>2088</v>
      </c>
      <c r="W432" s="50" t="str">
        <f t="array" ref="W432">HYPERLINK(INDEX('File Links'!B:B, MATCH(U432, 'File Links'!C:C, 0)))
</f>
        <v>https://drive.google.com/file/d/1EK0iig6kRzrCroz49dDEP_mf3A-HoVQR/view?usp=drivesdk</v>
      </c>
      <c r="X432" s="372"/>
      <c r="Y432" s="372" t="s">
        <v>1098</v>
      </c>
      <c r="Z432" s="706" t="s">
        <v>2331</v>
      </c>
      <c r="AA432" s="381" t="s">
        <v>2321</v>
      </c>
      <c r="AB432" s="381" t="s">
        <v>2332</v>
      </c>
      <c r="AC432" s="381" t="s">
        <v>2333</v>
      </c>
      <c r="AD432" s="665">
        <v>5.0</v>
      </c>
      <c r="AE432" s="665">
        <v>226.0</v>
      </c>
      <c r="AF432" s="665">
        <v>0.1697</v>
      </c>
      <c r="AG432" s="377" t="s">
        <v>1578</v>
      </c>
      <c r="AH432" s="373" t="s">
        <v>892</v>
      </c>
      <c r="AI432" s="380">
        <v>1.0E-4</v>
      </c>
      <c r="AJ432" s="381" t="s">
        <v>127</v>
      </c>
      <c r="AK432" s="373" t="s">
        <v>179</v>
      </c>
      <c r="AL432" s="381" t="s">
        <v>132</v>
      </c>
      <c r="AM432" s="128" t="s">
        <v>165</v>
      </c>
      <c r="AN432" s="665">
        <v>754.0</v>
      </c>
      <c r="AO432" s="707">
        <v>3.89</v>
      </c>
      <c r="AP432" s="381" t="s">
        <v>1578</v>
      </c>
      <c r="AQ432" s="381" t="s">
        <v>2334</v>
      </c>
      <c r="AR432" s="665">
        <v>0.001</v>
      </c>
      <c r="AS432" s="381" t="s">
        <v>127</v>
      </c>
      <c r="AT432" s="381" t="s">
        <v>179</v>
      </c>
      <c r="AU432" s="381" t="s">
        <v>132</v>
      </c>
      <c r="AV432" s="708" t="s">
        <v>2298</v>
      </c>
      <c r="AW432" s="585" t="s">
        <v>142</v>
      </c>
      <c r="AX432" s="115"/>
      <c r="AY432" s="41" t="s">
        <v>135</v>
      </c>
    </row>
    <row r="433" ht="20.25" customHeight="1">
      <c r="A433" s="654" t="s">
        <v>143</v>
      </c>
      <c r="B433" s="371" t="s">
        <v>107</v>
      </c>
      <c r="C433" s="371" t="s">
        <v>2196</v>
      </c>
      <c r="D433" s="209"/>
      <c r="E433" s="381" t="s">
        <v>2312</v>
      </c>
      <c r="F433" s="373" t="s">
        <v>2335</v>
      </c>
      <c r="G433" s="381" t="s">
        <v>2197</v>
      </c>
      <c r="H433" s="664">
        <v>45643.0</v>
      </c>
      <c r="I433" s="159">
        <v>45685.0</v>
      </c>
      <c r="J433" s="372"/>
      <c r="K433" s="658" t="s">
        <v>2315</v>
      </c>
      <c r="L433" s="381" t="s">
        <v>2316</v>
      </c>
      <c r="M433" s="381" t="s">
        <v>2317</v>
      </c>
      <c r="N433" s="568">
        <v>1.0</v>
      </c>
      <c r="O433" s="381" t="str">
        <f t="shared" si="28"/>
        <v>10.1037--a0019006.pdf</v>
      </c>
      <c r="P433" s="48" t="str">
        <f t="array" ref="P433">HYPERLINK(INDEX('File Links'!B:B, MATCH(O433, 'File Links'!C:C, 0)))
</f>
        <v>https://drive.google.com/file/d/1PYhLwP6tdLfH-XKRuD0puhoFxy-sMmFS/view?usp=drivesdk</v>
      </c>
      <c r="Q433" s="702" t="s">
        <v>2336</v>
      </c>
      <c r="R433" s="381" t="s">
        <v>2319</v>
      </c>
      <c r="S433" s="372"/>
      <c r="T433" s="568">
        <v>1.0</v>
      </c>
      <c r="U433" s="381" t="str">
        <f t="shared" si="27"/>
        <v>10.1037--emo0001389.pdf</v>
      </c>
      <c r="V433" s="705" t="s">
        <v>2088</v>
      </c>
      <c r="W433" s="50" t="str">
        <f t="array" ref="W433">HYPERLINK(INDEX('File Links'!B:B, MATCH(U433, 'File Links'!C:C, 0)))
</f>
        <v>https://drive.google.com/file/d/1EK0iig6kRzrCroz49dDEP_mf3A-HoVQR/view?usp=drivesdk</v>
      </c>
      <c r="X433" s="372"/>
      <c r="Y433" s="372" t="s">
        <v>1098</v>
      </c>
      <c r="Z433" s="706" t="s">
        <v>2331</v>
      </c>
      <c r="AA433" s="381" t="s">
        <v>2321</v>
      </c>
      <c r="AB433" s="381" t="s">
        <v>2337</v>
      </c>
      <c r="AC433" s="381" t="s">
        <v>2338</v>
      </c>
      <c r="AD433" s="665">
        <v>5.0</v>
      </c>
      <c r="AE433" s="665">
        <v>226.0</v>
      </c>
      <c r="AF433" s="665">
        <v>0.1348</v>
      </c>
      <c r="AG433" s="377" t="s">
        <v>1578</v>
      </c>
      <c r="AH433" s="373" t="s">
        <v>892</v>
      </c>
      <c r="AI433" s="380">
        <v>1.0E-4</v>
      </c>
      <c r="AJ433" s="381" t="s">
        <v>127</v>
      </c>
      <c r="AK433" s="373" t="s">
        <v>179</v>
      </c>
      <c r="AL433" s="381" t="s">
        <v>132</v>
      </c>
      <c r="AM433" s="128" t="s">
        <v>165</v>
      </c>
      <c r="AN433" s="665">
        <v>754.0</v>
      </c>
      <c r="AO433" s="665">
        <v>3.94</v>
      </c>
      <c r="AP433" s="381" t="s">
        <v>1578</v>
      </c>
      <c r="AQ433" s="381" t="s">
        <v>2334</v>
      </c>
      <c r="AR433" s="665">
        <v>0.001</v>
      </c>
      <c r="AS433" s="381" t="s">
        <v>127</v>
      </c>
      <c r="AT433" s="381" t="s">
        <v>179</v>
      </c>
      <c r="AU433" s="381" t="s">
        <v>132</v>
      </c>
      <c r="AV433" s="708" t="s">
        <v>2298</v>
      </c>
      <c r="AW433" s="585" t="s">
        <v>142</v>
      </c>
      <c r="AX433" s="115"/>
      <c r="AY433" s="41" t="s">
        <v>135</v>
      </c>
      <c r="AZ433" s="64"/>
      <c r="BA433" s="64"/>
      <c r="BB433" s="64"/>
      <c r="BC433" s="64"/>
      <c r="BD433" s="64"/>
      <c r="BE433" s="64"/>
      <c r="BF433" s="64"/>
      <c r="BG433" s="64"/>
      <c r="BH433" s="64"/>
      <c r="BI433" s="64"/>
      <c r="BJ433" s="64"/>
      <c r="BK433" s="64"/>
      <c r="BL433" s="64"/>
      <c r="BM433" s="64"/>
      <c r="BN433" s="64"/>
      <c r="BO433" s="64"/>
      <c r="BP433" s="64"/>
      <c r="BQ433" s="64"/>
      <c r="BR433" s="64"/>
      <c r="BS433" s="64"/>
      <c r="BT433" s="64"/>
      <c r="BU433" s="64"/>
      <c r="BV433" s="64"/>
      <c r="BW433" s="64"/>
      <c r="BX433" s="64"/>
      <c r="BY433" s="64"/>
      <c r="BZ433" s="64"/>
      <c r="CA433" s="64"/>
      <c r="CB433" s="64"/>
      <c r="CC433" s="64"/>
      <c r="CD433" s="64"/>
      <c r="CE433" s="64"/>
      <c r="CF433" s="64"/>
      <c r="CG433" s="64"/>
      <c r="CH433" s="64"/>
      <c r="CI433" s="64"/>
      <c r="CJ433" s="64"/>
      <c r="CK433" s="64"/>
      <c r="CL433" s="64"/>
      <c r="CM433" s="64"/>
      <c r="CN433" s="64"/>
      <c r="CO433" s="64"/>
      <c r="CP433" s="64"/>
      <c r="CQ433" s="64"/>
      <c r="CR433" s="64"/>
      <c r="CS433" s="64"/>
      <c r="CT433" s="64"/>
      <c r="CU433" s="64"/>
      <c r="CV433" s="64"/>
      <c r="CW433" s="64"/>
      <c r="CX433" s="64"/>
      <c r="CY433" s="64"/>
      <c r="CZ433" s="64"/>
      <c r="DA433" s="64"/>
      <c r="DB433" s="64"/>
      <c r="DC433" s="64"/>
      <c r="DD433" s="64"/>
      <c r="DE433" s="64"/>
      <c r="DF433" s="64"/>
      <c r="DG433" s="64"/>
    </row>
    <row r="434" ht="20.25" customHeight="1">
      <c r="A434" s="654" t="s">
        <v>143</v>
      </c>
      <c r="B434" s="371" t="s">
        <v>107</v>
      </c>
      <c r="C434" s="371" t="s">
        <v>2196</v>
      </c>
      <c r="D434" s="209"/>
      <c r="E434" s="381" t="s">
        <v>2312</v>
      </c>
      <c r="F434" s="373" t="s">
        <v>2339</v>
      </c>
      <c r="G434" s="381" t="s">
        <v>2197</v>
      </c>
      <c r="H434" s="664">
        <v>45643.0</v>
      </c>
      <c r="I434" s="159">
        <v>45685.0</v>
      </c>
      <c r="J434" s="372"/>
      <c r="K434" s="658" t="s">
        <v>2315</v>
      </c>
      <c r="L434" s="381" t="s">
        <v>2316</v>
      </c>
      <c r="M434" s="381" t="s">
        <v>2317</v>
      </c>
      <c r="N434" s="568">
        <v>1.0</v>
      </c>
      <c r="O434" s="381" t="str">
        <f t="shared" si="28"/>
        <v>10.1037--a0019006.pdf</v>
      </c>
      <c r="P434" s="48" t="str">
        <f t="array" ref="P434">HYPERLINK(INDEX('File Links'!B:B, MATCH(O434, 'File Links'!C:C, 0)))
</f>
        <v>https://drive.google.com/file/d/1PYhLwP6tdLfH-XKRuD0puhoFxy-sMmFS/view?usp=drivesdk</v>
      </c>
      <c r="Q434" s="702" t="s">
        <v>2340</v>
      </c>
      <c r="R434" s="381" t="s">
        <v>2319</v>
      </c>
      <c r="S434" s="372"/>
      <c r="T434" s="568">
        <v>1.0</v>
      </c>
      <c r="U434" s="381" t="str">
        <f t="shared" si="27"/>
        <v>10.1037--emo0001389.pdf</v>
      </c>
      <c r="V434" s="705" t="s">
        <v>2088</v>
      </c>
      <c r="W434" s="50" t="str">
        <f t="array" ref="W434">HYPERLINK(INDEX('File Links'!B:B, MATCH(U434, 'File Links'!C:C, 0)))
</f>
        <v>https://drive.google.com/file/d/1EK0iig6kRzrCroz49dDEP_mf3A-HoVQR/view?usp=drivesdk</v>
      </c>
      <c r="X434" s="372"/>
      <c r="Y434" s="372" t="s">
        <v>1098</v>
      </c>
      <c r="Z434" s="706" t="s">
        <v>2331</v>
      </c>
      <c r="AA434" s="381" t="s">
        <v>2321</v>
      </c>
      <c r="AB434" s="381" t="s">
        <v>2341</v>
      </c>
      <c r="AC434" s="381" t="s">
        <v>2342</v>
      </c>
      <c r="AD434" s="665">
        <v>5.0</v>
      </c>
      <c r="AE434" s="665">
        <v>226.0</v>
      </c>
      <c r="AF434" s="665">
        <v>0.0353</v>
      </c>
      <c r="AG434" s="377" t="s">
        <v>1578</v>
      </c>
      <c r="AH434" s="373" t="s">
        <v>892</v>
      </c>
      <c r="AI434" s="380">
        <v>0.0364</v>
      </c>
      <c r="AJ434" s="381" t="s">
        <v>164</v>
      </c>
      <c r="AK434" s="373" t="s">
        <v>179</v>
      </c>
      <c r="AL434" s="381" t="s">
        <v>132</v>
      </c>
      <c r="AM434" s="128" t="s">
        <v>165</v>
      </c>
      <c r="AN434" s="665">
        <v>754.0</v>
      </c>
      <c r="AO434" s="665">
        <v>0.26</v>
      </c>
      <c r="AP434" s="381" t="s">
        <v>1578</v>
      </c>
      <c r="AQ434" s="381" t="s">
        <v>2334</v>
      </c>
      <c r="AR434" s="665">
        <v>0.001</v>
      </c>
      <c r="AS434" s="381" t="s">
        <v>127</v>
      </c>
      <c r="AT434" s="381" t="s">
        <v>179</v>
      </c>
      <c r="AU434" s="381" t="s">
        <v>132</v>
      </c>
      <c r="AV434" s="708" t="s">
        <v>2298</v>
      </c>
      <c r="AW434" s="585" t="s">
        <v>142</v>
      </c>
      <c r="AX434" s="115"/>
      <c r="AY434" s="41" t="s">
        <v>135</v>
      </c>
      <c r="AZ434" s="64"/>
      <c r="BA434" s="64"/>
      <c r="BB434" s="64"/>
      <c r="BC434" s="64"/>
      <c r="BD434" s="64"/>
      <c r="BE434" s="64"/>
      <c r="BF434" s="64"/>
      <c r="BG434" s="64"/>
      <c r="BH434" s="64"/>
      <c r="BI434" s="64"/>
      <c r="BJ434" s="64"/>
      <c r="BK434" s="64"/>
      <c r="BL434" s="64"/>
      <c r="BM434" s="64"/>
      <c r="BN434" s="64"/>
      <c r="BO434" s="64"/>
      <c r="BP434" s="64"/>
      <c r="BQ434" s="64"/>
      <c r="BR434" s="64"/>
      <c r="BS434" s="64"/>
      <c r="BT434" s="64"/>
      <c r="BU434" s="64"/>
      <c r="BV434" s="64"/>
      <c r="BW434" s="64"/>
      <c r="BX434" s="64"/>
      <c r="BY434" s="64"/>
      <c r="BZ434" s="64"/>
      <c r="CA434" s="64"/>
      <c r="CB434" s="64"/>
      <c r="CC434" s="64"/>
      <c r="CD434" s="64"/>
      <c r="CE434" s="64"/>
      <c r="CF434" s="64"/>
      <c r="CG434" s="64"/>
      <c r="CH434" s="64"/>
      <c r="CI434" s="64"/>
      <c r="CJ434" s="64"/>
      <c r="CK434" s="64"/>
      <c r="CL434" s="64"/>
      <c r="CM434" s="64"/>
      <c r="CN434" s="64"/>
      <c r="CO434" s="64"/>
      <c r="CP434" s="64"/>
      <c r="CQ434" s="64"/>
      <c r="CR434" s="64"/>
      <c r="CS434" s="64"/>
      <c r="CT434" s="64"/>
      <c r="CU434" s="64"/>
      <c r="CV434" s="64"/>
      <c r="CW434" s="64"/>
      <c r="CX434" s="64"/>
      <c r="CY434" s="64"/>
      <c r="CZ434" s="64"/>
      <c r="DA434" s="64"/>
      <c r="DB434" s="64"/>
      <c r="DC434" s="64"/>
      <c r="DD434" s="64"/>
      <c r="DE434" s="64"/>
      <c r="DF434" s="64"/>
      <c r="DG434" s="64"/>
    </row>
    <row r="435" ht="20.25" customHeight="1">
      <c r="A435" s="654" t="s">
        <v>143</v>
      </c>
      <c r="B435" s="371" t="s">
        <v>107</v>
      </c>
      <c r="C435" s="371" t="s">
        <v>2196</v>
      </c>
      <c r="D435" s="209"/>
      <c r="E435" s="381" t="s">
        <v>2312</v>
      </c>
      <c r="F435" s="373" t="s">
        <v>2343</v>
      </c>
      <c r="G435" s="381" t="s">
        <v>2197</v>
      </c>
      <c r="H435" s="664">
        <v>45643.0</v>
      </c>
      <c r="I435" s="159">
        <v>45685.0</v>
      </c>
      <c r="J435" s="372"/>
      <c r="K435" s="658" t="s">
        <v>2315</v>
      </c>
      <c r="L435" s="381" t="s">
        <v>2316</v>
      </c>
      <c r="M435" s="381" t="s">
        <v>2317</v>
      </c>
      <c r="N435" s="568">
        <v>1.0</v>
      </c>
      <c r="O435" s="381" t="str">
        <f t="shared" si="28"/>
        <v>10.1037--a0019006.pdf</v>
      </c>
      <c r="P435" s="48" t="str">
        <f t="array" ref="P435">HYPERLINK(INDEX('File Links'!B:B, MATCH(O435, 'File Links'!C:C, 0)))
</f>
        <v>https://drive.google.com/file/d/1PYhLwP6tdLfH-XKRuD0puhoFxy-sMmFS/view?usp=drivesdk</v>
      </c>
      <c r="Q435" s="702" t="s">
        <v>2344</v>
      </c>
      <c r="R435" s="381" t="s">
        <v>2319</v>
      </c>
      <c r="S435" s="372"/>
      <c r="T435" s="568">
        <v>1.0</v>
      </c>
      <c r="U435" s="381" t="str">
        <f t="shared" si="27"/>
        <v>10.1037--emo0001389.pdf</v>
      </c>
      <c r="V435" s="705" t="s">
        <v>2088</v>
      </c>
      <c r="W435" s="50" t="str">
        <f t="array" ref="W435">HYPERLINK(INDEX('File Links'!B:B, MATCH(U435, 'File Links'!C:C, 0)))
</f>
        <v>https://drive.google.com/file/d/1EK0iig6kRzrCroz49dDEP_mf3A-HoVQR/view?usp=drivesdk</v>
      </c>
      <c r="X435" s="372"/>
      <c r="Y435" s="372" t="s">
        <v>1098</v>
      </c>
      <c r="Z435" s="381" t="s">
        <v>2331</v>
      </c>
      <c r="AA435" s="381" t="s">
        <v>2321</v>
      </c>
      <c r="AB435" s="381" t="s">
        <v>2345</v>
      </c>
      <c r="AC435" s="381" t="s">
        <v>2346</v>
      </c>
      <c r="AD435" s="665">
        <v>5.0</v>
      </c>
      <c r="AE435" s="665">
        <v>226.0</v>
      </c>
      <c r="AF435" s="665">
        <v>0.1116</v>
      </c>
      <c r="AG435" s="377" t="s">
        <v>1578</v>
      </c>
      <c r="AH435" s="373" t="s">
        <v>892</v>
      </c>
      <c r="AI435" s="380">
        <v>0.01</v>
      </c>
      <c r="AJ435" s="381" t="s">
        <v>127</v>
      </c>
      <c r="AK435" s="373" t="s">
        <v>179</v>
      </c>
      <c r="AL435" s="381" t="s">
        <v>132</v>
      </c>
      <c r="AM435" s="128" t="s">
        <v>165</v>
      </c>
      <c r="AN435" s="665">
        <v>754.0</v>
      </c>
      <c r="AO435" s="665">
        <v>0.19</v>
      </c>
      <c r="AP435" s="381" t="s">
        <v>1578</v>
      </c>
      <c r="AQ435" s="381" t="s">
        <v>892</v>
      </c>
      <c r="AR435" s="665">
        <v>0.01</v>
      </c>
      <c r="AS435" s="381" t="s">
        <v>127</v>
      </c>
      <c r="AT435" s="381" t="s">
        <v>179</v>
      </c>
      <c r="AU435" s="381" t="s">
        <v>132</v>
      </c>
      <c r="AV435" s="708" t="s">
        <v>2298</v>
      </c>
      <c r="AW435" s="585" t="s">
        <v>142</v>
      </c>
      <c r="AX435" s="115"/>
      <c r="AY435" s="41" t="s">
        <v>135</v>
      </c>
      <c r="AZ435" s="64"/>
      <c r="BA435" s="64"/>
      <c r="BB435" s="64"/>
      <c r="BC435" s="64"/>
      <c r="BD435" s="64"/>
      <c r="BE435" s="64"/>
      <c r="BF435" s="64"/>
      <c r="BG435" s="64"/>
      <c r="BH435" s="64"/>
      <c r="BI435" s="64"/>
      <c r="BJ435" s="64"/>
      <c r="BK435" s="64"/>
      <c r="BL435" s="64"/>
      <c r="BM435" s="64"/>
      <c r="BN435" s="64"/>
      <c r="BO435" s="64"/>
      <c r="BP435" s="64"/>
      <c r="BQ435" s="64"/>
      <c r="BR435" s="64"/>
      <c r="BS435" s="64"/>
      <c r="BT435" s="64"/>
      <c r="BU435" s="64"/>
      <c r="BV435" s="64"/>
      <c r="BW435" s="64"/>
      <c r="BX435" s="64"/>
      <c r="BY435" s="64"/>
      <c r="BZ435" s="64"/>
      <c r="CA435" s="64"/>
      <c r="CB435" s="64"/>
      <c r="CC435" s="64"/>
      <c r="CD435" s="64"/>
      <c r="CE435" s="64"/>
      <c r="CF435" s="64"/>
      <c r="CG435" s="64"/>
      <c r="CH435" s="64"/>
      <c r="CI435" s="64"/>
      <c r="CJ435" s="64"/>
      <c r="CK435" s="64"/>
      <c r="CL435" s="64"/>
      <c r="CM435" s="64"/>
      <c r="CN435" s="64"/>
      <c r="CO435" s="64"/>
      <c r="CP435" s="64"/>
      <c r="CQ435" s="64"/>
      <c r="CR435" s="64"/>
      <c r="CS435" s="64"/>
      <c r="CT435" s="64"/>
      <c r="CU435" s="64"/>
      <c r="CV435" s="64"/>
      <c r="CW435" s="64"/>
      <c r="CX435" s="64"/>
      <c r="CY435" s="64"/>
      <c r="CZ435" s="64"/>
      <c r="DA435" s="64"/>
      <c r="DB435" s="64"/>
      <c r="DC435" s="64"/>
      <c r="DD435" s="64"/>
      <c r="DE435" s="64"/>
      <c r="DF435" s="64"/>
      <c r="DG435" s="64"/>
    </row>
    <row r="436" ht="20.25" customHeight="1">
      <c r="A436" s="654" t="s">
        <v>143</v>
      </c>
      <c r="B436" s="371" t="s">
        <v>107</v>
      </c>
      <c r="C436" s="371" t="s">
        <v>2196</v>
      </c>
      <c r="D436" s="209"/>
      <c r="E436" s="381" t="s">
        <v>2312</v>
      </c>
      <c r="F436" s="373" t="s">
        <v>2347</v>
      </c>
      <c r="G436" s="381" t="s">
        <v>2197</v>
      </c>
      <c r="H436" s="664">
        <v>45643.0</v>
      </c>
      <c r="I436" s="159">
        <v>45685.0</v>
      </c>
      <c r="J436" s="381" t="s">
        <v>2348</v>
      </c>
      <c r="K436" s="658" t="s">
        <v>2315</v>
      </c>
      <c r="L436" s="381" t="s">
        <v>2316</v>
      </c>
      <c r="M436" s="381" t="s">
        <v>2317</v>
      </c>
      <c r="N436" s="568">
        <v>1.0</v>
      </c>
      <c r="O436" s="381" t="str">
        <f t="shared" si="28"/>
        <v>10.1037--a0019006.pdf</v>
      </c>
      <c r="P436" s="48" t="str">
        <f t="array" ref="P436">HYPERLINK(INDEX('File Links'!B:B, MATCH(O436, 'File Links'!C:C, 0)))
</f>
        <v>https://drive.google.com/file/d/1PYhLwP6tdLfH-XKRuD0puhoFxy-sMmFS/view?usp=drivesdk</v>
      </c>
      <c r="Q436" s="702" t="s">
        <v>2349</v>
      </c>
      <c r="R436" s="381" t="s">
        <v>2319</v>
      </c>
      <c r="S436" s="372"/>
      <c r="T436" s="568">
        <v>1.0</v>
      </c>
      <c r="U436" s="381" t="str">
        <f t="shared" si="27"/>
        <v>10.1037--emo0001389.pdf</v>
      </c>
      <c r="V436" s="705" t="s">
        <v>2088</v>
      </c>
      <c r="W436" s="50" t="str">
        <f t="array" ref="W436">HYPERLINK(INDEX('File Links'!B:B, MATCH(U436, 'File Links'!C:C, 0)))
</f>
        <v>https://drive.google.com/file/d/1EK0iig6kRzrCroz49dDEP_mf3A-HoVQR/view?usp=drivesdk</v>
      </c>
      <c r="X436" s="372"/>
      <c r="Y436" s="372" t="s">
        <v>1098</v>
      </c>
      <c r="Z436" s="381" t="s">
        <v>2331</v>
      </c>
      <c r="AA436" s="381" t="s">
        <v>2321</v>
      </c>
      <c r="AB436" s="381" t="s">
        <v>2350</v>
      </c>
      <c r="AC436" s="579" t="s">
        <v>2351</v>
      </c>
      <c r="AD436" s="665">
        <v>6.0</v>
      </c>
      <c r="AE436" s="665">
        <v>226.0</v>
      </c>
      <c r="AF436" s="665">
        <v>0.0422</v>
      </c>
      <c r="AG436" s="377" t="s">
        <v>1578</v>
      </c>
      <c r="AH436" s="373" t="s">
        <v>125</v>
      </c>
      <c r="AI436" s="380">
        <v>0.0305</v>
      </c>
      <c r="AJ436" s="381" t="s">
        <v>164</v>
      </c>
      <c r="AK436" s="373" t="s">
        <v>179</v>
      </c>
      <c r="AL436" s="381" t="s">
        <v>132</v>
      </c>
      <c r="AM436" s="128" t="s">
        <v>165</v>
      </c>
      <c r="AN436" s="665">
        <v>377.0</v>
      </c>
      <c r="AO436" s="665">
        <v>0.49</v>
      </c>
      <c r="AP436" s="381" t="s">
        <v>1578</v>
      </c>
      <c r="AQ436" s="381" t="s">
        <v>610</v>
      </c>
      <c r="AR436" s="665">
        <v>0.01</v>
      </c>
      <c r="AS436" s="381" t="s">
        <v>127</v>
      </c>
      <c r="AT436" s="381" t="s">
        <v>179</v>
      </c>
      <c r="AU436" s="381" t="s">
        <v>132</v>
      </c>
      <c r="AV436" s="708" t="s">
        <v>2298</v>
      </c>
      <c r="AW436" s="585" t="s">
        <v>142</v>
      </c>
      <c r="AX436" s="115"/>
      <c r="AY436" s="41" t="s">
        <v>135</v>
      </c>
    </row>
    <row r="437" ht="20.25" hidden="1" customHeight="1">
      <c r="A437" s="41" t="s">
        <v>106</v>
      </c>
      <c r="B437" s="41" t="s">
        <v>107</v>
      </c>
      <c r="C437" s="41" t="s">
        <v>1821</v>
      </c>
      <c r="E437" s="641" t="s">
        <v>2352</v>
      </c>
      <c r="F437" s="52" t="s">
        <v>2353</v>
      </c>
      <c r="G437" s="52" t="s">
        <v>1822</v>
      </c>
      <c r="H437" s="140">
        <v>45472.0</v>
      </c>
      <c r="I437" s="409">
        <v>45642.0</v>
      </c>
      <c r="J437" s="52" t="s">
        <v>2354</v>
      </c>
      <c r="K437" s="55"/>
      <c r="L437" s="52" t="s">
        <v>2355</v>
      </c>
      <c r="M437" s="52" t="s">
        <v>2356</v>
      </c>
      <c r="N437" s="52" t="s">
        <v>2357</v>
      </c>
      <c r="O437" s="353" t="str">
        <f t="shared" si="28"/>
        <v>10.1006--obhd.1994.1063.pdf</v>
      </c>
      <c r="P437" s="48" t="str">
        <f t="array" ref="P437">HYPERLINK(INDEX('File Links'!B:B, MATCH(O437, 'File Links'!C:C, 0)))
</f>
        <v>https://drive.google.com/file/d/1S6Y_7EBTIU64tChcmNNePtGMO2jWzVGk/view?usp=drivesdk</v>
      </c>
      <c r="Q437" s="52" t="s">
        <v>2358</v>
      </c>
      <c r="R437" s="52" t="s">
        <v>2359</v>
      </c>
      <c r="S437" s="55"/>
      <c r="T437" s="329"/>
      <c r="U437" s="354" t="str">
        <f t="shared" si="27"/>
        <v>10.17605--osf.io--b25tr.pdf</v>
      </c>
      <c r="V437" s="55"/>
      <c r="W437" s="45" t="str">
        <f t="array" ref="W437">HYPERLINK(INDEX('File Links'!B:B, MATCH(U437, 'File Links'!C:C, 0)))
</f>
        <v>#N/A</v>
      </c>
      <c r="X437" s="52" t="s">
        <v>2360</v>
      </c>
      <c r="Y437" s="55"/>
      <c r="Z437" s="55"/>
      <c r="AA437" s="55"/>
      <c r="AB437" s="55"/>
      <c r="AC437" s="55"/>
      <c r="AD437" s="55"/>
      <c r="AE437" s="55"/>
      <c r="AF437" s="55"/>
      <c r="AG437" s="329"/>
      <c r="AH437" s="55"/>
      <c r="AI437" s="55"/>
      <c r="AJ437" s="60"/>
      <c r="AK437" s="613" t="s">
        <v>165</v>
      </c>
      <c r="AL437" s="613" t="s">
        <v>165</v>
      </c>
      <c r="AM437" s="55"/>
      <c r="AN437" s="55"/>
      <c r="AO437" s="55"/>
      <c r="AP437" s="55"/>
      <c r="AQ437" s="55"/>
      <c r="AR437" s="55"/>
      <c r="AS437" s="60"/>
      <c r="AT437" s="614" t="s">
        <v>165</v>
      </c>
      <c r="AU437" s="614" t="s">
        <v>165</v>
      </c>
      <c r="AV437" s="60"/>
      <c r="AW437" s="60"/>
      <c r="AX437" s="55"/>
    </row>
    <row r="438" ht="20.25" customHeight="1">
      <c r="A438" s="41" t="s">
        <v>106</v>
      </c>
      <c r="B438" s="41" t="s">
        <v>107</v>
      </c>
      <c r="C438" s="41" t="s">
        <v>2196</v>
      </c>
      <c r="E438" s="641" t="s">
        <v>2352</v>
      </c>
      <c r="F438" s="52" t="s">
        <v>2353</v>
      </c>
      <c r="G438" s="147" t="s">
        <v>2197</v>
      </c>
      <c r="H438" s="140">
        <v>45472.0</v>
      </c>
      <c r="I438" s="409">
        <v>45643.0</v>
      </c>
      <c r="J438" s="60"/>
      <c r="K438" s="202" t="s">
        <v>2361</v>
      </c>
      <c r="L438" s="147" t="s">
        <v>2355</v>
      </c>
      <c r="M438" s="147" t="s">
        <v>2356</v>
      </c>
      <c r="N438" s="144">
        <v>1.0</v>
      </c>
      <c r="O438" s="145" t="str">
        <f t="shared" si="28"/>
        <v>10.1006--obhd.1994.1063.pdf</v>
      </c>
      <c r="P438" s="48" t="str">
        <f t="array" ref="P438">HYPERLINK(INDEX('File Links'!B:B, MATCH(O438, 'File Links'!C:C, 0)))
</f>
        <v>https://drive.google.com/file/d/1S6Y_7EBTIU64tChcmNNePtGMO2jWzVGk/view?usp=drivesdk</v>
      </c>
      <c r="Q438" s="147" t="s">
        <v>2358</v>
      </c>
      <c r="R438" s="147" t="s">
        <v>2359</v>
      </c>
      <c r="S438" s="60"/>
      <c r="T438" s="60"/>
      <c r="U438" s="145" t="str">
        <f t="shared" si="27"/>
        <v>10.17605--osf.io--b25tr.pdf</v>
      </c>
      <c r="V438" s="147" t="s">
        <v>2362</v>
      </c>
      <c r="W438" s="45" t="str">
        <f t="array" ref="W438">HYPERLINK(INDEX('File Links'!B:B, MATCH(U438, 'File Links'!C:C, 0)))
</f>
        <v>#N/A</v>
      </c>
      <c r="X438" s="60"/>
      <c r="Y438" s="147" t="s">
        <v>203</v>
      </c>
      <c r="Z438" s="147" t="s">
        <v>2363</v>
      </c>
      <c r="AA438" s="147" t="s">
        <v>2364</v>
      </c>
      <c r="AB438" s="147" t="s">
        <v>2365</v>
      </c>
      <c r="AC438" s="147" t="s">
        <v>2366</v>
      </c>
      <c r="AD438" s="144">
        <v>5.0</v>
      </c>
      <c r="AE438" s="144">
        <v>93.0</v>
      </c>
      <c r="AF438" s="147" t="s">
        <v>2367</v>
      </c>
      <c r="AG438" s="330" t="s">
        <v>162</v>
      </c>
      <c r="AH438" s="52" t="s">
        <v>892</v>
      </c>
      <c r="AI438" s="355">
        <v>0.01</v>
      </c>
      <c r="AJ438" s="147" t="s">
        <v>127</v>
      </c>
      <c r="AK438" s="52" t="s">
        <v>179</v>
      </c>
      <c r="AL438" s="147" t="s">
        <v>129</v>
      </c>
      <c r="AM438" s="60"/>
      <c r="AN438" s="709">
        <v>1000.0</v>
      </c>
      <c r="AO438" s="709">
        <v>-0.05</v>
      </c>
      <c r="AP438" s="511" t="s">
        <v>599</v>
      </c>
      <c r="AQ438" s="525" t="s">
        <v>2368</v>
      </c>
      <c r="AR438" s="709">
        <v>0.424</v>
      </c>
      <c r="AS438" s="525" t="s">
        <v>164</v>
      </c>
      <c r="AT438" s="525" t="s">
        <v>179</v>
      </c>
      <c r="AU438" s="147" t="s">
        <v>129</v>
      </c>
      <c r="AV438" s="303" t="s">
        <v>2369</v>
      </c>
      <c r="AW438" s="453" t="s">
        <v>134</v>
      </c>
      <c r="AX438" s="115" t="s">
        <v>2361</v>
      </c>
      <c r="AZ438" s="64"/>
      <c r="BA438" s="64"/>
      <c r="BB438" s="64"/>
      <c r="BC438" s="64"/>
      <c r="BD438" s="64"/>
      <c r="BE438" s="64"/>
      <c r="BF438" s="64"/>
      <c r="BG438" s="64"/>
      <c r="BH438" s="64"/>
      <c r="BI438" s="64"/>
      <c r="BJ438" s="64"/>
      <c r="BK438" s="64"/>
      <c r="BL438" s="64"/>
      <c r="BM438" s="64"/>
      <c r="BN438" s="64"/>
      <c r="BO438" s="64"/>
      <c r="BP438" s="64"/>
      <c r="BQ438" s="64"/>
      <c r="BR438" s="64"/>
      <c r="BS438" s="64"/>
      <c r="BT438" s="64"/>
      <c r="BU438" s="64"/>
      <c r="BV438" s="64"/>
      <c r="BW438" s="64"/>
      <c r="BX438" s="64"/>
      <c r="BY438" s="64"/>
      <c r="BZ438" s="64"/>
      <c r="CA438" s="64"/>
      <c r="CB438" s="64"/>
      <c r="CC438" s="64"/>
      <c r="CD438" s="64"/>
      <c r="CE438" s="64"/>
      <c r="CF438" s="64"/>
      <c r="CG438" s="64"/>
      <c r="CH438" s="64"/>
      <c r="CI438" s="64"/>
      <c r="CJ438" s="64"/>
      <c r="CK438" s="64"/>
      <c r="CL438" s="64"/>
      <c r="CM438" s="64"/>
      <c r="CN438" s="64"/>
      <c r="CO438" s="64"/>
      <c r="CP438" s="64"/>
      <c r="CQ438" s="64"/>
      <c r="CR438" s="64"/>
      <c r="CS438" s="64"/>
      <c r="CT438" s="64"/>
      <c r="CU438" s="64"/>
      <c r="CV438" s="64"/>
      <c r="CW438" s="64"/>
      <c r="CX438" s="64"/>
      <c r="CY438" s="64"/>
      <c r="CZ438" s="64"/>
      <c r="DA438" s="64"/>
      <c r="DB438" s="64"/>
      <c r="DC438" s="64"/>
      <c r="DD438" s="64"/>
      <c r="DE438" s="64"/>
      <c r="DF438" s="64"/>
      <c r="DG438" s="64"/>
    </row>
    <row r="439" ht="20.25" customHeight="1">
      <c r="A439" s="41" t="s">
        <v>106</v>
      </c>
      <c r="B439" s="41" t="s">
        <v>107</v>
      </c>
      <c r="C439" s="41" t="s">
        <v>2196</v>
      </c>
      <c r="E439" s="641" t="s">
        <v>2352</v>
      </c>
      <c r="F439" s="52" t="s">
        <v>2370</v>
      </c>
      <c r="G439" s="147" t="s">
        <v>2197</v>
      </c>
      <c r="H439" s="409">
        <v>45643.0</v>
      </c>
      <c r="I439" s="710"/>
      <c r="J439" s="147" t="s">
        <v>2371</v>
      </c>
      <c r="K439" s="60"/>
      <c r="L439" s="147" t="s">
        <v>2355</v>
      </c>
      <c r="M439" s="147" t="s">
        <v>2356</v>
      </c>
      <c r="N439" s="144">
        <v>1.0</v>
      </c>
      <c r="O439" s="145" t="str">
        <f t="shared" si="28"/>
        <v>10.1006--obhd.1994.1063.pdf</v>
      </c>
      <c r="P439" s="48" t="str">
        <f t="array" ref="P439">HYPERLINK(INDEX('File Links'!B:B, MATCH(O439, 'File Links'!C:C, 0)))
</f>
        <v>https://drive.google.com/file/d/1S6Y_7EBTIU64tChcmNNePtGMO2jWzVGk/view?usp=drivesdk</v>
      </c>
      <c r="Q439" s="147" t="s">
        <v>2358</v>
      </c>
      <c r="R439" s="147" t="s">
        <v>2359</v>
      </c>
      <c r="S439" s="60"/>
      <c r="T439" s="60"/>
      <c r="U439" s="145" t="str">
        <f t="shared" si="27"/>
        <v>10.17605--osf.io--b25tr.pdf</v>
      </c>
      <c r="V439" s="147" t="s">
        <v>2362</v>
      </c>
      <c r="W439" s="45" t="str">
        <f t="array" ref="W439">HYPERLINK(INDEX('File Links'!B:B, MATCH(U439, 'File Links'!C:C, 0)))
</f>
        <v>#N/A</v>
      </c>
      <c r="X439" s="60"/>
      <c r="Y439" s="147" t="s">
        <v>203</v>
      </c>
      <c r="Z439" s="147" t="s">
        <v>2363</v>
      </c>
      <c r="AA439" s="147" t="s">
        <v>2364</v>
      </c>
      <c r="AB439" s="60"/>
      <c r="AC439" s="147" t="s">
        <v>2372</v>
      </c>
      <c r="AD439" s="144">
        <v>5.0</v>
      </c>
      <c r="AE439" s="144">
        <v>93.0</v>
      </c>
      <c r="AF439" s="147" t="s">
        <v>2367</v>
      </c>
      <c r="AG439" s="330" t="s">
        <v>162</v>
      </c>
      <c r="AH439" s="52" t="s">
        <v>892</v>
      </c>
      <c r="AI439" s="355">
        <v>0.01</v>
      </c>
      <c r="AJ439" s="147" t="s">
        <v>127</v>
      </c>
      <c r="AK439" s="52" t="s">
        <v>179</v>
      </c>
      <c r="AL439" s="147" t="s">
        <v>129</v>
      </c>
      <c r="AM439" s="60"/>
      <c r="AN439" s="709">
        <v>1000.0</v>
      </c>
      <c r="AO439" s="709">
        <v>0.06</v>
      </c>
      <c r="AP439" s="511" t="s">
        <v>2373</v>
      </c>
      <c r="AQ439" s="525" t="s">
        <v>2374</v>
      </c>
      <c r="AR439" s="709">
        <v>0.058</v>
      </c>
      <c r="AS439" s="525" t="s">
        <v>164</v>
      </c>
      <c r="AT439" s="525" t="s">
        <v>179</v>
      </c>
      <c r="AU439" s="147" t="s">
        <v>129</v>
      </c>
      <c r="AV439" s="303" t="s">
        <v>2369</v>
      </c>
      <c r="AW439" s="453" t="s">
        <v>142</v>
      </c>
      <c r="AX439" s="60"/>
      <c r="AZ439" s="95"/>
      <c r="BA439" s="95"/>
      <c r="BB439" s="95"/>
      <c r="BC439" s="95"/>
      <c r="BD439" s="95"/>
      <c r="BE439" s="95"/>
      <c r="BF439" s="95"/>
      <c r="BG439" s="95"/>
      <c r="BH439" s="95"/>
      <c r="BI439" s="95"/>
      <c r="BJ439" s="95"/>
      <c r="BK439" s="95"/>
      <c r="BL439" s="95"/>
      <c r="BM439" s="95"/>
      <c r="BN439" s="95"/>
      <c r="BO439" s="95"/>
      <c r="BP439" s="95"/>
      <c r="BQ439" s="95"/>
      <c r="BR439" s="95"/>
      <c r="BS439" s="95"/>
      <c r="BT439" s="95"/>
      <c r="BU439" s="95"/>
      <c r="BV439" s="95"/>
      <c r="BW439" s="95"/>
      <c r="BX439" s="95"/>
      <c r="BY439" s="95"/>
      <c r="BZ439" s="95"/>
      <c r="CA439" s="95"/>
      <c r="CB439" s="95"/>
      <c r="CC439" s="95"/>
      <c r="CD439" s="95"/>
      <c r="CE439" s="95"/>
      <c r="CF439" s="95"/>
      <c r="CG439" s="95"/>
      <c r="CH439" s="95"/>
      <c r="CI439" s="95"/>
      <c r="CJ439" s="95"/>
      <c r="CK439" s="95"/>
      <c r="CL439" s="95"/>
      <c r="CM439" s="95"/>
      <c r="CN439" s="95"/>
      <c r="CO439" s="95"/>
      <c r="CP439" s="95"/>
      <c r="CQ439" s="95"/>
      <c r="CR439" s="95"/>
      <c r="CS439" s="95"/>
      <c r="CT439" s="95"/>
      <c r="CU439" s="95"/>
      <c r="CV439" s="95"/>
      <c r="CW439" s="95"/>
      <c r="CX439" s="95"/>
      <c r="CY439" s="95"/>
      <c r="CZ439" s="95"/>
      <c r="DA439" s="95"/>
      <c r="DB439" s="95"/>
      <c r="DC439" s="95"/>
      <c r="DD439" s="95"/>
      <c r="DE439" s="95"/>
      <c r="DF439" s="95"/>
      <c r="DG439" s="95"/>
    </row>
    <row r="440" ht="20.25" customHeight="1">
      <c r="A440" s="41" t="s">
        <v>106</v>
      </c>
      <c r="B440" s="41" t="s">
        <v>107</v>
      </c>
      <c r="C440" s="41" t="s">
        <v>2196</v>
      </c>
      <c r="E440" s="641" t="s">
        <v>2352</v>
      </c>
      <c r="F440" s="52" t="s">
        <v>2375</v>
      </c>
      <c r="G440" s="147" t="s">
        <v>2197</v>
      </c>
      <c r="H440" s="409">
        <v>45643.0</v>
      </c>
      <c r="I440" s="710"/>
      <c r="J440" s="147" t="s">
        <v>2376</v>
      </c>
      <c r="K440" s="60"/>
      <c r="L440" s="147" t="s">
        <v>2355</v>
      </c>
      <c r="M440" s="147" t="s">
        <v>2356</v>
      </c>
      <c r="N440" s="144">
        <v>2.0</v>
      </c>
      <c r="O440" s="145" t="str">
        <f t="shared" si="28"/>
        <v>10.1006--obhd.1994.1063.pdf</v>
      </c>
      <c r="P440" s="48" t="str">
        <f t="array" ref="P440">HYPERLINK(INDEX('File Links'!B:B, MATCH(O440, 'File Links'!C:C, 0)))
</f>
        <v>https://drive.google.com/file/d/1S6Y_7EBTIU64tChcmNNePtGMO2jWzVGk/view?usp=drivesdk</v>
      </c>
      <c r="Q440" s="147" t="s">
        <v>2358</v>
      </c>
      <c r="R440" s="147" t="s">
        <v>2359</v>
      </c>
      <c r="S440" s="60"/>
      <c r="T440" s="60"/>
      <c r="U440" s="145" t="str">
        <f t="shared" si="27"/>
        <v>10.17605--osf.io--b25tr.pdf</v>
      </c>
      <c r="V440" s="147" t="s">
        <v>2362</v>
      </c>
      <c r="W440" s="45" t="str">
        <f t="array" ref="W440">HYPERLINK(INDEX('File Links'!B:B, MATCH(U440, 'File Links'!C:C, 0)))
</f>
        <v>#N/A</v>
      </c>
      <c r="X440" s="60"/>
      <c r="Y440" s="147" t="s">
        <v>203</v>
      </c>
      <c r="Z440" s="147" t="s">
        <v>2363</v>
      </c>
      <c r="AA440" s="147" t="s">
        <v>2364</v>
      </c>
      <c r="AB440" s="147" t="s">
        <v>2365</v>
      </c>
      <c r="AC440" s="147" t="s">
        <v>2377</v>
      </c>
      <c r="AD440" s="144">
        <v>7.0</v>
      </c>
      <c r="AE440" s="144">
        <v>92.0</v>
      </c>
      <c r="AF440" s="144">
        <v>2.72</v>
      </c>
      <c r="AG440" s="330" t="s">
        <v>722</v>
      </c>
      <c r="AH440" s="45" t="str">
        <f t="shared" ref="AH440:AH441" si="29"> "=(" &amp; AH436 &amp; "/" &amp; AI436 &amp; ")/(" &amp; AH437 &amp; "/" &amp; AI437 &amp; ")"
</f>
        <v>=(p. 7/0.0305)/(/)</v>
      </c>
      <c r="AI440" s="355">
        <v>0.025</v>
      </c>
      <c r="AJ440" s="147" t="s">
        <v>127</v>
      </c>
      <c r="AK440" s="52" t="s">
        <v>179</v>
      </c>
      <c r="AL440" s="147" t="s">
        <v>129</v>
      </c>
      <c r="AM440" s="60"/>
      <c r="AN440" s="709">
        <v>1000.0</v>
      </c>
      <c r="AO440" s="709">
        <v>0.0</v>
      </c>
      <c r="AP440" s="511" t="s">
        <v>2373</v>
      </c>
      <c r="AQ440" s="525" t="s">
        <v>2368</v>
      </c>
      <c r="AR440" s="709">
        <v>1.0</v>
      </c>
      <c r="AS440" s="525" t="s">
        <v>164</v>
      </c>
      <c r="AT440" s="525" t="s">
        <v>179</v>
      </c>
      <c r="AU440" s="147" t="s">
        <v>129</v>
      </c>
      <c r="AV440" s="303" t="s">
        <v>2369</v>
      </c>
      <c r="AW440" s="453" t="s">
        <v>134</v>
      </c>
      <c r="AX440" s="60"/>
      <c r="AZ440" s="64"/>
      <c r="BA440" s="64"/>
      <c r="BB440" s="64"/>
      <c r="BC440" s="64"/>
      <c r="BD440" s="64"/>
      <c r="BE440" s="64"/>
      <c r="BF440" s="64"/>
      <c r="BG440" s="64"/>
      <c r="BH440" s="64"/>
      <c r="BI440" s="64"/>
      <c r="BJ440" s="64"/>
      <c r="BK440" s="64"/>
      <c r="BL440" s="64"/>
      <c r="BM440" s="64"/>
      <c r="BN440" s="64"/>
      <c r="BO440" s="64"/>
      <c r="BP440" s="64"/>
      <c r="BQ440" s="64"/>
      <c r="BR440" s="64"/>
      <c r="BS440" s="64"/>
      <c r="BT440" s="64"/>
      <c r="BU440" s="64"/>
      <c r="BV440" s="64"/>
      <c r="BW440" s="64"/>
      <c r="BX440" s="64"/>
      <c r="BY440" s="64"/>
      <c r="BZ440" s="64"/>
      <c r="CA440" s="64"/>
      <c r="CB440" s="64"/>
      <c r="CC440" s="64"/>
      <c r="CD440" s="64"/>
      <c r="CE440" s="64"/>
      <c r="CF440" s="64"/>
      <c r="CG440" s="64"/>
      <c r="CH440" s="64"/>
      <c r="CI440" s="64"/>
      <c r="CJ440" s="64"/>
      <c r="CK440" s="64"/>
      <c r="CL440" s="64"/>
      <c r="CM440" s="64"/>
      <c r="CN440" s="64"/>
      <c r="CO440" s="64"/>
      <c r="CP440" s="64"/>
      <c r="CQ440" s="64"/>
      <c r="CR440" s="64"/>
      <c r="CS440" s="64"/>
      <c r="CT440" s="64"/>
      <c r="CU440" s="64"/>
      <c r="CV440" s="64"/>
      <c r="CW440" s="64"/>
      <c r="CX440" s="64"/>
      <c r="CY440" s="64"/>
      <c r="CZ440" s="64"/>
      <c r="DA440" s="64"/>
      <c r="DB440" s="64"/>
      <c r="DC440" s="64"/>
      <c r="DD440" s="64"/>
      <c r="DE440" s="64"/>
      <c r="DF440" s="64"/>
      <c r="DG440" s="64"/>
    </row>
    <row r="441" ht="20.25" customHeight="1">
      <c r="A441" s="41" t="s">
        <v>106</v>
      </c>
      <c r="B441" s="41" t="s">
        <v>107</v>
      </c>
      <c r="C441" s="41" t="s">
        <v>2196</v>
      </c>
      <c r="E441" s="641" t="s">
        <v>2352</v>
      </c>
      <c r="F441" s="52" t="s">
        <v>2378</v>
      </c>
      <c r="G441" s="147" t="s">
        <v>2197</v>
      </c>
      <c r="H441" s="409">
        <v>45643.0</v>
      </c>
      <c r="I441" s="710"/>
      <c r="J441" s="147" t="s">
        <v>2379</v>
      </c>
      <c r="K441" s="60"/>
      <c r="L441" s="147" t="s">
        <v>2355</v>
      </c>
      <c r="M441" s="147" t="s">
        <v>2356</v>
      </c>
      <c r="N441" s="144">
        <v>2.0</v>
      </c>
      <c r="O441" s="145" t="str">
        <f t="shared" si="28"/>
        <v>10.1006--obhd.1994.1063.pdf</v>
      </c>
      <c r="P441" s="48" t="str">
        <f t="array" ref="P441">HYPERLINK(INDEX('File Links'!B:B, MATCH(O441, 'File Links'!C:C, 0)))
</f>
        <v>https://drive.google.com/file/d/1S6Y_7EBTIU64tChcmNNePtGMO2jWzVGk/view?usp=drivesdk</v>
      </c>
      <c r="Q441" s="147" t="s">
        <v>2358</v>
      </c>
      <c r="R441" s="147" t="s">
        <v>2359</v>
      </c>
      <c r="S441" s="60"/>
      <c r="T441" s="60"/>
      <c r="U441" s="145" t="str">
        <f t="shared" si="27"/>
        <v>10.17605--osf.io--b25tr.pdf</v>
      </c>
      <c r="V441" s="147" t="s">
        <v>2362</v>
      </c>
      <c r="W441" s="45" t="str">
        <f t="array" ref="W441">HYPERLINK(INDEX('File Links'!B:B, MATCH(U441, 'File Links'!C:C, 0)))
</f>
        <v>#N/A</v>
      </c>
      <c r="X441" s="60"/>
      <c r="Y441" s="147" t="s">
        <v>203</v>
      </c>
      <c r="Z441" s="147" t="s">
        <v>2363</v>
      </c>
      <c r="AA441" s="147" t="s">
        <v>2364</v>
      </c>
      <c r="AB441" s="60"/>
      <c r="AC441" s="147" t="s">
        <v>2377</v>
      </c>
      <c r="AD441" s="144">
        <v>7.0</v>
      </c>
      <c r="AE441" s="144">
        <v>92.0</v>
      </c>
      <c r="AF441" s="144">
        <v>2.72</v>
      </c>
      <c r="AG441" s="330" t="s">
        <v>722</v>
      </c>
      <c r="AH441" s="45" t="str">
        <f t="shared" si="29"/>
        <v>=(/)/(p. 5/0.01)</v>
      </c>
      <c r="AI441" s="355">
        <v>0.025</v>
      </c>
      <c r="AJ441" s="147" t="s">
        <v>127</v>
      </c>
      <c r="AK441" s="52" t="s">
        <v>179</v>
      </c>
      <c r="AL441" s="147" t="s">
        <v>129</v>
      </c>
      <c r="AM441" s="60"/>
      <c r="AN441" s="709">
        <v>1000.0</v>
      </c>
      <c r="AO441" s="709">
        <v>-0.14</v>
      </c>
      <c r="AP441" s="511" t="s">
        <v>2373</v>
      </c>
      <c r="AQ441" s="525" t="s">
        <v>2374</v>
      </c>
      <c r="AR441" s="709">
        <v>0.027</v>
      </c>
      <c r="AS441" s="525" t="s">
        <v>164</v>
      </c>
      <c r="AT441" s="525" t="s">
        <v>179</v>
      </c>
      <c r="AU441" s="147" t="s">
        <v>129</v>
      </c>
      <c r="AV441" s="303" t="s">
        <v>2369</v>
      </c>
      <c r="AW441" s="453" t="s">
        <v>142</v>
      </c>
      <c r="AX441" s="60"/>
      <c r="AZ441" s="95"/>
      <c r="BA441" s="95"/>
      <c r="BB441" s="95"/>
      <c r="BC441" s="95"/>
      <c r="BD441" s="95"/>
      <c r="BE441" s="95"/>
      <c r="BF441" s="95"/>
      <c r="BG441" s="95"/>
      <c r="BH441" s="95"/>
      <c r="BI441" s="95"/>
      <c r="BJ441" s="95"/>
      <c r="BK441" s="95"/>
      <c r="BL441" s="95"/>
      <c r="BM441" s="95"/>
      <c r="BN441" s="95"/>
      <c r="BO441" s="95"/>
      <c r="BP441" s="95"/>
      <c r="BQ441" s="95"/>
      <c r="BR441" s="95"/>
      <c r="BS441" s="95"/>
      <c r="BT441" s="95"/>
      <c r="BU441" s="95"/>
      <c r="BV441" s="95"/>
      <c r="BW441" s="95"/>
      <c r="BX441" s="95"/>
      <c r="BY441" s="95"/>
      <c r="BZ441" s="95"/>
      <c r="CA441" s="95"/>
      <c r="CB441" s="95"/>
      <c r="CC441" s="95"/>
      <c r="CD441" s="95"/>
      <c r="CE441" s="95"/>
      <c r="CF441" s="95"/>
      <c r="CG441" s="95"/>
      <c r="CH441" s="95"/>
      <c r="CI441" s="95"/>
      <c r="CJ441" s="95"/>
      <c r="CK441" s="95"/>
      <c r="CL441" s="95"/>
      <c r="CM441" s="95"/>
      <c r="CN441" s="95"/>
      <c r="CO441" s="95"/>
      <c r="CP441" s="95"/>
      <c r="CQ441" s="95"/>
      <c r="CR441" s="95"/>
      <c r="CS441" s="95"/>
      <c r="CT441" s="95"/>
      <c r="CU441" s="95"/>
      <c r="CV441" s="95"/>
      <c r="CW441" s="95"/>
      <c r="CX441" s="95"/>
      <c r="CY441" s="95"/>
      <c r="CZ441" s="95"/>
      <c r="DA441" s="95"/>
      <c r="DB441" s="95"/>
      <c r="DC441" s="95"/>
      <c r="DD441" s="95"/>
      <c r="DE441" s="95"/>
      <c r="DF441" s="95"/>
      <c r="DG441" s="95"/>
    </row>
    <row r="442" ht="20.25" customHeight="1">
      <c r="A442" s="41" t="s">
        <v>106</v>
      </c>
      <c r="B442" s="41" t="s">
        <v>107</v>
      </c>
      <c r="C442" s="41" t="s">
        <v>2196</v>
      </c>
      <c r="E442" s="641" t="s">
        <v>2352</v>
      </c>
      <c r="F442" s="52" t="s">
        <v>2380</v>
      </c>
      <c r="G442" s="147" t="s">
        <v>2197</v>
      </c>
      <c r="H442" s="409">
        <v>45643.0</v>
      </c>
      <c r="I442" s="710"/>
      <c r="J442" s="147" t="s">
        <v>2381</v>
      </c>
      <c r="K442" s="60"/>
      <c r="L442" s="147" t="s">
        <v>2355</v>
      </c>
      <c r="M442" s="147" t="s">
        <v>2356</v>
      </c>
      <c r="N442" s="144">
        <v>3.0</v>
      </c>
      <c r="O442" s="145" t="str">
        <f t="shared" si="28"/>
        <v>10.1006--obhd.1994.1063.pdf</v>
      </c>
      <c r="P442" s="48" t="str">
        <f t="array" ref="P442">HYPERLINK(INDEX('File Links'!B:B, MATCH(O442, 'File Links'!C:C, 0)))
</f>
        <v>https://drive.google.com/file/d/1S6Y_7EBTIU64tChcmNNePtGMO2jWzVGk/view?usp=drivesdk</v>
      </c>
      <c r="Q442" s="147" t="s">
        <v>2358</v>
      </c>
      <c r="R442" s="147" t="s">
        <v>2359</v>
      </c>
      <c r="S442" s="60"/>
      <c r="T442" s="60"/>
      <c r="U442" s="145" t="str">
        <f t="shared" si="27"/>
        <v>10.17605--osf.io--b25tr.pdf</v>
      </c>
      <c r="V442" s="147" t="s">
        <v>2362</v>
      </c>
      <c r="W442" s="45" t="str">
        <f t="array" ref="W442">HYPERLINK(INDEX('File Links'!B:B, MATCH(U442, 'File Links'!C:C, 0)))
</f>
        <v>#N/A</v>
      </c>
      <c r="X442" s="60"/>
      <c r="Y442" s="147" t="s">
        <v>203</v>
      </c>
      <c r="Z442" s="147" t="s">
        <v>2363</v>
      </c>
      <c r="AA442" s="147" t="s">
        <v>2364</v>
      </c>
      <c r="AB442" s="147" t="s">
        <v>2382</v>
      </c>
      <c r="AC442" s="147" t="s">
        <v>2383</v>
      </c>
      <c r="AD442" s="144">
        <v>8.0</v>
      </c>
      <c r="AE442" s="144">
        <v>67.0</v>
      </c>
      <c r="AF442" s="144">
        <v>1.195</v>
      </c>
      <c r="AG442" s="330" t="s">
        <v>722</v>
      </c>
      <c r="AH442" s="45" t="str">
        <f t="shared" ref="AH442:AH443" si="30"> "=(" &amp; AH437 &amp; "/" &amp; AI437 &amp; ")/(" &amp; AH438 &amp; "/" &amp; AI438 &amp; ")"
</f>
        <v>=(/)/(p. 5/0.01)</v>
      </c>
      <c r="AI442" s="52" t="s">
        <v>2384</v>
      </c>
      <c r="AJ442" s="60"/>
      <c r="AK442" s="52" t="s">
        <v>179</v>
      </c>
      <c r="AL442" s="147" t="s">
        <v>129</v>
      </c>
      <c r="AM442" s="60"/>
      <c r="AN442" s="709">
        <v>1000.0</v>
      </c>
      <c r="AO442" s="709">
        <v>0.05</v>
      </c>
      <c r="AP442" s="511" t="s">
        <v>2373</v>
      </c>
      <c r="AQ442" s="511" t="s">
        <v>2368</v>
      </c>
      <c r="AR442" s="709">
        <v>0.146</v>
      </c>
      <c r="AS442" s="525" t="s">
        <v>164</v>
      </c>
      <c r="AT442" s="525" t="s">
        <v>179</v>
      </c>
      <c r="AU442" s="147" t="s">
        <v>129</v>
      </c>
      <c r="AV442" s="303" t="s">
        <v>2369</v>
      </c>
      <c r="AW442" s="453" t="s">
        <v>134</v>
      </c>
      <c r="AX442" s="60"/>
      <c r="AZ442" s="64"/>
      <c r="BA442" s="64"/>
      <c r="BB442" s="64"/>
      <c r="BC442" s="64"/>
      <c r="BD442" s="64"/>
      <c r="BE442" s="64"/>
      <c r="BF442" s="64"/>
      <c r="BG442" s="64"/>
      <c r="BH442" s="64"/>
      <c r="BI442" s="64"/>
      <c r="BJ442" s="64"/>
      <c r="BK442" s="64"/>
      <c r="BL442" s="64"/>
      <c r="BM442" s="64"/>
      <c r="BN442" s="64"/>
      <c r="BO442" s="64"/>
      <c r="BP442" s="64"/>
      <c r="BQ442" s="64"/>
      <c r="BR442" s="64"/>
      <c r="BS442" s="64"/>
      <c r="BT442" s="64"/>
      <c r="BU442" s="64"/>
      <c r="BV442" s="64"/>
      <c r="BW442" s="64"/>
      <c r="BX442" s="64"/>
      <c r="BY442" s="64"/>
      <c r="BZ442" s="64"/>
      <c r="CA442" s="64"/>
      <c r="CB442" s="64"/>
      <c r="CC442" s="64"/>
      <c r="CD442" s="64"/>
      <c r="CE442" s="64"/>
      <c r="CF442" s="64"/>
      <c r="CG442" s="64"/>
      <c r="CH442" s="64"/>
      <c r="CI442" s="64"/>
      <c r="CJ442" s="64"/>
      <c r="CK442" s="64"/>
      <c r="CL442" s="64"/>
      <c r="CM442" s="64"/>
      <c r="CN442" s="64"/>
      <c r="CO442" s="64"/>
      <c r="CP442" s="64"/>
      <c r="CQ442" s="64"/>
      <c r="CR442" s="64"/>
      <c r="CS442" s="64"/>
      <c r="CT442" s="64"/>
      <c r="CU442" s="64"/>
      <c r="CV442" s="64"/>
      <c r="CW442" s="64"/>
      <c r="CX442" s="64"/>
      <c r="CY442" s="64"/>
      <c r="CZ442" s="64"/>
      <c r="DA442" s="64"/>
      <c r="DB442" s="64"/>
      <c r="DC442" s="64"/>
      <c r="DD442" s="64"/>
      <c r="DE442" s="64"/>
      <c r="DF442" s="64"/>
      <c r="DG442" s="64"/>
    </row>
    <row r="443" ht="20.25" customHeight="1">
      <c r="A443" s="41" t="s">
        <v>106</v>
      </c>
      <c r="B443" s="41" t="s">
        <v>107</v>
      </c>
      <c r="C443" s="41" t="s">
        <v>2196</v>
      </c>
      <c r="E443" s="641" t="s">
        <v>2352</v>
      </c>
      <c r="F443" s="52" t="s">
        <v>2385</v>
      </c>
      <c r="G443" s="147" t="s">
        <v>2197</v>
      </c>
      <c r="H443" s="409">
        <v>45643.0</v>
      </c>
      <c r="I443" s="710"/>
      <c r="J443" s="147" t="s">
        <v>2386</v>
      </c>
      <c r="K443" s="60"/>
      <c r="L443" s="147" t="s">
        <v>2355</v>
      </c>
      <c r="M443" s="147" t="s">
        <v>2356</v>
      </c>
      <c r="N443" s="144">
        <v>3.0</v>
      </c>
      <c r="O443" s="145" t="str">
        <f t="shared" si="28"/>
        <v>10.1006--obhd.1994.1063.pdf</v>
      </c>
      <c r="P443" s="48" t="str">
        <f t="array" ref="P443">HYPERLINK(INDEX('File Links'!B:B, MATCH(O443, 'File Links'!C:C, 0)))
</f>
        <v>https://drive.google.com/file/d/1S6Y_7EBTIU64tChcmNNePtGMO2jWzVGk/view?usp=drivesdk</v>
      </c>
      <c r="Q443" s="147" t="s">
        <v>2358</v>
      </c>
      <c r="R443" s="147" t="s">
        <v>2359</v>
      </c>
      <c r="S443" s="60"/>
      <c r="T443" s="60"/>
      <c r="U443" s="145" t="str">
        <f t="shared" si="27"/>
        <v>10.17605--osf.io--b25tr.pdf</v>
      </c>
      <c r="V443" s="147" t="s">
        <v>2362</v>
      </c>
      <c r="W443" s="45" t="str">
        <f t="array" ref="W443">HYPERLINK(INDEX('File Links'!B:B, MATCH(U443, 'File Links'!C:C, 0)))
</f>
        <v>#N/A</v>
      </c>
      <c r="X443" s="60"/>
      <c r="Y443" s="147" t="s">
        <v>203</v>
      </c>
      <c r="Z443" s="147" t="s">
        <v>2363</v>
      </c>
      <c r="AA443" s="147" t="s">
        <v>2364</v>
      </c>
      <c r="AB443" s="147" t="s">
        <v>2382</v>
      </c>
      <c r="AC443" s="147" t="s">
        <v>2383</v>
      </c>
      <c r="AD443" s="144">
        <v>8.0</v>
      </c>
      <c r="AE443" s="144">
        <v>67.0</v>
      </c>
      <c r="AF443" s="144">
        <v>1.195</v>
      </c>
      <c r="AG443" s="330" t="s">
        <v>722</v>
      </c>
      <c r="AH443" s="45" t="str">
        <f t="shared" si="30"/>
        <v>=(p. 5/0.01)/(p. 5/0.01)</v>
      </c>
      <c r="AI443" s="52" t="s">
        <v>2384</v>
      </c>
      <c r="AJ443" s="60"/>
      <c r="AK443" s="52" t="s">
        <v>179</v>
      </c>
      <c r="AL443" s="147" t="s">
        <v>129</v>
      </c>
      <c r="AM443" s="60"/>
      <c r="AN443" s="709">
        <v>1000.0</v>
      </c>
      <c r="AO443" s="709">
        <v>0.06</v>
      </c>
      <c r="AP443" s="511" t="s">
        <v>2373</v>
      </c>
      <c r="AQ443" s="525" t="s">
        <v>2374</v>
      </c>
      <c r="AR443" s="709">
        <v>0.381</v>
      </c>
      <c r="AS443" s="525" t="s">
        <v>164</v>
      </c>
      <c r="AT443" s="525" t="s">
        <v>179</v>
      </c>
      <c r="AU443" s="147" t="s">
        <v>129</v>
      </c>
      <c r="AV443" s="303" t="s">
        <v>2369</v>
      </c>
      <c r="AW443" s="453" t="s">
        <v>142</v>
      </c>
      <c r="AX443" s="60"/>
    </row>
    <row r="444" ht="20.25" customHeight="1">
      <c r="A444" s="316" t="s">
        <v>106</v>
      </c>
      <c r="B444" s="316" t="s">
        <v>107</v>
      </c>
      <c r="C444" s="316" t="s">
        <v>1821</v>
      </c>
      <c r="D444" s="215"/>
      <c r="E444" s="232" t="s">
        <v>2387</v>
      </c>
      <c r="F444" s="386" t="s">
        <v>2388</v>
      </c>
      <c r="G444" s="386" t="s">
        <v>1822</v>
      </c>
      <c r="H444" s="598">
        <v>45642.0</v>
      </c>
      <c r="I444" s="159">
        <v>45681.0</v>
      </c>
      <c r="J444" s="386" t="s">
        <v>2389</v>
      </c>
      <c r="K444" s="364"/>
      <c r="L444" s="386" t="s">
        <v>2390</v>
      </c>
      <c r="M444" s="386" t="s">
        <v>2391</v>
      </c>
      <c r="N444" s="364"/>
      <c r="O444" s="599" t="str">
        <f t="shared" si="28"/>
        <v>10.1007--s10857-015-9324-9.pdf</v>
      </c>
      <c r="P444" s="48" t="str">
        <f t="array" ref="P444">HYPERLINK(INDEX('File Links'!B:B, MATCH(O444, 'File Links'!C:C, 0)))
</f>
        <v>https://drive.google.com/file/d/1JnjkuBqFgDqAEzZj1VnXDDzpULzqwUY4/view?usp=drivesdk</v>
      </c>
      <c r="Q444" s="386" t="s">
        <v>2392</v>
      </c>
      <c r="R444" s="386" t="s">
        <v>2393</v>
      </c>
      <c r="S444" s="364"/>
      <c r="T444" s="600"/>
      <c r="U444" s="386" t="str">
        <f t="shared" si="27"/>
        <v>10.1016--j.jmathb.2024.101174.pdf</v>
      </c>
      <c r="V444" s="364"/>
      <c r="W444" s="45" t="str">
        <f t="array" ref="W444">HYPERLINK(INDEX('File Links'!B:B, MATCH(U444, 'File Links'!C:C, 0)))
</f>
        <v>#N/A</v>
      </c>
      <c r="Y444" s="364"/>
      <c r="Z444" s="364"/>
      <c r="AA444" s="364"/>
      <c r="AB444" s="364"/>
      <c r="AC444" s="364"/>
      <c r="AD444" s="364"/>
      <c r="AE444" s="326">
        <v>13.0</v>
      </c>
      <c r="AF444" s="364"/>
      <c r="AG444" s="600"/>
      <c r="AH444" s="321"/>
      <c r="AI444" s="364"/>
      <c r="AJ444" s="322"/>
      <c r="AK444" s="711" t="s">
        <v>165</v>
      </c>
      <c r="AL444" s="711" t="s">
        <v>165</v>
      </c>
      <c r="AM444" s="364"/>
      <c r="AN444" s="364"/>
      <c r="AO444" s="364"/>
      <c r="AP444" s="364"/>
      <c r="AQ444" s="364"/>
      <c r="AR444" s="364"/>
      <c r="AS444" s="322"/>
      <c r="AT444" s="712" t="s">
        <v>165</v>
      </c>
      <c r="AU444" s="712" t="s">
        <v>165</v>
      </c>
      <c r="AV444" s="322"/>
      <c r="AW444" s="322"/>
      <c r="AX444" s="55"/>
      <c r="AY444" s="316" t="s">
        <v>135</v>
      </c>
    </row>
    <row r="445" ht="20.25" customHeight="1">
      <c r="A445" s="316" t="s">
        <v>2021</v>
      </c>
      <c r="B445" s="316" t="s">
        <v>107</v>
      </c>
      <c r="C445" s="316" t="s">
        <v>2196</v>
      </c>
      <c r="D445" s="215"/>
      <c r="E445" s="232" t="s">
        <v>2387</v>
      </c>
      <c r="F445" s="386" t="s">
        <v>2388</v>
      </c>
      <c r="G445" s="232" t="s">
        <v>2197</v>
      </c>
      <c r="H445" s="598">
        <v>45661.0</v>
      </c>
      <c r="I445" s="159">
        <v>45681.0</v>
      </c>
      <c r="J445" s="232" t="s">
        <v>2394</v>
      </c>
      <c r="K445" s="322"/>
      <c r="L445" s="385" t="s">
        <v>2395</v>
      </c>
      <c r="M445" s="232" t="s">
        <v>2391</v>
      </c>
      <c r="N445" s="322"/>
      <c r="O445" s="232" t="str">
        <f t="shared" si="28"/>
        <v>10.1007--s10857-015-9324-9.pdf</v>
      </c>
      <c r="P445" s="48" t="str">
        <f t="array" ref="P445">HYPERLINK(INDEX('File Links'!B:B, MATCH(O445, 'File Links'!C:C, 0)))
</f>
        <v>https://drive.google.com/file/d/1JnjkuBqFgDqAEzZj1VnXDDzpULzqwUY4/view?usp=drivesdk</v>
      </c>
      <c r="Q445" s="232" t="s">
        <v>2392</v>
      </c>
      <c r="R445" s="232" t="s">
        <v>2393</v>
      </c>
      <c r="S445" s="322"/>
      <c r="T445" s="322"/>
      <c r="U445" s="232" t="str">
        <f t="shared" si="27"/>
        <v>10.1016--j.jmathb.2024.101174.pdf</v>
      </c>
      <c r="V445" s="232" t="s">
        <v>2396</v>
      </c>
      <c r="W445" s="45" t="str">
        <f t="array" ref="W445">HYPERLINK(INDEX('File Links'!B:B, MATCH(U445, 'File Links'!C:C, 0)))
</f>
        <v>#N/A</v>
      </c>
      <c r="Y445" s="232" t="s">
        <v>235</v>
      </c>
      <c r="Z445" s="232" t="s">
        <v>2397</v>
      </c>
      <c r="AA445" s="232" t="s">
        <v>2398</v>
      </c>
      <c r="AB445" s="322"/>
      <c r="AC445" s="321" t="s">
        <v>2399</v>
      </c>
      <c r="AD445" s="321" t="s">
        <v>2400</v>
      </c>
      <c r="AE445" s="325">
        <v>13.0</v>
      </c>
      <c r="AF445" s="326" t="s">
        <v>165</v>
      </c>
      <c r="AG445" s="326" t="s">
        <v>165</v>
      </c>
      <c r="AH445" s="326">
        <v>8.0</v>
      </c>
      <c r="AI445" s="326" t="s">
        <v>165</v>
      </c>
      <c r="AJ445" s="713" t="s">
        <v>165</v>
      </c>
      <c r="AK445" s="713" t="s">
        <v>165</v>
      </c>
      <c r="AL445" s="713" t="s">
        <v>165</v>
      </c>
      <c r="AM445" s="326" t="s">
        <v>165</v>
      </c>
      <c r="AN445" s="326">
        <v>15.0</v>
      </c>
      <c r="AO445" s="326" t="s">
        <v>165</v>
      </c>
      <c r="AP445" s="326" t="s">
        <v>165</v>
      </c>
      <c r="AQ445" s="326" t="s">
        <v>2401</v>
      </c>
      <c r="AR445" s="326" t="s">
        <v>165</v>
      </c>
      <c r="AS445" s="714" t="s">
        <v>165</v>
      </c>
      <c r="AT445" s="714" t="s">
        <v>165</v>
      </c>
      <c r="AU445" s="714" t="s">
        <v>165</v>
      </c>
      <c r="AV445" s="326" t="s">
        <v>165</v>
      </c>
      <c r="AW445" s="715" t="s">
        <v>142</v>
      </c>
      <c r="AX445" s="60"/>
      <c r="AY445" s="316" t="s">
        <v>135</v>
      </c>
      <c r="AZ445" s="647"/>
      <c r="BA445" s="647"/>
      <c r="BB445" s="647"/>
      <c r="BC445" s="647"/>
      <c r="BD445" s="647"/>
      <c r="BE445" s="647"/>
      <c r="BF445" s="647"/>
      <c r="BG445" s="647"/>
      <c r="BH445" s="647"/>
      <c r="BI445" s="647"/>
      <c r="BJ445" s="647"/>
      <c r="BK445" s="647"/>
      <c r="BL445" s="647"/>
      <c r="BM445" s="647"/>
      <c r="BN445" s="647"/>
      <c r="BO445" s="647"/>
      <c r="BP445" s="647"/>
      <c r="BQ445" s="647"/>
      <c r="BR445" s="647"/>
      <c r="BS445" s="647"/>
      <c r="BT445" s="647"/>
      <c r="BU445" s="647"/>
      <c r="BV445" s="647"/>
      <c r="BW445" s="647"/>
      <c r="BX445" s="647"/>
      <c r="BY445" s="647"/>
      <c r="BZ445" s="647"/>
      <c r="CA445" s="647"/>
      <c r="CB445" s="647"/>
      <c r="CC445" s="647"/>
      <c r="CD445" s="647"/>
      <c r="CE445" s="647"/>
      <c r="CF445" s="647"/>
      <c r="CG445" s="647"/>
      <c r="CH445" s="647"/>
      <c r="CI445" s="647"/>
      <c r="CJ445" s="647"/>
      <c r="CK445" s="647"/>
      <c r="CL445" s="647"/>
      <c r="CM445" s="647"/>
      <c r="CN445" s="647"/>
      <c r="CO445" s="647"/>
      <c r="CP445" s="647"/>
      <c r="CQ445" s="647"/>
      <c r="CR445" s="647"/>
      <c r="CS445" s="647"/>
      <c r="CT445" s="647"/>
      <c r="CU445" s="647"/>
      <c r="CV445" s="647"/>
      <c r="CW445" s="647"/>
      <c r="CX445" s="647"/>
      <c r="CY445" s="647"/>
      <c r="CZ445" s="647"/>
      <c r="DA445" s="647"/>
      <c r="DB445" s="647"/>
      <c r="DC445" s="647"/>
      <c r="DD445" s="647"/>
      <c r="DE445" s="647"/>
      <c r="DF445" s="647"/>
      <c r="DG445" s="647"/>
    </row>
    <row r="446" ht="20.25" customHeight="1">
      <c r="A446" s="396" t="s">
        <v>279</v>
      </c>
      <c r="B446" s="136" t="s">
        <v>107</v>
      </c>
      <c r="C446" s="136" t="s">
        <v>1471</v>
      </c>
      <c r="D446" s="64"/>
      <c r="E446" s="108" t="s">
        <v>2402</v>
      </c>
      <c r="F446" s="99" t="s">
        <v>2403</v>
      </c>
      <c r="G446" s="99" t="s">
        <v>135</v>
      </c>
      <c r="H446" s="391">
        <v>45478.0</v>
      </c>
      <c r="I446" s="100">
        <v>45641.0</v>
      </c>
      <c r="J446" s="716" t="s">
        <v>2404</v>
      </c>
      <c r="K446" s="101"/>
      <c r="L446" s="392" t="s">
        <v>2405</v>
      </c>
      <c r="M446" s="99" t="s">
        <v>2406</v>
      </c>
      <c r="N446" s="104">
        <v>3.0</v>
      </c>
      <c r="O446" s="107" t="str">
        <f t="shared" si="28"/>
        <v>10.1177--1948550611432938.pdf</v>
      </c>
      <c r="P446" s="48" t="str">
        <f t="array" ref="P446">HYPERLINK(INDEX('File Links'!B:B, MATCH(O446, 'File Links'!C:C, 0)))
</f>
        <v>https://drive.google.com/file/d/1H6qRZ24gIkLnBRWVbjI2jgKRf4KnrPQh/view?usp=drivesdk</v>
      </c>
      <c r="Q446" s="99" t="s">
        <v>2407</v>
      </c>
      <c r="R446" s="99" t="s">
        <v>2408</v>
      </c>
      <c r="S446" s="101"/>
      <c r="T446" s="106"/>
      <c r="U446" s="99" t="str">
        <f t="shared" si="27"/>
        <v>10.31234--osf.io--esu9z.pdf</v>
      </c>
      <c r="V446" s="101"/>
      <c r="W446" s="45" t="str">
        <f t="array" ref="W446">HYPERLINK(INDEX('File Links'!B:B, MATCH(U446, 'File Links'!C:C, 0)))
</f>
        <v>#N/A</v>
      </c>
      <c r="X446" s="101"/>
      <c r="Y446" s="101"/>
      <c r="Z446" s="101"/>
      <c r="AA446" s="101"/>
      <c r="AB446" s="101"/>
      <c r="AC446" s="101"/>
      <c r="AD446" s="101"/>
      <c r="AE446" s="101"/>
      <c r="AF446" s="101"/>
      <c r="AG446" s="106"/>
      <c r="AH446" s="101"/>
      <c r="AI446" s="101"/>
      <c r="AJ446" s="98"/>
      <c r="AK446" s="101"/>
      <c r="AL446" s="101"/>
      <c r="AM446" s="101"/>
      <c r="AN446" s="101"/>
      <c r="AO446" s="101"/>
      <c r="AP446" s="101"/>
      <c r="AQ446" s="101"/>
      <c r="AR446" s="101"/>
      <c r="AS446" s="98"/>
      <c r="AT446" s="98"/>
      <c r="AU446" s="98"/>
      <c r="AV446" s="98"/>
      <c r="AW446" s="98"/>
      <c r="AX446" s="55"/>
      <c r="AY446" s="64"/>
      <c r="AZ446" s="333"/>
      <c r="BA446" s="333"/>
      <c r="BB446" s="333"/>
      <c r="BC446" s="333"/>
      <c r="BD446" s="333"/>
      <c r="BE446" s="333"/>
      <c r="BF446" s="333"/>
      <c r="BG446" s="333"/>
      <c r="BH446" s="333"/>
      <c r="BI446" s="333"/>
      <c r="BJ446" s="333"/>
      <c r="BK446" s="333"/>
      <c r="BL446" s="333"/>
      <c r="BM446" s="333"/>
      <c r="BN446" s="333"/>
      <c r="BO446" s="333"/>
      <c r="BP446" s="333"/>
      <c r="BQ446" s="333"/>
      <c r="BR446" s="333"/>
      <c r="BS446" s="333"/>
      <c r="BT446" s="333"/>
      <c r="BU446" s="333"/>
      <c r="BV446" s="333"/>
      <c r="BW446" s="333"/>
      <c r="BX446" s="333"/>
      <c r="BY446" s="333"/>
      <c r="BZ446" s="333"/>
      <c r="CA446" s="333"/>
      <c r="CB446" s="333"/>
      <c r="CC446" s="333"/>
      <c r="CD446" s="333"/>
      <c r="CE446" s="333"/>
      <c r="CF446" s="333"/>
      <c r="CG446" s="333"/>
      <c r="CH446" s="333"/>
      <c r="CI446" s="333"/>
      <c r="CJ446" s="333"/>
      <c r="CK446" s="333"/>
      <c r="CL446" s="333"/>
      <c r="CM446" s="333"/>
      <c r="CN446" s="333"/>
      <c r="CO446" s="333"/>
      <c r="CP446" s="333"/>
      <c r="CQ446" s="333"/>
      <c r="CR446" s="333"/>
      <c r="CS446" s="333"/>
      <c r="CT446" s="333"/>
      <c r="CU446" s="333"/>
      <c r="CV446" s="333"/>
      <c r="CW446" s="333"/>
      <c r="CX446" s="333"/>
      <c r="CY446" s="333"/>
      <c r="CZ446" s="333"/>
      <c r="DA446" s="333"/>
      <c r="DB446" s="333"/>
      <c r="DC446" s="333"/>
      <c r="DD446" s="333"/>
      <c r="DE446" s="333"/>
      <c r="DF446" s="333"/>
      <c r="DG446" s="333"/>
    </row>
    <row r="447" ht="20.25" customHeight="1">
      <c r="A447" s="396" t="s">
        <v>279</v>
      </c>
      <c r="B447" s="136" t="s">
        <v>107</v>
      </c>
      <c r="C447" s="136" t="s">
        <v>2196</v>
      </c>
      <c r="D447" s="64"/>
      <c r="E447" s="108" t="s">
        <v>2402</v>
      </c>
      <c r="F447" s="99" t="s">
        <v>2403</v>
      </c>
      <c r="G447" s="108" t="s">
        <v>2197</v>
      </c>
      <c r="H447" s="391">
        <v>45478.0</v>
      </c>
      <c r="I447" s="100">
        <v>45661.0</v>
      </c>
      <c r="J447" s="525" t="s">
        <v>2409</v>
      </c>
      <c r="K447" s="98"/>
      <c r="L447" s="108" t="s">
        <v>2410</v>
      </c>
      <c r="M447" s="108" t="s">
        <v>2406</v>
      </c>
      <c r="N447" s="482">
        <v>3.0</v>
      </c>
      <c r="O447" s="108" t="str">
        <f t="shared" si="28"/>
        <v>10.1177--1948550611432938.pdf</v>
      </c>
      <c r="P447" s="48" t="str">
        <f t="array" ref="P447">HYPERLINK(INDEX('File Links'!B:B, MATCH(O447, 'File Links'!C:C, 0)))
</f>
        <v>https://drive.google.com/file/d/1H6qRZ24gIkLnBRWVbjI2jgKRf4KnrPQh/view?usp=drivesdk</v>
      </c>
      <c r="Q447" s="108" t="s">
        <v>2407</v>
      </c>
      <c r="R447" s="108" t="s">
        <v>2408</v>
      </c>
      <c r="S447" s="98"/>
      <c r="T447" s="98"/>
      <c r="U447" s="108" t="str">
        <f t="shared" si="27"/>
        <v>10.31234--osf.io--esu9z.pdf</v>
      </c>
      <c r="V447" s="108" t="s">
        <v>2411</v>
      </c>
      <c r="W447" s="45" t="str">
        <f t="array" ref="W447">HYPERLINK(INDEX('File Links'!B:B, MATCH(U447, 'File Links'!C:C, 0)))
</f>
        <v>#N/A</v>
      </c>
      <c r="X447" s="98"/>
      <c r="Y447" s="108" t="s">
        <v>220</v>
      </c>
      <c r="Z447" s="108" t="s">
        <v>2412</v>
      </c>
      <c r="AA447" s="108" t="s">
        <v>2413</v>
      </c>
      <c r="AB447" s="108" t="s">
        <v>2414</v>
      </c>
      <c r="AC447" s="108" t="s">
        <v>2415</v>
      </c>
      <c r="AD447" s="482">
        <v>3.0</v>
      </c>
      <c r="AE447" s="482">
        <v>120.0</v>
      </c>
      <c r="AF447" s="482">
        <v>0.38</v>
      </c>
      <c r="AG447" s="106" t="s">
        <v>166</v>
      </c>
      <c r="AH447" s="99" t="s">
        <v>210</v>
      </c>
      <c r="AI447" s="104">
        <v>0.045</v>
      </c>
      <c r="AJ447" s="108" t="s">
        <v>164</v>
      </c>
      <c r="AK447" s="99" t="s">
        <v>179</v>
      </c>
      <c r="AL447" s="108" t="s">
        <v>129</v>
      </c>
      <c r="AM447" s="98"/>
      <c r="AN447" s="482">
        <v>3415.0</v>
      </c>
      <c r="AO447" s="482">
        <v>0.0</v>
      </c>
      <c r="AP447" s="98"/>
      <c r="AQ447" s="108" t="s">
        <v>2416</v>
      </c>
      <c r="AR447" s="98"/>
      <c r="AS447" s="98"/>
      <c r="AT447" s="108" t="s">
        <v>128</v>
      </c>
      <c r="AU447" s="108" t="s">
        <v>129</v>
      </c>
      <c r="AV447" s="608" t="s">
        <v>2417</v>
      </c>
      <c r="AW447" s="395" t="s">
        <v>134</v>
      </c>
      <c r="AX447" s="60"/>
      <c r="AY447" s="64"/>
      <c r="AZ447" s="333"/>
      <c r="BA447" s="333"/>
      <c r="BB447" s="333"/>
      <c r="BC447" s="333"/>
      <c r="BD447" s="333"/>
      <c r="BE447" s="333"/>
      <c r="BF447" s="333"/>
      <c r="BG447" s="333"/>
      <c r="BH447" s="333"/>
      <c r="BI447" s="333"/>
      <c r="BJ447" s="333"/>
      <c r="BK447" s="333"/>
      <c r="BL447" s="333"/>
      <c r="BM447" s="333"/>
      <c r="BN447" s="333"/>
      <c r="BO447" s="333"/>
      <c r="BP447" s="333"/>
      <c r="BQ447" s="333"/>
      <c r="BR447" s="333"/>
      <c r="BS447" s="333"/>
      <c r="BT447" s="333"/>
      <c r="BU447" s="333"/>
      <c r="BV447" s="333"/>
      <c r="BW447" s="333"/>
      <c r="BX447" s="333"/>
      <c r="BY447" s="333"/>
      <c r="BZ447" s="333"/>
      <c r="CA447" s="333"/>
      <c r="CB447" s="333"/>
      <c r="CC447" s="333"/>
      <c r="CD447" s="333"/>
      <c r="CE447" s="333"/>
      <c r="CF447" s="333"/>
      <c r="CG447" s="333"/>
      <c r="CH447" s="333"/>
      <c r="CI447" s="333"/>
      <c r="CJ447" s="333"/>
      <c r="CK447" s="333"/>
      <c r="CL447" s="333"/>
      <c r="CM447" s="333"/>
      <c r="CN447" s="333"/>
      <c r="CO447" s="333"/>
      <c r="CP447" s="333"/>
      <c r="CQ447" s="333"/>
      <c r="CR447" s="333"/>
      <c r="CS447" s="333"/>
      <c r="CT447" s="333"/>
      <c r="CU447" s="333"/>
      <c r="CV447" s="333"/>
      <c r="CW447" s="333"/>
      <c r="CX447" s="333"/>
      <c r="CY447" s="333"/>
      <c r="CZ447" s="333"/>
      <c r="DA447" s="333"/>
      <c r="DB447" s="333"/>
      <c r="DC447" s="333"/>
      <c r="DD447" s="333"/>
      <c r="DE447" s="333"/>
      <c r="DF447" s="333"/>
      <c r="DG447" s="333"/>
    </row>
    <row r="448" ht="20.25" customHeight="1">
      <c r="A448" s="396" t="s">
        <v>279</v>
      </c>
      <c r="B448" s="136" t="s">
        <v>107</v>
      </c>
      <c r="C448" s="136" t="s">
        <v>2196</v>
      </c>
      <c r="D448" s="64"/>
      <c r="E448" s="108" t="s">
        <v>2402</v>
      </c>
      <c r="F448" s="99" t="s">
        <v>2418</v>
      </c>
      <c r="G448" s="108" t="s">
        <v>2197</v>
      </c>
      <c r="H448" s="391">
        <v>45662.0</v>
      </c>
      <c r="I448" s="717"/>
      <c r="J448" s="525" t="s">
        <v>2419</v>
      </c>
      <c r="K448" s="98"/>
      <c r="L448" s="108" t="s">
        <v>2410</v>
      </c>
      <c r="M448" s="108" t="s">
        <v>2406</v>
      </c>
      <c r="N448" s="482">
        <v>3.0</v>
      </c>
      <c r="O448" s="108" t="str">
        <f t="shared" si="28"/>
        <v>10.1177--1948550611432938.pdf</v>
      </c>
      <c r="P448" s="48" t="str">
        <f t="array" ref="P448">HYPERLINK(INDEX('File Links'!B:B, MATCH(O448, 'File Links'!C:C, 0)))
</f>
        <v>https://drive.google.com/file/d/1H6qRZ24gIkLnBRWVbjI2jgKRf4KnrPQh/view?usp=drivesdk</v>
      </c>
      <c r="Q448" s="108" t="s">
        <v>2407</v>
      </c>
      <c r="R448" s="108" t="s">
        <v>2408</v>
      </c>
      <c r="S448" s="98"/>
      <c r="T448" s="98"/>
      <c r="U448" s="108" t="str">
        <f t="shared" si="27"/>
        <v>10.31234--osf.io--esu9z.pdf</v>
      </c>
      <c r="V448" s="108" t="s">
        <v>2411</v>
      </c>
      <c r="W448" s="45" t="str">
        <f t="array" ref="W448">HYPERLINK(INDEX('File Links'!B:B, MATCH(U448, 'File Links'!C:C, 0)))
</f>
        <v>#N/A</v>
      </c>
      <c r="X448" s="98"/>
      <c r="Y448" s="108" t="s">
        <v>220</v>
      </c>
      <c r="Z448" s="108" t="s">
        <v>2412</v>
      </c>
      <c r="AA448" s="108" t="s">
        <v>2413</v>
      </c>
      <c r="AB448" s="108" t="s">
        <v>2414</v>
      </c>
      <c r="AC448" s="108" t="s">
        <v>2415</v>
      </c>
      <c r="AD448" s="482">
        <v>3.0</v>
      </c>
      <c r="AE448" s="482">
        <v>120.0</v>
      </c>
      <c r="AF448" s="482">
        <v>0.38</v>
      </c>
      <c r="AG448" s="106" t="s">
        <v>166</v>
      </c>
      <c r="AH448" s="99" t="s">
        <v>210</v>
      </c>
      <c r="AI448" s="104">
        <v>0.045</v>
      </c>
      <c r="AJ448" s="108" t="s">
        <v>164</v>
      </c>
      <c r="AK448" s="99" t="s">
        <v>179</v>
      </c>
      <c r="AL448" s="108" t="s">
        <v>129</v>
      </c>
      <c r="AM448" s="98"/>
      <c r="AN448" s="482">
        <v>3415.0</v>
      </c>
      <c r="AO448" s="482">
        <v>-0.01</v>
      </c>
      <c r="AP448" s="98"/>
      <c r="AQ448" s="108" t="s">
        <v>2309</v>
      </c>
      <c r="AR448" s="98"/>
      <c r="AS448" s="98"/>
      <c r="AT448" s="108" t="s">
        <v>128</v>
      </c>
      <c r="AU448" s="108" t="s">
        <v>129</v>
      </c>
      <c r="AV448" s="608" t="s">
        <v>2417</v>
      </c>
      <c r="AW448" s="395" t="s">
        <v>134</v>
      </c>
      <c r="AX448" s="60"/>
      <c r="AY448" s="64"/>
      <c r="AZ448" s="333"/>
      <c r="BA448" s="333"/>
      <c r="BB448" s="333"/>
      <c r="BC448" s="333"/>
      <c r="BD448" s="333"/>
      <c r="BE448" s="333"/>
      <c r="BF448" s="333"/>
      <c r="BG448" s="333"/>
      <c r="BH448" s="333"/>
      <c r="BI448" s="333"/>
      <c r="BJ448" s="333"/>
      <c r="BK448" s="333"/>
      <c r="BL448" s="333"/>
      <c r="BM448" s="333"/>
      <c r="BN448" s="333"/>
      <c r="BO448" s="333"/>
      <c r="BP448" s="333"/>
      <c r="BQ448" s="333"/>
      <c r="BR448" s="333"/>
      <c r="BS448" s="333"/>
      <c r="BT448" s="333"/>
      <c r="BU448" s="333"/>
      <c r="BV448" s="333"/>
      <c r="BW448" s="333"/>
      <c r="BX448" s="333"/>
      <c r="BY448" s="333"/>
      <c r="BZ448" s="333"/>
      <c r="CA448" s="333"/>
      <c r="CB448" s="333"/>
      <c r="CC448" s="333"/>
      <c r="CD448" s="333"/>
      <c r="CE448" s="333"/>
      <c r="CF448" s="333"/>
      <c r="CG448" s="333"/>
      <c r="CH448" s="333"/>
      <c r="CI448" s="333"/>
      <c r="CJ448" s="333"/>
      <c r="CK448" s="333"/>
      <c r="CL448" s="333"/>
      <c r="CM448" s="333"/>
      <c r="CN448" s="333"/>
      <c r="CO448" s="333"/>
      <c r="CP448" s="333"/>
      <c r="CQ448" s="333"/>
      <c r="CR448" s="333"/>
      <c r="CS448" s="333"/>
      <c r="CT448" s="333"/>
      <c r="CU448" s="333"/>
      <c r="CV448" s="333"/>
      <c r="CW448" s="333"/>
      <c r="CX448" s="333"/>
      <c r="CY448" s="333"/>
      <c r="CZ448" s="333"/>
      <c r="DA448" s="333"/>
      <c r="DB448" s="333"/>
      <c r="DC448" s="333"/>
      <c r="DD448" s="333"/>
      <c r="DE448" s="333"/>
      <c r="DF448" s="333"/>
      <c r="DG448" s="333"/>
    </row>
    <row r="449" ht="20.25" customHeight="1">
      <c r="A449" s="136" t="s">
        <v>143</v>
      </c>
      <c r="B449" s="136" t="s">
        <v>107</v>
      </c>
      <c r="C449" s="136" t="s">
        <v>1471</v>
      </c>
      <c r="D449" s="64"/>
      <c r="E449" s="718" t="s">
        <v>2420</v>
      </c>
      <c r="F449" s="99" t="s">
        <v>2421</v>
      </c>
      <c r="G449" s="99" t="s">
        <v>1530</v>
      </c>
      <c r="H449" s="391">
        <v>45489.0</v>
      </c>
      <c r="I449" s="100">
        <v>45641.0</v>
      </c>
      <c r="J449" s="99" t="s">
        <v>2422</v>
      </c>
      <c r="K449" s="101"/>
      <c r="L449" s="99" t="s">
        <v>2423</v>
      </c>
      <c r="M449" s="99" t="s">
        <v>2424</v>
      </c>
      <c r="N449" s="134">
        <v>1.0</v>
      </c>
      <c r="O449" s="107" t="str">
        <f t="shared" si="28"/>
        <v>10.1016--j.biopsycho.2018.08.007.pdf</v>
      </c>
      <c r="P449" s="48" t="str">
        <f t="array" ref="P449">HYPERLINK(INDEX('File Links'!B:B, MATCH(O449, 'File Links'!C:C, 0)))
</f>
        <v>https://drive.google.com/file/d/1V8lTfv6HJ8IMLiB5gYCuvj2XX1Nry6fh/view?usp=drivesdk</v>
      </c>
      <c r="Q449" s="99" t="s">
        <v>2425</v>
      </c>
      <c r="R449" s="101"/>
      <c r="S449" s="101"/>
      <c r="T449" s="134">
        <v>1.0</v>
      </c>
      <c r="U449" s="99" t="str">
        <f t="shared" si="27"/>
        <v>.pdf</v>
      </c>
      <c r="V449" s="99" t="s">
        <v>2426</v>
      </c>
      <c r="W449" s="45" t="str">
        <f t="array" ref="W449">HYPERLINK(INDEX('File Links'!B:B, MATCH(U449, 'File Links'!C:C, 0)))
</f>
        <v>#N/A</v>
      </c>
      <c r="X449" s="101"/>
      <c r="Y449" s="99" t="s">
        <v>2427</v>
      </c>
      <c r="Z449" s="101" t="s">
        <v>2428</v>
      </c>
      <c r="AA449" s="101" t="s">
        <v>2429</v>
      </c>
      <c r="AB449" s="103" t="s">
        <v>2430</v>
      </c>
      <c r="AC449" s="99" t="s">
        <v>2431</v>
      </c>
      <c r="AD449" s="104">
        <v>17.0</v>
      </c>
      <c r="AE449" s="104">
        <v>22.0</v>
      </c>
      <c r="AF449" s="612" t="s">
        <v>2432</v>
      </c>
      <c r="AG449" s="107" t="s">
        <v>162</v>
      </c>
      <c r="AH449" s="99" t="s">
        <v>1830</v>
      </c>
      <c r="AI449" s="104">
        <v>0.073</v>
      </c>
      <c r="AJ449" s="98" t="s">
        <v>164</v>
      </c>
      <c r="AK449" s="101" t="s">
        <v>179</v>
      </c>
      <c r="AL449" s="99" t="s">
        <v>132</v>
      </c>
      <c r="AM449" s="128" t="s">
        <v>165</v>
      </c>
      <c r="AN449" s="134">
        <v>32.0</v>
      </c>
      <c r="AO449" s="134" t="s">
        <v>165</v>
      </c>
      <c r="AP449" s="134" t="s">
        <v>165</v>
      </c>
      <c r="AQ449" s="134" t="s">
        <v>165</v>
      </c>
      <c r="AR449" s="134" t="s">
        <v>165</v>
      </c>
      <c r="AS449" s="134" t="s">
        <v>165</v>
      </c>
      <c r="AT449" s="699" t="s">
        <v>179</v>
      </c>
      <c r="AU449" s="108" t="s">
        <v>132</v>
      </c>
      <c r="AV449" s="60" t="s">
        <v>165</v>
      </c>
      <c r="AW449" s="699" t="s">
        <v>134</v>
      </c>
      <c r="AX449" s="55"/>
      <c r="AY449" s="136" t="s">
        <v>135</v>
      </c>
      <c r="AZ449" s="333"/>
      <c r="BA449" s="333"/>
      <c r="BB449" s="333"/>
      <c r="BC449" s="333"/>
      <c r="BD449" s="333"/>
      <c r="BE449" s="333"/>
      <c r="BF449" s="333"/>
      <c r="BG449" s="333"/>
      <c r="BH449" s="333"/>
      <c r="BI449" s="333"/>
      <c r="BJ449" s="333"/>
      <c r="BK449" s="333"/>
      <c r="BL449" s="333"/>
      <c r="BM449" s="333"/>
      <c r="BN449" s="333"/>
      <c r="BO449" s="333"/>
      <c r="BP449" s="333"/>
      <c r="BQ449" s="333"/>
      <c r="BR449" s="333"/>
      <c r="BS449" s="333"/>
      <c r="BT449" s="333"/>
      <c r="BU449" s="333"/>
      <c r="BV449" s="333"/>
      <c r="BW449" s="333"/>
      <c r="BX449" s="333"/>
      <c r="BY449" s="333"/>
      <c r="BZ449" s="333"/>
      <c r="CA449" s="333"/>
      <c r="CB449" s="333"/>
      <c r="CC449" s="333"/>
      <c r="CD449" s="333"/>
      <c r="CE449" s="333"/>
      <c r="CF449" s="333"/>
      <c r="CG449" s="333"/>
      <c r="CH449" s="333"/>
      <c r="CI449" s="333"/>
      <c r="CJ449" s="333"/>
      <c r="CK449" s="333"/>
      <c r="CL449" s="333"/>
      <c r="CM449" s="333"/>
      <c r="CN449" s="333"/>
      <c r="CO449" s="333"/>
      <c r="CP449" s="333"/>
      <c r="CQ449" s="333"/>
      <c r="CR449" s="333"/>
      <c r="CS449" s="333"/>
      <c r="CT449" s="333"/>
      <c r="CU449" s="333"/>
      <c r="CV449" s="333"/>
      <c r="CW449" s="333"/>
      <c r="CX449" s="333"/>
      <c r="CY449" s="333"/>
      <c r="CZ449" s="333"/>
      <c r="DA449" s="333"/>
      <c r="DB449" s="333"/>
      <c r="DC449" s="333"/>
      <c r="DD449" s="333"/>
      <c r="DE449" s="333"/>
      <c r="DF449" s="333"/>
      <c r="DG449" s="333"/>
    </row>
    <row r="450" ht="20.25" customHeight="1">
      <c r="A450" s="110" t="s">
        <v>106</v>
      </c>
      <c r="B450" s="110" t="s">
        <v>107</v>
      </c>
      <c r="C450" s="110" t="s">
        <v>2196</v>
      </c>
      <c r="D450" s="95"/>
      <c r="E450" s="698" t="s">
        <v>2420</v>
      </c>
      <c r="F450" s="112" t="s">
        <v>2421</v>
      </c>
      <c r="G450" s="127" t="s">
        <v>2197</v>
      </c>
      <c r="H450" s="310">
        <v>45489.0</v>
      </c>
      <c r="I450" s="113">
        <v>45643.0</v>
      </c>
      <c r="J450" s="127" t="s">
        <v>2433</v>
      </c>
      <c r="K450" s="111"/>
      <c r="L450" s="127" t="s">
        <v>2423</v>
      </c>
      <c r="M450" s="127" t="s">
        <v>2424</v>
      </c>
      <c r="N450" s="111"/>
      <c r="O450" s="127" t="str">
        <f t="shared" si="28"/>
        <v>10.1016--j.biopsycho.2018.08.007.pdf</v>
      </c>
      <c r="P450" s="48" t="str">
        <f t="array" ref="P450">HYPERLINK(INDEX('File Links'!B:B, MATCH(O450, 'File Links'!C:C, 0)))
</f>
        <v>https://drive.google.com/file/d/1V8lTfv6HJ8IMLiB5gYCuvj2XX1Nry6fh/view?usp=drivesdk</v>
      </c>
      <c r="Q450" s="606" t="s">
        <v>2434</v>
      </c>
      <c r="R450" s="111"/>
      <c r="S450" s="111"/>
      <c r="T450" s="111"/>
      <c r="U450" s="719" t="s">
        <v>2435</v>
      </c>
      <c r="V450" s="127" t="s">
        <v>2426</v>
      </c>
      <c r="W450" s="45" t="str">
        <f t="array" ref="W450">HYPERLINK(INDEX('File Links'!B:B, MATCH(U450, 'File Links'!C:C, 0)))
</f>
        <v>#N/A</v>
      </c>
      <c r="X450" s="111"/>
      <c r="Y450" s="127" t="s">
        <v>849</v>
      </c>
      <c r="Z450" s="127" t="s">
        <v>2436</v>
      </c>
      <c r="AA450" s="127" t="s">
        <v>2437</v>
      </c>
      <c r="AB450" s="127" t="s">
        <v>2438</v>
      </c>
      <c r="AC450" s="127" t="s">
        <v>2439</v>
      </c>
      <c r="AD450" s="720">
        <v>17.0</v>
      </c>
      <c r="AE450" s="720">
        <v>21.0</v>
      </c>
      <c r="AF450" s="720">
        <v>0.118</v>
      </c>
      <c r="AG450" s="311" t="s">
        <v>130</v>
      </c>
      <c r="AH450" s="112" t="s">
        <v>2416</v>
      </c>
      <c r="AI450" s="117">
        <v>0.031</v>
      </c>
      <c r="AJ450" s="127" t="s">
        <v>164</v>
      </c>
      <c r="AK450" s="112" t="s">
        <v>179</v>
      </c>
      <c r="AL450" s="127" t="s">
        <v>132</v>
      </c>
      <c r="AM450" s="111"/>
      <c r="AN450" s="720">
        <v>32.0</v>
      </c>
      <c r="AO450" s="111"/>
      <c r="AP450" s="111"/>
      <c r="AQ450" s="127" t="s">
        <v>297</v>
      </c>
      <c r="AR450" s="111"/>
      <c r="AS450" s="111"/>
      <c r="AT450" s="127" t="s">
        <v>179</v>
      </c>
      <c r="AU450" s="127" t="s">
        <v>132</v>
      </c>
      <c r="AV450" s="60" t="s">
        <v>165</v>
      </c>
      <c r="AW450" s="127" t="s">
        <v>134</v>
      </c>
      <c r="AX450" s="60"/>
      <c r="AY450" s="136" t="s">
        <v>135</v>
      </c>
    </row>
    <row r="451" ht="20.25" customHeight="1">
      <c r="A451" s="136" t="s">
        <v>143</v>
      </c>
      <c r="B451" s="136" t="s">
        <v>107</v>
      </c>
      <c r="C451" s="136" t="s">
        <v>1471</v>
      </c>
      <c r="D451" s="64"/>
      <c r="E451" s="698" t="s">
        <v>2420</v>
      </c>
      <c r="F451" s="99" t="s">
        <v>2440</v>
      </c>
      <c r="G451" s="99" t="s">
        <v>1530</v>
      </c>
      <c r="H451" s="391">
        <v>45489.0</v>
      </c>
      <c r="I451" s="100">
        <v>45641.0</v>
      </c>
      <c r="J451" s="101"/>
      <c r="K451" s="101"/>
      <c r="L451" s="99" t="s">
        <v>2423</v>
      </c>
      <c r="M451" s="612" t="s">
        <v>2424</v>
      </c>
      <c r="N451" s="134">
        <v>1.0</v>
      </c>
      <c r="O451" s="107" t="str">
        <f t="shared" si="28"/>
        <v>10.1016--j.biopsycho.2018.08.007.pdf</v>
      </c>
      <c r="P451" s="48" t="str">
        <f t="array" ref="P451">HYPERLINK(INDEX('File Links'!B:B, MATCH(O451, 'File Links'!C:C, 0)))
</f>
        <v>https://drive.google.com/file/d/1V8lTfv6HJ8IMLiB5gYCuvj2XX1Nry6fh/view?usp=drivesdk</v>
      </c>
      <c r="Q451" s="612" t="s">
        <v>2425</v>
      </c>
      <c r="R451" s="101"/>
      <c r="S451" s="101"/>
      <c r="T451" s="134">
        <v>1.0</v>
      </c>
      <c r="U451" s="99" t="str">
        <f> hyperlink(vlookup(lower(R451),#REF!, 2, FALSE), SUBSTITUTE(lower(R451), "/", "--") &amp;  ".pdf")</f>
        <v>.pdf</v>
      </c>
      <c r="V451" s="99" t="s">
        <v>2426</v>
      </c>
      <c r="W451" s="45" t="str">
        <f t="array" ref="W451">HYPERLINK(INDEX('File Links'!B:B, MATCH(U451, 'File Links'!C:C, 0)))
</f>
        <v>#N/A</v>
      </c>
      <c r="X451" s="101"/>
      <c r="Y451" s="99" t="s">
        <v>2427</v>
      </c>
      <c r="Z451" s="101" t="s">
        <v>2428</v>
      </c>
      <c r="AA451" s="101" t="s">
        <v>2429</v>
      </c>
      <c r="AB451" s="103" t="s">
        <v>2430</v>
      </c>
      <c r="AC451" s="99" t="s">
        <v>2441</v>
      </c>
      <c r="AD451" s="99" t="s">
        <v>2442</v>
      </c>
      <c r="AE451" s="104">
        <v>24.0</v>
      </c>
      <c r="AF451" s="104">
        <v>-0.204</v>
      </c>
      <c r="AG451" s="107" t="s">
        <v>208</v>
      </c>
      <c r="AH451" s="99" t="s">
        <v>2443</v>
      </c>
      <c r="AI451" s="104">
        <v>0.375</v>
      </c>
      <c r="AJ451" s="98" t="s">
        <v>164</v>
      </c>
      <c r="AK451" s="101" t="s">
        <v>179</v>
      </c>
      <c r="AL451" s="99" t="s">
        <v>132</v>
      </c>
      <c r="AM451" s="128" t="s">
        <v>165</v>
      </c>
      <c r="AN451" s="104">
        <v>32.0</v>
      </c>
      <c r="AO451" s="104">
        <v>0.382</v>
      </c>
      <c r="AP451" s="99" t="s">
        <v>208</v>
      </c>
      <c r="AQ451" s="99" t="s">
        <v>2444</v>
      </c>
      <c r="AR451" s="104">
        <v>0.031</v>
      </c>
      <c r="AS451" s="108" t="s">
        <v>164</v>
      </c>
      <c r="AT451" s="699" t="s">
        <v>179</v>
      </c>
      <c r="AU451" s="108" t="s">
        <v>132</v>
      </c>
      <c r="AV451" s="60" t="s">
        <v>165</v>
      </c>
      <c r="AW451" s="699" t="s">
        <v>134</v>
      </c>
      <c r="AX451" s="55"/>
      <c r="AY451" s="136" t="s">
        <v>135</v>
      </c>
    </row>
    <row r="452" ht="20.25" customHeight="1">
      <c r="A452" s="110" t="s">
        <v>106</v>
      </c>
      <c r="B452" s="110" t="s">
        <v>107</v>
      </c>
      <c r="C452" s="110" t="s">
        <v>2196</v>
      </c>
      <c r="D452" s="95"/>
      <c r="E452" s="698" t="s">
        <v>2420</v>
      </c>
      <c r="F452" s="112" t="s">
        <v>2440</v>
      </c>
      <c r="G452" s="127" t="s">
        <v>2197</v>
      </c>
      <c r="H452" s="310">
        <v>45644.0</v>
      </c>
      <c r="I452" s="721"/>
      <c r="J452" s="127" t="s">
        <v>2445</v>
      </c>
      <c r="K452" s="111"/>
      <c r="L452" s="127" t="s">
        <v>2423</v>
      </c>
      <c r="M452" s="127" t="s">
        <v>2424</v>
      </c>
      <c r="N452" s="111"/>
      <c r="O452" s="127" t="str">
        <f t="shared" si="28"/>
        <v>10.1016--j.biopsycho.2018.08.007.pdf</v>
      </c>
      <c r="P452" s="48" t="str">
        <f t="array" ref="P452">HYPERLINK(INDEX('File Links'!B:B, MATCH(O452, 'File Links'!C:C, 0)))
</f>
        <v>https://drive.google.com/file/d/1V8lTfv6HJ8IMLiB5gYCuvj2XX1Nry6fh/view?usp=drivesdk</v>
      </c>
      <c r="Q452" s="606" t="s">
        <v>2446</v>
      </c>
      <c r="R452" s="111"/>
      <c r="S452" s="111"/>
      <c r="T452" s="111"/>
      <c r="U452" s="719" t="s">
        <v>2435</v>
      </c>
      <c r="V452" s="127" t="s">
        <v>2426</v>
      </c>
      <c r="W452" s="45" t="str">
        <f t="array" ref="W452">HYPERLINK(INDEX('File Links'!B:B, MATCH(U452, 'File Links'!C:C, 0)))
</f>
        <v>#N/A</v>
      </c>
      <c r="X452" s="111"/>
      <c r="Y452" s="127" t="s">
        <v>849</v>
      </c>
      <c r="Z452" s="127" t="s">
        <v>2436</v>
      </c>
      <c r="AA452" s="127" t="s">
        <v>2437</v>
      </c>
      <c r="AB452" s="127" t="s">
        <v>2438</v>
      </c>
      <c r="AC452" s="127" t="s">
        <v>2439</v>
      </c>
      <c r="AD452" s="720">
        <v>17.0</v>
      </c>
      <c r="AE452" s="720">
        <v>21.0</v>
      </c>
      <c r="AF452" s="720">
        <v>0.118</v>
      </c>
      <c r="AG452" s="311" t="s">
        <v>130</v>
      </c>
      <c r="AH452" s="112" t="s">
        <v>2416</v>
      </c>
      <c r="AI452" s="117">
        <v>0.031</v>
      </c>
      <c r="AJ452" s="127" t="s">
        <v>164</v>
      </c>
      <c r="AK452" s="112" t="s">
        <v>179</v>
      </c>
      <c r="AL452" s="127" t="s">
        <v>132</v>
      </c>
      <c r="AM452" s="111"/>
      <c r="AN452" s="720">
        <v>68.0</v>
      </c>
      <c r="AO452" s="111"/>
      <c r="AP452" s="111"/>
      <c r="AQ452" s="127" t="s">
        <v>2416</v>
      </c>
      <c r="AR452" s="111"/>
      <c r="AS452" s="111"/>
      <c r="AT452" s="127" t="s">
        <v>179</v>
      </c>
      <c r="AU452" s="127" t="s">
        <v>132</v>
      </c>
      <c r="AV452" s="60" t="s">
        <v>165</v>
      </c>
      <c r="AW452" s="127" t="s">
        <v>134</v>
      </c>
      <c r="AX452" s="60"/>
      <c r="AY452" s="136" t="s">
        <v>135</v>
      </c>
      <c r="AZ452" s="178"/>
      <c r="BA452" s="178"/>
      <c r="BB452" s="178"/>
      <c r="BC452" s="178"/>
      <c r="BD452" s="178"/>
      <c r="BE452" s="178"/>
      <c r="BF452" s="178"/>
      <c r="BG452" s="178"/>
      <c r="BH452" s="178"/>
      <c r="BI452" s="178"/>
      <c r="BJ452" s="178"/>
      <c r="BK452" s="178"/>
      <c r="BL452" s="178"/>
      <c r="BM452" s="178"/>
      <c r="BN452" s="178"/>
      <c r="BO452" s="178"/>
      <c r="BP452" s="178"/>
      <c r="BQ452" s="178"/>
      <c r="BR452" s="178"/>
      <c r="BS452" s="178"/>
      <c r="BT452" s="178"/>
      <c r="BU452" s="178"/>
      <c r="BV452" s="178"/>
      <c r="BW452" s="178"/>
      <c r="BX452" s="178"/>
      <c r="BY452" s="178"/>
      <c r="BZ452" s="178"/>
      <c r="CA452" s="178"/>
      <c r="CB452" s="178"/>
      <c r="CC452" s="178"/>
      <c r="CD452" s="178"/>
      <c r="CE452" s="178"/>
      <c r="CF452" s="178"/>
      <c r="CG452" s="178"/>
      <c r="CH452" s="178"/>
      <c r="CI452" s="178"/>
      <c r="CJ452" s="178"/>
      <c r="CK452" s="178"/>
      <c r="CL452" s="178"/>
      <c r="CM452" s="178"/>
      <c r="CN452" s="178"/>
      <c r="CO452" s="178"/>
      <c r="CP452" s="178"/>
      <c r="CQ452" s="178"/>
      <c r="CR452" s="178"/>
      <c r="CS452" s="178"/>
      <c r="CT452" s="178"/>
      <c r="CU452" s="178"/>
      <c r="CV452" s="178"/>
      <c r="CW452" s="178"/>
      <c r="CX452" s="178"/>
      <c r="CY452" s="178"/>
      <c r="CZ452" s="178"/>
      <c r="DA452" s="178"/>
      <c r="DB452" s="178"/>
      <c r="DC452" s="178"/>
      <c r="DD452" s="178"/>
      <c r="DE452" s="178"/>
      <c r="DF452" s="178"/>
      <c r="DG452" s="178"/>
    </row>
    <row r="453" ht="20.25" customHeight="1">
      <c r="A453" s="136" t="s">
        <v>143</v>
      </c>
      <c r="B453" s="136" t="s">
        <v>107</v>
      </c>
      <c r="C453" s="136" t="s">
        <v>1471</v>
      </c>
      <c r="D453" s="64"/>
      <c r="E453" s="698" t="s">
        <v>2420</v>
      </c>
      <c r="F453" s="99" t="s">
        <v>2447</v>
      </c>
      <c r="G453" s="99" t="s">
        <v>1530</v>
      </c>
      <c r="H453" s="391">
        <v>45489.0</v>
      </c>
      <c r="I453" s="100">
        <v>45641.0</v>
      </c>
      <c r="J453" s="101"/>
      <c r="K453" s="101"/>
      <c r="L453" s="99" t="s">
        <v>2423</v>
      </c>
      <c r="M453" s="612" t="s">
        <v>2424</v>
      </c>
      <c r="N453" s="134">
        <v>1.0</v>
      </c>
      <c r="O453" s="107" t="str">
        <f t="shared" si="28"/>
        <v>10.1016--j.biopsycho.2018.08.007.pdf</v>
      </c>
      <c r="P453" s="48" t="str">
        <f t="array" ref="P453">HYPERLINK(INDEX('File Links'!B:B, MATCH(O453, 'File Links'!C:C, 0)))
</f>
        <v>https://drive.google.com/file/d/1V8lTfv6HJ8IMLiB5gYCuvj2XX1Nry6fh/view?usp=drivesdk</v>
      </c>
      <c r="Q453" s="612" t="s">
        <v>2425</v>
      </c>
      <c r="R453" s="101"/>
      <c r="S453" s="101"/>
      <c r="T453" s="134">
        <v>1.0</v>
      </c>
      <c r="U453" s="99" t="str">
        <f t="shared" ref="U453:U463" si="31"> hyperlink(vlookup(lower(R453),#REF!, 2, FALSE), SUBSTITUTE(lower(R453), "/", "--") &amp;  ".pdf")</f>
        <v>.pdf</v>
      </c>
      <c r="V453" s="99" t="s">
        <v>2426</v>
      </c>
      <c r="W453" s="45" t="str">
        <f t="array" ref="W453">HYPERLINK(INDEX('File Links'!B:B, MATCH(U453, 'File Links'!C:C, 0)))
</f>
        <v>#N/A</v>
      </c>
      <c r="X453" s="101"/>
      <c r="Y453" s="99" t="s">
        <v>2427</v>
      </c>
      <c r="Z453" s="101" t="s">
        <v>2428</v>
      </c>
      <c r="AA453" s="101" t="s">
        <v>2429</v>
      </c>
      <c r="AB453" s="103" t="s">
        <v>2430</v>
      </c>
      <c r="AC453" s="99" t="s">
        <v>2448</v>
      </c>
      <c r="AD453" s="99" t="s">
        <v>2449</v>
      </c>
      <c r="AE453" s="104">
        <v>24.0</v>
      </c>
      <c r="AF453" s="104">
        <v>-0.512</v>
      </c>
      <c r="AG453" s="107" t="s">
        <v>208</v>
      </c>
      <c r="AH453" s="99" t="s">
        <v>1830</v>
      </c>
      <c r="AI453" s="104">
        <v>0.018</v>
      </c>
      <c r="AJ453" s="98" t="s">
        <v>164</v>
      </c>
      <c r="AK453" s="101" t="s">
        <v>179</v>
      </c>
      <c r="AL453" s="99" t="s">
        <v>132</v>
      </c>
      <c r="AM453" s="128" t="s">
        <v>165</v>
      </c>
      <c r="AN453" s="104">
        <v>32.0</v>
      </c>
      <c r="AO453" s="104">
        <v>0.173</v>
      </c>
      <c r="AP453" s="99" t="s">
        <v>208</v>
      </c>
      <c r="AQ453" s="99" t="s">
        <v>2444</v>
      </c>
      <c r="AR453" s="104">
        <v>0.344</v>
      </c>
      <c r="AS453" s="98" t="s">
        <v>164</v>
      </c>
      <c r="AT453" s="108" t="s">
        <v>179</v>
      </c>
      <c r="AU453" s="108" t="s">
        <v>132</v>
      </c>
      <c r="AV453" s="60" t="s">
        <v>165</v>
      </c>
      <c r="AW453" s="699" t="s">
        <v>134</v>
      </c>
      <c r="AX453" s="55"/>
      <c r="AY453" s="136" t="s">
        <v>135</v>
      </c>
      <c r="AZ453" s="178"/>
      <c r="BA453" s="178"/>
      <c r="BB453" s="178"/>
      <c r="BC453" s="178"/>
      <c r="BD453" s="178"/>
      <c r="BE453" s="178"/>
      <c r="BF453" s="178"/>
      <c r="BG453" s="178"/>
      <c r="BH453" s="178"/>
      <c r="BI453" s="178"/>
      <c r="BJ453" s="178"/>
      <c r="BK453" s="178"/>
      <c r="BL453" s="178"/>
      <c r="BM453" s="178"/>
      <c r="BN453" s="178"/>
      <c r="BO453" s="178"/>
      <c r="BP453" s="178"/>
      <c r="BQ453" s="178"/>
      <c r="BR453" s="178"/>
      <c r="BS453" s="178"/>
      <c r="BT453" s="178"/>
      <c r="BU453" s="178"/>
      <c r="BV453" s="178"/>
      <c r="BW453" s="178"/>
      <c r="BX453" s="178"/>
      <c r="BY453" s="178"/>
      <c r="BZ453" s="178"/>
      <c r="CA453" s="178"/>
      <c r="CB453" s="178"/>
      <c r="CC453" s="178"/>
      <c r="CD453" s="178"/>
      <c r="CE453" s="178"/>
      <c r="CF453" s="178"/>
      <c r="CG453" s="178"/>
      <c r="CH453" s="178"/>
      <c r="CI453" s="178"/>
      <c r="CJ453" s="178"/>
      <c r="CK453" s="178"/>
      <c r="CL453" s="178"/>
      <c r="CM453" s="178"/>
      <c r="CN453" s="178"/>
      <c r="CO453" s="178"/>
      <c r="CP453" s="178"/>
      <c r="CQ453" s="178"/>
      <c r="CR453" s="178"/>
      <c r="CS453" s="178"/>
      <c r="CT453" s="178"/>
      <c r="CU453" s="178"/>
      <c r="CV453" s="178"/>
      <c r="CW453" s="178"/>
      <c r="CX453" s="178"/>
      <c r="CY453" s="178"/>
      <c r="CZ453" s="178"/>
      <c r="DA453" s="178"/>
      <c r="DB453" s="178"/>
      <c r="DC453" s="178"/>
      <c r="DD453" s="178"/>
      <c r="DE453" s="178"/>
      <c r="DF453" s="178"/>
      <c r="DG453" s="178"/>
    </row>
    <row r="454" ht="20.25" customHeight="1">
      <c r="A454" s="722" t="s">
        <v>106</v>
      </c>
      <c r="B454" s="722" t="s">
        <v>107</v>
      </c>
      <c r="C454" s="722" t="s">
        <v>1471</v>
      </c>
      <c r="D454" s="647"/>
      <c r="E454" s="723" t="s">
        <v>2450</v>
      </c>
      <c r="F454" s="724" t="s">
        <v>2451</v>
      </c>
      <c r="G454" s="724" t="s">
        <v>1530</v>
      </c>
      <c r="H454" s="725">
        <v>45641.0</v>
      </c>
      <c r="I454" s="726">
        <v>45673.0</v>
      </c>
      <c r="J454" s="724" t="s">
        <v>2452</v>
      </c>
      <c r="K454" s="727" t="s">
        <v>2453</v>
      </c>
      <c r="L454" s="724" t="s">
        <v>2454</v>
      </c>
      <c r="M454" s="724" t="s">
        <v>2455</v>
      </c>
      <c r="N454" s="728"/>
      <c r="O454" s="729" t="str">
        <f t="shared" si="28"/>
        <v>10.1145--3105726.3106182.pdf</v>
      </c>
      <c r="P454" s="48" t="str">
        <f t="array" ref="P454">HYPERLINK(INDEX('File Links'!B:B, MATCH(O454, 'File Links'!C:C, 0)))
</f>
        <v>https://drive.google.com/file/d/1wq7-2vqDvzteuPzlUspBQRdnaX3rmhA1/view?usp=drivesdk</v>
      </c>
      <c r="Q454" s="730" t="s">
        <v>2456</v>
      </c>
      <c r="R454" s="730" t="s">
        <v>2457</v>
      </c>
      <c r="S454" s="728"/>
      <c r="T454" s="731"/>
      <c r="U454" s="724" t="str">
        <f t="shared" si="31"/>
        <v>10.1145--3649217.3653545.pdf</v>
      </c>
      <c r="V454" s="724" t="s">
        <v>2458</v>
      </c>
      <c r="W454" s="50" t="str">
        <f t="array" ref="W454">HYPERLINK(INDEX('File Links'!B:B, MATCH(U454, 'File Links'!C:C, 0)))
</f>
        <v>https://drive.google.com/file/d/1AeJCeDtR27X7LIlQj69LZhU8lw_irjTZ/view?usp=drivesdk</v>
      </c>
      <c r="X454" s="728"/>
      <c r="Y454" s="724" t="s">
        <v>2459</v>
      </c>
      <c r="Z454" s="724" t="s">
        <v>2460</v>
      </c>
      <c r="AA454" s="728" t="s">
        <v>2461</v>
      </c>
      <c r="AB454" s="728" t="s">
        <v>2462</v>
      </c>
      <c r="AC454" s="732" t="s">
        <v>2463</v>
      </c>
      <c r="AD454" s="590">
        <v>6.0</v>
      </c>
      <c r="AE454" s="728"/>
      <c r="AF454" s="590">
        <v>-0.27</v>
      </c>
      <c r="AG454" s="732" t="s">
        <v>208</v>
      </c>
      <c r="AH454" s="724" t="s">
        <v>1062</v>
      </c>
      <c r="AI454" s="728"/>
      <c r="AJ454" s="733"/>
      <c r="AK454" s="724" t="s">
        <v>179</v>
      </c>
      <c r="AL454" s="734" t="s">
        <v>129</v>
      </c>
      <c r="AM454" s="735" t="s">
        <v>165</v>
      </c>
      <c r="AN454" s="728"/>
      <c r="AO454" s="590">
        <v>-0.53</v>
      </c>
      <c r="AP454" s="732" t="s">
        <v>208</v>
      </c>
      <c r="AQ454" s="724" t="s">
        <v>494</v>
      </c>
      <c r="AR454" s="590">
        <v>0.001</v>
      </c>
      <c r="AS454" s="723" t="s">
        <v>127</v>
      </c>
      <c r="AT454" s="723" t="s">
        <v>179</v>
      </c>
      <c r="AU454" s="723" t="s">
        <v>821</v>
      </c>
      <c r="AV454" s="735" t="s">
        <v>165</v>
      </c>
      <c r="AW454" s="723" t="s">
        <v>142</v>
      </c>
      <c r="AX454" s="115"/>
      <c r="AY454" s="136" t="s">
        <v>135</v>
      </c>
      <c r="AZ454" s="178"/>
      <c r="BA454" s="178"/>
      <c r="BB454" s="178"/>
      <c r="BC454" s="178"/>
      <c r="BD454" s="178"/>
      <c r="BE454" s="178"/>
      <c r="BF454" s="178"/>
      <c r="BG454" s="178"/>
      <c r="BH454" s="178"/>
      <c r="BI454" s="178"/>
      <c r="BJ454" s="178"/>
      <c r="BK454" s="178"/>
      <c r="BL454" s="178"/>
      <c r="BM454" s="178"/>
      <c r="BN454" s="178"/>
      <c r="BO454" s="178"/>
      <c r="BP454" s="178"/>
      <c r="BQ454" s="178"/>
      <c r="BR454" s="178"/>
      <c r="BS454" s="178"/>
      <c r="BT454" s="178"/>
      <c r="BU454" s="178"/>
      <c r="BV454" s="178"/>
      <c r="BW454" s="178"/>
      <c r="BX454" s="178"/>
      <c r="BY454" s="178"/>
      <c r="BZ454" s="178"/>
      <c r="CA454" s="178"/>
      <c r="CB454" s="178"/>
      <c r="CC454" s="178"/>
      <c r="CD454" s="178"/>
      <c r="CE454" s="178"/>
      <c r="CF454" s="178"/>
      <c r="CG454" s="178"/>
      <c r="CH454" s="178"/>
      <c r="CI454" s="178"/>
      <c r="CJ454" s="178"/>
      <c r="CK454" s="178"/>
      <c r="CL454" s="178"/>
      <c r="CM454" s="178"/>
      <c r="CN454" s="178"/>
      <c r="CO454" s="178"/>
      <c r="CP454" s="178"/>
      <c r="CQ454" s="178"/>
      <c r="CR454" s="178"/>
      <c r="CS454" s="178"/>
      <c r="CT454" s="178"/>
      <c r="CU454" s="178"/>
      <c r="CV454" s="178"/>
      <c r="CW454" s="178"/>
      <c r="CX454" s="178"/>
      <c r="CY454" s="178"/>
      <c r="CZ454" s="178"/>
      <c r="DA454" s="178"/>
      <c r="DB454" s="178"/>
      <c r="DC454" s="178"/>
      <c r="DD454" s="178"/>
      <c r="DE454" s="178"/>
      <c r="DF454" s="178"/>
      <c r="DG454" s="178"/>
    </row>
    <row r="455" ht="20.25" customHeight="1">
      <c r="A455" s="332" t="s">
        <v>106</v>
      </c>
      <c r="B455" s="332" t="s">
        <v>107</v>
      </c>
      <c r="C455" s="332" t="s">
        <v>2196</v>
      </c>
      <c r="D455" s="333"/>
      <c r="E455" s="734" t="s">
        <v>2450</v>
      </c>
      <c r="F455" s="736" t="s">
        <v>2451</v>
      </c>
      <c r="G455" s="734" t="s">
        <v>2197</v>
      </c>
      <c r="H455" s="737">
        <v>45662.0</v>
      </c>
      <c r="I455" s="726">
        <v>45673.0</v>
      </c>
      <c r="J455" s="738"/>
      <c r="K455" s="727" t="s">
        <v>2453</v>
      </c>
      <c r="L455" s="734" t="s">
        <v>2454</v>
      </c>
      <c r="M455" s="734" t="s">
        <v>2455</v>
      </c>
      <c r="N455" s="738"/>
      <c r="O455" s="734" t="str">
        <f t="shared" si="28"/>
        <v>10.1145--3105726.3106182.pdf</v>
      </c>
      <c r="P455" s="48" t="str">
        <f t="array" ref="P455">HYPERLINK(INDEX('File Links'!B:B, MATCH(O455, 'File Links'!C:C, 0)))
</f>
        <v>https://drive.google.com/file/d/1wq7-2vqDvzteuPzlUspBQRdnaX3rmhA1/view?usp=drivesdk</v>
      </c>
      <c r="Q455" s="734" t="s">
        <v>2464</v>
      </c>
      <c r="R455" s="734" t="s">
        <v>2457</v>
      </c>
      <c r="S455" s="738"/>
      <c r="T455" s="738"/>
      <c r="U455" s="734" t="str">
        <f t="shared" si="31"/>
        <v>10.1145--3649217.3653545.pdf</v>
      </c>
      <c r="V455" s="734" t="s">
        <v>2465</v>
      </c>
      <c r="W455" s="50" t="str">
        <f t="array" ref="W455">HYPERLINK(INDEX('File Links'!B:B, MATCH(U455, 'File Links'!C:C, 0)))
</f>
        <v>https://drive.google.com/file/d/1AeJCeDtR27X7LIlQj69LZhU8lw_irjTZ/view?usp=drivesdk</v>
      </c>
      <c r="X455" s="738"/>
      <c r="Y455" s="734" t="s">
        <v>235</v>
      </c>
      <c r="Z455" s="734" t="s">
        <v>2466</v>
      </c>
      <c r="AA455" s="734" t="s">
        <v>2467</v>
      </c>
      <c r="AB455" s="734" t="s">
        <v>2468</v>
      </c>
      <c r="AC455" s="734" t="s">
        <v>2469</v>
      </c>
      <c r="AD455" s="739">
        <v>5.0</v>
      </c>
      <c r="AE455" s="694">
        <v>3691.0</v>
      </c>
      <c r="AF455" s="738"/>
      <c r="AG455" s="740"/>
      <c r="AH455" s="741"/>
      <c r="AI455" s="741"/>
      <c r="AJ455" s="738"/>
      <c r="AK455" s="741"/>
      <c r="AL455" s="738"/>
      <c r="AM455" s="727" t="s">
        <v>165</v>
      </c>
      <c r="AN455" s="739">
        <v>1270.0</v>
      </c>
      <c r="AO455" s="738"/>
      <c r="AP455" s="738"/>
      <c r="AQ455" s="738"/>
      <c r="AR455" s="738"/>
      <c r="AS455" s="738"/>
      <c r="AT455" s="738"/>
      <c r="AU455" s="738"/>
      <c r="AV455" s="727" t="s">
        <v>165</v>
      </c>
      <c r="AW455" s="734" t="s">
        <v>134</v>
      </c>
      <c r="AX455" s="115"/>
      <c r="AY455" s="136" t="s">
        <v>135</v>
      </c>
      <c r="AZ455" s="178"/>
      <c r="BA455" s="178"/>
      <c r="BB455" s="178"/>
      <c r="BC455" s="178"/>
      <c r="BD455" s="178"/>
      <c r="BE455" s="178"/>
      <c r="BF455" s="178"/>
      <c r="BG455" s="178"/>
      <c r="BH455" s="178"/>
      <c r="BI455" s="178"/>
      <c r="BJ455" s="178"/>
      <c r="BK455" s="178"/>
      <c r="BL455" s="178"/>
      <c r="BM455" s="178"/>
      <c r="BN455" s="178"/>
      <c r="BO455" s="178"/>
      <c r="BP455" s="178"/>
      <c r="BQ455" s="178"/>
      <c r="BR455" s="178"/>
      <c r="BS455" s="178"/>
      <c r="BT455" s="178"/>
      <c r="BU455" s="178"/>
      <c r="BV455" s="178"/>
      <c r="BW455" s="178"/>
      <c r="BX455" s="178"/>
      <c r="BY455" s="178"/>
      <c r="BZ455" s="178"/>
      <c r="CA455" s="178"/>
      <c r="CB455" s="178"/>
      <c r="CC455" s="178"/>
      <c r="CD455" s="178"/>
      <c r="CE455" s="178"/>
      <c r="CF455" s="178"/>
      <c r="CG455" s="178"/>
      <c r="CH455" s="178"/>
      <c r="CI455" s="178"/>
      <c r="CJ455" s="178"/>
      <c r="CK455" s="178"/>
      <c r="CL455" s="178"/>
      <c r="CM455" s="178"/>
      <c r="CN455" s="178"/>
      <c r="CO455" s="178"/>
      <c r="CP455" s="178"/>
      <c r="CQ455" s="178"/>
      <c r="CR455" s="178"/>
      <c r="CS455" s="178"/>
      <c r="CT455" s="178"/>
      <c r="CU455" s="178"/>
      <c r="CV455" s="178"/>
      <c r="CW455" s="178"/>
      <c r="CX455" s="178"/>
      <c r="CY455" s="178"/>
      <c r="CZ455" s="178"/>
      <c r="DA455" s="178"/>
      <c r="DB455" s="178"/>
      <c r="DC455" s="178"/>
      <c r="DD455" s="178"/>
      <c r="DE455" s="178"/>
      <c r="DF455" s="178"/>
      <c r="DG455" s="178"/>
    </row>
    <row r="456" ht="20.25" customHeight="1">
      <c r="A456" s="41" t="s">
        <v>279</v>
      </c>
      <c r="B456" s="41" t="s">
        <v>107</v>
      </c>
      <c r="C456" s="41" t="s">
        <v>1471</v>
      </c>
      <c r="E456" s="115" t="s">
        <v>2450</v>
      </c>
      <c r="F456" s="115" t="s">
        <v>2451</v>
      </c>
      <c r="G456" s="55"/>
      <c r="H456" s="140">
        <v>45489.0</v>
      </c>
      <c r="I456" s="742">
        <v>45641.0</v>
      </c>
      <c r="J456" s="52" t="s">
        <v>2452</v>
      </c>
      <c r="K456" s="55"/>
      <c r="L456" s="52" t="s">
        <v>2470</v>
      </c>
      <c r="M456" s="52" t="s">
        <v>2455</v>
      </c>
      <c r="N456" s="55"/>
      <c r="O456" s="330" t="str">
        <f t="shared" si="28"/>
        <v>10.1145--3105726.3106182.pdf</v>
      </c>
      <c r="P456" s="48" t="str">
        <f t="array" ref="P456">HYPERLINK(INDEX('File Links'!B:B, MATCH(O456, 'File Links'!C:C, 0)))
</f>
        <v>https://drive.google.com/file/d/1wq7-2vqDvzteuPzlUspBQRdnaX3rmhA1/view?usp=drivesdk</v>
      </c>
      <c r="Q456" s="52" t="s">
        <v>2471</v>
      </c>
      <c r="R456" s="52" t="s">
        <v>2457</v>
      </c>
      <c r="S456" s="55"/>
      <c r="T456" s="329"/>
      <c r="U456" s="52" t="str">
        <f t="shared" si="31"/>
        <v>10.1145--3649217.3653545.pdf</v>
      </c>
      <c r="V456" s="52" t="s">
        <v>2458</v>
      </c>
      <c r="W456" s="50" t="str">
        <f t="array" ref="W456">HYPERLINK(INDEX('File Links'!B:B, MATCH(U456, 'File Links'!C:C, 0)))
</f>
        <v>https://drive.google.com/file/d/1AeJCeDtR27X7LIlQj69LZhU8lw_irjTZ/view?usp=drivesdk</v>
      </c>
      <c r="X456" s="55"/>
      <c r="Y456" s="52" t="s">
        <v>2459</v>
      </c>
      <c r="Z456" s="52" t="s">
        <v>2460</v>
      </c>
      <c r="AA456" s="55" t="s">
        <v>2461</v>
      </c>
      <c r="AB456" s="55" t="s">
        <v>2462</v>
      </c>
      <c r="AC456" s="55" t="s">
        <v>2472</v>
      </c>
      <c r="AD456" s="355">
        <v>6.0</v>
      </c>
      <c r="AE456" s="55"/>
      <c r="AF456" s="52" t="s">
        <v>2473</v>
      </c>
      <c r="AG456" s="330" t="s">
        <v>162</v>
      </c>
      <c r="AH456" s="52" t="s">
        <v>1062</v>
      </c>
      <c r="AI456" s="355">
        <v>1.0E-4</v>
      </c>
      <c r="AJ456" s="60" t="s">
        <v>127</v>
      </c>
      <c r="AK456" s="52" t="s">
        <v>179</v>
      </c>
      <c r="AL456" s="52" t="s">
        <v>821</v>
      </c>
      <c r="AM456" s="55"/>
      <c r="AN456" s="55"/>
      <c r="AO456" s="55" t="s">
        <v>2474</v>
      </c>
      <c r="AP456" s="52" t="s">
        <v>162</v>
      </c>
      <c r="AQ456" s="52" t="s">
        <v>894</v>
      </c>
      <c r="AR456" s="355">
        <v>0.001</v>
      </c>
      <c r="AS456" s="147" t="s">
        <v>127</v>
      </c>
      <c r="AT456" s="147" t="s">
        <v>211</v>
      </c>
      <c r="AU456" s="147" t="s">
        <v>821</v>
      </c>
      <c r="AV456" s="60"/>
      <c r="AW456" s="147" t="s">
        <v>2475</v>
      </c>
      <c r="AZ456" s="680"/>
      <c r="BA456" s="680"/>
      <c r="BB456" s="680"/>
      <c r="BC456" s="680"/>
      <c r="BD456" s="680"/>
      <c r="BE456" s="680"/>
      <c r="BF456" s="680"/>
      <c r="BG456" s="680"/>
      <c r="BH456" s="680"/>
      <c r="BI456" s="680"/>
      <c r="BJ456" s="680"/>
      <c r="BK456" s="680"/>
      <c r="BL456" s="680"/>
      <c r="BM456" s="680"/>
      <c r="BN456" s="680"/>
      <c r="BO456" s="680"/>
      <c r="BP456" s="680"/>
      <c r="BQ456" s="680"/>
      <c r="BR456" s="680"/>
      <c r="BS456" s="680"/>
      <c r="BT456" s="680"/>
      <c r="BU456" s="680"/>
      <c r="BV456" s="680"/>
      <c r="BW456" s="680"/>
      <c r="BX456" s="680"/>
      <c r="BY456" s="680"/>
      <c r="BZ456" s="680"/>
      <c r="CA456" s="680"/>
      <c r="CB456" s="680"/>
      <c r="CC456" s="680"/>
      <c r="CD456" s="680"/>
      <c r="CE456" s="680"/>
      <c r="CF456" s="680"/>
      <c r="CG456" s="680"/>
      <c r="CH456" s="680"/>
      <c r="CI456" s="680"/>
      <c r="CJ456" s="680"/>
      <c r="CK456" s="680"/>
      <c r="CL456" s="680"/>
      <c r="CM456" s="680"/>
      <c r="CN456" s="680"/>
      <c r="CO456" s="680"/>
      <c r="CP456" s="680"/>
      <c r="CQ456" s="680"/>
      <c r="CR456" s="680"/>
      <c r="CS456" s="680"/>
      <c r="CT456" s="680"/>
      <c r="CU456" s="680"/>
      <c r="CV456" s="680"/>
      <c r="CW456" s="680"/>
      <c r="CX456" s="680"/>
      <c r="CY456" s="680"/>
      <c r="CZ456" s="680"/>
      <c r="DA456" s="680"/>
      <c r="DB456" s="680"/>
      <c r="DC456" s="680"/>
      <c r="DD456" s="680"/>
      <c r="DE456" s="680"/>
      <c r="DF456" s="680"/>
      <c r="DG456" s="680"/>
    </row>
    <row r="457" ht="20.25" customHeight="1">
      <c r="A457" s="332" t="s">
        <v>106</v>
      </c>
      <c r="B457" s="332" t="s">
        <v>107</v>
      </c>
      <c r="C457" s="332" t="s">
        <v>2196</v>
      </c>
      <c r="D457" s="333"/>
      <c r="E457" s="115" t="s">
        <v>2450</v>
      </c>
      <c r="F457" s="736" t="s">
        <v>2476</v>
      </c>
      <c r="G457" s="734" t="s">
        <v>2197</v>
      </c>
      <c r="H457" s="737">
        <v>45662.0</v>
      </c>
      <c r="I457" s="726">
        <v>45673.0</v>
      </c>
      <c r="J457" s="734" t="s">
        <v>2477</v>
      </c>
      <c r="K457" s="727" t="s">
        <v>2453</v>
      </c>
      <c r="L457" s="734" t="s">
        <v>2454</v>
      </c>
      <c r="M457" s="734" t="s">
        <v>2455</v>
      </c>
      <c r="N457" s="738"/>
      <c r="O457" s="734" t="str">
        <f t="shared" si="28"/>
        <v>10.1145--3105726.3106182.pdf</v>
      </c>
      <c r="P457" s="48" t="str">
        <f t="array" ref="P457">HYPERLINK(INDEX('File Links'!B:B, MATCH(O457, 'File Links'!C:C, 0)))
</f>
        <v>https://drive.google.com/file/d/1wq7-2vqDvzteuPzlUspBQRdnaX3rmhA1/view?usp=drivesdk</v>
      </c>
      <c r="Q457" s="734" t="s">
        <v>2464</v>
      </c>
      <c r="R457" s="734" t="s">
        <v>2457</v>
      </c>
      <c r="S457" s="738"/>
      <c r="T457" s="738"/>
      <c r="U457" s="734" t="str">
        <f t="shared" si="31"/>
        <v>10.1145--3649217.3653545.pdf</v>
      </c>
      <c r="V457" s="734" t="s">
        <v>2465</v>
      </c>
      <c r="W457" s="50" t="str">
        <f t="array" ref="W457">HYPERLINK(INDEX('File Links'!B:B, MATCH(U457, 'File Links'!C:C, 0)))
</f>
        <v>https://drive.google.com/file/d/1AeJCeDtR27X7LIlQj69LZhU8lw_irjTZ/view?usp=drivesdk</v>
      </c>
      <c r="X457" s="738"/>
      <c r="Y457" s="734" t="s">
        <v>235</v>
      </c>
      <c r="Z457" s="734" t="s">
        <v>2466</v>
      </c>
      <c r="AA457" s="734" t="s">
        <v>2467</v>
      </c>
      <c r="AB457" s="734" t="s">
        <v>2478</v>
      </c>
      <c r="AC457" s="334" t="s">
        <v>2479</v>
      </c>
      <c r="AD457" s="739">
        <v>5.0</v>
      </c>
      <c r="AE457" s="694">
        <v>3691.0</v>
      </c>
      <c r="AF457" s="743" t="s">
        <v>2480</v>
      </c>
      <c r="AG457" s="334" t="s">
        <v>162</v>
      </c>
      <c r="AH457" s="736" t="s">
        <v>892</v>
      </c>
      <c r="AI457" s="744">
        <v>1.0E-4</v>
      </c>
      <c r="AJ457" s="734" t="s">
        <v>127</v>
      </c>
      <c r="AK457" s="736" t="s">
        <v>179</v>
      </c>
      <c r="AL457" s="734" t="s">
        <v>132</v>
      </c>
      <c r="AM457" s="727" t="s">
        <v>165</v>
      </c>
      <c r="AN457" s="739">
        <v>1270.0</v>
      </c>
      <c r="AO457" s="738"/>
      <c r="AP457" s="738"/>
      <c r="AQ457" s="734" t="s">
        <v>210</v>
      </c>
      <c r="AR457" s="738"/>
      <c r="AS457" s="738"/>
      <c r="AT457" s="738"/>
      <c r="AU457" s="738"/>
      <c r="AV457" s="727" t="s">
        <v>165</v>
      </c>
      <c r="AW457" s="734" t="s">
        <v>142</v>
      </c>
      <c r="AX457" s="115"/>
      <c r="AY457" s="136" t="s">
        <v>135</v>
      </c>
      <c r="AZ457" s="152"/>
      <c r="BA457" s="152"/>
      <c r="BB457" s="152"/>
      <c r="BC457" s="152"/>
      <c r="BD457" s="152"/>
      <c r="BE457" s="152"/>
      <c r="BF457" s="152"/>
      <c r="BG457" s="152"/>
      <c r="BH457" s="152"/>
      <c r="BI457" s="152"/>
      <c r="BJ457" s="152"/>
      <c r="BK457" s="152"/>
      <c r="BL457" s="152"/>
      <c r="BM457" s="152"/>
      <c r="BN457" s="152"/>
      <c r="BO457" s="152"/>
      <c r="BP457" s="152"/>
      <c r="BQ457" s="152"/>
      <c r="BR457" s="152"/>
      <c r="BS457" s="152"/>
      <c r="BT457" s="152"/>
      <c r="BU457" s="152"/>
      <c r="BV457" s="152"/>
      <c r="BW457" s="152"/>
      <c r="BX457" s="152"/>
      <c r="BY457" s="152"/>
      <c r="BZ457" s="152"/>
      <c r="CA457" s="152"/>
      <c r="CB457" s="152"/>
      <c r="CC457" s="152"/>
      <c r="CD457" s="152"/>
      <c r="CE457" s="152"/>
      <c r="CF457" s="152"/>
      <c r="CG457" s="152"/>
      <c r="CH457" s="152"/>
      <c r="CI457" s="152"/>
      <c r="CJ457" s="152"/>
      <c r="CK457" s="152"/>
      <c r="CL457" s="152"/>
      <c r="CM457" s="152"/>
      <c r="CN457" s="152"/>
      <c r="CO457" s="152"/>
      <c r="CP457" s="152"/>
      <c r="CQ457" s="152"/>
      <c r="CR457" s="152"/>
      <c r="CS457" s="152"/>
      <c r="CT457" s="152"/>
      <c r="CU457" s="152"/>
      <c r="CV457" s="152"/>
      <c r="CW457" s="152"/>
      <c r="CX457" s="152"/>
      <c r="CY457" s="152"/>
      <c r="CZ457" s="152"/>
      <c r="DA457" s="152"/>
      <c r="DB457" s="152"/>
      <c r="DC457" s="152"/>
      <c r="DD457" s="152"/>
      <c r="DE457" s="152"/>
      <c r="DF457" s="152"/>
      <c r="DG457" s="152"/>
    </row>
    <row r="458" ht="20.25" customHeight="1">
      <c r="A458" s="332" t="s">
        <v>143</v>
      </c>
      <c r="B458" s="332" t="s">
        <v>107</v>
      </c>
      <c r="C458" s="332" t="s">
        <v>2196</v>
      </c>
      <c r="D458" s="333"/>
      <c r="E458" s="115" t="s">
        <v>2450</v>
      </c>
      <c r="F458" s="736" t="s">
        <v>2481</v>
      </c>
      <c r="G458" s="734" t="s">
        <v>2197</v>
      </c>
      <c r="H458" s="737">
        <v>45662.0</v>
      </c>
      <c r="I458" s="726">
        <v>45673.0</v>
      </c>
      <c r="J458" s="734" t="s">
        <v>2482</v>
      </c>
      <c r="K458" s="738"/>
      <c r="L458" s="734" t="s">
        <v>2454</v>
      </c>
      <c r="M458" s="734" t="s">
        <v>2455</v>
      </c>
      <c r="N458" s="727">
        <v>1.0</v>
      </c>
      <c r="O458" s="734" t="str">
        <f t="shared" si="28"/>
        <v>10.1145--3105726.3106182.pdf</v>
      </c>
      <c r="P458" s="48" t="str">
        <f t="array" ref="P458">HYPERLINK(INDEX('File Links'!B:B, MATCH(O458, 'File Links'!C:C, 0)))
</f>
        <v>https://drive.google.com/file/d/1wq7-2vqDvzteuPzlUspBQRdnaX3rmhA1/view?usp=drivesdk</v>
      </c>
      <c r="Q458" s="734" t="s">
        <v>2464</v>
      </c>
      <c r="R458" s="734" t="s">
        <v>2457</v>
      </c>
      <c r="S458" s="738"/>
      <c r="T458" s="727">
        <v>1.0</v>
      </c>
      <c r="U458" s="734" t="str">
        <f t="shared" si="31"/>
        <v>10.1145--3649217.3653545.pdf</v>
      </c>
      <c r="V458" s="734" t="s">
        <v>2465</v>
      </c>
      <c r="W458" s="50" t="str">
        <f t="array" ref="W458">HYPERLINK(INDEX('File Links'!B:B, MATCH(U458, 'File Links'!C:C, 0)))
</f>
        <v>https://drive.google.com/file/d/1AeJCeDtR27X7LIlQj69LZhU8lw_irjTZ/view?usp=drivesdk</v>
      </c>
      <c r="X458" s="738"/>
      <c r="Y458" s="734" t="s">
        <v>235</v>
      </c>
      <c r="Z458" s="734" t="s">
        <v>2466</v>
      </c>
      <c r="AA458" s="734" t="s">
        <v>2467</v>
      </c>
      <c r="AB458" s="734" t="s">
        <v>2483</v>
      </c>
      <c r="AC458" s="734" t="s">
        <v>2484</v>
      </c>
      <c r="AD458" s="739">
        <v>6.0</v>
      </c>
      <c r="AE458" s="694">
        <v>3691.0</v>
      </c>
      <c r="AF458" s="739">
        <v>-0.27</v>
      </c>
      <c r="AG458" s="740" t="s">
        <v>208</v>
      </c>
      <c r="AH458" s="736" t="s">
        <v>131</v>
      </c>
      <c r="AI458" s="741"/>
      <c r="AJ458" s="350" t="s">
        <v>165</v>
      </c>
      <c r="AK458" s="736" t="s">
        <v>179</v>
      </c>
      <c r="AL458" s="734" t="s">
        <v>129</v>
      </c>
      <c r="AM458" s="727" t="s">
        <v>165</v>
      </c>
      <c r="AN458" s="739">
        <v>1270.0</v>
      </c>
      <c r="AO458" s="739">
        <v>-0.53</v>
      </c>
      <c r="AP458" s="734" t="s">
        <v>208</v>
      </c>
      <c r="AQ458" s="734" t="s">
        <v>861</v>
      </c>
      <c r="AR458" s="739">
        <v>0.001</v>
      </c>
      <c r="AS458" s="734" t="s">
        <v>127</v>
      </c>
      <c r="AT458" s="734" t="s">
        <v>179</v>
      </c>
      <c r="AU458" s="734" t="s">
        <v>129</v>
      </c>
      <c r="AV458" s="727" t="s">
        <v>165</v>
      </c>
      <c r="AW458" s="734" t="s">
        <v>134</v>
      </c>
      <c r="AX458" s="60"/>
      <c r="AY458" s="136" t="s">
        <v>135</v>
      </c>
      <c r="AZ458" s="680"/>
      <c r="BA458" s="680"/>
      <c r="BB458" s="680"/>
      <c r="BC458" s="680"/>
      <c r="BD458" s="680"/>
      <c r="BE458" s="680"/>
      <c r="BF458" s="680"/>
      <c r="BG458" s="680"/>
      <c r="BH458" s="680"/>
      <c r="BI458" s="680"/>
      <c r="BJ458" s="680"/>
      <c r="BK458" s="680"/>
      <c r="BL458" s="680"/>
      <c r="BM458" s="680"/>
      <c r="BN458" s="680"/>
      <c r="BO458" s="680"/>
      <c r="BP458" s="680"/>
      <c r="BQ458" s="680"/>
      <c r="BR458" s="680"/>
      <c r="BS458" s="680"/>
      <c r="BT458" s="680"/>
      <c r="BU458" s="680"/>
      <c r="BV458" s="680"/>
      <c r="BW458" s="680"/>
      <c r="BX458" s="680"/>
      <c r="BY458" s="680"/>
      <c r="BZ458" s="680"/>
      <c r="CA458" s="680"/>
      <c r="CB458" s="680"/>
      <c r="CC458" s="680"/>
      <c r="CD458" s="680"/>
      <c r="CE458" s="680"/>
      <c r="CF458" s="680"/>
      <c r="CG458" s="680"/>
      <c r="CH458" s="680"/>
      <c r="CI458" s="680"/>
      <c r="CJ458" s="680"/>
      <c r="CK458" s="680"/>
      <c r="CL458" s="680"/>
      <c r="CM458" s="680"/>
      <c r="CN458" s="680"/>
      <c r="CO458" s="680"/>
      <c r="CP458" s="680"/>
      <c r="CQ458" s="680"/>
      <c r="CR458" s="680"/>
      <c r="CS458" s="680"/>
      <c r="CT458" s="680"/>
      <c r="CU458" s="680"/>
      <c r="CV458" s="680"/>
      <c r="CW458" s="680"/>
      <c r="CX458" s="680"/>
      <c r="CY458" s="680"/>
      <c r="CZ458" s="680"/>
      <c r="DA458" s="680"/>
      <c r="DB458" s="680"/>
      <c r="DC458" s="680"/>
      <c r="DD458" s="680"/>
      <c r="DE458" s="680"/>
      <c r="DF458" s="680"/>
      <c r="DG458" s="680"/>
    </row>
    <row r="459" ht="20.25" customHeight="1">
      <c r="A459" s="332" t="s">
        <v>143</v>
      </c>
      <c r="B459" s="332" t="s">
        <v>107</v>
      </c>
      <c r="C459" s="332" t="s">
        <v>2196</v>
      </c>
      <c r="D459" s="333"/>
      <c r="E459" s="115" t="s">
        <v>2450</v>
      </c>
      <c r="F459" s="736" t="s">
        <v>2485</v>
      </c>
      <c r="G459" s="734" t="s">
        <v>2197</v>
      </c>
      <c r="H459" s="737">
        <v>45662.0</v>
      </c>
      <c r="I459" s="726">
        <v>45673.0</v>
      </c>
      <c r="J459" s="734" t="s">
        <v>2486</v>
      </c>
      <c r="K459" s="202" t="s">
        <v>2487</v>
      </c>
      <c r="L459" s="734" t="s">
        <v>2454</v>
      </c>
      <c r="M459" s="734" t="s">
        <v>2455</v>
      </c>
      <c r="N459" s="727">
        <v>1.0</v>
      </c>
      <c r="O459" s="734" t="str">
        <f t="shared" si="28"/>
        <v>10.1145--3105726.3106182.pdf</v>
      </c>
      <c r="P459" s="48" t="str">
        <f t="array" ref="P459">HYPERLINK(INDEX('File Links'!B:B, MATCH(O459, 'File Links'!C:C, 0)))
</f>
        <v>https://drive.google.com/file/d/1wq7-2vqDvzteuPzlUspBQRdnaX3rmhA1/view?usp=drivesdk</v>
      </c>
      <c r="Q459" s="734" t="s">
        <v>2464</v>
      </c>
      <c r="R459" s="734" t="s">
        <v>2457</v>
      </c>
      <c r="S459" s="738"/>
      <c r="T459" s="727">
        <v>1.0</v>
      </c>
      <c r="U459" s="734" t="str">
        <f t="shared" si="31"/>
        <v>10.1145--3649217.3653545.pdf</v>
      </c>
      <c r="V459" s="734" t="s">
        <v>2465</v>
      </c>
      <c r="W459" s="50" t="str">
        <f t="array" ref="W459">HYPERLINK(INDEX('File Links'!B:B, MATCH(U459, 'File Links'!C:C, 0)))
</f>
        <v>https://drive.google.com/file/d/1AeJCeDtR27X7LIlQj69LZhU8lw_irjTZ/view?usp=drivesdk</v>
      </c>
      <c r="X459" s="738"/>
      <c r="Y459" s="734" t="s">
        <v>235</v>
      </c>
      <c r="Z459" s="734" t="s">
        <v>2466</v>
      </c>
      <c r="AA459" s="734" t="s">
        <v>2467</v>
      </c>
      <c r="AB459" s="734" t="s">
        <v>2488</v>
      </c>
      <c r="AC459" s="734" t="s">
        <v>2489</v>
      </c>
      <c r="AD459" s="739">
        <v>6.0</v>
      </c>
      <c r="AE459" s="694">
        <v>3691.0</v>
      </c>
      <c r="AF459" s="743" t="s">
        <v>2490</v>
      </c>
      <c r="AG459" s="334" t="s">
        <v>162</v>
      </c>
      <c r="AH459" s="736" t="s">
        <v>131</v>
      </c>
      <c r="AI459" s="744">
        <v>1.0E-4</v>
      </c>
      <c r="AJ459" s="734" t="s">
        <v>127</v>
      </c>
      <c r="AK459" s="736" t="s">
        <v>179</v>
      </c>
      <c r="AL459" s="734" t="s">
        <v>129</v>
      </c>
      <c r="AM459" s="727" t="s">
        <v>165</v>
      </c>
      <c r="AN459" s="739">
        <v>1270.0</v>
      </c>
      <c r="AO459" s="739">
        <v>-0.54</v>
      </c>
      <c r="AP459" s="734" t="s">
        <v>208</v>
      </c>
      <c r="AQ459" s="734" t="s">
        <v>861</v>
      </c>
      <c r="AR459" s="739">
        <v>0.001</v>
      </c>
      <c r="AS459" s="734" t="s">
        <v>127</v>
      </c>
      <c r="AT459" s="734" t="s">
        <v>179</v>
      </c>
      <c r="AU459" s="734" t="s">
        <v>129</v>
      </c>
      <c r="AV459" s="727" t="s">
        <v>165</v>
      </c>
      <c r="AW459" s="734" t="s">
        <v>142</v>
      </c>
      <c r="AX459" s="115" t="s">
        <v>2487</v>
      </c>
      <c r="AY459" s="136" t="s">
        <v>135</v>
      </c>
      <c r="AZ459" s="152"/>
      <c r="BA459" s="152"/>
      <c r="BB459" s="152"/>
      <c r="BC459" s="152"/>
      <c r="BD459" s="152"/>
      <c r="BE459" s="152"/>
      <c r="BF459" s="152"/>
      <c r="BG459" s="152"/>
      <c r="BH459" s="152"/>
      <c r="BI459" s="152"/>
      <c r="BJ459" s="152"/>
      <c r="BK459" s="152"/>
      <c r="BL459" s="152"/>
      <c r="BM459" s="152"/>
      <c r="BN459" s="152"/>
      <c r="BO459" s="152"/>
      <c r="BP459" s="152"/>
      <c r="BQ459" s="152"/>
      <c r="BR459" s="152"/>
      <c r="BS459" s="152"/>
      <c r="BT459" s="152"/>
      <c r="BU459" s="152"/>
      <c r="BV459" s="152"/>
      <c r="BW459" s="152"/>
      <c r="BX459" s="152"/>
      <c r="BY459" s="152"/>
      <c r="BZ459" s="152"/>
      <c r="CA459" s="152"/>
      <c r="CB459" s="152"/>
      <c r="CC459" s="152"/>
      <c r="CD459" s="152"/>
      <c r="CE459" s="152"/>
      <c r="CF459" s="152"/>
      <c r="CG459" s="152"/>
      <c r="CH459" s="152"/>
      <c r="CI459" s="152"/>
      <c r="CJ459" s="152"/>
      <c r="CK459" s="152"/>
      <c r="CL459" s="152"/>
      <c r="CM459" s="152"/>
      <c r="CN459" s="152"/>
      <c r="CO459" s="152"/>
      <c r="CP459" s="152"/>
      <c r="CQ459" s="152"/>
      <c r="CR459" s="152"/>
      <c r="CS459" s="152"/>
      <c r="CT459" s="152"/>
      <c r="CU459" s="152"/>
      <c r="CV459" s="152"/>
      <c r="CW459" s="152"/>
      <c r="CX459" s="152"/>
      <c r="CY459" s="152"/>
      <c r="CZ459" s="152"/>
      <c r="DA459" s="152"/>
      <c r="DB459" s="152"/>
      <c r="DC459" s="152"/>
      <c r="DD459" s="152"/>
      <c r="DE459" s="152"/>
      <c r="DF459" s="152"/>
      <c r="DG459" s="152"/>
    </row>
    <row r="460" ht="20.25" customHeight="1">
      <c r="A460" s="177" t="s">
        <v>106</v>
      </c>
      <c r="B460" s="177" t="s">
        <v>107</v>
      </c>
      <c r="C460" s="177" t="s">
        <v>1471</v>
      </c>
      <c r="D460" s="178"/>
      <c r="E460" s="188" t="s">
        <v>2491</v>
      </c>
      <c r="F460" s="180" t="s">
        <v>2492</v>
      </c>
      <c r="G460" s="180" t="s">
        <v>1530</v>
      </c>
      <c r="H460" s="181">
        <v>45489.0</v>
      </c>
      <c r="I460" s="745">
        <v>45641.0</v>
      </c>
      <c r="J460" s="526" t="s">
        <v>2493</v>
      </c>
      <c r="K460" s="183"/>
      <c r="L460" s="180" t="s">
        <v>2494</v>
      </c>
      <c r="M460" s="180" t="s">
        <v>2495</v>
      </c>
      <c r="N460" s="183"/>
      <c r="O460" s="184" t="str">
        <f t="shared" si="28"/>
        <v>10.1109--tse.2016.2527791.pdf</v>
      </c>
      <c r="P460" s="48" t="str">
        <f t="array" ref="P460">HYPERLINK(INDEX('File Links'!B:B, MATCH(O460, 'File Links'!C:C, 0)))
</f>
        <v>https://drive.google.com/file/d/1NP74FAQ4UheeZ68AMDXl3P1f72HLwpaT/view?usp=drivesdk</v>
      </c>
      <c r="Q460" s="351" t="s">
        <v>2496</v>
      </c>
      <c r="R460" s="508" t="s">
        <v>2497</v>
      </c>
      <c r="S460" s="183"/>
      <c r="T460" s="185"/>
      <c r="U460" s="180" t="str">
        <f t="shared" si="31"/>
        <v>10.1109--iccq60895.2024.10576941.pdf</v>
      </c>
      <c r="V460" s="183"/>
      <c r="W460" s="50" t="str">
        <f t="array" ref="W460">HYPERLINK(INDEX('File Links'!B:B, MATCH(U460, 'File Links'!C:C, 0)))
</f>
        <v>https://drive.google.com/file/d/1ljVoDtYBz0iPIIVFLmoGyAGWDfVCncq9/view?usp=drivesdk</v>
      </c>
      <c r="X460" s="183"/>
      <c r="Y460" s="183"/>
      <c r="Z460" s="183"/>
      <c r="AA460" s="183"/>
      <c r="AB460" s="183"/>
      <c r="AC460" s="183"/>
      <c r="AD460" s="183"/>
      <c r="AE460" s="183"/>
      <c r="AF460" s="183"/>
      <c r="AG460" s="185"/>
      <c r="AH460" s="183"/>
      <c r="AI460" s="183"/>
      <c r="AJ460" s="179"/>
      <c r="AK460" s="183"/>
      <c r="AL460" s="183"/>
      <c r="AM460" s="183"/>
      <c r="AN460" s="183"/>
      <c r="AO460" s="183"/>
      <c r="AP460" s="183"/>
      <c r="AQ460" s="183"/>
      <c r="AR460" s="183"/>
      <c r="AS460" s="179"/>
      <c r="AT460" s="179"/>
      <c r="AU460" s="179"/>
      <c r="AV460" s="179"/>
      <c r="AW460" s="179"/>
      <c r="AX460" s="183"/>
      <c r="AY460" s="177" t="s">
        <v>135</v>
      </c>
      <c r="AZ460" s="680"/>
      <c r="BA460" s="680"/>
      <c r="BB460" s="680"/>
      <c r="BC460" s="680"/>
      <c r="BD460" s="680"/>
      <c r="BE460" s="680"/>
      <c r="BF460" s="680"/>
      <c r="BG460" s="680"/>
      <c r="BH460" s="680"/>
      <c r="BI460" s="680"/>
      <c r="BJ460" s="680"/>
      <c r="BK460" s="680"/>
      <c r="BL460" s="680"/>
      <c r="BM460" s="680"/>
      <c r="BN460" s="680"/>
      <c r="BO460" s="680"/>
      <c r="BP460" s="680"/>
      <c r="BQ460" s="680"/>
      <c r="BR460" s="680"/>
      <c r="BS460" s="680"/>
      <c r="BT460" s="680"/>
      <c r="BU460" s="680"/>
      <c r="BV460" s="680"/>
      <c r="BW460" s="680"/>
      <c r="BX460" s="680"/>
      <c r="BY460" s="680"/>
      <c r="BZ460" s="680"/>
      <c r="CA460" s="680"/>
      <c r="CB460" s="680"/>
      <c r="CC460" s="680"/>
      <c r="CD460" s="680"/>
      <c r="CE460" s="680"/>
      <c r="CF460" s="680"/>
      <c r="CG460" s="680"/>
      <c r="CH460" s="680"/>
      <c r="CI460" s="680"/>
      <c r="CJ460" s="680"/>
      <c r="CK460" s="680"/>
      <c r="CL460" s="680"/>
      <c r="CM460" s="680"/>
      <c r="CN460" s="680"/>
      <c r="CO460" s="680"/>
      <c r="CP460" s="680"/>
      <c r="CQ460" s="680"/>
      <c r="CR460" s="680"/>
      <c r="CS460" s="680"/>
      <c r="CT460" s="680"/>
      <c r="CU460" s="680"/>
      <c r="CV460" s="680"/>
      <c r="CW460" s="680"/>
      <c r="CX460" s="680"/>
      <c r="CY460" s="680"/>
      <c r="CZ460" s="680"/>
      <c r="DA460" s="680"/>
      <c r="DB460" s="680"/>
      <c r="DC460" s="680"/>
      <c r="DD460" s="680"/>
      <c r="DE460" s="680"/>
      <c r="DF460" s="680"/>
      <c r="DG460" s="680"/>
    </row>
    <row r="461" ht="20.25" customHeight="1">
      <c r="A461" s="177" t="s">
        <v>143</v>
      </c>
      <c r="B461" s="177" t="s">
        <v>107</v>
      </c>
      <c r="C461" s="177" t="s">
        <v>2196</v>
      </c>
      <c r="D461" s="178"/>
      <c r="E461" s="188" t="s">
        <v>2491</v>
      </c>
      <c r="F461" s="180" t="s">
        <v>2492</v>
      </c>
      <c r="G461" s="188" t="s">
        <v>2197</v>
      </c>
      <c r="H461" s="181">
        <v>45489.0</v>
      </c>
      <c r="I461" s="181">
        <v>45662.0</v>
      </c>
      <c r="J461" s="188" t="s">
        <v>2498</v>
      </c>
      <c r="K461" s="746" t="s">
        <v>2499</v>
      </c>
      <c r="L461" s="188" t="s">
        <v>2494</v>
      </c>
      <c r="M461" s="188" t="s">
        <v>2495</v>
      </c>
      <c r="N461" s="350">
        <v>1.0</v>
      </c>
      <c r="O461" s="188" t="str">
        <f t="shared" si="28"/>
        <v>10.1109--tse.2016.2527791.pdf</v>
      </c>
      <c r="P461" s="48" t="str">
        <f t="array" ref="P461">HYPERLINK(INDEX('File Links'!B:B, MATCH(O461, 'File Links'!C:C, 0)))
</f>
        <v>https://drive.google.com/file/d/1NP74FAQ4UheeZ68AMDXl3P1f72HLwpaT/view?usp=drivesdk</v>
      </c>
      <c r="Q461" s="188" t="s">
        <v>2500</v>
      </c>
      <c r="R461" s="188" t="s">
        <v>2497</v>
      </c>
      <c r="S461" s="179"/>
      <c r="T461" s="350">
        <v>1.0</v>
      </c>
      <c r="U461" s="188" t="str">
        <f t="shared" si="31"/>
        <v>10.1109--iccq60895.2024.10576941.pdf</v>
      </c>
      <c r="V461" s="188" t="s">
        <v>2501</v>
      </c>
      <c r="W461" s="50" t="str">
        <f t="array" ref="W461">HYPERLINK(INDEX('File Links'!B:B, MATCH(U461, 'File Links'!C:C, 0)))
</f>
        <v>https://drive.google.com/file/d/1ljVoDtYBz0iPIIVFLmoGyAGWDfVCncq9/view?usp=drivesdk</v>
      </c>
      <c r="X461" s="179"/>
      <c r="Y461" s="188" t="s">
        <v>235</v>
      </c>
      <c r="Z461" s="188" t="s">
        <v>2502</v>
      </c>
      <c r="AA461" s="188" t="s">
        <v>2503</v>
      </c>
      <c r="AB461" s="188" t="s">
        <v>2504</v>
      </c>
      <c r="AC461" s="508" t="s">
        <v>2505</v>
      </c>
      <c r="AD461" s="695">
        <v>7.0</v>
      </c>
      <c r="AE461" s="695">
        <v>104.0</v>
      </c>
      <c r="AF461" s="188" t="s">
        <v>2506</v>
      </c>
      <c r="AG461" s="184" t="s">
        <v>162</v>
      </c>
      <c r="AH461" s="180" t="s">
        <v>125</v>
      </c>
      <c r="AI461" s="350" t="s">
        <v>165</v>
      </c>
      <c r="AJ461" s="350" t="s">
        <v>165</v>
      </c>
      <c r="AK461" s="180" t="s">
        <v>179</v>
      </c>
      <c r="AL461" s="188" t="s">
        <v>129</v>
      </c>
      <c r="AM461" s="350" t="s">
        <v>165</v>
      </c>
      <c r="AN461" s="695">
        <v>106.0</v>
      </c>
      <c r="AO461" s="188" t="s">
        <v>2507</v>
      </c>
      <c r="AP461" s="52" t="s">
        <v>162</v>
      </c>
      <c r="AQ461" s="188" t="s">
        <v>609</v>
      </c>
      <c r="AR461" s="747">
        <v>0.53895</v>
      </c>
      <c r="AS461" s="188" t="s">
        <v>1313</v>
      </c>
      <c r="AT461" s="188" t="s">
        <v>179</v>
      </c>
      <c r="AU461" s="188" t="s">
        <v>129</v>
      </c>
      <c r="AV461" s="350" t="s">
        <v>165</v>
      </c>
      <c r="AW461" s="188" t="s">
        <v>142</v>
      </c>
      <c r="AX461" s="350" t="s">
        <v>2508</v>
      </c>
      <c r="AY461" s="177" t="s">
        <v>135</v>
      </c>
      <c r="AZ461" s="152"/>
      <c r="BA461" s="152"/>
      <c r="BB461" s="152"/>
      <c r="BC461" s="152"/>
      <c r="BD461" s="152"/>
      <c r="BE461" s="152"/>
      <c r="BF461" s="152"/>
      <c r="BG461" s="152"/>
      <c r="BH461" s="152"/>
      <c r="BI461" s="152"/>
      <c r="BJ461" s="152"/>
      <c r="BK461" s="152"/>
      <c r="BL461" s="152"/>
      <c r="BM461" s="152"/>
      <c r="BN461" s="152"/>
      <c r="BO461" s="152"/>
      <c r="BP461" s="152"/>
      <c r="BQ461" s="152"/>
      <c r="BR461" s="152"/>
      <c r="BS461" s="152"/>
      <c r="BT461" s="152"/>
      <c r="BU461" s="152"/>
      <c r="BV461" s="152"/>
      <c r="BW461" s="152"/>
      <c r="BX461" s="152"/>
      <c r="BY461" s="152"/>
      <c r="BZ461" s="152"/>
      <c r="CA461" s="152"/>
      <c r="CB461" s="152"/>
      <c r="CC461" s="152"/>
      <c r="CD461" s="152"/>
      <c r="CE461" s="152"/>
      <c r="CF461" s="152"/>
      <c r="CG461" s="152"/>
      <c r="CH461" s="152"/>
      <c r="CI461" s="152"/>
      <c r="CJ461" s="152"/>
      <c r="CK461" s="152"/>
      <c r="CL461" s="152"/>
      <c r="CM461" s="152"/>
      <c r="CN461" s="152"/>
      <c r="CO461" s="152"/>
      <c r="CP461" s="152"/>
      <c r="CQ461" s="152"/>
      <c r="CR461" s="152"/>
      <c r="CS461" s="152"/>
      <c r="CT461" s="152"/>
      <c r="CU461" s="152"/>
      <c r="CV461" s="152"/>
      <c r="CW461" s="152"/>
      <c r="CX461" s="152"/>
      <c r="CY461" s="152"/>
      <c r="CZ461" s="152"/>
      <c r="DA461" s="152"/>
      <c r="DB461" s="152"/>
      <c r="DC461" s="152"/>
      <c r="DD461" s="152"/>
      <c r="DE461" s="152"/>
      <c r="DF461" s="152"/>
      <c r="DG461" s="152"/>
    </row>
    <row r="462" ht="20.25" customHeight="1">
      <c r="A462" s="177" t="s">
        <v>143</v>
      </c>
      <c r="B462" s="177" t="s">
        <v>107</v>
      </c>
      <c r="C462" s="177" t="s">
        <v>2196</v>
      </c>
      <c r="D462" s="178"/>
      <c r="E462" s="188" t="s">
        <v>2491</v>
      </c>
      <c r="F462" s="180" t="s">
        <v>2509</v>
      </c>
      <c r="G462" s="188" t="s">
        <v>2197</v>
      </c>
      <c r="H462" s="181">
        <v>45662.0</v>
      </c>
      <c r="I462" s="748"/>
      <c r="J462" s="188" t="s">
        <v>2510</v>
      </c>
      <c r="K462" s="179"/>
      <c r="L462" s="188" t="s">
        <v>2494</v>
      </c>
      <c r="M462" s="188" t="s">
        <v>2495</v>
      </c>
      <c r="N462" s="350">
        <v>1.0</v>
      </c>
      <c r="O462" s="188" t="str">
        <f t="shared" si="28"/>
        <v>10.1109--tse.2016.2527791.pdf</v>
      </c>
      <c r="P462" s="48" t="str">
        <f t="array" ref="P462">HYPERLINK(INDEX('File Links'!B:B, MATCH(O462, 'File Links'!C:C, 0)))
</f>
        <v>https://drive.google.com/file/d/1NP74FAQ4UheeZ68AMDXl3P1f72HLwpaT/view?usp=drivesdk</v>
      </c>
      <c r="Q462" s="188" t="s">
        <v>2500</v>
      </c>
      <c r="R462" s="188" t="s">
        <v>2497</v>
      </c>
      <c r="S462" s="179"/>
      <c r="T462" s="350">
        <v>1.0</v>
      </c>
      <c r="U462" s="188" t="str">
        <f t="shared" si="31"/>
        <v>10.1109--iccq60895.2024.10576941.pdf</v>
      </c>
      <c r="V462" s="188" t="s">
        <v>2501</v>
      </c>
      <c r="W462" s="50" t="str">
        <f t="array" ref="W462">HYPERLINK(INDEX('File Links'!B:B, MATCH(U462, 'File Links'!C:C, 0)))
</f>
        <v>https://drive.google.com/file/d/1ljVoDtYBz0iPIIVFLmoGyAGWDfVCncq9/view?usp=drivesdk</v>
      </c>
      <c r="X462" s="179"/>
      <c r="Y462" s="188" t="s">
        <v>235</v>
      </c>
      <c r="Z462" s="188" t="s">
        <v>2502</v>
      </c>
      <c r="AA462" s="188" t="s">
        <v>2503</v>
      </c>
      <c r="AB462" s="188" t="s">
        <v>2511</v>
      </c>
      <c r="AC462" s="188" t="s">
        <v>2512</v>
      </c>
      <c r="AD462" s="695">
        <v>8.0</v>
      </c>
      <c r="AE462" s="695">
        <v>104.0</v>
      </c>
      <c r="AF462" s="350" t="s">
        <v>165</v>
      </c>
      <c r="AG462" s="508" t="s">
        <v>165</v>
      </c>
      <c r="AH462" s="180" t="s">
        <v>2256</v>
      </c>
      <c r="AI462" s="187">
        <v>0.0013</v>
      </c>
      <c r="AJ462" s="188" t="s">
        <v>164</v>
      </c>
      <c r="AK462" s="180" t="s">
        <v>179</v>
      </c>
      <c r="AL462" s="188" t="s">
        <v>129</v>
      </c>
      <c r="AM462" s="350" t="s">
        <v>165</v>
      </c>
      <c r="AN462" s="695">
        <v>106.0</v>
      </c>
      <c r="AO462" s="188" t="s">
        <v>2513</v>
      </c>
      <c r="AP462" s="52" t="s">
        <v>162</v>
      </c>
      <c r="AQ462" s="188" t="s">
        <v>609</v>
      </c>
      <c r="AR462" s="695">
        <v>0.101498</v>
      </c>
      <c r="AS462" s="188" t="s">
        <v>164</v>
      </c>
      <c r="AT462" s="188" t="s">
        <v>179</v>
      </c>
      <c r="AU462" s="188" t="s">
        <v>129</v>
      </c>
      <c r="AV462" s="350" t="s">
        <v>165</v>
      </c>
      <c r="AW462" s="188" t="s">
        <v>142</v>
      </c>
      <c r="AX462" s="179"/>
      <c r="AY462" s="177" t="s">
        <v>135</v>
      </c>
      <c r="AZ462" s="680"/>
      <c r="BA462" s="680"/>
      <c r="BB462" s="680"/>
      <c r="BC462" s="680"/>
      <c r="BD462" s="680"/>
      <c r="BE462" s="680"/>
      <c r="BF462" s="680"/>
      <c r="BG462" s="680"/>
      <c r="BH462" s="680"/>
      <c r="BI462" s="680"/>
      <c r="BJ462" s="680"/>
      <c r="BK462" s="680"/>
      <c r="BL462" s="680"/>
      <c r="BM462" s="680"/>
      <c r="BN462" s="680"/>
      <c r="BO462" s="680"/>
      <c r="BP462" s="680"/>
      <c r="BQ462" s="680"/>
      <c r="BR462" s="680"/>
      <c r="BS462" s="680"/>
      <c r="BT462" s="680"/>
      <c r="BU462" s="680"/>
      <c r="BV462" s="680"/>
      <c r="BW462" s="680"/>
      <c r="BX462" s="680"/>
      <c r="BY462" s="680"/>
      <c r="BZ462" s="680"/>
      <c r="CA462" s="680"/>
      <c r="CB462" s="680"/>
      <c r="CC462" s="680"/>
      <c r="CD462" s="680"/>
      <c r="CE462" s="680"/>
      <c r="CF462" s="680"/>
      <c r="CG462" s="680"/>
      <c r="CH462" s="680"/>
      <c r="CI462" s="680"/>
      <c r="CJ462" s="680"/>
      <c r="CK462" s="680"/>
      <c r="CL462" s="680"/>
      <c r="CM462" s="680"/>
      <c r="CN462" s="680"/>
      <c r="CO462" s="680"/>
      <c r="CP462" s="680"/>
      <c r="CQ462" s="680"/>
      <c r="CR462" s="680"/>
      <c r="CS462" s="680"/>
      <c r="CT462" s="680"/>
      <c r="CU462" s="680"/>
      <c r="CV462" s="680"/>
      <c r="CW462" s="680"/>
      <c r="CX462" s="680"/>
      <c r="CY462" s="680"/>
      <c r="CZ462" s="680"/>
      <c r="DA462" s="680"/>
      <c r="DB462" s="680"/>
      <c r="DC462" s="680"/>
      <c r="DD462" s="680"/>
      <c r="DE462" s="680"/>
      <c r="DF462" s="680"/>
      <c r="DG462" s="680"/>
    </row>
    <row r="463" ht="20.25" customHeight="1">
      <c r="A463" s="177" t="s">
        <v>143</v>
      </c>
      <c r="B463" s="177" t="s">
        <v>107</v>
      </c>
      <c r="C463" s="177" t="s">
        <v>2196</v>
      </c>
      <c r="D463" s="178"/>
      <c r="E463" s="188" t="s">
        <v>2491</v>
      </c>
      <c r="F463" s="180" t="s">
        <v>2514</v>
      </c>
      <c r="G463" s="188" t="s">
        <v>2197</v>
      </c>
      <c r="H463" s="181">
        <v>45662.0</v>
      </c>
      <c r="I463" s="748"/>
      <c r="J463" s="188" t="s">
        <v>2510</v>
      </c>
      <c r="K463" s="179"/>
      <c r="L463" s="188" t="s">
        <v>2494</v>
      </c>
      <c r="M463" s="188" t="s">
        <v>2495</v>
      </c>
      <c r="N463" s="350">
        <v>1.0</v>
      </c>
      <c r="O463" s="188" t="str">
        <f t="shared" si="28"/>
        <v>10.1109--tse.2016.2527791.pdf</v>
      </c>
      <c r="P463" s="48" t="str">
        <f t="array" ref="P463">HYPERLINK(INDEX('File Links'!B:B, MATCH(O463, 'File Links'!C:C, 0)))
</f>
        <v>https://drive.google.com/file/d/1NP74FAQ4UheeZ68AMDXl3P1f72HLwpaT/view?usp=drivesdk</v>
      </c>
      <c r="Q463" s="188" t="s">
        <v>2500</v>
      </c>
      <c r="R463" s="188" t="s">
        <v>2497</v>
      </c>
      <c r="S463" s="179"/>
      <c r="T463" s="350">
        <v>1.0</v>
      </c>
      <c r="U463" s="188" t="str">
        <f t="shared" si="31"/>
        <v>10.1109--iccq60895.2024.10576941.pdf</v>
      </c>
      <c r="V463" s="188" t="s">
        <v>2501</v>
      </c>
      <c r="W463" s="50" t="str">
        <f t="array" ref="W463">HYPERLINK(INDEX('File Links'!B:B, MATCH(U463, 'File Links'!C:C, 0)))
</f>
        <v>https://drive.google.com/file/d/1ljVoDtYBz0iPIIVFLmoGyAGWDfVCncq9/view?usp=drivesdk</v>
      </c>
      <c r="X463" s="179"/>
      <c r="Y463" s="188" t="s">
        <v>235</v>
      </c>
      <c r="Z463" s="188" t="s">
        <v>2502</v>
      </c>
      <c r="AA463" s="188" t="s">
        <v>2503</v>
      </c>
      <c r="AB463" s="188" t="s">
        <v>2515</v>
      </c>
      <c r="AC463" s="188" t="s">
        <v>2516</v>
      </c>
      <c r="AD463" s="695">
        <v>7.0</v>
      </c>
      <c r="AE463" s="695">
        <v>104.0</v>
      </c>
      <c r="AF463" s="350" t="s">
        <v>165</v>
      </c>
      <c r="AG463" s="350" t="s">
        <v>165</v>
      </c>
      <c r="AH463" s="180" t="s">
        <v>125</v>
      </c>
      <c r="AI463" s="350">
        <v>0.05</v>
      </c>
      <c r="AJ463" s="169" t="s">
        <v>127</v>
      </c>
      <c r="AK463" s="180" t="s">
        <v>179</v>
      </c>
      <c r="AL463" s="188" t="s">
        <v>129</v>
      </c>
      <c r="AM463" s="350" t="s">
        <v>165</v>
      </c>
      <c r="AN463" s="695">
        <v>106.0</v>
      </c>
      <c r="AO463" s="188" t="s">
        <v>2517</v>
      </c>
      <c r="AP463" s="52" t="s">
        <v>162</v>
      </c>
      <c r="AQ463" s="188" t="s">
        <v>629</v>
      </c>
      <c r="AR463" s="695">
        <v>0.8926</v>
      </c>
      <c r="AS463" s="188" t="s">
        <v>164</v>
      </c>
      <c r="AT463" s="188" t="s">
        <v>179</v>
      </c>
      <c r="AU463" s="188" t="s">
        <v>129</v>
      </c>
      <c r="AV463" s="350" t="s">
        <v>165</v>
      </c>
      <c r="AW463" s="188" t="s">
        <v>142</v>
      </c>
      <c r="AX463" s="179"/>
      <c r="AY463" s="177" t="s">
        <v>135</v>
      </c>
      <c r="AZ463" s="152"/>
      <c r="BA463" s="152"/>
      <c r="BB463" s="152"/>
      <c r="BC463" s="152"/>
      <c r="BD463" s="152"/>
      <c r="BE463" s="152"/>
      <c r="BF463" s="152"/>
      <c r="BG463" s="152"/>
      <c r="BH463" s="152"/>
      <c r="BI463" s="152"/>
      <c r="BJ463" s="152"/>
      <c r="BK463" s="152"/>
      <c r="BL463" s="152"/>
      <c r="BM463" s="152"/>
      <c r="BN463" s="152"/>
      <c r="BO463" s="152"/>
      <c r="BP463" s="152"/>
      <c r="BQ463" s="152"/>
      <c r="BR463" s="152"/>
      <c r="BS463" s="152"/>
      <c r="BT463" s="152"/>
      <c r="BU463" s="152"/>
      <c r="BV463" s="152"/>
      <c r="BW463" s="152"/>
      <c r="BX463" s="152"/>
      <c r="BY463" s="152"/>
      <c r="BZ463" s="152"/>
      <c r="CA463" s="152"/>
      <c r="CB463" s="152"/>
      <c r="CC463" s="152"/>
      <c r="CD463" s="152"/>
      <c r="CE463" s="152"/>
      <c r="CF463" s="152"/>
      <c r="CG463" s="152"/>
      <c r="CH463" s="152"/>
      <c r="CI463" s="152"/>
      <c r="CJ463" s="152"/>
      <c r="CK463" s="152"/>
      <c r="CL463" s="152"/>
      <c r="CM463" s="152"/>
      <c r="CN463" s="152"/>
      <c r="CO463" s="152"/>
      <c r="CP463" s="152"/>
      <c r="CQ463" s="152"/>
      <c r="CR463" s="152"/>
      <c r="CS463" s="152"/>
      <c r="CT463" s="152"/>
      <c r="CU463" s="152"/>
      <c r="CV463" s="152"/>
      <c r="CW463" s="152"/>
      <c r="CX463" s="152"/>
      <c r="CY463" s="152"/>
      <c r="CZ463" s="152"/>
      <c r="DA463" s="152"/>
      <c r="DB463" s="152"/>
      <c r="DC463" s="152"/>
      <c r="DD463" s="152"/>
      <c r="DE463" s="152"/>
      <c r="DF463" s="152"/>
      <c r="DG463" s="152"/>
    </row>
    <row r="464" ht="20.25" customHeight="1">
      <c r="A464" s="40" t="s">
        <v>143</v>
      </c>
      <c r="B464" s="40" t="s">
        <v>107</v>
      </c>
      <c r="C464" s="40" t="s">
        <v>191</v>
      </c>
      <c r="D464" s="58"/>
      <c r="E464" s="60" t="s">
        <v>2518</v>
      </c>
      <c r="F464" s="52" t="s">
        <v>2519</v>
      </c>
      <c r="G464" s="52" t="s">
        <v>194</v>
      </c>
      <c r="H464" s="409">
        <v>45639.0</v>
      </c>
      <c r="I464" s="503">
        <v>45671.0</v>
      </c>
      <c r="J464" s="55"/>
      <c r="K464" s="55"/>
      <c r="L464" s="52" t="s">
        <v>2520</v>
      </c>
      <c r="M464" s="52" t="s">
        <v>2521</v>
      </c>
      <c r="N464" s="355">
        <v>1.0</v>
      </c>
      <c r="O464" s="353" t="s">
        <v>2522</v>
      </c>
      <c r="P464" s="48" t="str">
        <f t="array" ref="P464">HYPERLINK(INDEX('File Links'!B:B, MATCH(O464, 'File Links'!C:C, 0)))
</f>
        <v>https://drive.google.com/file/d/1-hACoGBMYzWfW-abiG6hh6iaoZvehEax/view?usp=drivesdk</v>
      </c>
      <c r="Q464" s="52" t="s">
        <v>2523</v>
      </c>
      <c r="R464" s="52" t="s">
        <v>2524</v>
      </c>
      <c r="S464" s="55"/>
      <c r="T464" s="115">
        <v>1.0</v>
      </c>
      <c r="U464" s="354" t="s">
        <v>2525</v>
      </c>
      <c r="V464" s="52" t="s">
        <v>202</v>
      </c>
      <c r="W464" s="45" t="str">
        <f t="array" ref="W464">HYPERLINK(INDEX('File Links'!B:B, MATCH(U464, 'File Links'!C:C, 0)))
</f>
        <v>#N/A</v>
      </c>
      <c r="X464" s="55"/>
      <c r="Y464" s="52" t="s">
        <v>2018</v>
      </c>
      <c r="Z464" s="52" t="s">
        <v>2526</v>
      </c>
      <c r="AA464" s="52" t="s">
        <v>2527</v>
      </c>
      <c r="AB464" s="52" t="s">
        <v>2528</v>
      </c>
      <c r="AC464" s="52" t="s">
        <v>2529</v>
      </c>
      <c r="AD464" s="355">
        <v>6.0</v>
      </c>
      <c r="AE464" s="355">
        <v>53.0</v>
      </c>
      <c r="AF464" s="355">
        <v>0.65</v>
      </c>
      <c r="AG464" s="330" t="s">
        <v>166</v>
      </c>
      <c r="AH464" s="52" t="s">
        <v>131</v>
      </c>
      <c r="AI464" s="355">
        <v>0.041</v>
      </c>
      <c r="AJ464" s="147" t="s">
        <v>164</v>
      </c>
      <c r="AK464" s="52" t="s">
        <v>179</v>
      </c>
      <c r="AL464" s="115" t="s">
        <v>129</v>
      </c>
      <c r="AM464" s="656" t="s">
        <v>165</v>
      </c>
      <c r="AN464" s="355">
        <v>109.0</v>
      </c>
      <c r="AO464" s="139" t="s">
        <v>2530</v>
      </c>
      <c r="AP464" s="52" t="s">
        <v>162</v>
      </c>
      <c r="AQ464" s="52" t="s">
        <v>861</v>
      </c>
      <c r="AR464" s="355">
        <v>0.47</v>
      </c>
      <c r="AS464" s="147" t="s">
        <v>164</v>
      </c>
      <c r="AT464" s="147" t="s">
        <v>179</v>
      </c>
      <c r="AU464" s="115" t="s">
        <v>129</v>
      </c>
      <c r="AV464" s="115" t="s">
        <v>165</v>
      </c>
      <c r="AW464" s="60" t="s">
        <v>134</v>
      </c>
      <c r="AX464" s="55"/>
      <c r="AY464" s="41" t="s">
        <v>135</v>
      </c>
      <c r="AZ464" s="680"/>
      <c r="BA464" s="680"/>
      <c r="BB464" s="680"/>
      <c r="BC464" s="680"/>
      <c r="BD464" s="680"/>
      <c r="BE464" s="680"/>
      <c r="BF464" s="680"/>
      <c r="BG464" s="680"/>
      <c r="BH464" s="680"/>
      <c r="BI464" s="680"/>
      <c r="BJ464" s="680"/>
      <c r="BK464" s="680"/>
      <c r="BL464" s="680"/>
      <c r="BM464" s="680"/>
      <c r="BN464" s="680"/>
      <c r="BO464" s="680"/>
      <c r="BP464" s="680"/>
      <c r="BQ464" s="680"/>
      <c r="BR464" s="680"/>
      <c r="BS464" s="680"/>
      <c r="BT464" s="680"/>
      <c r="BU464" s="680"/>
      <c r="BV464" s="680"/>
      <c r="BW464" s="680"/>
      <c r="BX464" s="680"/>
      <c r="BY464" s="680"/>
      <c r="BZ464" s="680"/>
      <c r="CA464" s="680"/>
      <c r="CB464" s="680"/>
      <c r="CC464" s="680"/>
      <c r="CD464" s="680"/>
      <c r="CE464" s="680"/>
      <c r="CF464" s="680"/>
      <c r="CG464" s="680"/>
      <c r="CH464" s="680"/>
      <c r="CI464" s="680"/>
      <c r="CJ464" s="680"/>
      <c r="CK464" s="680"/>
      <c r="CL464" s="680"/>
      <c r="CM464" s="680"/>
      <c r="CN464" s="680"/>
      <c r="CO464" s="680"/>
      <c r="CP464" s="680"/>
      <c r="CQ464" s="680"/>
      <c r="CR464" s="680"/>
      <c r="CS464" s="680"/>
      <c r="CT464" s="680"/>
      <c r="CU464" s="680"/>
      <c r="CV464" s="680"/>
      <c r="CW464" s="680"/>
      <c r="CX464" s="680"/>
      <c r="CY464" s="680"/>
      <c r="CZ464" s="680"/>
      <c r="DA464" s="680"/>
      <c r="DB464" s="680"/>
      <c r="DC464" s="680"/>
      <c r="DD464" s="680"/>
      <c r="DE464" s="680"/>
      <c r="DF464" s="680"/>
      <c r="DG464" s="680"/>
    </row>
    <row r="465" ht="20.25" customHeight="1">
      <c r="A465" s="41" t="s">
        <v>106</v>
      </c>
      <c r="B465" s="41" t="s">
        <v>107</v>
      </c>
      <c r="C465" s="41" t="s">
        <v>214</v>
      </c>
      <c r="E465" s="356" t="s">
        <v>2518</v>
      </c>
      <c r="F465" s="43" t="s">
        <v>2519</v>
      </c>
      <c r="G465" s="45" t="s">
        <v>215</v>
      </c>
      <c r="H465" s="357">
        <v>45641.0</v>
      </c>
      <c r="I465" s="503">
        <v>45671.0</v>
      </c>
      <c r="J465" s="45"/>
      <c r="K465" s="202" t="s">
        <v>2531</v>
      </c>
      <c r="L465" s="749" t="s">
        <v>2532</v>
      </c>
      <c r="M465" s="43" t="s">
        <v>2521</v>
      </c>
      <c r="N465" s="45"/>
      <c r="O465" s="47" t="s">
        <v>2522</v>
      </c>
      <c r="P465" s="48" t="str">
        <f t="array" ref="P465">HYPERLINK(INDEX('File Links'!B:B, MATCH(O465, 'File Links'!C:C, 0)))
</f>
        <v>https://drive.google.com/file/d/1-hACoGBMYzWfW-abiG6hh6iaoZvehEax/view?usp=drivesdk</v>
      </c>
      <c r="Q465" s="749" t="s">
        <v>2533</v>
      </c>
      <c r="R465" s="749" t="s">
        <v>2524</v>
      </c>
      <c r="S465" s="45"/>
      <c r="T465" s="359">
        <v>1.0</v>
      </c>
      <c r="U465" s="43" t="s">
        <v>2525</v>
      </c>
      <c r="V465" s="43" t="s">
        <v>2534</v>
      </c>
      <c r="W465" s="45" t="str">
        <f t="array" ref="W465">HYPERLINK(INDEX('File Links'!B:B, MATCH(U465, 'File Links'!C:C, 0)))
</f>
        <v>#N/A</v>
      </c>
      <c r="X465" s="45"/>
      <c r="Y465" s="43" t="s">
        <v>139</v>
      </c>
      <c r="Z465" s="43" t="s">
        <v>2535</v>
      </c>
      <c r="AA465" s="43" t="s">
        <v>2536</v>
      </c>
      <c r="AB465" s="43" t="s">
        <v>2537</v>
      </c>
      <c r="AC465" s="43" t="s">
        <v>2538</v>
      </c>
      <c r="AD465" s="640">
        <v>8.0</v>
      </c>
      <c r="AE465" s="640">
        <v>185.0</v>
      </c>
      <c r="AF465" s="750">
        <v>0.68</v>
      </c>
      <c r="AG465" s="751" t="s">
        <v>166</v>
      </c>
      <c r="AH465" s="752" t="s">
        <v>601</v>
      </c>
      <c r="AI465" s="750">
        <v>0.001</v>
      </c>
      <c r="AJ465" s="753" t="s">
        <v>164</v>
      </c>
      <c r="AK465" s="752" t="s">
        <v>128</v>
      </c>
      <c r="AL465" s="754" t="s">
        <v>129</v>
      </c>
      <c r="AM465" s="754"/>
      <c r="AN465" s="750">
        <v>120.0</v>
      </c>
      <c r="AO465" s="750">
        <v>0.41</v>
      </c>
      <c r="AP465" s="752" t="s">
        <v>166</v>
      </c>
      <c r="AQ465" s="43" t="s">
        <v>131</v>
      </c>
      <c r="AR465" s="640">
        <v>0.02</v>
      </c>
      <c r="AS465" s="356" t="s">
        <v>164</v>
      </c>
      <c r="AT465" s="356" t="s">
        <v>128</v>
      </c>
      <c r="AU465" s="42" t="s">
        <v>132</v>
      </c>
      <c r="AV465" s="53" t="s">
        <v>2539</v>
      </c>
      <c r="AW465" s="54" t="s">
        <v>134</v>
      </c>
      <c r="AX465" s="115" t="s">
        <v>2531</v>
      </c>
      <c r="AY465" s="41" t="s">
        <v>135</v>
      </c>
      <c r="AZ465" s="152"/>
      <c r="BA465" s="152"/>
      <c r="BB465" s="152"/>
      <c r="BC465" s="152"/>
      <c r="BD465" s="152"/>
      <c r="BE465" s="152"/>
      <c r="BF465" s="152"/>
      <c r="BG465" s="152"/>
      <c r="BH465" s="152"/>
      <c r="BI465" s="152"/>
      <c r="BJ465" s="152"/>
      <c r="BK465" s="152"/>
      <c r="BL465" s="152"/>
      <c r="BM465" s="152"/>
      <c r="BN465" s="152"/>
      <c r="BO465" s="152"/>
      <c r="BP465" s="152"/>
      <c r="BQ465" s="152"/>
      <c r="BR465" s="152"/>
      <c r="BS465" s="152"/>
      <c r="BT465" s="152"/>
      <c r="BU465" s="152"/>
      <c r="BV465" s="152"/>
      <c r="BW465" s="152"/>
      <c r="BX465" s="152"/>
      <c r="BY465" s="152"/>
      <c r="BZ465" s="152"/>
      <c r="CA465" s="152"/>
      <c r="CB465" s="152"/>
      <c r="CC465" s="152"/>
      <c r="CD465" s="152"/>
      <c r="CE465" s="152"/>
      <c r="CF465" s="152"/>
      <c r="CG465" s="152"/>
      <c r="CH465" s="152"/>
      <c r="CI465" s="152"/>
      <c r="CJ465" s="152"/>
      <c r="CK465" s="152"/>
      <c r="CL465" s="152"/>
      <c r="CM465" s="152"/>
      <c r="CN465" s="152"/>
      <c r="CO465" s="152"/>
      <c r="CP465" s="152"/>
      <c r="CQ465" s="152"/>
      <c r="CR465" s="152"/>
      <c r="CS465" s="152"/>
      <c r="CT465" s="152"/>
      <c r="CU465" s="152"/>
      <c r="CV465" s="152"/>
      <c r="CW465" s="152"/>
      <c r="CX465" s="152"/>
      <c r="CY465" s="152"/>
      <c r="CZ465" s="152"/>
      <c r="DA465" s="152"/>
      <c r="DB465" s="152"/>
      <c r="DC465" s="152"/>
      <c r="DD465" s="152"/>
      <c r="DE465" s="152"/>
      <c r="DF465" s="152"/>
      <c r="DG465" s="152"/>
    </row>
    <row r="466" ht="20.25" customHeight="1">
      <c r="A466" s="40" t="s">
        <v>143</v>
      </c>
      <c r="B466" s="40" t="s">
        <v>107</v>
      </c>
      <c r="C466" s="40" t="s">
        <v>191</v>
      </c>
      <c r="D466" s="58"/>
      <c r="E466" s="356" t="s">
        <v>2518</v>
      </c>
      <c r="F466" s="52" t="s">
        <v>2540</v>
      </c>
      <c r="G466" s="52" t="s">
        <v>194</v>
      </c>
      <c r="H466" s="409">
        <v>45639.0</v>
      </c>
      <c r="I466" s="503">
        <v>45671.0</v>
      </c>
      <c r="J466" s="52" t="s">
        <v>2541</v>
      </c>
      <c r="K466" s="115" t="s">
        <v>2542</v>
      </c>
      <c r="L466" s="52" t="s">
        <v>2520</v>
      </c>
      <c r="M466" s="52" t="s">
        <v>2521</v>
      </c>
      <c r="N466" s="355">
        <v>1.0</v>
      </c>
      <c r="O466" s="353" t="s">
        <v>2522</v>
      </c>
      <c r="P466" s="48" t="str">
        <f t="array" ref="P466">HYPERLINK(INDEX('File Links'!B:B, MATCH(O466, 'File Links'!C:C, 0)))
</f>
        <v>https://drive.google.com/file/d/1-hACoGBMYzWfW-abiG6hh6iaoZvehEax/view?usp=drivesdk</v>
      </c>
      <c r="Q466" s="52" t="s">
        <v>2523</v>
      </c>
      <c r="R466" s="52" t="s">
        <v>2524</v>
      </c>
      <c r="S466" s="55"/>
      <c r="T466" s="115">
        <v>1.0</v>
      </c>
      <c r="U466" s="354" t="s">
        <v>2525</v>
      </c>
      <c r="V466" s="52" t="s">
        <v>202</v>
      </c>
      <c r="W466" s="45" t="str">
        <f t="array" ref="W466">HYPERLINK(INDEX('File Links'!B:B, MATCH(U466, 'File Links'!C:C, 0)))
</f>
        <v>#N/A</v>
      </c>
      <c r="X466" s="55"/>
      <c r="Y466" s="52" t="s">
        <v>2018</v>
      </c>
      <c r="Z466" s="52" t="s">
        <v>2526</v>
      </c>
      <c r="AA466" s="52" t="s">
        <v>2527</v>
      </c>
      <c r="AB466" s="52" t="s">
        <v>2528</v>
      </c>
      <c r="AC466" s="52" t="s">
        <v>2543</v>
      </c>
      <c r="AD466" s="355">
        <v>7.0</v>
      </c>
      <c r="AE466" s="355">
        <v>50.0</v>
      </c>
      <c r="AF466" s="355">
        <v>0.29</v>
      </c>
      <c r="AG466" s="330" t="s">
        <v>208</v>
      </c>
      <c r="AH466" s="52" t="s">
        <v>125</v>
      </c>
      <c r="AI466" s="355">
        <v>0.043</v>
      </c>
      <c r="AJ466" s="147" t="s">
        <v>164</v>
      </c>
      <c r="AK466" s="52" t="s">
        <v>179</v>
      </c>
      <c r="AL466" s="115" t="s">
        <v>129</v>
      </c>
      <c r="AM466" s="656" t="s">
        <v>165</v>
      </c>
      <c r="AN466" s="149">
        <v>106.0</v>
      </c>
      <c r="AO466" s="355">
        <v>-0.03</v>
      </c>
      <c r="AP466" s="52" t="s">
        <v>208</v>
      </c>
      <c r="AQ466" s="52" t="s">
        <v>861</v>
      </c>
      <c r="AR466" s="355">
        <v>0.74</v>
      </c>
      <c r="AS466" s="147" t="s">
        <v>164</v>
      </c>
      <c r="AT466" s="147" t="s">
        <v>179</v>
      </c>
      <c r="AU466" s="115" t="s">
        <v>129</v>
      </c>
      <c r="AV466" s="115" t="s">
        <v>165</v>
      </c>
      <c r="AW466" s="60"/>
      <c r="AX466" s="115"/>
      <c r="AY466" s="41" t="s">
        <v>135</v>
      </c>
      <c r="AZ466" s="680"/>
      <c r="BA466" s="680"/>
      <c r="BB466" s="680"/>
      <c r="BC466" s="680"/>
      <c r="BD466" s="680"/>
      <c r="BE466" s="680"/>
      <c r="BF466" s="680"/>
      <c r="BG466" s="680"/>
      <c r="BH466" s="680"/>
      <c r="BI466" s="680"/>
      <c r="BJ466" s="680"/>
      <c r="BK466" s="680"/>
      <c r="BL466" s="680"/>
      <c r="BM466" s="680"/>
      <c r="BN466" s="680"/>
      <c r="BO466" s="680"/>
      <c r="BP466" s="680"/>
      <c r="BQ466" s="680"/>
      <c r="BR466" s="680"/>
      <c r="BS466" s="680"/>
      <c r="BT466" s="680"/>
      <c r="BU466" s="680"/>
      <c r="BV466" s="680"/>
      <c r="BW466" s="680"/>
      <c r="BX466" s="680"/>
      <c r="BY466" s="680"/>
      <c r="BZ466" s="680"/>
      <c r="CA466" s="680"/>
      <c r="CB466" s="680"/>
      <c r="CC466" s="680"/>
      <c r="CD466" s="680"/>
      <c r="CE466" s="680"/>
      <c r="CF466" s="680"/>
      <c r="CG466" s="680"/>
      <c r="CH466" s="680"/>
      <c r="CI466" s="680"/>
      <c r="CJ466" s="680"/>
      <c r="CK466" s="680"/>
      <c r="CL466" s="680"/>
      <c r="CM466" s="680"/>
      <c r="CN466" s="680"/>
      <c r="CO466" s="680"/>
      <c r="CP466" s="680"/>
      <c r="CQ466" s="680"/>
      <c r="CR466" s="680"/>
      <c r="CS466" s="680"/>
      <c r="CT466" s="680"/>
      <c r="CU466" s="680"/>
      <c r="CV466" s="680"/>
      <c r="CW466" s="680"/>
      <c r="CX466" s="680"/>
      <c r="CY466" s="680"/>
      <c r="CZ466" s="680"/>
      <c r="DA466" s="680"/>
      <c r="DB466" s="680"/>
      <c r="DC466" s="680"/>
      <c r="DD466" s="680"/>
      <c r="DE466" s="680"/>
      <c r="DF466" s="680"/>
      <c r="DG466" s="680"/>
    </row>
    <row r="467" ht="20.25" customHeight="1">
      <c r="A467" s="331" t="s">
        <v>520</v>
      </c>
      <c r="B467" s="331" t="s">
        <v>107</v>
      </c>
      <c r="C467" s="331" t="s">
        <v>226</v>
      </c>
      <c r="D467" s="335"/>
      <c r="E467" s="332" t="s">
        <v>2544</v>
      </c>
      <c r="F467" s="331" t="s">
        <v>2545</v>
      </c>
      <c r="G467" s="331" t="s">
        <v>229</v>
      </c>
      <c r="H467" s="755">
        <v>45626.0</v>
      </c>
      <c r="I467" s="159">
        <v>45684.0</v>
      </c>
      <c r="J467" s="331" t="s">
        <v>2546</v>
      </c>
      <c r="K467" s="331" t="s">
        <v>2547</v>
      </c>
      <c r="L467" s="331" t="s">
        <v>2548</v>
      </c>
      <c r="M467" s="331" t="s">
        <v>2549</v>
      </c>
      <c r="N467" s="756">
        <v>2.0</v>
      </c>
      <c r="O467" s="757" t="str">
        <f> hyperlink(vlookup(lower(M467),'File Links'!A:B, 2, FALSE), SUBSTITUTE(lower(M467), "/", "--") &amp;  ".pdf")</f>
        <v>10.1086--648381.pdf</v>
      </c>
      <c r="P467" s="48" t="str">
        <f t="array" ref="P467">HYPERLINK(INDEX('File Links'!B:B, MATCH(O467, 'File Links'!C:C, 0)))
</f>
        <v>https://drive.google.com/file/d/14GutnAtB1f13xcVqwnhfc_-RMT6AP_5B/view?usp=drivesdk</v>
      </c>
      <c r="Q467" s="331" t="s">
        <v>2550</v>
      </c>
      <c r="R467" s="331" t="s">
        <v>2551</v>
      </c>
      <c r="S467" s="335"/>
      <c r="T467" s="331">
        <v>1.0</v>
      </c>
      <c r="U467" s="331" t="str">
        <f> hyperlink(vlookup(lower(R467),'File Links'!E:F, 2, FALSE), SUBSTITUTE(lower(R467), "/", "--") &amp;  ".pdf")</f>
        <v>10.1016--j.jesp.2024.104619.pdf</v>
      </c>
      <c r="V467" s="331" t="s">
        <v>2552</v>
      </c>
      <c r="W467" s="45" t="str">
        <f t="array" ref="W467">HYPERLINK(INDEX('File Links'!B:B, MATCH(U467, 'File Links'!C:C, 0)))
</f>
        <v>#N/A</v>
      </c>
      <c r="X467" s="335"/>
      <c r="Y467" s="331" t="s">
        <v>2553</v>
      </c>
      <c r="Z467" s="331" t="s">
        <v>2554</v>
      </c>
      <c r="AA467" s="756" t="s">
        <v>2555</v>
      </c>
      <c r="AB467" s="331" t="s">
        <v>2556</v>
      </c>
      <c r="AC467" s="331" t="s">
        <v>2557</v>
      </c>
      <c r="AD467" s="331">
        <v>1040.0</v>
      </c>
      <c r="AE467" s="331">
        <v>68.0</v>
      </c>
      <c r="AF467" s="331" t="s">
        <v>2558</v>
      </c>
      <c r="AG467" s="335"/>
      <c r="AH467" s="335"/>
      <c r="AI467" s="331" t="s">
        <v>2559</v>
      </c>
      <c r="AJ467" s="331" t="s">
        <v>127</v>
      </c>
      <c r="AK467" s="331" t="s">
        <v>179</v>
      </c>
      <c r="AL467" s="333"/>
      <c r="AM467" s="335"/>
      <c r="AN467" s="331">
        <v>1018.0</v>
      </c>
      <c r="AO467" s="331" t="s">
        <v>2560</v>
      </c>
      <c r="AP467" s="331" t="s">
        <v>130</v>
      </c>
      <c r="AQ467" s="331" t="s">
        <v>125</v>
      </c>
      <c r="AR467" s="331" t="s">
        <v>2561</v>
      </c>
      <c r="AS467" s="331" t="s">
        <v>164</v>
      </c>
      <c r="AT467" s="331" t="s">
        <v>179</v>
      </c>
      <c r="AU467" s="333"/>
      <c r="AV467" s="333"/>
      <c r="AW467" s="738"/>
      <c r="AX467" s="335"/>
      <c r="AY467" s="333"/>
      <c r="AZ467" s="680"/>
      <c r="BA467" s="680"/>
      <c r="BB467" s="680"/>
      <c r="BC467" s="680"/>
      <c r="BD467" s="680"/>
      <c r="BE467" s="680"/>
      <c r="BF467" s="680"/>
      <c r="BG467" s="680"/>
      <c r="BH467" s="680"/>
      <c r="BI467" s="680"/>
      <c r="BJ467" s="680"/>
      <c r="BK467" s="680"/>
      <c r="BL467" s="680"/>
      <c r="BM467" s="680"/>
      <c r="BN467" s="680"/>
      <c r="BO467" s="680"/>
      <c r="BP467" s="680"/>
      <c r="BQ467" s="680"/>
      <c r="BR467" s="680"/>
      <c r="BS467" s="680"/>
      <c r="BT467" s="680"/>
      <c r="BU467" s="680"/>
      <c r="BV467" s="680"/>
      <c r="BW467" s="680"/>
      <c r="BX467" s="680"/>
      <c r="BY467" s="680"/>
      <c r="BZ467" s="680"/>
      <c r="CA467" s="680"/>
      <c r="CB467" s="680"/>
      <c r="CC467" s="680"/>
      <c r="CD467" s="680"/>
      <c r="CE467" s="680"/>
      <c r="CF467" s="680"/>
      <c r="CG467" s="680"/>
      <c r="CH467" s="680"/>
      <c r="CI467" s="680"/>
      <c r="CJ467" s="680"/>
      <c r="CK467" s="680"/>
      <c r="CL467" s="680"/>
      <c r="CM467" s="680"/>
      <c r="CN467" s="680"/>
      <c r="CO467" s="680"/>
      <c r="CP467" s="680"/>
      <c r="CQ467" s="680"/>
      <c r="CR467" s="680"/>
      <c r="CS467" s="680"/>
      <c r="CT467" s="680"/>
      <c r="CU467" s="680"/>
      <c r="CV467" s="680"/>
      <c r="CW467" s="680"/>
      <c r="CX467" s="680"/>
      <c r="CY467" s="680"/>
      <c r="CZ467" s="680"/>
      <c r="DA467" s="680"/>
      <c r="DB467" s="680"/>
      <c r="DC467" s="680"/>
      <c r="DD467" s="680"/>
      <c r="DE467" s="680"/>
      <c r="DF467" s="680"/>
      <c r="DG467" s="680"/>
    </row>
    <row r="468" ht="20.25" customHeight="1">
      <c r="A468" s="331" t="s">
        <v>520</v>
      </c>
      <c r="B468" s="758" t="s">
        <v>107</v>
      </c>
      <c r="C468" s="758" t="s">
        <v>243</v>
      </c>
      <c r="D468" s="759"/>
      <c r="E468" s="722" t="s">
        <v>2544</v>
      </c>
      <c r="F468" s="758" t="s">
        <v>2562</v>
      </c>
      <c r="G468" s="758" t="s">
        <v>244</v>
      </c>
      <c r="H468" s="760">
        <v>45625.0</v>
      </c>
      <c r="I468" s="159">
        <v>45684.0</v>
      </c>
      <c r="J468" s="758" t="s">
        <v>2563</v>
      </c>
      <c r="K468" s="759"/>
      <c r="L468" s="758" t="s">
        <v>2548</v>
      </c>
      <c r="M468" s="758" t="s">
        <v>2549</v>
      </c>
      <c r="N468" s="756">
        <v>2.0</v>
      </c>
      <c r="O468" s="761" t="str">
        <f> hyperlink(vlookup(lower(M468),'File Links'!A:B, 2, FALSE), SUBSTITUTE(lower(M468), "/", "--") &amp;  ".pdf")</f>
        <v>10.1086--648381.pdf</v>
      </c>
      <c r="P468" s="48" t="str">
        <f t="array" ref="P468">HYPERLINK(INDEX('File Links'!B:B, MATCH(O468, 'File Links'!C:C, 0)))
</f>
        <v>https://drive.google.com/file/d/14GutnAtB1f13xcVqwnhfc_-RMT6AP_5B/view?usp=drivesdk</v>
      </c>
      <c r="Q468" s="758" t="s">
        <v>2550</v>
      </c>
      <c r="R468" s="758" t="s">
        <v>2551</v>
      </c>
      <c r="S468" s="759"/>
      <c r="T468" s="759"/>
      <c r="U468" s="758" t="str">
        <f> hyperlink(vlookup(lower(R468),'File Links'!E:F, 2, FALSE), SUBSTITUTE(lower(R468), "/", "--") &amp;  ".pdf")</f>
        <v>10.1016--j.jesp.2024.104619.pdf</v>
      </c>
      <c r="V468" s="759"/>
      <c r="W468" s="45" t="str">
        <f t="array" ref="W468">HYPERLINK(INDEX('File Links'!B:B, MATCH(U468, 'File Links'!C:C, 0)))
</f>
        <v>#N/A</v>
      </c>
      <c r="X468" s="759"/>
      <c r="Y468" s="758" t="s">
        <v>2553</v>
      </c>
      <c r="Z468" s="331" t="s">
        <v>2554</v>
      </c>
      <c r="AA468" s="756" t="s">
        <v>2555</v>
      </c>
      <c r="AB468" s="762" t="s">
        <v>2564</v>
      </c>
      <c r="AC468" s="758" t="s">
        <v>2565</v>
      </c>
      <c r="AD468" s="758">
        <v>1040.0</v>
      </c>
      <c r="AE468" s="758">
        <v>68.0</v>
      </c>
      <c r="AF468" s="762" t="s">
        <v>2566</v>
      </c>
      <c r="AG468" s="758" t="s">
        <v>1051</v>
      </c>
      <c r="AH468" s="758">
        <v>1040.0</v>
      </c>
      <c r="AI468" s="758">
        <v>0.04</v>
      </c>
      <c r="AJ468" s="758" t="s">
        <v>127</v>
      </c>
      <c r="AK468" s="758" t="s">
        <v>179</v>
      </c>
      <c r="AL468" s="647"/>
      <c r="AM468" s="759"/>
      <c r="AN468" s="758">
        <v>1018.0</v>
      </c>
      <c r="AO468" s="758">
        <v>173.13</v>
      </c>
      <c r="AP468" s="758" t="s">
        <v>1051</v>
      </c>
      <c r="AQ468" s="759"/>
      <c r="AR468" s="758" t="s">
        <v>2567</v>
      </c>
      <c r="AS468" s="758" t="s">
        <v>127</v>
      </c>
      <c r="AT468" s="758" t="s">
        <v>179</v>
      </c>
      <c r="AU468" s="647"/>
      <c r="AV468" s="647"/>
      <c r="AW468" s="733"/>
      <c r="AX468" s="759"/>
      <c r="AY468" s="647"/>
      <c r="AZ468" s="680"/>
      <c r="BA468" s="680"/>
      <c r="BB468" s="680"/>
      <c r="BC468" s="680"/>
      <c r="BD468" s="680"/>
      <c r="BE468" s="680"/>
      <c r="BF468" s="680"/>
      <c r="BG468" s="680"/>
      <c r="BH468" s="680"/>
      <c r="BI468" s="680"/>
      <c r="BJ468" s="680"/>
      <c r="BK468" s="680"/>
      <c r="BL468" s="680"/>
      <c r="BM468" s="680"/>
      <c r="BN468" s="680"/>
      <c r="BO468" s="680"/>
      <c r="BP468" s="680"/>
      <c r="BQ468" s="680"/>
      <c r="BR468" s="680"/>
      <c r="BS468" s="680"/>
      <c r="BT468" s="680"/>
      <c r="BU468" s="680"/>
      <c r="BV468" s="680"/>
      <c r="BW468" s="680"/>
      <c r="BX468" s="680"/>
      <c r="BY468" s="680"/>
      <c r="BZ468" s="680"/>
      <c r="CA468" s="680"/>
      <c r="CB468" s="680"/>
      <c r="CC468" s="680"/>
      <c r="CD468" s="680"/>
      <c r="CE468" s="680"/>
      <c r="CF468" s="680"/>
      <c r="CG468" s="680"/>
      <c r="CH468" s="680"/>
      <c r="CI468" s="680"/>
      <c r="CJ468" s="680"/>
      <c r="CK468" s="680"/>
      <c r="CL468" s="680"/>
      <c r="CM468" s="680"/>
      <c r="CN468" s="680"/>
      <c r="CO468" s="680"/>
      <c r="CP468" s="680"/>
      <c r="CQ468" s="680"/>
      <c r="CR468" s="680"/>
      <c r="CS468" s="680"/>
      <c r="CT468" s="680"/>
      <c r="CU468" s="680"/>
      <c r="CV468" s="680"/>
      <c r="CW468" s="680"/>
      <c r="CX468" s="680"/>
      <c r="CY468" s="680"/>
      <c r="CZ468" s="680"/>
      <c r="DA468" s="680"/>
      <c r="DB468" s="680"/>
      <c r="DC468" s="680"/>
      <c r="DD468" s="680"/>
      <c r="DE468" s="680"/>
      <c r="DF468" s="680"/>
      <c r="DG468" s="680"/>
    </row>
    <row r="469" ht="20.25" customHeight="1">
      <c r="A469" s="331" t="s">
        <v>520</v>
      </c>
      <c r="B469" s="331" t="s">
        <v>107</v>
      </c>
      <c r="C469" s="331" t="s">
        <v>226</v>
      </c>
      <c r="D469" s="335"/>
      <c r="E469" s="332" t="s">
        <v>2544</v>
      </c>
      <c r="F469" s="331" t="s">
        <v>2568</v>
      </c>
      <c r="G469" s="331" t="s">
        <v>229</v>
      </c>
      <c r="H469" s="755">
        <v>45626.0</v>
      </c>
      <c r="I469" s="159">
        <v>45684.0</v>
      </c>
      <c r="J469" s="335"/>
      <c r="K469" s="335"/>
      <c r="L469" s="331" t="s">
        <v>2548</v>
      </c>
      <c r="M469" s="331" t="s">
        <v>2549</v>
      </c>
      <c r="N469" s="756">
        <v>2.0</v>
      </c>
      <c r="O469" s="757" t="str">
        <f> hyperlink(vlookup(lower(M469),'File Links'!A:B, 2, FALSE), SUBSTITUTE(lower(M469), "/", "--") &amp;  ".pdf")</f>
        <v>10.1086--648381.pdf</v>
      </c>
      <c r="P469" s="48" t="str">
        <f t="array" ref="P469">HYPERLINK(INDEX('File Links'!B:B, MATCH(O469, 'File Links'!C:C, 0)))
</f>
        <v>https://drive.google.com/file/d/14GutnAtB1f13xcVqwnhfc_-RMT6AP_5B/view?usp=drivesdk</v>
      </c>
      <c r="Q469" s="331" t="s">
        <v>2550</v>
      </c>
      <c r="R469" s="331" t="s">
        <v>2551</v>
      </c>
      <c r="S469" s="335"/>
      <c r="T469" s="331">
        <v>1.0</v>
      </c>
      <c r="U469" s="331" t="str">
        <f> hyperlink(vlookup(lower(R469),'File Links'!E:F, 2, FALSE), SUBSTITUTE(lower(R469), "/", "--") &amp;  ".pdf")</f>
        <v>10.1016--j.jesp.2024.104619.pdf</v>
      </c>
      <c r="V469" s="331" t="s">
        <v>2552</v>
      </c>
      <c r="W469" s="45" t="str">
        <f t="array" ref="W469">HYPERLINK(INDEX('File Links'!B:B, MATCH(U469, 'File Links'!C:C, 0)))
</f>
        <v>#N/A</v>
      </c>
      <c r="X469" s="335"/>
      <c r="Y469" s="331" t="s">
        <v>2553</v>
      </c>
      <c r="Z469" s="331" t="s">
        <v>2554</v>
      </c>
      <c r="AA469" s="756" t="s">
        <v>2555</v>
      </c>
      <c r="AB469" s="331" t="s">
        <v>2556</v>
      </c>
      <c r="AC469" s="331" t="s">
        <v>2569</v>
      </c>
      <c r="AD469" s="331">
        <v>1040.0</v>
      </c>
      <c r="AE469" s="331">
        <v>68.0</v>
      </c>
      <c r="AF469" s="331" t="s">
        <v>2570</v>
      </c>
      <c r="AG469" s="335"/>
      <c r="AH469" s="335"/>
      <c r="AI469" s="331" t="s">
        <v>2571</v>
      </c>
      <c r="AJ469" s="331" t="s">
        <v>127</v>
      </c>
      <c r="AK469" s="331" t="s">
        <v>179</v>
      </c>
      <c r="AL469" s="333"/>
      <c r="AM469" s="335"/>
      <c r="AN469" s="331">
        <v>1018.0</v>
      </c>
      <c r="AO469" s="331" t="s">
        <v>2572</v>
      </c>
      <c r="AP469" s="331" t="s">
        <v>130</v>
      </c>
      <c r="AQ469" s="331" t="s">
        <v>610</v>
      </c>
      <c r="AR469" s="331" t="s">
        <v>2573</v>
      </c>
      <c r="AS469" s="331" t="s">
        <v>164</v>
      </c>
      <c r="AT469" s="331" t="s">
        <v>179</v>
      </c>
      <c r="AU469" s="333"/>
      <c r="AV469" s="333"/>
      <c r="AW469" s="738"/>
      <c r="AX469" s="335"/>
      <c r="AY469" s="333"/>
      <c r="AZ469" s="680"/>
      <c r="BA469" s="680"/>
      <c r="BB469" s="680"/>
      <c r="BC469" s="680"/>
      <c r="BD469" s="680"/>
      <c r="BE469" s="680"/>
      <c r="BF469" s="680"/>
      <c r="BG469" s="680"/>
      <c r="BH469" s="680"/>
      <c r="BI469" s="680"/>
      <c r="BJ469" s="680"/>
      <c r="BK469" s="680"/>
      <c r="BL469" s="680"/>
      <c r="BM469" s="680"/>
      <c r="BN469" s="680"/>
      <c r="BO469" s="680"/>
      <c r="BP469" s="680"/>
      <c r="BQ469" s="680"/>
      <c r="BR469" s="680"/>
      <c r="BS469" s="680"/>
      <c r="BT469" s="680"/>
      <c r="BU469" s="680"/>
      <c r="BV469" s="680"/>
      <c r="BW469" s="680"/>
      <c r="BX469" s="680"/>
      <c r="BY469" s="680"/>
      <c r="BZ469" s="680"/>
      <c r="CA469" s="680"/>
      <c r="CB469" s="680"/>
      <c r="CC469" s="680"/>
      <c r="CD469" s="680"/>
      <c r="CE469" s="680"/>
      <c r="CF469" s="680"/>
      <c r="CG469" s="680"/>
      <c r="CH469" s="680"/>
      <c r="CI469" s="680"/>
      <c r="CJ469" s="680"/>
      <c r="CK469" s="680"/>
      <c r="CL469" s="680"/>
      <c r="CM469" s="680"/>
      <c r="CN469" s="680"/>
      <c r="CO469" s="680"/>
      <c r="CP469" s="680"/>
      <c r="CQ469" s="680"/>
      <c r="CR469" s="680"/>
      <c r="CS469" s="680"/>
      <c r="CT469" s="680"/>
      <c r="CU469" s="680"/>
      <c r="CV469" s="680"/>
      <c r="CW469" s="680"/>
      <c r="CX469" s="680"/>
      <c r="CY469" s="680"/>
      <c r="CZ469" s="680"/>
      <c r="DA469" s="680"/>
      <c r="DB469" s="680"/>
      <c r="DC469" s="680"/>
      <c r="DD469" s="680"/>
      <c r="DE469" s="680"/>
      <c r="DF469" s="680"/>
      <c r="DG469" s="680"/>
    </row>
    <row r="470" ht="20.25" customHeight="1">
      <c r="A470" s="331" t="s">
        <v>520</v>
      </c>
      <c r="B470" s="758" t="s">
        <v>107</v>
      </c>
      <c r="C470" s="758" t="s">
        <v>243</v>
      </c>
      <c r="D470" s="759"/>
      <c r="E470" s="722" t="s">
        <v>2544</v>
      </c>
      <c r="F470" s="758" t="s">
        <v>2568</v>
      </c>
      <c r="G470" s="758" t="s">
        <v>244</v>
      </c>
      <c r="H470" s="760">
        <v>45625.0</v>
      </c>
      <c r="I470" s="159">
        <v>45684.0</v>
      </c>
      <c r="J470" s="758" t="s">
        <v>2574</v>
      </c>
      <c r="K470" s="759"/>
      <c r="L470" s="758" t="s">
        <v>2548</v>
      </c>
      <c r="M470" s="758" t="s">
        <v>2549</v>
      </c>
      <c r="N470" s="756">
        <v>2.0</v>
      </c>
      <c r="O470" s="761" t="str">
        <f> hyperlink(vlookup(lower(M470),'File Links'!A:B, 2, FALSE), SUBSTITUTE(lower(M470), "/", "--") &amp;  ".pdf")</f>
        <v>10.1086--648381.pdf</v>
      </c>
      <c r="P470" s="48" t="str">
        <f t="array" ref="P470">HYPERLINK(INDEX('File Links'!B:B, MATCH(O470, 'File Links'!C:C, 0)))
</f>
        <v>https://drive.google.com/file/d/14GutnAtB1f13xcVqwnhfc_-RMT6AP_5B/view?usp=drivesdk</v>
      </c>
      <c r="Q470" s="758" t="s">
        <v>2550</v>
      </c>
      <c r="R470" s="758" t="s">
        <v>2551</v>
      </c>
      <c r="S470" s="759"/>
      <c r="T470" s="759"/>
      <c r="U470" s="758" t="str">
        <f> hyperlink(vlookup(lower(R470),'File Links'!E:F, 2, FALSE), SUBSTITUTE(lower(R470), "/", "--") &amp;  ".pdf")</f>
        <v>10.1016--j.jesp.2024.104619.pdf</v>
      </c>
      <c r="V470" s="759"/>
      <c r="W470" s="45" t="str">
        <f t="array" ref="W470">HYPERLINK(INDEX('File Links'!B:B, MATCH(U470, 'File Links'!C:C, 0)))
</f>
        <v>#N/A</v>
      </c>
      <c r="X470" s="759"/>
      <c r="Y470" s="758" t="s">
        <v>2553</v>
      </c>
      <c r="Z470" s="331" t="s">
        <v>2554</v>
      </c>
      <c r="AA470" s="756" t="s">
        <v>2555</v>
      </c>
      <c r="AB470" s="762" t="s">
        <v>2575</v>
      </c>
      <c r="AC470" s="758" t="s">
        <v>2576</v>
      </c>
      <c r="AD470" s="758">
        <v>1040.0</v>
      </c>
      <c r="AE470" s="758">
        <v>68.0</v>
      </c>
      <c r="AF470" s="758">
        <v>2.36</v>
      </c>
      <c r="AG470" s="758" t="s">
        <v>1051</v>
      </c>
      <c r="AH470" s="759"/>
      <c r="AI470" s="758" t="s">
        <v>2577</v>
      </c>
      <c r="AJ470" s="758" t="s">
        <v>329</v>
      </c>
      <c r="AK470" s="758" t="s">
        <v>179</v>
      </c>
      <c r="AL470" s="647"/>
      <c r="AM470" s="759"/>
      <c r="AN470" s="758">
        <v>1018.0</v>
      </c>
      <c r="AO470" s="758" t="s">
        <v>2578</v>
      </c>
      <c r="AP470" s="758" t="s">
        <v>1051</v>
      </c>
      <c r="AQ470" s="759"/>
      <c r="AR470" s="758" t="s">
        <v>2579</v>
      </c>
      <c r="AS470" s="758" t="s">
        <v>164</v>
      </c>
      <c r="AT470" s="758" t="s">
        <v>179</v>
      </c>
      <c r="AU470" s="647"/>
      <c r="AV470" s="647"/>
      <c r="AW470" s="733"/>
      <c r="AX470" s="759"/>
      <c r="AY470" s="647"/>
      <c r="AZ470" s="680"/>
      <c r="BA470" s="680"/>
      <c r="BB470" s="680"/>
      <c r="BC470" s="680"/>
      <c r="BD470" s="680"/>
      <c r="BE470" s="680"/>
      <c r="BF470" s="680"/>
      <c r="BG470" s="680"/>
      <c r="BH470" s="680"/>
      <c r="BI470" s="680"/>
      <c r="BJ470" s="680"/>
      <c r="BK470" s="680"/>
      <c r="BL470" s="680"/>
      <c r="BM470" s="680"/>
      <c r="BN470" s="680"/>
      <c r="BO470" s="680"/>
      <c r="BP470" s="680"/>
      <c r="BQ470" s="680"/>
      <c r="BR470" s="680"/>
      <c r="BS470" s="680"/>
      <c r="BT470" s="680"/>
      <c r="BU470" s="680"/>
      <c r="BV470" s="680"/>
      <c r="BW470" s="680"/>
      <c r="BX470" s="680"/>
      <c r="BY470" s="680"/>
      <c r="BZ470" s="680"/>
      <c r="CA470" s="680"/>
      <c r="CB470" s="680"/>
      <c r="CC470" s="680"/>
      <c r="CD470" s="680"/>
      <c r="CE470" s="680"/>
      <c r="CF470" s="680"/>
      <c r="CG470" s="680"/>
      <c r="CH470" s="680"/>
      <c r="CI470" s="680"/>
      <c r="CJ470" s="680"/>
      <c r="CK470" s="680"/>
      <c r="CL470" s="680"/>
      <c r="CM470" s="680"/>
      <c r="CN470" s="680"/>
      <c r="CO470" s="680"/>
      <c r="CP470" s="680"/>
      <c r="CQ470" s="680"/>
      <c r="CR470" s="680"/>
      <c r="CS470" s="680"/>
      <c r="CT470" s="680"/>
      <c r="CU470" s="680"/>
      <c r="CV470" s="680"/>
      <c r="CW470" s="680"/>
      <c r="CX470" s="680"/>
      <c r="CY470" s="680"/>
      <c r="CZ470" s="680"/>
      <c r="DA470" s="680"/>
      <c r="DB470" s="680"/>
      <c r="DC470" s="680"/>
      <c r="DD470" s="680"/>
      <c r="DE470" s="680"/>
      <c r="DF470" s="680"/>
      <c r="DG470" s="680"/>
    </row>
    <row r="471" ht="20.25" customHeight="1">
      <c r="A471" s="331" t="s">
        <v>520</v>
      </c>
      <c r="B471" s="331" t="s">
        <v>107</v>
      </c>
      <c r="C471" s="331" t="s">
        <v>226</v>
      </c>
      <c r="D471" s="335"/>
      <c r="E471" s="332" t="s">
        <v>2544</v>
      </c>
      <c r="F471" s="331" t="s">
        <v>2580</v>
      </c>
      <c r="G471" s="331" t="s">
        <v>229</v>
      </c>
      <c r="H471" s="755">
        <v>45626.0</v>
      </c>
      <c r="I471" s="159">
        <v>45684.0</v>
      </c>
      <c r="J471" s="331" t="s">
        <v>254</v>
      </c>
      <c r="K471" s="335"/>
      <c r="L471" s="331" t="s">
        <v>2548</v>
      </c>
      <c r="M471" s="331" t="s">
        <v>2549</v>
      </c>
      <c r="N471" s="756">
        <v>2.0</v>
      </c>
      <c r="O471" s="757" t="str">
        <f> hyperlink(vlookup(lower(M471),'File Links'!A:B, 2, FALSE), SUBSTITUTE(lower(M471), "/", "--") &amp;  ".pdf")</f>
        <v>10.1086--648381.pdf</v>
      </c>
      <c r="P471" s="48" t="str">
        <f t="array" ref="P471">HYPERLINK(INDEX('File Links'!B:B, MATCH(O471, 'File Links'!C:C, 0)))
</f>
        <v>https://drive.google.com/file/d/14GutnAtB1f13xcVqwnhfc_-RMT6AP_5B/view?usp=drivesdk</v>
      </c>
      <c r="Q471" s="331" t="s">
        <v>2550</v>
      </c>
      <c r="R471" s="331" t="s">
        <v>2551</v>
      </c>
      <c r="S471" s="335"/>
      <c r="T471" s="331">
        <v>1.0</v>
      </c>
      <c r="U471" s="331" t="str">
        <f> hyperlink(vlookup(lower(R471),'File Links'!E:F, 2, FALSE), SUBSTITUTE(lower(R471), "/", "--") &amp;  ".pdf")</f>
        <v>10.1016--j.jesp.2024.104619.pdf</v>
      </c>
      <c r="V471" s="331" t="s">
        <v>2552</v>
      </c>
      <c r="W471" s="45" t="str">
        <f t="array" ref="W471">HYPERLINK(INDEX('File Links'!B:B, MATCH(U471, 'File Links'!C:C, 0)))
</f>
        <v>#N/A</v>
      </c>
      <c r="X471" s="335"/>
      <c r="Y471" s="331" t="s">
        <v>2553</v>
      </c>
      <c r="Z471" s="331" t="s">
        <v>2554</v>
      </c>
      <c r="AA471" s="756" t="s">
        <v>2555</v>
      </c>
      <c r="AB471" s="331" t="s">
        <v>2556</v>
      </c>
      <c r="AC471" s="335"/>
      <c r="AD471" s="335"/>
      <c r="AE471" s="335"/>
      <c r="AF471" s="335"/>
      <c r="AG471" s="335"/>
      <c r="AH471" s="335"/>
      <c r="AI471" s="331"/>
      <c r="AJ471" s="335"/>
      <c r="AK471" s="335"/>
      <c r="AL471" s="333"/>
      <c r="AM471" s="335"/>
      <c r="AN471" s="331">
        <v>1018.0</v>
      </c>
      <c r="AO471" s="331" t="s">
        <v>2581</v>
      </c>
      <c r="AP471" s="331" t="s">
        <v>130</v>
      </c>
      <c r="AQ471" s="331" t="s">
        <v>625</v>
      </c>
      <c r="AR471" s="331" t="s">
        <v>2582</v>
      </c>
      <c r="AS471" s="331" t="s">
        <v>127</v>
      </c>
      <c r="AT471" s="331" t="s">
        <v>179</v>
      </c>
      <c r="AU471" s="333"/>
      <c r="AV471" s="333"/>
      <c r="AW471" s="738"/>
      <c r="AX471" s="335"/>
      <c r="AY471" s="333"/>
    </row>
    <row r="472" ht="20.25" customHeight="1">
      <c r="A472" s="331" t="s">
        <v>520</v>
      </c>
      <c r="B472" s="758" t="s">
        <v>107</v>
      </c>
      <c r="C472" s="758" t="s">
        <v>243</v>
      </c>
      <c r="D472" s="759"/>
      <c r="E472" s="722" t="s">
        <v>2544</v>
      </c>
      <c r="F472" s="758" t="s">
        <v>2580</v>
      </c>
      <c r="G472" s="758" t="s">
        <v>244</v>
      </c>
      <c r="H472" s="760">
        <v>45625.0</v>
      </c>
      <c r="I472" s="159">
        <v>45684.0</v>
      </c>
      <c r="J472" s="758" t="s">
        <v>2583</v>
      </c>
      <c r="K472" s="759"/>
      <c r="L472" s="758" t="s">
        <v>2548</v>
      </c>
      <c r="M472" s="758" t="s">
        <v>2549</v>
      </c>
      <c r="N472" s="756">
        <v>2.0</v>
      </c>
      <c r="O472" s="761" t="str">
        <f> hyperlink(vlookup(lower(M472),'File Links'!A:B, 2, FALSE), SUBSTITUTE(lower(M472), "/", "--") &amp;  ".pdf")</f>
        <v>10.1086--648381.pdf</v>
      </c>
      <c r="P472" s="48" t="str">
        <f t="array" ref="P472">HYPERLINK(INDEX('File Links'!B:B, MATCH(O472, 'File Links'!C:C, 0)))
</f>
        <v>https://drive.google.com/file/d/14GutnAtB1f13xcVqwnhfc_-RMT6AP_5B/view?usp=drivesdk</v>
      </c>
      <c r="Q472" s="758" t="s">
        <v>2550</v>
      </c>
      <c r="R472" s="758" t="s">
        <v>2551</v>
      </c>
      <c r="S472" s="759"/>
      <c r="T472" s="759"/>
      <c r="U472" s="758" t="str">
        <f> hyperlink(vlookup(lower(R472),'File Links'!E:F, 2, FALSE), SUBSTITUTE(lower(R472), "/", "--") &amp;  ".pdf")</f>
        <v>10.1016--j.jesp.2024.104619.pdf</v>
      </c>
      <c r="V472" s="759"/>
      <c r="W472" s="45" t="str">
        <f t="array" ref="W472">HYPERLINK(INDEX('File Links'!B:B, MATCH(U472, 'File Links'!C:C, 0)))
</f>
        <v>#N/A</v>
      </c>
      <c r="X472" s="759"/>
      <c r="Y472" s="758" t="s">
        <v>2553</v>
      </c>
      <c r="Z472" s="331" t="s">
        <v>2554</v>
      </c>
      <c r="AA472" s="756" t="s">
        <v>2555</v>
      </c>
      <c r="AB472" s="762" t="s">
        <v>2584</v>
      </c>
      <c r="AC472" s="758" t="s">
        <v>2585</v>
      </c>
      <c r="AD472" s="758">
        <v>1040.0</v>
      </c>
      <c r="AE472" s="758">
        <v>68.0</v>
      </c>
      <c r="AF472" s="758" t="s">
        <v>2586</v>
      </c>
      <c r="AG472" s="758" t="s">
        <v>1051</v>
      </c>
      <c r="AH472" s="759"/>
      <c r="AI472" s="758" t="s">
        <v>2587</v>
      </c>
      <c r="AJ472" s="758" t="s">
        <v>329</v>
      </c>
      <c r="AK472" s="758" t="s">
        <v>179</v>
      </c>
      <c r="AL472" s="647"/>
      <c r="AM472" s="759"/>
      <c r="AN472" s="758">
        <v>1018.0</v>
      </c>
      <c r="AO472" s="758" t="s">
        <v>2588</v>
      </c>
      <c r="AP472" s="758" t="s">
        <v>1051</v>
      </c>
      <c r="AQ472" s="759"/>
      <c r="AR472" s="758" t="s">
        <v>2589</v>
      </c>
      <c r="AS472" s="758" t="s">
        <v>164</v>
      </c>
      <c r="AT472" s="758" t="s">
        <v>179</v>
      </c>
      <c r="AU472" s="647"/>
      <c r="AV472" s="647"/>
      <c r="AW472" s="733"/>
      <c r="AX472" s="759"/>
      <c r="AY472" s="647"/>
    </row>
    <row r="473" ht="20.25" customHeight="1">
      <c r="A473" s="331" t="s">
        <v>520</v>
      </c>
      <c r="B473" s="331" t="s">
        <v>107</v>
      </c>
      <c r="C473" s="331" t="s">
        <v>226</v>
      </c>
      <c r="D473" s="335"/>
      <c r="E473" s="332" t="s">
        <v>2544</v>
      </c>
      <c r="F473" s="331" t="s">
        <v>2590</v>
      </c>
      <c r="G473" s="331" t="s">
        <v>229</v>
      </c>
      <c r="H473" s="755">
        <v>45626.0</v>
      </c>
      <c r="I473" s="159">
        <v>45684.0</v>
      </c>
      <c r="J473" s="331" t="s">
        <v>254</v>
      </c>
      <c r="K473" s="335"/>
      <c r="L473" s="331" t="s">
        <v>2548</v>
      </c>
      <c r="M473" s="331" t="s">
        <v>2549</v>
      </c>
      <c r="N473" s="756">
        <v>2.0</v>
      </c>
      <c r="O473" s="757" t="str">
        <f> hyperlink(vlookup(lower(M473),'File Links'!A:B, 2, FALSE), SUBSTITUTE(lower(M473), "/", "--") &amp;  ".pdf")</f>
        <v>10.1086--648381.pdf</v>
      </c>
      <c r="P473" s="48" t="str">
        <f t="array" ref="P473">HYPERLINK(INDEX('File Links'!B:B, MATCH(O473, 'File Links'!C:C, 0)))
</f>
        <v>https://drive.google.com/file/d/14GutnAtB1f13xcVqwnhfc_-RMT6AP_5B/view?usp=drivesdk</v>
      </c>
      <c r="Q473" s="331" t="s">
        <v>2550</v>
      </c>
      <c r="R473" s="331" t="s">
        <v>2551</v>
      </c>
      <c r="S473" s="335"/>
      <c r="T473" s="331">
        <v>1.0</v>
      </c>
      <c r="U473" s="331" t="str">
        <f> hyperlink(vlookup(lower(R473),'File Links'!E:F, 2, FALSE), SUBSTITUTE(lower(R473), "/", "--") &amp;  ".pdf")</f>
        <v>10.1016--j.jesp.2024.104619.pdf</v>
      </c>
      <c r="V473" s="331" t="s">
        <v>2552</v>
      </c>
      <c r="W473" s="45" t="str">
        <f t="array" ref="W473">HYPERLINK(INDEX('File Links'!B:B, MATCH(U473, 'File Links'!C:C, 0)))
</f>
        <v>#N/A</v>
      </c>
      <c r="X473" s="335"/>
      <c r="Y473" s="331" t="s">
        <v>2553</v>
      </c>
      <c r="Z473" s="331" t="s">
        <v>2554</v>
      </c>
      <c r="AA473" s="756" t="s">
        <v>2555</v>
      </c>
      <c r="AB473" s="331" t="s">
        <v>2556</v>
      </c>
      <c r="AC473" s="335"/>
      <c r="AD473" s="335"/>
      <c r="AE473" s="335"/>
      <c r="AF473" s="335"/>
      <c r="AG473" s="335"/>
      <c r="AH473" s="335"/>
      <c r="AI473" s="331"/>
      <c r="AJ473" s="335"/>
      <c r="AK473" s="335"/>
      <c r="AL473" s="333"/>
      <c r="AM473" s="335"/>
      <c r="AN473" s="331">
        <v>1018.0</v>
      </c>
      <c r="AO473" s="331" t="s">
        <v>2591</v>
      </c>
      <c r="AP473" s="335"/>
      <c r="AQ473" s="335"/>
      <c r="AR473" s="331" t="s">
        <v>2592</v>
      </c>
      <c r="AS473" s="331" t="s">
        <v>164</v>
      </c>
      <c r="AT473" s="331" t="s">
        <v>179</v>
      </c>
      <c r="AU473" s="333"/>
      <c r="AV473" s="333"/>
      <c r="AW473" s="738"/>
      <c r="AX473" s="335"/>
      <c r="AY473" s="333"/>
      <c r="AZ473" s="763"/>
      <c r="BA473" s="763"/>
      <c r="BB473" s="763"/>
      <c r="BC473" s="763"/>
      <c r="BD473" s="763"/>
      <c r="BE473" s="763"/>
      <c r="BF473" s="763"/>
      <c r="BG473" s="763"/>
      <c r="BH473" s="763"/>
      <c r="BI473" s="763"/>
      <c r="BJ473" s="763"/>
      <c r="BK473" s="763"/>
      <c r="BL473" s="763"/>
      <c r="BM473" s="763"/>
      <c r="BN473" s="763"/>
      <c r="BO473" s="763"/>
      <c r="BP473" s="763"/>
      <c r="BQ473" s="763"/>
      <c r="BR473" s="763"/>
      <c r="BS473" s="763"/>
      <c r="BT473" s="763"/>
      <c r="BU473" s="763"/>
      <c r="BV473" s="763"/>
      <c r="BW473" s="763"/>
      <c r="BX473" s="763"/>
      <c r="BY473" s="763"/>
      <c r="BZ473" s="763"/>
      <c r="CA473" s="763"/>
      <c r="CB473" s="763"/>
      <c r="CC473" s="763"/>
      <c r="CD473" s="763"/>
      <c r="CE473" s="763"/>
      <c r="CF473" s="763"/>
      <c r="CG473" s="763"/>
      <c r="CH473" s="763"/>
      <c r="CI473" s="763"/>
      <c r="CJ473" s="763"/>
      <c r="CK473" s="763"/>
      <c r="CL473" s="763"/>
      <c r="CM473" s="763"/>
      <c r="CN473" s="763"/>
      <c r="CO473" s="763"/>
      <c r="CP473" s="763"/>
      <c r="CQ473" s="763"/>
      <c r="CR473" s="763"/>
      <c r="CS473" s="763"/>
      <c r="CT473" s="763"/>
      <c r="CU473" s="763"/>
      <c r="CV473" s="763"/>
      <c r="CW473" s="763"/>
      <c r="CX473" s="763"/>
      <c r="CY473" s="763"/>
      <c r="CZ473" s="763"/>
      <c r="DA473" s="763"/>
      <c r="DB473" s="763"/>
      <c r="DC473" s="763"/>
      <c r="DD473" s="763"/>
      <c r="DE473" s="763"/>
      <c r="DF473" s="763"/>
      <c r="DG473" s="763"/>
    </row>
    <row r="474" ht="20.25" customHeight="1">
      <c r="A474" s="331" t="s">
        <v>520</v>
      </c>
      <c r="B474" s="758" t="s">
        <v>107</v>
      </c>
      <c r="C474" s="758" t="s">
        <v>243</v>
      </c>
      <c r="D474" s="759"/>
      <c r="E474" s="722" t="s">
        <v>2544</v>
      </c>
      <c r="F474" s="758" t="s">
        <v>2590</v>
      </c>
      <c r="G474" s="758" t="s">
        <v>244</v>
      </c>
      <c r="H474" s="760">
        <v>45625.0</v>
      </c>
      <c r="I474" s="159">
        <v>45684.0</v>
      </c>
      <c r="J474" s="758" t="s">
        <v>2593</v>
      </c>
      <c r="K474" s="759"/>
      <c r="L474" s="758" t="s">
        <v>2548</v>
      </c>
      <c r="M474" s="758" t="s">
        <v>2549</v>
      </c>
      <c r="N474" s="756">
        <v>2.0</v>
      </c>
      <c r="O474" s="761" t="str">
        <f> hyperlink(vlookup(lower(M474),'File Links'!A:B, 2, FALSE), SUBSTITUTE(lower(M474), "/", "--") &amp;  ".pdf")</f>
        <v>10.1086--648381.pdf</v>
      </c>
      <c r="P474" s="48" t="str">
        <f t="array" ref="P474">HYPERLINK(INDEX('File Links'!B:B, MATCH(O474, 'File Links'!C:C, 0)))
</f>
        <v>https://drive.google.com/file/d/14GutnAtB1f13xcVqwnhfc_-RMT6AP_5B/view?usp=drivesdk</v>
      </c>
      <c r="Q474" s="758" t="s">
        <v>2550</v>
      </c>
      <c r="R474" s="758" t="s">
        <v>2551</v>
      </c>
      <c r="S474" s="759"/>
      <c r="T474" s="759"/>
      <c r="U474" s="758" t="str">
        <f> hyperlink(vlookup(lower(R474),'File Links'!E:F, 2, FALSE), SUBSTITUTE(lower(R474), "/", "--") &amp;  ".pdf")</f>
        <v>10.1016--j.jesp.2024.104619.pdf</v>
      </c>
      <c r="V474" s="759"/>
      <c r="W474" s="45" t="str">
        <f t="array" ref="W474">HYPERLINK(INDEX('File Links'!B:B, MATCH(U474, 'File Links'!C:C, 0)))
</f>
        <v>#N/A</v>
      </c>
      <c r="X474" s="759"/>
      <c r="Y474" s="758" t="s">
        <v>2553</v>
      </c>
      <c r="Z474" s="331" t="s">
        <v>2554</v>
      </c>
      <c r="AA474" s="756" t="s">
        <v>2555</v>
      </c>
      <c r="AB474" s="762" t="s">
        <v>2594</v>
      </c>
      <c r="AC474" s="758" t="s">
        <v>2595</v>
      </c>
      <c r="AD474" s="758">
        <v>1040.0</v>
      </c>
      <c r="AE474" s="758">
        <v>68.0</v>
      </c>
      <c r="AF474" s="758">
        <v>9.7</v>
      </c>
      <c r="AG474" s="758" t="s">
        <v>1051</v>
      </c>
      <c r="AH474" s="759"/>
      <c r="AI474" s="758" t="s">
        <v>2596</v>
      </c>
      <c r="AJ474" s="758" t="s">
        <v>127</v>
      </c>
      <c r="AK474" s="758" t="s">
        <v>179</v>
      </c>
      <c r="AL474" s="647"/>
      <c r="AM474" s="759"/>
      <c r="AN474" s="758">
        <v>1018.0</v>
      </c>
      <c r="AO474" s="758" t="s">
        <v>2597</v>
      </c>
      <c r="AP474" s="758" t="s">
        <v>1051</v>
      </c>
      <c r="AQ474" s="759"/>
      <c r="AR474" s="758" t="s">
        <v>2598</v>
      </c>
      <c r="AS474" s="758" t="s">
        <v>164</v>
      </c>
      <c r="AT474" s="758" t="s">
        <v>179</v>
      </c>
      <c r="AU474" s="647"/>
      <c r="AV474" s="647"/>
      <c r="AW474" s="733"/>
      <c r="AX474" s="759"/>
      <c r="AY474" s="647"/>
      <c r="AZ474" s="763"/>
      <c r="BA474" s="763"/>
      <c r="BB474" s="763"/>
      <c r="BC474" s="763"/>
      <c r="BD474" s="763"/>
      <c r="BE474" s="763"/>
      <c r="BF474" s="763"/>
      <c r="BG474" s="763"/>
      <c r="BH474" s="763"/>
      <c r="BI474" s="763"/>
      <c r="BJ474" s="763"/>
      <c r="BK474" s="763"/>
      <c r="BL474" s="763"/>
      <c r="BM474" s="763"/>
      <c r="BN474" s="763"/>
      <c r="BO474" s="763"/>
      <c r="BP474" s="763"/>
      <c r="BQ474" s="763"/>
      <c r="BR474" s="763"/>
      <c r="BS474" s="763"/>
      <c r="BT474" s="763"/>
      <c r="BU474" s="763"/>
      <c r="BV474" s="763"/>
      <c r="BW474" s="763"/>
      <c r="BX474" s="763"/>
      <c r="BY474" s="763"/>
      <c r="BZ474" s="763"/>
      <c r="CA474" s="763"/>
      <c r="CB474" s="763"/>
      <c r="CC474" s="763"/>
      <c r="CD474" s="763"/>
      <c r="CE474" s="763"/>
      <c r="CF474" s="763"/>
      <c r="CG474" s="763"/>
      <c r="CH474" s="763"/>
      <c r="CI474" s="763"/>
      <c r="CJ474" s="763"/>
      <c r="CK474" s="763"/>
      <c r="CL474" s="763"/>
      <c r="CM474" s="763"/>
      <c r="CN474" s="763"/>
      <c r="CO474" s="763"/>
      <c r="CP474" s="763"/>
      <c r="CQ474" s="763"/>
      <c r="CR474" s="763"/>
      <c r="CS474" s="763"/>
      <c r="CT474" s="763"/>
      <c r="CU474" s="763"/>
      <c r="CV474" s="763"/>
      <c r="CW474" s="763"/>
      <c r="CX474" s="763"/>
      <c r="CY474" s="763"/>
      <c r="CZ474" s="763"/>
      <c r="DA474" s="763"/>
      <c r="DB474" s="763"/>
      <c r="DC474" s="763"/>
      <c r="DD474" s="763"/>
      <c r="DE474" s="763"/>
      <c r="DF474" s="763"/>
      <c r="DG474" s="763"/>
    </row>
    <row r="475" ht="20.25" customHeight="1">
      <c r="A475" s="331" t="s">
        <v>520</v>
      </c>
      <c r="B475" s="758" t="s">
        <v>107</v>
      </c>
      <c r="C475" s="758" t="s">
        <v>243</v>
      </c>
      <c r="D475" s="759"/>
      <c r="E475" s="722" t="s">
        <v>2544</v>
      </c>
      <c r="F475" s="758" t="s">
        <v>2599</v>
      </c>
      <c r="G475" s="758" t="s">
        <v>244</v>
      </c>
      <c r="H475" s="760">
        <v>45625.0</v>
      </c>
      <c r="I475" s="159">
        <v>45684.0</v>
      </c>
      <c r="J475" s="758" t="s">
        <v>2600</v>
      </c>
      <c r="K475" s="759"/>
      <c r="L475" s="758" t="s">
        <v>2548</v>
      </c>
      <c r="M475" s="758" t="s">
        <v>2549</v>
      </c>
      <c r="N475" s="756">
        <v>2.0</v>
      </c>
      <c r="O475" s="761" t="str">
        <f> hyperlink(vlookup(lower(M475),'File Links'!A:B, 2, FALSE), SUBSTITUTE(lower(M475), "/", "--") &amp;  ".pdf")</f>
        <v>10.1086--648381.pdf</v>
      </c>
      <c r="P475" s="48" t="str">
        <f t="array" ref="P475">HYPERLINK(INDEX('File Links'!B:B, MATCH(O475, 'File Links'!C:C, 0)))
</f>
        <v>https://drive.google.com/file/d/14GutnAtB1f13xcVqwnhfc_-RMT6AP_5B/view?usp=drivesdk</v>
      </c>
      <c r="Q475" s="758" t="s">
        <v>2550</v>
      </c>
      <c r="R475" s="758" t="s">
        <v>2551</v>
      </c>
      <c r="S475" s="759"/>
      <c r="T475" s="759"/>
      <c r="U475" s="758" t="str">
        <f> hyperlink(vlookup(lower(R475),'File Links'!E:F, 2, FALSE), SUBSTITUTE(lower(R475), "/", "--") &amp;  ".pdf")</f>
        <v>10.1016--j.jesp.2024.104619.pdf</v>
      </c>
      <c r="V475" s="759"/>
      <c r="W475" s="45" t="str">
        <f t="array" ref="W475">HYPERLINK(INDEX('File Links'!B:B, MATCH(U475, 'File Links'!C:C, 0)))
</f>
        <v>#N/A</v>
      </c>
      <c r="X475" s="759"/>
      <c r="Y475" s="758" t="s">
        <v>2553</v>
      </c>
      <c r="Z475" s="331" t="s">
        <v>2554</v>
      </c>
      <c r="AA475" s="756" t="s">
        <v>2555</v>
      </c>
      <c r="AB475" s="762" t="s">
        <v>2601</v>
      </c>
      <c r="AC475" s="758" t="s">
        <v>2602</v>
      </c>
      <c r="AD475" s="758">
        <v>1040.0</v>
      </c>
      <c r="AE475" s="758">
        <v>68.0</v>
      </c>
      <c r="AF475" s="758" t="s">
        <v>2586</v>
      </c>
      <c r="AG475" s="758" t="s">
        <v>1051</v>
      </c>
      <c r="AH475" s="759"/>
      <c r="AI475" s="758" t="s">
        <v>2587</v>
      </c>
      <c r="AJ475" s="758" t="s">
        <v>329</v>
      </c>
      <c r="AK475" s="758" t="s">
        <v>179</v>
      </c>
      <c r="AL475" s="647"/>
      <c r="AM475" s="759"/>
      <c r="AN475" s="758">
        <v>1018.0</v>
      </c>
      <c r="AO475" s="758" t="s">
        <v>2603</v>
      </c>
      <c r="AP475" s="758" t="s">
        <v>1051</v>
      </c>
      <c r="AQ475" s="759"/>
      <c r="AR475" s="758" t="s">
        <v>2604</v>
      </c>
      <c r="AS475" s="758" t="s">
        <v>329</v>
      </c>
      <c r="AT475" s="758" t="s">
        <v>179</v>
      </c>
      <c r="AU475" s="647"/>
      <c r="AV475" s="647"/>
      <c r="AW475" s="733"/>
      <c r="AX475" s="759"/>
      <c r="AY475" s="647"/>
      <c r="AZ475" s="763"/>
      <c r="BA475" s="763"/>
      <c r="BB475" s="763"/>
      <c r="BC475" s="763"/>
      <c r="BD475" s="763"/>
      <c r="BE475" s="763"/>
      <c r="BF475" s="763"/>
      <c r="BG475" s="763"/>
      <c r="BH475" s="763"/>
      <c r="BI475" s="763"/>
      <c r="BJ475" s="763"/>
      <c r="BK475" s="763"/>
      <c r="BL475" s="763"/>
      <c r="BM475" s="763"/>
      <c r="BN475" s="763"/>
      <c r="BO475" s="763"/>
      <c r="BP475" s="763"/>
      <c r="BQ475" s="763"/>
      <c r="BR475" s="763"/>
      <c r="BS475" s="763"/>
      <c r="BT475" s="763"/>
      <c r="BU475" s="763"/>
      <c r="BV475" s="763"/>
      <c r="BW475" s="763"/>
      <c r="BX475" s="763"/>
      <c r="BY475" s="763"/>
      <c r="BZ475" s="763"/>
      <c r="CA475" s="763"/>
      <c r="CB475" s="763"/>
      <c r="CC475" s="763"/>
      <c r="CD475" s="763"/>
      <c r="CE475" s="763"/>
      <c r="CF475" s="763"/>
      <c r="CG475" s="763"/>
      <c r="CH475" s="763"/>
      <c r="CI475" s="763"/>
      <c r="CJ475" s="763"/>
      <c r="CK475" s="763"/>
      <c r="CL475" s="763"/>
      <c r="CM475" s="763"/>
      <c r="CN475" s="763"/>
      <c r="CO475" s="763"/>
      <c r="CP475" s="763"/>
      <c r="CQ475" s="763"/>
      <c r="CR475" s="763"/>
      <c r="CS475" s="763"/>
      <c r="CT475" s="763"/>
      <c r="CU475" s="763"/>
      <c r="CV475" s="763"/>
      <c r="CW475" s="763"/>
      <c r="CX475" s="763"/>
      <c r="CY475" s="763"/>
      <c r="CZ475" s="763"/>
      <c r="DA475" s="763"/>
      <c r="DB475" s="763"/>
      <c r="DC475" s="763"/>
      <c r="DD475" s="763"/>
      <c r="DE475" s="763"/>
      <c r="DF475" s="763"/>
      <c r="DG475" s="763"/>
    </row>
    <row r="476" ht="20.25" customHeight="1">
      <c r="A476" s="331" t="s">
        <v>520</v>
      </c>
      <c r="B476" s="758" t="s">
        <v>107</v>
      </c>
      <c r="C476" s="758" t="s">
        <v>243</v>
      </c>
      <c r="D476" s="759"/>
      <c r="E476" s="722" t="s">
        <v>2544</v>
      </c>
      <c r="F476" s="758" t="s">
        <v>2605</v>
      </c>
      <c r="G476" s="758" t="s">
        <v>244</v>
      </c>
      <c r="H476" s="760">
        <v>45625.0</v>
      </c>
      <c r="I476" s="159">
        <v>45684.0</v>
      </c>
      <c r="J476" s="758" t="s">
        <v>2606</v>
      </c>
      <c r="K476" s="759"/>
      <c r="L476" s="758" t="s">
        <v>2548</v>
      </c>
      <c r="M476" s="758" t="s">
        <v>2549</v>
      </c>
      <c r="N476" s="756">
        <v>2.0</v>
      </c>
      <c r="O476" s="761" t="str">
        <f> hyperlink(vlookup(lower(M476),'File Links'!A:B, 2, FALSE), SUBSTITUTE(lower(M476), "/", "--") &amp;  ".pdf")</f>
        <v>10.1086--648381.pdf</v>
      </c>
      <c r="P476" s="48" t="str">
        <f t="array" ref="P476">HYPERLINK(INDEX('File Links'!B:B, MATCH(O476, 'File Links'!C:C, 0)))
</f>
        <v>https://drive.google.com/file/d/14GutnAtB1f13xcVqwnhfc_-RMT6AP_5B/view?usp=drivesdk</v>
      </c>
      <c r="Q476" s="758" t="s">
        <v>2550</v>
      </c>
      <c r="R476" s="758" t="s">
        <v>2551</v>
      </c>
      <c r="S476" s="759"/>
      <c r="T476" s="759"/>
      <c r="U476" s="758" t="str">
        <f> hyperlink(vlookup(lower(R476),'File Links'!E:F, 2, FALSE), SUBSTITUTE(lower(R476), "/", "--") &amp;  ".pdf")</f>
        <v>10.1016--j.jesp.2024.104619.pdf</v>
      </c>
      <c r="V476" s="759"/>
      <c r="W476" s="45" t="str">
        <f t="array" ref="W476">HYPERLINK(INDEX('File Links'!B:B, MATCH(U476, 'File Links'!C:C, 0)))
</f>
        <v>#N/A</v>
      </c>
      <c r="X476" s="759"/>
      <c r="Y476" s="758" t="s">
        <v>2553</v>
      </c>
      <c r="Z476" s="331" t="s">
        <v>2554</v>
      </c>
      <c r="AA476" s="756" t="s">
        <v>2555</v>
      </c>
      <c r="AB476" s="762" t="s">
        <v>2607</v>
      </c>
      <c r="AC476" s="758" t="s">
        <v>2608</v>
      </c>
      <c r="AD476" s="758">
        <v>1040.0</v>
      </c>
      <c r="AE476" s="758">
        <v>68.0</v>
      </c>
      <c r="AF476" s="758">
        <v>11.02</v>
      </c>
      <c r="AG476" s="758" t="s">
        <v>1051</v>
      </c>
      <c r="AH476" s="759"/>
      <c r="AI476" s="758" t="s">
        <v>2609</v>
      </c>
      <c r="AJ476" s="758" t="s">
        <v>127</v>
      </c>
      <c r="AK476" s="758" t="s">
        <v>179</v>
      </c>
      <c r="AL476" s="647"/>
      <c r="AM476" s="759"/>
      <c r="AN476" s="758">
        <v>1018.0</v>
      </c>
      <c r="AO476" s="758">
        <v>4.74</v>
      </c>
      <c r="AP476" s="758" t="s">
        <v>1051</v>
      </c>
      <c r="AQ476" s="759"/>
      <c r="AR476" s="758" t="s">
        <v>2610</v>
      </c>
      <c r="AS476" s="758" t="s">
        <v>164</v>
      </c>
      <c r="AT476" s="758" t="s">
        <v>179</v>
      </c>
      <c r="AU476" s="647"/>
      <c r="AV476" s="647"/>
      <c r="AW476" s="733"/>
      <c r="AX476" s="759"/>
      <c r="AY476" s="647"/>
      <c r="AZ476" s="215"/>
      <c r="BA476" s="215"/>
      <c r="BB476" s="215"/>
      <c r="BC476" s="215"/>
      <c r="BD476" s="215"/>
      <c r="BE476" s="215"/>
      <c r="BF476" s="215"/>
      <c r="BG476" s="215"/>
      <c r="BH476" s="215"/>
      <c r="BI476" s="215"/>
      <c r="BJ476" s="215"/>
      <c r="BK476" s="215"/>
      <c r="BL476" s="215"/>
      <c r="BM476" s="215"/>
      <c r="BN476" s="215"/>
      <c r="BO476" s="215"/>
      <c r="BP476" s="215"/>
      <c r="BQ476" s="215"/>
      <c r="BR476" s="215"/>
      <c r="BS476" s="215"/>
      <c r="BT476" s="215"/>
      <c r="BU476" s="215"/>
      <c r="BV476" s="215"/>
      <c r="BW476" s="215"/>
      <c r="BX476" s="215"/>
      <c r="BY476" s="215"/>
      <c r="BZ476" s="215"/>
      <c r="CA476" s="215"/>
      <c r="CB476" s="215"/>
      <c r="CC476" s="215"/>
      <c r="CD476" s="215"/>
      <c r="CE476" s="215"/>
      <c r="CF476" s="215"/>
      <c r="CG476" s="215"/>
      <c r="CH476" s="215"/>
      <c r="CI476" s="215"/>
      <c r="CJ476" s="215"/>
      <c r="CK476" s="215"/>
      <c r="CL476" s="215"/>
      <c r="CM476" s="215"/>
      <c r="CN476" s="215"/>
      <c r="CO476" s="215"/>
      <c r="CP476" s="215"/>
      <c r="CQ476" s="215"/>
      <c r="CR476" s="215"/>
      <c r="CS476" s="215"/>
      <c r="CT476" s="215"/>
      <c r="CU476" s="215"/>
      <c r="CV476" s="215"/>
      <c r="CW476" s="215"/>
      <c r="CX476" s="215"/>
      <c r="CY476" s="215"/>
      <c r="CZ476" s="215"/>
      <c r="DA476" s="215"/>
      <c r="DB476" s="215"/>
      <c r="DC476" s="215"/>
      <c r="DD476" s="215"/>
      <c r="DE476" s="215"/>
      <c r="DF476" s="215"/>
      <c r="DG476" s="215"/>
    </row>
    <row r="477" ht="20.25" customHeight="1">
      <c r="A477" s="441" t="s">
        <v>143</v>
      </c>
      <c r="B477" s="441" t="s">
        <v>107</v>
      </c>
      <c r="C477" s="441" t="s">
        <v>191</v>
      </c>
      <c r="D477" s="442"/>
      <c r="E477" s="111" t="s">
        <v>2611</v>
      </c>
      <c r="F477" s="112" t="s">
        <v>2612</v>
      </c>
      <c r="G477" s="112" t="s">
        <v>194</v>
      </c>
      <c r="H477" s="113">
        <v>45639.0</v>
      </c>
      <c r="I477" s="114">
        <v>45672.0</v>
      </c>
      <c r="J477" s="112" t="s">
        <v>2613</v>
      </c>
      <c r="K477" s="202" t="s">
        <v>2614</v>
      </c>
      <c r="L477" s="764" t="s">
        <v>2615</v>
      </c>
      <c r="M477" s="765" t="s">
        <v>2616</v>
      </c>
      <c r="N477" s="128">
        <v>1.0</v>
      </c>
      <c r="O477" s="212" t="s">
        <v>2617</v>
      </c>
      <c r="P477" s="48" t="str">
        <f t="array" ref="P477">HYPERLINK(INDEX('File Links'!B:B, MATCH(O477, 'File Links'!C:C, 0)))
</f>
        <v>https://drive.google.com/file/d/1JkE16HX10SxkzianGctH-9nm-XFaoMsF/view?usp=drivesdk</v>
      </c>
      <c r="Q477" s="112" t="s">
        <v>2618</v>
      </c>
      <c r="R477" s="112" t="s">
        <v>2619</v>
      </c>
      <c r="S477" s="119"/>
      <c r="T477" s="128">
        <v>1.0</v>
      </c>
      <c r="U477" s="112" t="s">
        <v>2620</v>
      </c>
      <c r="V477" s="99" t="s">
        <v>2621</v>
      </c>
      <c r="W477" s="45" t="str">
        <f t="array" ref="W477">HYPERLINK(INDEX('File Links'!B:B, MATCH(U477, 'File Links'!C:C, 0)))
</f>
        <v>#N/A</v>
      </c>
      <c r="X477" s="119"/>
      <c r="Y477" s="99" t="s">
        <v>139</v>
      </c>
      <c r="Z477" s="99" t="s">
        <v>2622</v>
      </c>
      <c r="AA477" s="103" t="s">
        <v>2623</v>
      </c>
      <c r="AB477" s="134" t="s">
        <v>2624</v>
      </c>
      <c r="AC477" s="103" t="s">
        <v>2625</v>
      </c>
      <c r="AD477" s="128">
        <v>3.0</v>
      </c>
      <c r="AE477" s="128">
        <v>2.0</v>
      </c>
      <c r="AF477" s="128">
        <v>0.96</v>
      </c>
      <c r="AG477" s="128" t="s">
        <v>2626</v>
      </c>
      <c r="AH477" s="128" t="s">
        <v>2627</v>
      </c>
      <c r="AI477" s="128">
        <v>0.001</v>
      </c>
      <c r="AJ477" s="40" t="s">
        <v>127</v>
      </c>
      <c r="AK477" s="40" t="s">
        <v>179</v>
      </c>
      <c r="AL477" s="381" t="s">
        <v>132</v>
      </c>
      <c r="AM477" s="128" t="s">
        <v>165</v>
      </c>
      <c r="AN477" s="128">
        <v>1.0</v>
      </c>
      <c r="AO477" s="128">
        <v>0.85</v>
      </c>
      <c r="AP477" s="128" t="s">
        <v>2626</v>
      </c>
      <c r="AQ477" s="128" t="s">
        <v>2628</v>
      </c>
      <c r="AR477" s="128" t="s">
        <v>165</v>
      </c>
      <c r="AS477" s="128" t="s">
        <v>165</v>
      </c>
      <c r="AT477" s="128" t="s">
        <v>165</v>
      </c>
      <c r="AU477" s="128" t="s">
        <v>165</v>
      </c>
      <c r="AV477" s="128" t="s">
        <v>165</v>
      </c>
      <c r="AW477" s="655" t="s">
        <v>142</v>
      </c>
      <c r="AX477" s="115" t="s">
        <v>2614</v>
      </c>
      <c r="AY477" s="110" t="s">
        <v>135</v>
      </c>
      <c r="AZ477" s="215"/>
      <c r="BA477" s="215"/>
      <c r="BB477" s="215"/>
      <c r="BC477" s="215"/>
      <c r="BD477" s="215"/>
      <c r="BE477" s="215"/>
      <c r="BF477" s="215"/>
      <c r="BG477" s="215"/>
      <c r="BH477" s="215"/>
      <c r="BI477" s="215"/>
      <c r="BJ477" s="215"/>
      <c r="BK477" s="215"/>
      <c r="BL477" s="215"/>
      <c r="BM477" s="215"/>
      <c r="BN477" s="215"/>
      <c r="BO477" s="215"/>
      <c r="BP477" s="215"/>
      <c r="BQ477" s="215"/>
      <c r="BR477" s="215"/>
      <c r="BS477" s="215"/>
      <c r="BT477" s="215"/>
      <c r="BU477" s="215"/>
      <c r="BV477" s="215"/>
      <c r="BW477" s="215"/>
      <c r="BX477" s="215"/>
      <c r="BY477" s="215"/>
      <c r="BZ477" s="215"/>
      <c r="CA477" s="215"/>
      <c r="CB477" s="215"/>
      <c r="CC477" s="215"/>
      <c r="CD477" s="215"/>
      <c r="CE477" s="215"/>
      <c r="CF477" s="215"/>
      <c r="CG477" s="215"/>
      <c r="CH477" s="215"/>
      <c r="CI477" s="215"/>
      <c r="CJ477" s="215"/>
      <c r="CK477" s="215"/>
      <c r="CL477" s="215"/>
      <c r="CM477" s="215"/>
      <c r="CN477" s="215"/>
      <c r="CO477" s="215"/>
      <c r="CP477" s="215"/>
      <c r="CQ477" s="215"/>
      <c r="CR477" s="215"/>
      <c r="CS477" s="215"/>
      <c r="CT477" s="215"/>
      <c r="CU477" s="215"/>
      <c r="CV477" s="215"/>
      <c r="CW477" s="215"/>
      <c r="CX477" s="215"/>
      <c r="CY477" s="215"/>
      <c r="CZ477" s="215"/>
      <c r="DA477" s="215"/>
      <c r="DB477" s="215"/>
      <c r="DC477" s="215"/>
      <c r="DD477" s="215"/>
      <c r="DE477" s="215"/>
      <c r="DF477" s="215"/>
      <c r="DG477" s="215"/>
    </row>
    <row r="478" ht="20.25" customHeight="1">
      <c r="A478" s="136" t="s">
        <v>106</v>
      </c>
      <c r="B478" s="136" t="s">
        <v>107</v>
      </c>
      <c r="C478" s="136" t="s">
        <v>214</v>
      </c>
      <c r="D478" s="64"/>
      <c r="E478" s="98" t="s">
        <v>2611</v>
      </c>
      <c r="F478" s="99" t="s">
        <v>2612</v>
      </c>
      <c r="G478" s="99" t="s">
        <v>215</v>
      </c>
      <c r="H478" s="391">
        <v>45641.0</v>
      </c>
      <c r="I478" s="114">
        <v>45672.0</v>
      </c>
      <c r="J478" s="99" t="s">
        <v>2629</v>
      </c>
      <c r="K478" s="101"/>
      <c r="L478" s="766" t="s">
        <v>2630</v>
      </c>
      <c r="M478" s="767" t="s">
        <v>2616</v>
      </c>
      <c r="N478" s="101"/>
      <c r="O478" s="107" t="s">
        <v>2617</v>
      </c>
      <c r="P478" s="48" t="str">
        <f t="array" ref="P478">HYPERLINK(INDEX('File Links'!B:B, MATCH(O478, 'File Links'!C:C, 0)))
</f>
        <v>https://drive.google.com/file/d/1JkE16HX10SxkzianGctH-9nm-XFaoMsF/view?usp=drivesdk</v>
      </c>
      <c r="Q478" s="99" t="s">
        <v>2618</v>
      </c>
      <c r="R478" s="99" t="s">
        <v>2619</v>
      </c>
      <c r="S478" s="101"/>
      <c r="T478" s="106"/>
      <c r="U478" s="99" t="s">
        <v>2620</v>
      </c>
      <c r="V478" s="99" t="s">
        <v>2621</v>
      </c>
      <c r="W478" s="45" t="str">
        <f t="array" ref="W478">HYPERLINK(INDEX('File Links'!B:B, MATCH(U478, 'File Links'!C:C, 0)))
</f>
        <v>#N/A</v>
      </c>
      <c r="X478" s="101"/>
      <c r="Y478" s="99" t="s">
        <v>139</v>
      </c>
      <c r="Z478" s="99" t="s">
        <v>2622</v>
      </c>
      <c r="AA478" s="99" t="s">
        <v>2631</v>
      </c>
      <c r="AB478" s="101"/>
      <c r="AC478" s="99" t="s">
        <v>2632</v>
      </c>
      <c r="AD478" s="101"/>
      <c r="AE478" s="101"/>
      <c r="AF478" s="101"/>
      <c r="AG478" s="106"/>
      <c r="AH478" s="101"/>
      <c r="AI478" s="101"/>
      <c r="AJ478" s="98"/>
      <c r="AK478" s="101"/>
      <c r="AL478" s="101"/>
      <c r="AM478" s="101"/>
      <c r="AN478" s="101"/>
      <c r="AO478" s="101"/>
      <c r="AP478" s="101"/>
      <c r="AQ478" s="101"/>
      <c r="AR478" s="101"/>
      <c r="AS478" s="98"/>
      <c r="AT478" s="98"/>
      <c r="AU478" s="98"/>
      <c r="AV478" s="98"/>
      <c r="AW478" s="98"/>
      <c r="AX478" s="55"/>
      <c r="AY478" s="136" t="s">
        <v>135</v>
      </c>
      <c r="AZ478" s="215"/>
      <c r="BA478" s="215"/>
      <c r="BB478" s="215"/>
      <c r="BC478" s="215"/>
      <c r="BD478" s="215"/>
      <c r="BE478" s="215"/>
      <c r="BF478" s="215"/>
      <c r="BG478" s="215"/>
      <c r="BH478" s="215"/>
      <c r="BI478" s="215"/>
      <c r="BJ478" s="215"/>
      <c r="BK478" s="215"/>
      <c r="BL478" s="215"/>
      <c r="BM478" s="215"/>
      <c r="BN478" s="215"/>
      <c r="BO478" s="215"/>
      <c r="BP478" s="215"/>
      <c r="BQ478" s="215"/>
      <c r="BR478" s="215"/>
      <c r="BS478" s="215"/>
      <c r="BT478" s="215"/>
      <c r="BU478" s="215"/>
      <c r="BV478" s="215"/>
      <c r="BW478" s="215"/>
      <c r="BX478" s="215"/>
      <c r="BY478" s="215"/>
      <c r="BZ478" s="215"/>
      <c r="CA478" s="215"/>
      <c r="CB478" s="215"/>
      <c r="CC478" s="215"/>
      <c r="CD478" s="215"/>
      <c r="CE478" s="215"/>
      <c r="CF478" s="215"/>
      <c r="CG478" s="215"/>
      <c r="CH478" s="215"/>
      <c r="CI478" s="215"/>
      <c r="CJ478" s="215"/>
      <c r="CK478" s="215"/>
      <c r="CL478" s="215"/>
      <c r="CM478" s="215"/>
      <c r="CN478" s="215"/>
      <c r="CO478" s="215"/>
      <c r="CP478" s="215"/>
      <c r="CQ478" s="215"/>
      <c r="CR478" s="215"/>
      <c r="CS478" s="215"/>
      <c r="CT478" s="215"/>
      <c r="CU478" s="215"/>
      <c r="CV478" s="215"/>
      <c r="CW478" s="215"/>
      <c r="CX478" s="215"/>
      <c r="CY478" s="215"/>
      <c r="CZ478" s="215"/>
      <c r="DA478" s="215"/>
      <c r="DB478" s="215"/>
      <c r="DC478" s="215"/>
      <c r="DD478" s="215"/>
      <c r="DE478" s="215"/>
      <c r="DF478" s="215"/>
      <c r="DG478" s="215"/>
    </row>
    <row r="479" ht="20.25" customHeight="1">
      <c r="A479" s="441" t="s">
        <v>143</v>
      </c>
      <c r="B479" s="441" t="s">
        <v>107</v>
      </c>
      <c r="C479" s="441" t="s">
        <v>191</v>
      </c>
      <c r="D479" s="442"/>
      <c r="E479" s="111" t="s">
        <v>2611</v>
      </c>
      <c r="F479" s="116" t="s">
        <v>2633</v>
      </c>
      <c r="G479" s="112" t="s">
        <v>194</v>
      </c>
      <c r="H479" s="113">
        <v>45639.0</v>
      </c>
      <c r="I479" s="114">
        <v>45672.0</v>
      </c>
      <c r="J479" s="112" t="s">
        <v>2613</v>
      </c>
      <c r="K479" s="128" t="s">
        <v>2634</v>
      </c>
      <c r="L479" s="764" t="s">
        <v>2635</v>
      </c>
      <c r="M479" s="765" t="s">
        <v>2616</v>
      </c>
      <c r="N479" s="128">
        <v>1.0</v>
      </c>
      <c r="O479" s="212" t="s">
        <v>2617</v>
      </c>
      <c r="P479" s="48" t="str">
        <f t="array" ref="P479">HYPERLINK(INDEX('File Links'!B:B, MATCH(O479, 'File Links'!C:C, 0)))
</f>
        <v>https://drive.google.com/file/d/1JkE16HX10SxkzianGctH-9nm-XFaoMsF/view?usp=drivesdk</v>
      </c>
      <c r="Q479" s="112" t="s">
        <v>2618</v>
      </c>
      <c r="R479" s="112" t="s">
        <v>2619</v>
      </c>
      <c r="S479" s="119"/>
      <c r="T479" s="128">
        <v>1.0</v>
      </c>
      <c r="U479" s="112" t="s">
        <v>2620</v>
      </c>
      <c r="V479" s="99" t="s">
        <v>2621</v>
      </c>
      <c r="W479" s="45" t="str">
        <f t="array" ref="W479">HYPERLINK(INDEX('File Links'!B:B, MATCH(U479, 'File Links'!C:C, 0)))
</f>
        <v>#N/A</v>
      </c>
      <c r="X479" s="119"/>
      <c r="Y479" s="99" t="s">
        <v>139</v>
      </c>
      <c r="Z479" s="99" t="s">
        <v>2622</v>
      </c>
      <c r="AA479" s="103" t="s">
        <v>2623</v>
      </c>
      <c r="AB479" s="134" t="s">
        <v>2636</v>
      </c>
      <c r="AC479" s="103" t="s">
        <v>2625</v>
      </c>
      <c r="AD479" s="128">
        <v>3.0</v>
      </c>
      <c r="AE479" s="128">
        <v>2.0</v>
      </c>
      <c r="AF479" s="128">
        <v>0.8</v>
      </c>
      <c r="AG479" s="128" t="s">
        <v>2626</v>
      </c>
      <c r="AH479" s="128" t="s">
        <v>2627</v>
      </c>
      <c r="AI479" s="128">
        <v>0.003</v>
      </c>
      <c r="AJ479" s="381" t="s">
        <v>164</v>
      </c>
      <c r="AK479" s="40" t="s">
        <v>179</v>
      </c>
      <c r="AL479" s="381" t="s">
        <v>132</v>
      </c>
      <c r="AM479" s="128" t="s">
        <v>165</v>
      </c>
      <c r="AN479" s="128">
        <v>1.0</v>
      </c>
      <c r="AO479" s="128">
        <v>0.85</v>
      </c>
      <c r="AP479" s="128" t="s">
        <v>2626</v>
      </c>
      <c r="AQ479" s="128" t="s">
        <v>2628</v>
      </c>
      <c r="AR479" s="128" t="s">
        <v>165</v>
      </c>
      <c r="AS479" s="128" t="s">
        <v>165</v>
      </c>
      <c r="AT479" s="128" t="s">
        <v>165</v>
      </c>
      <c r="AU479" s="128" t="s">
        <v>165</v>
      </c>
      <c r="AV479" s="128" t="s">
        <v>165</v>
      </c>
      <c r="AW479" s="655" t="s">
        <v>142</v>
      </c>
      <c r="AX479" s="115"/>
      <c r="AY479" s="41" t="s">
        <v>135</v>
      </c>
      <c r="AZ479" s="215"/>
      <c r="BA479" s="215"/>
      <c r="BB479" s="215"/>
      <c r="BC479" s="215"/>
      <c r="BD479" s="215"/>
      <c r="BE479" s="215"/>
      <c r="BF479" s="215"/>
      <c r="BG479" s="215"/>
      <c r="BH479" s="215"/>
      <c r="BI479" s="215"/>
      <c r="BJ479" s="215"/>
      <c r="BK479" s="215"/>
      <c r="BL479" s="215"/>
      <c r="BM479" s="215"/>
      <c r="BN479" s="215"/>
      <c r="BO479" s="215"/>
      <c r="BP479" s="215"/>
      <c r="BQ479" s="215"/>
      <c r="BR479" s="215"/>
      <c r="BS479" s="215"/>
      <c r="BT479" s="215"/>
      <c r="BU479" s="215"/>
      <c r="BV479" s="215"/>
      <c r="BW479" s="215"/>
      <c r="BX479" s="215"/>
      <c r="BY479" s="215"/>
      <c r="BZ479" s="215"/>
      <c r="CA479" s="215"/>
      <c r="CB479" s="215"/>
      <c r="CC479" s="215"/>
      <c r="CD479" s="215"/>
      <c r="CE479" s="215"/>
      <c r="CF479" s="215"/>
      <c r="CG479" s="215"/>
      <c r="CH479" s="215"/>
      <c r="CI479" s="215"/>
      <c r="CJ479" s="215"/>
      <c r="CK479" s="215"/>
      <c r="CL479" s="215"/>
      <c r="CM479" s="215"/>
      <c r="CN479" s="215"/>
      <c r="CO479" s="215"/>
      <c r="CP479" s="215"/>
      <c r="CQ479" s="215"/>
      <c r="CR479" s="215"/>
      <c r="CS479" s="215"/>
      <c r="CT479" s="215"/>
      <c r="CU479" s="215"/>
      <c r="CV479" s="215"/>
      <c r="CW479" s="215"/>
      <c r="CX479" s="215"/>
      <c r="CY479" s="215"/>
      <c r="CZ479" s="215"/>
      <c r="DA479" s="215"/>
      <c r="DB479" s="215"/>
      <c r="DC479" s="215"/>
      <c r="DD479" s="215"/>
      <c r="DE479" s="215"/>
      <c r="DF479" s="215"/>
      <c r="DG479" s="215"/>
    </row>
    <row r="480" ht="20.25" customHeight="1">
      <c r="A480" s="110" t="s">
        <v>586</v>
      </c>
      <c r="B480" s="110" t="s">
        <v>107</v>
      </c>
      <c r="C480" s="110" t="s">
        <v>2637</v>
      </c>
      <c r="D480" s="95"/>
      <c r="E480" s="127" t="s">
        <v>2638</v>
      </c>
      <c r="F480" s="112" t="s">
        <v>2639</v>
      </c>
      <c r="G480" s="127" t="s">
        <v>2640</v>
      </c>
      <c r="H480" s="113">
        <v>45654.0</v>
      </c>
      <c r="I480" s="768">
        <v>45673.0</v>
      </c>
      <c r="J480" s="111"/>
      <c r="K480" s="128" t="s">
        <v>2641</v>
      </c>
      <c r="L480" s="127" t="s">
        <v>2642</v>
      </c>
      <c r="M480" s="769" t="s">
        <v>2643</v>
      </c>
      <c r="N480" s="720"/>
      <c r="O480" s="127" t="s">
        <v>2644</v>
      </c>
      <c r="P480" s="48" t="str">
        <f t="array" ref="P480">HYPERLINK(INDEX('File Links'!B:B, MATCH(O480, 'File Links'!C:C, 0)))
</f>
        <v>https://drive.google.com/file/d/1qyGORRGdQy-kyOSM_2vtKP7-BEAhuKWX/view?usp=drivesdk</v>
      </c>
      <c r="Q480" s="769" t="s">
        <v>2645</v>
      </c>
      <c r="R480" s="769" t="s">
        <v>2646</v>
      </c>
      <c r="S480" s="111"/>
      <c r="T480" s="116">
        <v>1.0</v>
      </c>
      <c r="U480" s="127" t="s">
        <v>351</v>
      </c>
      <c r="V480" s="769" t="s">
        <v>155</v>
      </c>
      <c r="W480" s="45" t="str">
        <f t="array" ref="W480">HYPERLINK(INDEX('File Links'!B:B, MATCH(U480, 'File Links'!C:C, 0)))
</f>
        <v>#N/A</v>
      </c>
      <c r="X480" s="111"/>
      <c r="Y480" s="769" t="s">
        <v>220</v>
      </c>
      <c r="Z480" s="769" t="s">
        <v>2647</v>
      </c>
      <c r="AA480" s="769" t="s">
        <v>2648</v>
      </c>
      <c r="AB480" s="769" t="s">
        <v>2649</v>
      </c>
      <c r="AC480" s="769" t="s">
        <v>2650</v>
      </c>
      <c r="AD480" s="770">
        <v>4.0</v>
      </c>
      <c r="AE480" s="770">
        <v>1068.0</v>
      </c>
      <c r="AF480" s="770">
        <v>0.33</v>
      </c>
      <c r="AG480" s="771" t="s">
        <v>2651</v>
      </c>
      <c r="AH480" s="772" t="s">
        <v>2652</v>
      </c>
      <c r="AI480" s="773">
        <v>0.01</v>
      </c>
      <c r="AJ480" s="769" t="s">
        <v>164</v>
      </c>
      <c r="AK480" s="211" t="s">
        <v>128</v>
      </c>
      <c r="AL480" s="774" t="s">
        <v>129</v>
      </c>
      <c r="AM480" s="111"/>
      <c r="AN480" s="770">
        <v>533.0</v>
      </c>
      <c r="AO480" s="770">
        <v>0.28</v>
      </c>
      <c r="AP480" s="769" t="s">
        <v>166</v>
      </c>
      <c r="AQ480" s="769" t="s">
        <v>2653</v>
      </c>
      <c r="AR480" s="770">
        <v>0.003</v>
      </c>
      <c r="AS480" s="769" t="s">
        <v>164</v>
      </c>
      <c r="AT480" s="769" t="s">
        <v>128</v>
      </c>
      <c r="AU480" s="774" t="s">
        <v>129</v>
      </c>
      <c r="AV480" s="111"/>
      <c r="AW480" s="774" t="s">
        <v>134</v>
      </c>
      <c r="AX480" s="115"/>
      <c r="AY480" s="95"/>
      <c r="AZ480" s="215"/>
      <c r="BA480" s="215"/>
      <c r="BB480" s="215"/>
      <c r="BC480" s="215"/>
      <c r="BD480" s="215"/>
      <c r="BE480" s="215"/>
      <c r="BF480" s="215"/>
      <c r="BG480" s="215"/>
      <c r="BH480" s="215"/>
      <c r="BI480" s="215"/>
      <c r="BJ480" s="215"/>
      <c r="BK480" s="215"/>
      <c r="BL480" s="215"/>
      <c r="BM480" s="215"/>
      <c r="BN480" s="215"/>
      <c r="BO480" s="215"/>
      <c r="BP480" s="215"/>
      <c r="BQ480" s="215"/>
      <c r="BR480" s="215"/>
      <c r="BS480" s="215"/>
      <c r="BT480" s="215"/>
      <c r="BU480" s="215"/>
      <c r="BV480" s="215"/>
      <c r="BW480" s="215"/>
      <c r="BX480" s="215"/>
      <c r="BY480" s="215"/>
      <c r="BZ480" s="215"/>
      <c r="CA480" s="215"/>
      <c r="CB480" s="215"/>
      <c r="CC480" s="215"/>
      <c r="CD480" s="215"/>
      <c r="CE480" s="215"/>
      <c r="CF480" s="215"/>
      <c r="CG480" s="215"/>
      <c r="CH480" s="215"/>
      <c r="CI480" s="215"/>
      <c r="CJ480" s="215"/>
      <c r="CK480" s="215"/>
      <c r="CL480" s="215"/>
      <c r="CM480" s="215"/>
      <c r="CN480" s="215"/>
      <c r="CO480" s="215"/>
      <c r="CP480" s="215"/>
      <c r="CQ480" s="215"/>
      <c r="CR480" s="215"/>
      <c r="CS480" s="215"/>
      <c r="CT480" s="215"/>
      <c r="CU480" s="215"/>
      <c r="CV480" s="215"/>
      <c r="CW480" s="215"/>
      <c r="CX480" s="215"/>
      <c r="CY480" s="215"/>
      <c r="CZ480" s="215"/>
      <c r="DA480" s="215"/>
      <c r="DB480" s="215"/>
      <c r="DC480" s="215"/>
      <c r="DD480" s="215"/>
      <c r="DE480" s="215"/>
      <c r="DF480" s="215"/>
      <c r="DG480" s="215"/>
    </row>
    <row r="481" ht="20.25" customHeight="1">
      <c r="A481" s="110" t="s">
        <v>586</v>
      </c>
      <c r="B481" s="216" t="s">
        <v>107</v>
      </c>
      <c r="C481" s="216" t="s">
        <v>214</v>
      </c>
      <c r="D481" s="217"/>
      <c r="E481" s="226" t="s">
        <v>2638</v>
      </c>
      <c r="F481" s="218" t="s">
        <v>2654</v>
      </c>
      <c r="G481" s="220" t="s">
        <v>215</v>
      </c>
      <c r="H481" s="219">
        <v>45640.0</v>
      </c>
      <c r="I481" s="768">
        <v>45673.0</v>
      </c>
      <c r="J481" s="218" t="s">
        <v>2655</v>
      </c>
      <c r="K481" s="128" t="s">
        <v>2641</v>
      </c>
      <c r="L481" s="218" t="s">
        <v>2656</v>
      </c>
      <c r="M481" s="218" t="s">
        <v>2643</v>
      </c>
      <c r="N481" s="220"/>
      <c r="O481" s="222" t="s">
        <v>2644</v>
      </c>
      <c r="P481" s="48" t="str">
        <f t="array" ref="P481">HYPERLINK(INDEX('File Links'!B:B, MATCH(O481, 'File Links'!C:C, 0)))
</f>
        <v>https://drive.google.com/file/d/1qyGORRGdQy-kyOSM_2vtKP7-BEAhuKWX/view?usp=drivesdk</v>
      </c>
      <c r="Q481" s="218" t="s">
        <v>2645</v>
      </c>
      <c r="R481" s="218" t="s">
        <v>2657</v>
      </c>
      <c r="S481" s="218" t="s">
        <v>2646</v>
      </c>
      <c r="T481" s="629">
        <v>1.0</v>
      </c>
      <c r="U481" s="218" t="s">
        <v>351</v>
      </c>
      <c r="V481" s="769" t="s">
        <v>155</v>
      </c>
      <c r="W481" s="45" t="str">
        <f t="array" ref="W481">HYPERLINK(INDEX('File Links'!B:B, MATCH(U481, 'File Links'!C:C, 0)))
</f>
        <v>#N/A</v>
      </c>
      <c r="X481" s="220"/>
      <c r="Y481" s="218" t="s">
        <v>220</v>
      </c>
      <c r="Z481" s="218" t="s">
        <v>2658</v>
      </c>
      <c r="AA481" s="218" t="s">
        <v>2659</v>
      </c>
      <c r="AB481" s="218" t="s">
        <v>2660</v>
      </c>
      <c r="AC481" s="218" t="s">
        <v>2661</v>
      </c>
      <c r="AD481" s="221">
        <v>4.0</v>
      </c>
      <c r="AE481" s="221">
        <v>395.0</v>
      </c>
      <c r="AF481" s="221">
        <v>0.0</v>
      </c>
      <c r="AG481" s="633"/>
      <c r="AH481" s="218" t="s">
        <v>494</v>
      </c>
      <c r="AI481" s="221">
        <v>0.01</v>
      </c>
      <c r="AJ481" s="224" t="s">
        <v>127</v>
      </c>
      <c r="AK481" s="218" t="s">
        <v>128</v>
      </c>
      <c r="AL481" s="220" t="s">
        <v>129</v>
      </c>
      <c r="AM481" s="220"/>
      <c r="AN481" s="221">
        <v>190.0</v>
      </c>
      <c r="AO481" s="221">
        <v>53.19</v>
      </c>
      <c r="AP481" s="218" t="s">
        <v>162</v>
      </c>
      <c r="AQ481" s="218" t="s">
        <v>125</v>
      </c>
      <c r="AR481" s="221">
        <v>0.01</v>
      </c>
      <c r="AS481" s="224" t="s">
        <v>127</v>
      </c>
      <c r="AT481" s="224" t="s">
        <v>128</v>
      </c>
      <c r="AU481" s="226" t="s">
        <v>129</v>
      </c>
      <c r="AV481" s="226"/>
      <c r="AW481" s="226" t="s">
        <v>134</v>
      </c>
      <c r="AX481" s="115"/>
      <c r="AY481" s="217"/>
      <c r="AZ481" s="215"/>
      <c r="BA481" s="215"/>
      <c r="BB481" s="215"/>
      <c r="BC481" s="215"/>
      <c r="BD481" s="215"/>
      <c r="BE481" s="215"/>
      <c r="BF481" s="215"/>
      <c r="BG481" s="215"/>
      <c r="BH481" s="215"/>
      <c r="BI481" s="215"/>
      <c r="BJ481" s="215"/>
      <c r="BK481" s="215"/>
      <c r="BL481" s="215"/>
      <c r="BM481" s="215"/>
      <c r="BN481" s="215"/>
      <c r="BO481" s="215"/>
      <c r="BP481" s="215"/>
      <c r="BQ481" s="215"/>
      <c r="BR481" s="215"/>
      <c r="BS481" s="215"/>
      <c r="BT481" s="215"/>
      <c r="BU481" s="215"/>
      <c r="BV481" s="215"/>
      <c r="BW481" s="215"/>
      <c r="BX481" s="215"/>
      <c r="BY481" s="215"/>
      <c r="BZ481" s="215"/>
      <c r="CA481" s="215"/>
      <c r="CB481" s="215"/>
      <c r="CC481" s="215"/>
      <c r="CD481" s="215"/>
      <c r="CE481" s="215"/>
      <c r="CF481" s="215"/>
      <c r="CG481" s="215"/>
      <c r="CH481" s="215"/>
      <c r="CI481" s="215"/>
      <c r="CJ481" s="215"/>
      <c r="CK481" s="215"/>
      <c r="CL481" s="215"/>
      <c r="CM481" s="215"/>
      <c r="CN481" s="215"/>
      <c r="CO481" s="215"/>
      <c r="CP481" s="215"/>
      <c r="CQ481" s="215"/>
      <c r="CR481" s="215"/>
      <c r="CS481" s="215"/>
      <c r="CT481" s="215"/>
      <c r="CU481" s="215"/>
      <c r="CV481" s="215"/>
      <c r="CW481" s="215"/>
      <c r="CX481" s="215"/>
      <c r="CY481" s="215"/>
      <c r="CZ481" s="215"/>
      <c r="DA481" s="215"/>
      <c r="DB481" s="215"/>
      <c r="DC481" s="215"/>
      <c r="DD481" s="215"/>
      <c r="DE481" s="215"/>
      <c r="DF481" s="215"/>
      <c r="DG481" s="215"/>
    </row>
    <row r="482" ht="20.25" customHeight="1">
      <c r="A482" s="110" t="s">
        <v>586</v>
      </c>
      <c r="B482" s="216" t="s">
        <v>107</v>
      </c>
      <c r="C482" s="216" t="s">
        <v>214</v>
      </c>
      <c r="D482" s="217"/>
      <c r="E482" s="226" t="s">
        <v>2638</v>
      </c>
      <c r="F482" s="218" t="s">
        <v>2662</v>
      </c>
      <c r="G482" s="220" t="s">
        <v>215</v>
      </c>
      <c r="H482" s="219">
        <v>45639.0</v>
      </c>
      <c r="I482" s="768">
        <v>45673.0</v>
      </c>
      <c r="J482" s="218" t="s">
        <v>2655</v>
      </c>
      <c r="K482" s="128" t="s">
        <v>2641</v>
      </c>
      <c r="L482" s="218" t="s">
        <v>2656</v>
      </c>
      <c r="M482" s="218" t="s">
        <v>2643</v>
      </c>
      <c r="N482" s="220"/>
      <c r="O482" s="222" t="s">
        <v>2644</v>
      </c>
      <c r="P482" s="48" t="str">
        <f t="array" ref="P482">HYPERLINK(INDEX('File Links'!B:B, MATCH(O482, 'File Links'!C:C, 0)))
</f>
        <v>https://drive.google.com/file/d/1qyGORRGdQy-kyOSM_2vtKP7-BEAhuKWX/view?usp=drivesdk</v>
      </c>
      <c r="Q482" s="218" t="s">
        <v>2645</v>
      </c>
      <c r="R482" s="218" t="s">
        <v>2657</v>
      </c>
      <c r="S482" s="218" t="s">
        <v>2646</v>
      </c>
      <c r="T482" s="629">
        <v>1.0</v>
      </c>
      <c r="U482" s="218" t="s">
        <v>351</v>
      </c>
      <c r="V482" s="769" t="s">
        <v>155</v>
      </c>
      <c r="W482" s="45" t="str">
        <f t="array" ref="W482">HYPERLINK(INDEX('File Links'!B:B, MATCH(U482, 'File Links'!C:C, 0)))
</f>
        <v>#N/A</v>
      </c>
      <c r="X482" s="220"/>
      <c r="Y482" s="218" t="s">
        <v>220</v>
      </c>
      <c r="Z482" s="218" t="s">
        <v>2658</v>
      </c>
      <c r="AA482" s="218" t="s">
        <v>2659</v>
      </c>
      <c r="AB482" s="218" t="s">
        <v>2663</v>
      </c>
      <c r="AC482" s="218" t="s">
        <v>2664</v>
      </c>
      <c r="AD482" s="221">
        <v>4.0</v>
      </c>
      <c r="AE482" s="221">
        <v>156.0</v>
      </c>
      <c r="AF482" s="221">
        <v>-0.49</v>
      </c>
      <c r="AG482" s="222" t="s">
        <v>166</v>
      </c>
      <c r="AH482" s="218" t="s">
        <v>494</v>
      </c>
      <c r="AI482" s="221">
        <v>0.01</v>
      </c>
      <c r="AJ482" s="224" t="s">
        <v>127</v>
      </c>
      <c r="AK482" s="218" t="s">
        <v>128</v>
      </c>
      <c r="AL482" s="220" t="s">
        <v>129</v>
      </c>
      <c r="AM482" s="220"/>
      <c r="AN482" s="221">
        <v>98.0</v>
      </c>
      <c r="AO482" s="221">
        <v>54.1</v>
      </c>
      <c r="AP482" s="218" t="s">
        <v>162</v>
      </c>
      <c r="AQ482" s="218" t="s">
        <v>125</v>
      </c>
      <c r="AR482" s="221">
        <v>0.01</v>
      </c>
      <c r="AS482" s="224" t="s">
        <v>127</v>
      </c>
      <c r="AT482" s="224" t="s">
        <v>128</v>
      </c>
      <c r="AU482" s="226" t="s">
        <v>129</v>
      </c>
      <c r="AV482" s="226"/>
      <c r="AW482" s="226" t="s">
        <v>134</v>
      </c>
      <c r="AX482" s="115"/>
      <c r="AY482" s="217"/>
      <c r="AZ482" s="215"/>
      <c r="BA482" s="215"/>
      <c r="BB482" s="215"/>
      <c r="BC482" s="215"/>
      <c r="BD482" s="215"/>
      <c r="BE482" s="215"/>
      <c r="BF482" s="215"/>
      <c r="BG482" s="215"/>
      <c r="BH482" s="215"/>
      <c r="BI482" s="215"/>
      <c r="BJ482" s="215"/>
      <c r="BK482" s="215"/>
      <c r="BL482" s="215"/>
      <c r="BM482" s="215"/>
      <c r="BN482" s="215"/>
      <c r="BO482" s="215"/>
      <c r="BP482" s="215"/>
      <c r="BQ482" s="215"/>
      <c r="BR482" s="215"/>
      <c r="BS482" s="215"/>
      <c r="BT482" s="215"/>
      <c r="BU482" s="215"/>
      <c r="BV482" s="215"/>
      <c r="BW482" s="215"/>
      <c r="BX482" s="215"/>
      <c r="BY482" s="215"/>
      <c r="BZ482" s="215"/>
      <c r="CA482" s="215"/>
      <c r="CB482" s="215"/>
      <c r="CC482" s="215"/>
      <c r="CD482" s="215"/>
      <c r="CE482" s="215"/>
      <c r="CF482" s="215"/>
      <c r="CG482" s="215"/>
      <c r="CH482" s="215"/>
      <c r="CI482" s="215"/>
      <c r="CJ482" s="215"/>
      <c r="CK482" s="215"/>
      <c r="CL482" s="215"/>
      <c r="CM482" s="215"/>
      <c r="CN482" s="215"/>
      <c r="CO482" s="215"/>
      <c r="CP482" s="215"/>
      <c r="CQ482" s="215"/>
      <c r="CR482" s="215"/>
      <c r="CS482" s="215"/>
      <c r="CT482" s="215"/>
      <c r="CU482" s="215"/>
      <c r="CV482" s="215"/>
      <c r="CW482" s="215"/>
      <c r="CX482" s="215"/>
      <c r="CY482" s="215"/>
      <c r="CZ482" s="215"/>
      <c r="DA482" s="215"/>
      <c r="DB482" s="215"/>
      <c r="DC482" s="215"/>
      <c r="DD482" s="215"/>
      <c r="DE482" s="215"/>
      <c r="DF482" s="215"/>
      <c r="DG482" s="215"/>
    </row>
    <row r="483" ht="20.25" customHeight="1">
      <c r="A483" s="110" t="s">
        <v>586</v>
      </c>
      <c r="B483" s="216" t="s">
        <v>107</v>
      </c>
      <c r="C483" s="216" t="s">
        <v>214</v>
      </c>
      <c r="D483" s="217"/>
      <c r="E483" s="226" t="s">
        <v>2638</v>
      </c>
      <c r="F483" s="218" t="s">
        <v>2665</v>
      </c>
      <c r="G483" s="220" t="s">
        <v>215</v>
      </c>
      <c r="H483" s="219">
        <v>45639.0</v>
      </c>
      <c r="I483" s="768">
        <v>45673.0</v>
      </c>
      <c r="J483" s="218" t="s">
        <v>2655</v>
      </c>
      <c r="K483" s="128" t="s">
        <v>2641</v>
      </c>
      <c r="L483" s="218" t="s">
        <v>2656</v>
      </c>
      <c r="M483" s="218" t="s">
        <v>2643</v>
      </c>
      <c r="N483" s="220"/>
      <c r="O483" s="222" t="s">
        <v>2644</v>
      </c>
      <c r="P483" s="48" t="str">
        <f t="array" ref="P483">HYPERLINK(INDEX('File Links'!B:B, MATCH(O483, 'File Links'!C:C, 0)))
</f>
        <v>https://drive.google.com/file/d/1qyGORRGdQy-kyOSM_2vtKP7-BEAhuKWX/view?usp=drivesdk</v>
      </c>
      <c r="Q483" s="218" t="s">
        <v>2645</v>
      </c>
      <c r="R483" s="218" t="s">
        <v>2657</v>
      </c>
      <c r="S483" s="218" t="s">
        <v>2646</v>
      </c>
      <c r="T483" s="629">
        <v>1.0</v>
      </c>
      <c r="U483" s="218" t="s">
        <v>351</v>
      </c>
      <c r="V483" s="769" t="s">
        <v>155</v>
      </c>
      <c r="W483" s="45" t="str">
        <f t="array" ref="W483">HYPERLINK(INDEX('File Links'!B:B, MATCH(U483, 'File Links'!C:C, 0)))
</f>
        <v>#N/A</v>
      </c>
      <c r="X483" s="220"/>
      <c r="Y483" s="218" t="s">
        <v>220</v>
      </c>
      <c r="Z483" s="218" t="s">
        <v>2658</v>
      </c>
      <c r="AA483" s="218" t="s">
        <v>2659</v>
      </c>
      <c r="AB483" s="218" t="s">
        <v>2666</v>
      </c>
      <c r="AC483" s="218" t="s">
        <v>2667</v>
      </c>
      <c r="AD483" s="221">
        <v>4.0</v>
      </c>
      <c r="AE483" s="221">
        <v>149.0</v>
      </c>
      <c r="AF483" s="221">
        <v>0.15</v>
      </c>
      <c r="AG483" s="222" t="s">
        <v>166</v>
      </c>
      <c r="AH483" s="218" t="s">
        <v>494</v>
      </c>
      <c r="AI483" s="221">
        <v>0.01</v>
      </c>
      <c r="AJ483" s="224" t="s">
        <v>127</v>
      </c>
      <c r="AK483" s="218" t="s">
        <v>128</v>
      </c>
      <c r="AL483" s="220" t="s">
        <v>129</v>
      </c>
      <c r="AM483" s="220"/>
      <c r="AN483" s="221">
        <v>97.0</v>
      </c>
      <c r="AO483" s="221">
        <v>32.76</v>
      </c>
      <c r="AP483" s="218" t="s">
        <v>162</v>
      </c>
      <c r="AQ483" s="218" t="s">
        <v>125</v>
      </c>
      <c r="AR483" s="221">
        <v>0.01</v>
      </c>
      <c r="AS483" s="224" t="s">
        <v>127</v>
      </c>
      <c r="AT483" s="224" t="s">
        <v>128</v>
      </c>
      <c r="AU483" s="226" t="s">
        <v>129</v>
      </c>
      <c r="AV483" s="226"/>
      <c r="AW483" s="226" t="s">
        <v>134</v>
      </c>
      <c r="AX483" s="115"/>
      <c r="AY483" s="217"/>
      <c r="AZ483" s="215"/>
      <c r="BA483" s="215"/>
      <c r="BB483" s="215"/>
      <c r="BC483" s="215"/>
      <c r="BD483" s="215"/>
      <c r="BE483" s="215"/>
      <c r="BF483" s="215"/>
      <c r="BG483" s="215"/>
      <c r="BH483" s="215"/>
      <c r="BI483" s="215"/>
      <c r="BJ483" s="215"/>
      <c r="BK483" s="215"/>
      <c r="BL483" s="215"/>
      <c r="BM483" s="215"/>
      <c r="BN483" s="215"/>
      <c r="BO483" s="215"/>
      <c r="BP483" s="215"/>
      <c r="BQ483" s="215"/>
      <c r="BR483" s="215"/>
      <c r="BS483" s="215"/>
      <c r="BT483" s="215"/>
      <c r="BU483" s="215"/>
      <c r="BV483" s="215"/>
      <c r="BW483" s="215"/>
      <c r="BX483" s="215"/>
      <c r="BY483" s="215"/>
      <c r="BZ483" s="215"/>
      <c r="CA483" s="215"/>
      <c r="CB483" s="215"/>
      <c r="CC483" s="215"/>
      <c r="CD483" s="215"/>
      <c r="CE483" s="215"/>
      <c r="CF483" s="215"/>
      <c r="CG483" s="215"/>
      <c r="CH483" s="215"/>
      <c r="CI483" s="215"/>
      <c r="CJ483" s="215"/>
      <c r="CK483" s="215"/>
      <c r="CL483" s="215"/>
      <c r="CM483" s="215"/>
      <c r="CN483" s="215"/>
      <c r="CO483" s="215"/>
      <c r="CP483" s="215"/>
      <c r="CQ483" s="215"/>
      <c r="CR483" s="215"/>
      <c r="CS483" s="215"/>
      <c r="CT483" s="215"/>
      <c r="CU483" s="215"/>
      <c r="CV483" s="215"/>
      <c r="CW483" s="215"/>
      <c r="CX483" s="215"/>
      <c r="CY483" s="215"/>
      <c r="CZ483" s="215"/>
      <c r="DA483" s="215"/>
      <c r="DB483" s="215"/>
      <c r="DC483" s="215"/>
      <c r="DD483" s="215"/>
      <c r="DE483" s="215"/>
      <c r="DF483" s="215"/>
      <c r="DG483" s="215"/>
    </row>
    <row r="484" ht="20.25" customHeight="1">
      <c r="A484" s="110" t="s">
        <v>586</v>
      </c>
      <c r="B484" s="216" t="s">
        <v>107</v>
      </c>
      <c r="C484" s="216" t="s">
        <v>214</v>
      </c>
      <c r="D484" s="217"/>
      <c r="E484" s="226" t="s">
        <v>2638</v>
      </c>
      <c r="F484" s="218" t="s">
        <v>2668</v>
      </c>
      <c r="G484" s="220" t="s">
        <v>215</v>
      </c>
      <c r="H484" s="219">
        <v>45639.0</v>
      </c>
      <c r="I484" s="768">
        <v>45673.0</v>
      </c>
      <c r="J484" s="218" t="s">
        <v>2655</v>
      </c>
      <c r="K484" s="128" t="s">
        <v>2641</v>
      </c>
      <c r="L484" s="218" t="s">
        <v>2656</v>
      </c>
      <c r="M484" s="218" t="s">
        <v>2643</v>
      </c>
      <c r="N484" s="220"/>
      <c r="O484" s="222" t="s">
        <v>2644</v>
      </c>
      <c r="P484" s="48" t="str">
        <f t="array" ref="P484">HYPERLINK(INDEX('File Links'!B:B, MATCH(O484, 'File Links'!C:C, 0)))
</f>
        <v>https://drive.google.com/file/d/1qyGORRGdQy-kyOSM_2vtKP7-BEAhuKWX/view?usp=drivesdk</v>
      </c>
      <c r="Q484" s="218" t="s">
        <v>2645</v>
      </c>
      <c r="R484" s="218" t="s">
        <v>2657</v>
      </c>
      <c r="S484" s="218" t="s">
        <v>2646</v>
      </c>
      <c r="T484" s="629">
        <v>1.0</v>
      </c>
      <c r="U484" s="218" t="s">
        <v>351</v>
      </c>
      <c r="V484" s="769" t="s">
        <v>155</v>
      </c>
      <c r="W484" s="45" t="str">
        <f t="array" ref="W484">HYPERLINK(INDEX('File Links'!B:B, MATCH(U484, 'File Links'!C:C, 0)))
</f>
        <v>#N/A</v>
      </c>
      <c r="X484" s="220"/>
      <c r="Y484" s="218" t="s">
        <v>220</v>
      </c>
      <c r="Z484" s="218" t="s">
        <v>2658</v>
      </c>
      <c r="AA484" s="218" t="s">
        <v>2659</v>
      </c>
      <c r="AB484" s="218" t="s">
        <v>2669</v>
      </c>
      <c r="AC484" s="218" t="s">
        <v>2670</v>
      </c>
      <c r="AD484" s="221">
        <v>4.0</v>
      </c>
      <c r="AE484" s="221">
        <v>316.0</v>
      </c>
      <c r="AF484" s="221">
        <v>-0.68</v>
      </c>
      <c r="AG484" s="222" t="s">
        <v>166</v>
      </c>
      <c r="AH484" s="218" t="s">
        <v>494</v>
      </c>
      <c r="AI484" s="221">
        <v>0.01</v>
      </c>
      <c r="AJ484" s="224" t="s">
        <v>127</v>
      </c>
      <c r="AK484" s="218" t="s">
        <v>128</v>
      </c>
      <c r="AL484" s="220" t="s">
        <v>129</v>
      </c>
      <c r="AM484" s="220"/>
      <c r="AN484" s="221">
        <v>148.0</v>
      </c>
      <c r="AO484" s="221">
        <v>2.35</v>
      </c>
      <c r="AP484" s="218" t="s">
        <v>162</v>
      </c>
      <c r="AQ484" s="218" t="s">
        <v>125</v>
      </c>
      <c r="AR484" s="221">
        <v>0.01</v>
      </c>
      <c r="AS484" s="224" t="s">
        <v>127</v>
      </c>
      <c r="AT484" s="224" t="s">
        <v>128</v>
      </c>
      <c r="AU484" s="226" t="s">
        <v>129</v>
      </c>
      <c r="AV484" s="226"/>
      <c r="AW484" s="226" t="s">
        <v>134</v>
      </c>
      <c r="AX484" s="115"/>
      <c r="AY484" s="217"/>
      <c r="AZ484" s="215"/>
      <c r="BA484" s="215"/>
      <c r="BB484" s="215"/>
      <c r="BC484" s="215"/>
      <c r="BD484" s="215"/>
      <c r="BE484" s="215"/>
      <c r="BF484" s="215"/>
      <c r="BG484" s="215"/>
      <c r="BH484" s="215"/>
      <c r="BI484" s="215"/>
      <c r="BJ484" s="215"/>
      <c r="BK484" s="215"/>
      <c r="BL484" s="215"/>
      <c r="BM484" s="215"/>
      <c r="BN484" s="215"/>
      <c r="BO484" s="215"/>
      <c r="BP484" s="215"/>
      <c r="BQ484" s="215"/>
      <c r="BR484" s="215"/>
      <c r="BS484" s="215"/>
      <c r="BT484" s="215"/>
      <c r="BU484" s="215"/>
      <c r="BV484" s="215"/>
      <c r="BW484" s="215"/>
      <c r="BX484" s="215"/>
      <c r="BY484" s="215"/>
      <c r="BZ484" s="215"/>
      <c r="CA484" s="215"/>
      <c r="CB484" s="215"/>
      <c r="CC484" s="215"/>
      <c r="CD484" s="215"/>
      <c r="CE484" s="215"/>
      <c r="CF484" s="215"/>
      <c r="CG484" s="215"/>
      <c r="CH484" s="215"/>
      <c r="CI484" s="215"/>
      <c r="CJ484" s="215"/>
      <c r="CK484" s="215"/>
      <c r="CL484" s="215"/>
      <c r="CM484" s="215"/>
      <c r="CN484" s="215"/>
      <c r="CO484" s="215"/>
      <c r="CP484" s="215"/>
      <c r="CQ484" s="215"/>
      <c r="CR484" s="215"/>
      <c r="CS484" s="215"/>
      <c r="CT484" s="215"/>
      <c r="CU484" s="215"/>
      <c r="CV484" s="215"/>
      <c r="CW484" s="215"/>
      <c r="CX484" s="215"/>
      <c r="CY484" s="215"/>
      <c r="CZ484" s="215"/>
      <c r="DA484" s="215"/>
      <c r="DB484" s="215"/>
      <c r="DC484" s="215"/>
      <c r="DD484" s="215"/>
      <c r="DE484" s="215"/>
      <c r="DF484" s="215"/>
      <c r="DG484" s="215"/>
    </row>
    <row r="485" ht="20.25" customHeight="1">
      <c r="A485" s="110" t="s">
        <v>586</v>
      </c>
      <c r="B485" s="41" t="s">
        <v>107</v>
      </c>
      <c r="C485" s="41" t="s">
        <v>2637</v>
      </c>
      <c r="E485" s="147" t="s">
        <v>2671</v>
      </c>
      <c r="F485" s="52" t="s">
        <v>2672</v>
      </c>
      <c r="G485" s="147" t="s">
        <v>2640</v>
      </c>
      <c r="H485" s="140">
        <v>45472.0</v>
      </c>
      <c r="I485" s="409">
        <v>45654.0</v>
      </c>
      <c r="J485" s="60"/>
      <c r="K485" s="128" t="s">
        <v>2641</v>
      </c>
      <c r="L485" s="147" t="s">
        <v>2642</v>
      </c>
      <c r="M485" s="412" t="s">
        <v>2643</v>
      </c>
      <c r="N485" s="775">
        <v>1.0</v>
      </c>
      <c r="O485" s="145" t="s">
        <v>2644</v>
      </c>
      <c r="P485" s="48" t="str">
        <f t="array" ref="P485">HYPERLINK(INDEX('File Links'!B:B, MATCH(O485, 'File Links'!C:C, 0)))
</f>
        <v>https://drive.google.com/file/d/1qyGORRGdQy-kyOSM_2vtKP7-BEAhuKWX/view?usp=drivesdk</v>
      </c>
      <c r="Q485" s="776" t="s">
        <v>2673</v>
      </c>
      <c r="R485" s="776" t="s">
        <v>2674</v>
      </c>
      <c r="S485" s="60"/>
      <c r="T485" s="147" t="s">
        <v>2674</v>
      </c>
      <c r="U485" s="145" t="s">
        <v>351</v>
      </c>
      <c r="V485" s="412" t="s">
        <v>155</v>
      </c>
      <c r="W485" s="45" t="str">
        <f t="array" ref="W485">HYPERLINK(INDEX('File Links'!B:B, MATCH(U485, 'File Links'!C:C, 0)))
</f>
        <v>#N/A</v>
      </c>
      <c r="X485" s="60"/>
      <c r="Y485" s="412" t="s">
        <v>220</v>
      </c>
      <c r="Z485" s="412" t="s">
        <v>2647</v>
      </c>
      <c r="AA485" s="412" t="s">
        <v>2648</v>
      </c>
      <c r="AB485" s="412" t="s">
        <v>2649</v>
      </c>
      <c r="AC485" s="412" t="s">
        <v>2650</v>
      </c>
      <c r="AD485" s="777">
        <v>4.0</v>
      </c>
      <c r="AE485" s="777">
        <v>1068.0</v>
      </c>
      <c r="AF485" s="777">
        <v>0.33</v>
      </c>
      <c r="AG485" s="778" t="s">
        <v>2651</v>
      </c>
      <c r="AH485" s="779" t="s">
        <v>2652</v>
      </c>
      <c r="AI485" s="451">
        <v>0.01</v>
      </c>
      <c r="AJ485" s="412" t="s">
        <v>164</v>
      </c>
      <c r="AK485" s="352" t="s">
        <v>128</v>
      </c>
      <c r="AL485" s="780" t="s">
        <v>129</v>
      </c>
      <c r="AM485" s="60"/>
      <c r="AN485" s="777">
        <v>600.0</v>
      </c>
      <c r="AO485" s="777">
        <v>0.35</v>
      </c>
      <c r="AP485" s="412" t="s">
        <v>166</v>
      </c>
      <c r="AQ485" s="412" t="s">
        <v>2675</v>
      </c>
      <c r="AR485" s="777">
        <v>0.004</v>
      </c>
      <c r="AS485" s="412" t="s">
        <v>164</v>
      </c>
      <c r="AT485" s="412" t="s">
        <v>128</v>
      </c>
      <c r="AU485" s="780" t="s">
        <v>129</v>
      </c>
      <c r="AV485" s="60"/>
      <c r="AW485" s="780" t="s">
        <v>134</v>
      </c>
      <c r="AX485" s="115"/>
      <c r="AZ485" s="215"/>
      <c r="BA485" s="215"/>
      <c r="BB485" s="215"/>
      <c r="BC485" s="215"/>
      <c r="BD485" s="215"/>
      <c r="BE485" s="215"/>
      <c r="BF485" s="215"/>
      <c r="BG485" s="215"/>
      <c r="BH485" s="215"/>
      <c r="BI485" s="215"/>
      <c r="BJ485" s="215"/>
      <c r="BK485" s="215"/>
      <c r="BL485" s="215"/>
      <c r="BM485" s="215"/>
      <c r="BN485" s="215"/>
      <c r="BO485" s="215"/>
      <c r="BP485" s="215"/>
      <c r="BQ485" s="215"/>
      <c r="BR485" s="215"/>
      <c r="BS485" s="215"/>
      <c r="BT485" s="215"/>
      <c r="BU485" s="215"/>
      <c r="BV485" s="215"/>
      <c r="BW485" s="215"/>
      <c r="BX485" s="215"/>
      <c r="BY485" s="215"/>
      <c r="BZ485" s="215"/>
      <c r="CA485" s="215"/>
      <c r="CB485" s="215"/>
      <c r="CC485" s="215"/>
      <c r="CD485" s="215"/>
      <c r="CE485" s="215"/>
      <c r="CF485" s="215"/>
      <c r="CG485" s="215"/>
      <c r="CH485" s="215"/>
      <c r="CI485" s="215"/>
      <c r="CJ485" s="215"/>
      <c r="CK485" s="215"/>
      <c r="CL485" s="215"/>
      <c r="CM485" s="215"/>
      <c r="CN485" s="215"/>
      <c r="CO485" s="215"/>
      <c r="CP485" s="215"/>
      <c r="CQ485" s="215"/>
      <c r="CR485" s="215"/>
      <c r="CS485" s="215"/>
      <c r="CT485" s="215"/>
      <c r="CU485" s="215"/>
      <c r="CV485" s="215"/>
      <c r="CW485" s="215"/>
      <c r="CX485" s="215"/>
      <c r="CY485" s="215"/>
      <c r="CZ485" s="215"/>
      <c r="DA485" s="215"/>
      <c r="DB485" s="215"/>
      <c r="DC485" s="215"/>
      <c r="DD485" s="215"/>
      <c r="DE485" s="215"/>
      <c r="DF485" s="215"/>
      <c r="DG485" s="215"/>
    </row>
    <row r="486" ht="20.25" customHeight="1">
      <c r="A486" s="136" t="s">
        <v>279</v>
      </c>
      <c r="B486" s="136" t="s">
        <v>107</v>
      </c>
      <c r="C486" s="136" t="s">
        <v>1251</v>
      </c>
      <c r="D486" s="64"/>
      <c r="E486" s="108" t="s">
        <v>2676</v>
      </c>
      <c r="F486" s="99" t="s">
        <v>2677</v>
      </c>
      <c r="G486" s="99" t="s">
        <v>1254</v>
      </c>
      <c r="H486" s="391">
        <v>45472.0</v>
      </c>
      <c r="I486" s="100">
        <v>45641.0</v>
      </c>
      <c r="J486" s="101"/>
      <c r="K486" s="101"/>
      <c r="L486" s="99" t="s">
        <v>2678</v>
      </c>
      <c r="M486" s="99" t="s">
        <v>2679</v>
      </c>
      <c r="N486" s="104">
        <v>1.0</v>
      </c>
      <c r="O486" s="107" t="s">
        <v>2680</v>
      </c>
      <c r="P486" s="48" t="str">
        <f t="array" ref="P486">HYPERLINK(INDEX('File Links'!B:B, MATCH(O486, 'File Links'!C:C, 0)))
</f>
        <v>https://drive.google.com/file/d/1v5DJu4qjqzVUJEfoj2GHrhMbmyHZ-m6z/view?usp=drivesdk</v>
      </c>
      <c r="Q486" s="99" t="s">
        <v>2681</v>
      </c>
      <c r="R486" s="99" t="s">
        <v>2682</v>
      </c>
      <c r="T486" s="342">
        <v>1.0</v>
      </c>
      <c r="U486" s="99" t="s">
        <v>2683</v>
      </c>
      <c r="V486" s="99" t="s">
        <v>2684</v>
      </c>
      <c r="W486" s="45" t="str">
        <f t="array" ref="W486">HYPERLINK(INDEX('File Links'!B:B, MATCH(U486, 'File Links'!C:C, 0)))
</f>
        <v>#N/A</v>
      </c>
      <c r="X486" s="99"/>
      <c r="Y486" s="99" t="s">
        <v>1610</v>
      </c>
      <c r="AA486" s="99" t="s">
        <v>2685</v>
      </c>
      <c r="AC486" s="99" t="s">
        <v>2686</v>
      </c>
      <c r="AE486" s="104">
        <v>674.0</v>
      </c>
      <c r="AF486" s="101"/>
      <c r="AG486" s="106"/>
      <c r="AH486" s="101"/>
      <c r="AI486" s="104">
        <v>0.05</v>
      </c>
      <c r="AJ486" s="108" t="s">
        <v>127</v>
      </c>
      <c r="AK486" s="99" t="s">
        <v>179</v>
      </c>
      <c r="AL486" s="101" t="s">
        <v>132</v>
      </c>
      <c r="AM486" s="781" t="s">
        <v>2687</v>
      </c>
      <c r="AN486" s="782">
        <v>451.0</v>
      </c>
      <c r="AO486" s="101"/>
      <c r="AP486" s="101"/>
      <c r="AQ486" s="101"/>
      <c r="AR486" s="101"/>
      <c r="AS486" s="98"/>
      <c r="AT486" s="98"/>
      <c r="AU486" s="98"/>
      <c r="AV486" s="783" t="s">
        <v>2688</v>
      </c>
      <c r="AW486" s="98"/>
      <c r="AX486" s="55"/>
      <c r="AY486" s="64"/>
      <c r="AZ486" s="215"/>
      <c r="BA486" s="215"/>
      <c r="BB486" s="215"/>
      <c r="BC486" s="215"/>
      <c r="BD486" s="215"/>
      <c r="BE486" s="215"/>
      <c r="BF486" s="215"/>
      <c r="BG486" s="215"/>
      <c r="BH486" s="215"/>
      <c r="BI486" s="215"/>
      <c r="BJ486" s="215"/>
      <c r="BK486" s="215"/>
      <c r="BL486" s="215"/>
      <c r="BM486" s="215"/>
      <c r="BN486" s="215"/>
      <c r="BO486" s="215"/>
      <c r="BP486" s="215"/>
      <c r="BQ486" s="215"/>
      <c r="BR486" s="215"/>
      <c r="BS486" s="215"/>
      <c r="BT486" s="215"/>
      <c r="BU486" s="215"/>
      <c r="BV486" s="215"/>
      <c r="BW486" s="215"/>
      <c r="BX486" s="215"/>
      <c r="BY486" s="215"/>
      <c r="BZ486" s="215"/>
      <c r="CA486" s="215"/>
      <c r="CB486" s="215"/>
      <c r="CC486" s="215"/>
      <c r="CD486" s="215"/>
      <c r="CE486" s="215"/>
      <c r="CF486" s="215"/>
      <c r="CG486" s="215"/>
      <c r="CH486" s="215"/>
      <c r="CI486" s="215"/>
      <c r="CJ486" s="215"/>
      <c r="CK486" s="215"/>
      <c r="CL486" s="215"/>
      <c r="CM486" s="215"/>
      <c r="CN486" s="215"/>
      <c r="CO486" s="215"/>
      <c r="CP486" s="215"/>
      <c r="CQ486" s="215"/>
      <c r="CR486" s="215"/>
      <c r="CS486" s="215"/>
      <c r="CT486" s="215"/>
      <c r="CU486" s="215"/>
      <c r="CV486" s="215"/>
      <c r="CW486" s="215"/>
      <c r="CX486" s="215"/>
      <c r="CY486" s="215"/>
      <c r="CZ486" s="215"/>
      <c r="DA486" s="215"/>
      <c r="DB486" s="215"/>
      <c r="DC486" s="215"/>
      <c r="DD486" s="215"/>
      <c r="DE486" s="215"/>
      <c r="DF486" s="215"/>
      <c r="DG486" s="215"/>
    </row>
    <row r="487" ht="20.25" customHeight="1">
      <c r="A487" s="136" t="s">
        <v>279</v>
      </c>
      <c r="B487" s="136" t="s">
        <v>107</v>
      </c>
      <c r="C487" s="136" t="s">
        <v>214</v>
      </c>
      <c r="D487" s="64"/>
      <c r="E487" s="98" t="s">
        <v>2676</v>
      </c>
      <c r="F487" s="99" t="s">
        <v>2689</v>
      </c>
      <c r="G487" s="101" t="s">
        <v>215</v>
      </c>
      <c r="H487" s="391">
        <v>45640.0</v>
      </c>
      <c r="I487" s="101"/>
      <c r="J487" s="99" t="s">
        <v>1116</v>
      </c>
      <c r="K487" s="101"/>
      <c r="L487" s="392" t="s">
        <v>2690</v>
      </c>
      <c r="M487" s="99" t="s">
        <v>2679</v>
      </c>
      <c r="N487" s="101"/>
      <c r="O487" s="107" t="s">
        <v>2680</v>
      </c>
      <c r="P487" s="48" t="str">
        <f t="array" ref="P487">HYPERLINK(INDEX('File Links'!B:B, MATCH(O487, 'File Links'!C:C, 0)))
</f>
        <v>https://drive.google.com/file/d/1v5DJu4qjqzVUJEfoj2GHrhMbmyHZ-m6z/view?usp=drivesdk</v>
      </c>
      <c r="Q487" s="99" t="s">
        <v>2681</v>
      </c>
      <c r="R487" s="99" t="s">
        <v>2682</v>
      </c>
      <c r="S487" s="101"/>
      <c r="T487" s="106"/>
      <c r="U487" s="99" t="s">
        <v>2683</v>
      </c>
      <c r="V487" s="99" t="s">
        <v>2691</v>
      </c>
      <c r="W487" s="45" t="str">
        <f t="array" ref="W487">HYPERLINK(INDEX('File Links'!B:B, MATCH(U487, 'File Links'!C:C, 0)))
</f>
        <v>#N/A</v>
      </c>
      <c r="X487" s="101"/>
      <c r="Y487" s="99" t="s">
        <v>1610</v>
      </c>
      <c r="Z487" s="99" t="s">
        <v>2692</v>
      </c>
      <c r="AA487" s="99" t="s">
        <v>2693</v>
      </c>
      <c r="AB487" s="99" t="s">
        <v>2694</v>
      </c>
      <c r="AC487" s="99" t="s">
        <v>2695</v>
      </c>
      <c r="AD487" s="104">
        <v>18.0</v>
      </c>
      <c r="AE487" s="104">
        <v>674.0</v>
      </c>
      <c r="AF487" s="104">
        <v>-0.65</v>
      </c>
      <c r="AG487" s="107" t="s">
        <v>166</v>
      </c>
      <c r="AH487" s="99" t="s">
        <v>2696</v>
      </c>
      <c r="AI487" s="104">
        <v>0.05</v>
      </c>
      <c r="AJ487" s="108" t="s">
        <v>127</v>
      </c>
      <c r="AK487" s="99" t="s">
        <v>128</v>
      </c>
      <c r="AL487" s="101" t="s">
        <v>132</v>
      </c>
      <c r="AM487" s="593" t="s">
        <v>2687</v>
      </c>
      <c r="AN487" s="394">
        <v>404.0</v>
      </c>
      <c r="AO487" s="394">
        <v>0.1</v>
      </c>
      <c r="AP487" s="99" t="s">
        <v>208</v>
      </c>
      <c r="AQ487" s="99" t="s">
        <v>2696</v>
      </c>
      <c r="AR487" s="104">
        <v>0.05</v>
      </c>
      <c r="AS487" s="108" t="s">
        <v>127</v>
      </c>
      <c r="AT487" s="108" t="s">
        <v>128</v>
      </c>
      <c r="AU487" s="98" t="s">
        <v>132</v>
      </c>
      <c r="AV487" s="595" t="s">
        <v>2697</v>
      </c>
      <c r="AW487" s="450" t="s">
        <v>134</v>
      </c>
      <c r="AX487" s="55"/>
      <c r="AY487" s="64"/>
      <c r="AZ487" s="215"/>
      <c r="BA487" s="215"/>
      <c r="BB487" s="215"/>
      <c r="BC487" s="215"/>
      <c r="BD487" s="215"/>
      <c r="BE487" s="215"/>
      <c r="BF487" s="215"/>
      <c r="BG487" s="215"/>
      <c r="BH487" s="215"/>
      <c r="BI487" s="215"/>
      <c r="BJ487" s="215"/>
      <c r="BK487" s="215"/>
      <c r="BL487" s="215"/>
      <c r="BM487" s="215"/>
      <c r="BN487" s="215"/>
      <c r="BO487" s="215"/>
      <c r="BP487" s="215"/>
      <c r="BQ487" s="215"/>
      <c r="BR487" s="215"/>
      <c r="BS487" s="215"/>
      <c r="BT487" s="215"/>
      <c r="BU487" s="215"/>
      <c r="BV487" s="215"/>
      <c r="BW487" s="215"/>
      <c r="BX487" s="215"/>
      <c r="BY487" s="215"/>
      <c r="BZ487" s="215"/>
      <c r="CA487" s="215"/>
      <c r="CB487" s="215"/>
      <c r="CC487" s="215"/>
      <c r="CD487" s="215"/>
      <c r="CE487" s="215"/>
      <c r="CF487" s="215"/>
      <c r="CG487" s="215"/>
      <c r="CH487" s="215"/>
      <c r="CI487" s="215"/>
      <c r="CJ487" s="215"/>
      <c r="CK487" s="215"/>
      <c r="CL487" s="215"/>
      <c r="CM487" s="215"/>
      <c r="CN487" s="215"/>
      <c r="CO487" s="215"/>
      <c r="CP487" s="215"/>
      <c r="CQ487" s="215"/>
      <c r="CR487" s="215"/>
      <c r="CS487" s="215"/>
      <c r="CT487" s="215"/>
      <c r="CU487" s="215"/>
      <c r="CV487" s="215"/>
      <c r="CW487" s="215"/>
      <c r="CX487" s="215"/>
      <c r="CY487" s="215"/>
      <c r="CZ487" s="215"/>
      <c r="DA487" s="215"/>
      <c r="DB487" s="215"/>
      <c r="DC487" s="215"/>
      <c r="DD487" s="215"/>
      <c r="DE487" s="215"/>
      <c r="DF487" s="215"/>
      <c r="DG487" s="215"/>
    </row>
    <row r="488" ht="20.25" customHeight="1">
      <c r="A488" s="136" t="s">
        <v>279</v>
      </c>
      <c r="B488" s="136" t="s">
        <v>107</v>
      </c>
      <c r="C488" s="136" t="s">
        <v>214</v>
      </c>
      <c r="D488" s="64"/>
      <c r="E488" s="98" t="s">
        <v>2676</v>
      </c>
      <c r="F488" s="99" t="s">
        <v>2698</v>
      </c>
      <c r="G488" s="101" t="s">
        <v>215</v>
      </c>
      <c r="H488" s="391">
        <v>45640.0</v>
      </c>
      <c r="I488" s="101"/>
      <c r="J488" s="99" t="s">
        <v>1116</v>
      </c>
      <c r="K488" s="101"/>
      <c r="L488" s="392" t="s">
        <v>2699</v>
      </c>
      <c r="M488" s="99" t="s">
        <v>2679</v>
      </c>
      <c r="N488" s="101"/>
      <c r="O488" s="107" t="s">
        <v>2680</v>
      </c>
      <c r="P488" s="48" t="str">
        <f t="array" ref="P488">HYPERLINK(INDEX('File Links'!B:B, MATCH(O488, 'File Links'!C:C, 0)))
</f>
        <v>https://drive.google.com/file/d/1v5DJu4qjqzVUJEfoj2GHrhMbmyHZ-m6z/view?usp=drivesdk</v>
      </c>
      <c r="Q488" s="99" t="s">
        <v>2681</v>
      </c>
      <c r="R488" s="99" t="s">
        <v>2682</v>
      </c>
      <c r="S488" s="101"/>
      <c r="T488" s="106"/>
      <c r="U488" s="99" t="s">
        <v>2683</v>
      </c>
      <c r="V488" s="99" t="s">
        <v>2691</v>
      </c>
      <c r="W488" s="45" t="str">
        <f t="array" ref="W488">HYPERLINK(INDEX('File Links'!B:B, MATCH(U488, 'File Links'!C:C, 0)))
</f>
        <v>#N/A</v>
      </c>
      <c r="X488" s="101"/>
      <c r="Y488" s="99" t="s">
        <v>1610</v>
      </c>
      <c r="Z488" s="99" t="s">
        <v>2692</v>
      </c>
      <c r="AA488" s="99" t="s">
        <v>2693</v>
      </c>
      <c r="AB488" s="99" t="s">
        <v>2700</v>
      </c>
      <c r="AC488" s="101"/>
      <c r="AD488" s="104">
        <v>37.0</v>
      </c>
      <c r="AE488" s="104">
        <v>674.0</v>
      </c>
      <c r="AF488" s="104">
        <v>-0.16</v>
      </c>
      <c r="AG488" s="107" t="s">
        <v>166</v>
      </c>
      <c r="AH488" s="99" t="s">
        <v>2696</v>
      </c>
      <c r="AI488" s="104">
        <v>0.05</v>
      </c>
      <c r="AJ488" s="108" t="s">
        <v>127</v>
      </c>
      <c r="AK488" s="99" t="s">
        <v>128</v>
      </c>
      <c r="AL488" s="101" t="s">
        <v>132</v>
      </c>
      <c r="AM488" s="593" t="s">
        <v>2687</v>
      </c>
      <c r="AN488" s="394">
        <v>404.0</v>
      </c>
      <c r="AO488" s="394">
        <v>0.1</v>
      </c>
      <c r="AP488" s="99" t="s">
        <v>208</v>
      </c>
      <c r="AQ488" s="99" t="s">
        <v>2696</v>
      </c>
      <c r="AR488" s="104">
        <v>0.05</v>
      </c>
      <c r="AS488" s="108" t="s">
        <v>127</v>
      </c>
      <c r="AT488" s="108" t="s">
        <v>128</v>
      </c>
      <c r="AU488" s="98" t="s">
        <v>132</v>
      </c>
      <c r="AV488" s="595" t="s">
        <v>2697</v>
      </c>
      <c r="AW488" s="450" t="s">
        <v>134</v>
      </c>
      <c r="AX488" s="55"/>
      <c r="AY488" s="64"/>
      <c r="AZ488" s="215"/>
      <c r="BA488" s="215"/>
      <c r="BB488" s="215"/>
      <c r="BC488" s="215"/>
      <c r="BD488" s="215"/>
      <c r="BE488" s="215"/>
      <c r="BF488" s="215"/>
      <c r="BG488" s="215"/>
      <c r="BH488" s="215"/>
      <c r="BI488" s="215"/>
      <c r="BJ488" s="215"/>
      <c r="BK488" s="215"/>
      <c r="BL488" s="215"/>
      <c r="BM488" s="215"/>
      <c r="BN488" s="215"/>
      <c r="BO488" s="215"/>
      <c r="BP488" s="215"/>
      <c r="BQ488" s="215"/>
      <c r="BR488" s="215"/>
      <c r="BS488" s="215"/>
      <c r="BT488" s="215"/>
      <c r="BU488" s="215"/>
      <c r="BV488" s="215"/>
      <c r="BW488" s="215"/>
      <c r="BX488" s="215"/>
      <c r="BY488" s="215"/>
      <c r="BZ488" s="215"/>
      <c r="CA488" s="215"/>
      <c r="CB488" s="215"/>
      <c r="CC488" s="215"/>
      <c r="CD488" s="215"/>
      <c r="CE488" s="215"/>
      <c r="CF488" s="215"/>
      <c r="CG488" s="215"/>
      <c r="CH488" s="215"/>
      <c r="CI488" s="215"/>
      <c r="CJ488" s="215"/>
      <c r="CK488" s="215"/>
      <c r="CL488" s="215"/>
      <c r="CM488" s="215"/>
      <c r="CN488" s="215"/>
      <c r="CO488" s="215"/>
      <c r="CP488" s="215"/>
      <c r="CQ488" s="215"/>
      <c r="CR488" s="215"/>
      <c r="CS488" s="215"/>
      <c r="CT488" s="215"/>
      <c r="CU488" s="215"/>
      <c r="CV488" s="215"/>
      <c r="CW488" s="215"/>
      <c r="CX488" s="215"/>
      <c r="CY488" s="215"/>
      <c r="CZ488" s="215"/>
      <c r="DA488" s="215"/>
      <c r="DB488" s="215"/>
      <c r="DC488" s="215"/>
      <c r="DD488" s="215"/>
      <c r="DE488" s="215"/>
      <c r="DF488" s="215"/>
      <c r="DG488" s="215"/>
    </row>
    <row r="489" ht="20.25" customHeight="1">
      <c r="A489" s="136" t="s">
        <v>279</v>
      </c>
      <c r="B489" s="136" t="s">
        <v>107</v>
      </c>
      <c r="C489" s="136" t="s">
        <v>214</v>
      </c>
      <c r="D489" s="64"/>
      <c r="E489" s="98" t="s">
        <v>2676</v>
      </c>
      <c r="F489" s="99" t="s">
        <v>2701</v>
      </c>
      <c r="G489" s="101" t="s">
        <v>215</v>
      </c>
      <c r="H489" s="391">
        <v>45640.0</v>
      </c>
      <c r="I489" s="101"/>
      <c r="J489" s="99" t="s">
        <v>1116</v>
      </c>
      <c r="K489" s="101"/>
      <c r="L489" s="392" t="s">
        <v>2702</v>
      </c>
      <c r="M489" s="99" t="s">
        <v>2679</v>
      </c>
      <c r="N489" s="101"/>
      <c r="O489" s="107" t="s">
        <v>2680</v>
      </c>
      <c r="P489" s="48" t="str">
        <f t="array" ref="P489">HYPERLINK(INDEX('File Links'!B:B, MATCH(O489, 'File Links'!C:C, 0)))
</f>
        <v>https://drive.google.com/file/d/1v5DJu4qjqzVUJEfoj2GHrhMbmyHZ-m6z/view?usp=drivesdk</v>
      </c>
      <c r="Q489" s="99" t="s">
        <v>2681</v>
      </c>
      <c r="R489" s="99" t="s">
        <v>2682</v>
      </c>
      <c r="S489" s="101"/>
      <c r="T489" s="106"/>
      <c r="U489" s="99" t="s">
        <v>2683</v>
      </c>
      <c r="V489" s="99" t="s">
        <v>2691</v>
      </c>
      <c r="W489" s="45" t="str">
        <f t="array" ref="W489">HYPERLINK(INDEX('File Links'!B:B, MATCH(U489, 'File Links'!C:C, 0)))
</f>
        <v>#N/A</v>
      </c>
      <c r="X489" s="101"/>
      <c r="Y489" s="99" t="s">
        <v>1610</v>
      </c>
      <c r="Z489" s="99" t="s">
        <v>2692</v>
      </c>
      <c r="AA489" s="99" t="s">
        <v>2693</v>
      </c>
      <c r="AB489" s="99" t="s">
        <v>2703</v>
      </c>
      <c r="AC489" s="101"/>
      <c r="AD489" s="104">
        <v>37.0</v>
      </c>
      <c r="AE489" s="104">
        <v>674.0</v>
      </c>
      <c r="AF489" s="104">
        <v>0.0</v>
      </c>
      <c r="AG489" s="106"/>
      <c r="AH489" s="99" t="s">
        <v>2696</v>
      </c>
      <c r="AI489" s="104">
        <v>0.67</v>
      </c>
      <c r="AJ489" s="108" t="s">
        <v>164</v>
      </c>
      <c r="AK489" s="99" t="s">
        <v>128</v>
      </c>
      <c r="AL489" s="101" t="s">
        <v>132</v>
      </c>
      <c r="AM489" s="392" t="s">
        <v>2687</v>
      </c>
      <c r="AN489" s="394">
        <v>404.0</v>
      </c>
      <c r="AO489" s="394">
        <v>-0.16</v>
      </c>
      <c r="AP489" s="99" t="s">
        <v>208</v>
      </c>
      <c r="AQ489" s="99" t="s">
        <v>2696</v>
      </c>
      <c r="AR489" s="104">
        <v>0.05</v>
      </c>
      <c r="AS489" s="108" t="s">
        <v>127</v>
      </c>
      <c r="AT489" s="108" t="s">
        <v>128</v>
      </c>
      <c r="AU489" s="98" t="s">
        <v>132</v>
      </c>
      <c r="AV489" s="595" t="s">
        <v>2697</v>
      </c>
      <c r="AW489" s="450" t="s">
        <v>134</v>
      </c>
      <c r="AX489" s="55"/>
      <c r="AY489" s="64"/>
      <c r="AZ489" s="215"/>
      <c r="BA489" s="215"/>
      <c r="BB489" s="215"/>
      <c r="BC489" s="215"/>
      <c r="BD489" s="215"/>
      <c r="BE489" s="215"/>
      <c r="BF489" s="215"/>
      <c r="BG489" s="215"/>
      <c r="BH489" s="215"/>
      <c r="BI489" s="215"/>
      <c r="BJ489" s="215"/>
      <c r="BK489" s="215"/>
      <c r="BL489" s="215"/>
      <c r="BM489" s="215"/>
      <c r="BN489" s="215"/>
      <c r="BO489" s="215"/>
      <c r="BP489" s="215"/>
      <c r="BQ489" s="215"/>
      <c r="BR489" s="215"/>
      <c r="BS489" s="215"/>
      <c r="BT489" s="215"/>
      <c r="BU489" s="215"/>
      <c r="BV489" s="215"/>
      <c r="BW489" s="215"/>
      <c r="BX489" s="215"/>
      <c r="BY489" s="215"/>
      <c r="BZ489" s="215"/>
      <c r="CA489" s="215"/>
      <c r="CB489" s="215"/>
      <c r="CC489" s="215"/>
      <c r="CD489" s="215"/>
      <c r="CE489" s="215"/>
      <c r="CF489" s="215"/>
      <c r="CG489" s="215"/>
      <c r="CH489" s="215"/>
      <c r="CI489" s="215"/>
      <c r="CJ489" s="215"/>
      <c r="CK489" s="215"/>
      <c r="CL489" s="215"/>
      <c r="CM489" s="215"/>
      <c r="CN489" s="215"/>
      <c r="CO489" s="215"/>
      <c r="CP489" s="215"/>
      <c r="CQ489" s="215"/>
      <c r="CR489" s="215"/>
      <c r="CS489" s="215"/>
      <c r="CT489" s="215"/>
      <c r="CU489" s="215"/>
      <c r="CV489" s="215"/>
      <c r="CW489" s="215"/>
      <c r="CX489" s="215"/>
      <c r="CY489" s="215"/>
      <c r="CZ489" s="215"/>
      <c r="DA489" s="215"/>
      <c r="DB489" s="215"/>
      <c r="DC489" s="215"/>
      <c r="DD489" s="215"/>
      <c r="DE489" s="215"/>
      <c r="DF489" s="215"/>
      <c r="DG489" s="215"/>
    </row>
    <row r="490" ht="20.25" customHeight="1">
      <c r="A490" s="136" t="s">
        <v>279</v>
      </c>
      <c r="B490" s="136" t="s">
        <v>107</v>
      </c>
      <c r="C490" s="136" t="s">
        <v>214</v>
      </c>
      <c r="D490" s="64"/>
      <c r="E490" s="98" t="s">
        <v>2676</v>
      </c>
      <c r="F490" s="99" t="s">
        <v>2704</v>
      </c>
      <c r="G490" s="101" t="s">
        <v>215</v>
      </c>
      <c r="H490" s="391">
        <v>45640.0</v>
      </c>
      <c r="I490" s="101"/>
      <c r="J490" s="99" t="s">
        <v>1116</v>
      </c>
      <c r="K490" s="101"/>
      <c r="L490" s="392" t="s">
        <v>2705</v>
      </c>
      <c r="M490" s="99" t="s">
        <v>2679</v>
      </c>
      <c r="N490" s="101"/>
      <c r="O490" s="107" t="s">
        <v>2680</v>
      </c>
      <c r="P490" s="48" t="str">
        <f t="array" ref="P490">HYPERLINK(INDEX('File Links'!B:B, MATCH(O490, 'File Links'!C:C, 0)))
</f>
        <v>https://drive.google.com/file/d/1v5DJu4qjqzVUJEfoj2GHrhMbmyHZ-m6z/view?usp=drivesdk</v>
      </c>
      <c r="Q490" s="99" t="s">
        <v>2681</v>
      </c>
      <c r="R490" s="99" t="s">
        <v>2682</v>
      </c>
      <c r="S490" s="101"/>
      <c r="T490" s="106"/>
      <c r="U490" s="99" t="s">
        <v>2683</v>
      </c>
      <c r="V490" s="99" t="s">
        <v>2691</v>
      </c>
      <c r="W490" s="45" t="str">
        <f t="array" ref="W490">HYPERLINK(INDEX('File Links'!B:B, MATCH(U490, 'File Links'!C:C, 0)))
</f>
        <v>#N/A</v>
      </c>
      <c r="X490" s="101"/>
      <c r="Y490" s="99" t="s">
        <v>1610</v>
      </c>
      <c r="Z490" s="99" t="s">
        <v>2692</v>
      </c>
      <c r="AA490" s="99" t="s">
        <v>2693</v>
      </c>
      <c r="AB490" s="99" t="s">
        <v>2706</v>
      </c>
      <c r="AC490" s="101"/>
      <c r="AD490" s="104">
        <v>37.0</v>
      </c>
      <c r="AE490" s="104">
        <v>674.0</v>
      </c>
      <c r="AF490" s="104">
        <v>0.29</v>
      </c>
      <c r="AG490" s="107" t="s">
        <v>166</v>
      </c>
      <c r="AH490" s="99" t="s">
        <v>2696</v>
      </c>
      <c r="AI490" s="104">
        <v>0.67</v>
      </c>
      <c r="AJ490" s="108" t="s">
        <v>164</v>
      </c>
      <c r="AK490" s="99" t="s">
        <v>128</v>
      </c>
      <c r="AL490" s="101" t="s">
        <v>132</v>
      </c>
      <c r="AM490" s="593" t="s">
        <v>2687</v>
      </c>
      <c r="AN490" s="394">
        <v>404.0</v>
      </c>
      <c r="AO490" s="394">
        <v>-0.16</v>
      </c>
      <c r="AP490" s="99" t="s">
        <v>208</v>
      </c>
      <c r="AQ490" s="99" t="s">
        <v>2696</v>
      </c>
      <c r="AR490" s="104">
        <v>0.05</v>
      </c>
      <c r="AS490" s="108" t="s">
        <v>127</v>
      </c>
      <c r="AT490" s="108" t="s">
        <v>128</v>
      </c>
      <c r="AU490" s="98" t="s">
        <v>132</v>
      </c>
      <c r="AV490" s="595" t="s">
        <v>2697</v>
      </c>
      <c r="AW490" s="450" t="s">
        <v>134</v>
      </c>
      <c r="AX490" s="55"/>
      <c r="AY490" s="64"/>
      <c r="AZ490" s="215"/>
      <c r="BA490" s="215"/>
      <c r="BB490" s="215"/>
      <c r="BC490" s="215"/>
      <c r="BD490" s="215"/>
      <c r="BE490" s="215"/>
      <c r="BF490" s="215"/>
      <c r="BG490" s="215"/>
      <c r="BH490" s="215"/>
      <c r="BI490" s="215"/>
      <c r="BJ490" s="215"/>
      <c r="BK490" s="215"/>
      <c r="BL490" s="215"/>
      <c r="BM490" s="215"/>
      <c r="BN490" s="215"/>
      <c r="BO490" s="215"/>
      <c r="BP490" s="215"/>
      <c r="BQ490" s="215"/>
      <c r="BR490" s="215"/>
      <c r="BS490" s="215"/>
      <c r="BT490" s="215"/>
      <c r="BU490" s="215"/>
      <c r="BV490" s="215"/>
      <c r="BW490" s="215"/>
      <c r="BX490" s="215"/>
      <c r="BY490" s="215"/>
      <c r="BZ490" s="215"/>
      <c r="CA490" s="215"/>
      <c r="CB490" s="215"/>
      <c r="CC490" s="215"/>
      <c r="CD490" s="215"/>
      <c r="CE490" s="215"/>
      <c r="CF490" s="215"/>
      <c r="CG490" s="215"/>
      <c r="CH490" s="215"/>
      <c r="CI490" s="215"/>
      <c r="CJ490" s="215"/>
      <c r="CK490" s="215"/>
      <c r="CL490" s="215"/>
      <c r="CM490" s="215"/>
      <c r="CN490" s="215"/>
      <c r="CO490" s="215"/>
      <c r="CP490" s="215"/>
      <c r="CQ490" s="215"/>
      <c r="CR490" s="215"/>
      <c r="CS490" s="215"/>
      <c r="CT490" s="215"/>
      <c r="CU490" s="215"/>
      <c r="CV490" s="215"/>
      <c r="CW490" s="215"/>
      <c r="CX490" s="215"/>
      <c r="CY490" s="215"/>
      <c r="CZ490" s="215"/>
      <c r="DA490" s="215"/>
      <c r="DB490" s="215"/>
      <c r="DC490" s="215"/>
      <c r="DD490" s="215"/>
      <c r="DE490" s="215"/>
      <c r="DF490" s="215"/>
      <c r="DG490" s="215"/>
    </row>
    <row r="491" ht="20.25" customHeight="1">
      <c r="A491" s="136" t="s">
        <v>279</v>
      </c>
      <c r="B491" s="136" t="s">
        <v>107</v>
      </c>
      <c r="C491" s="136" t="s">
        <v>214</v>
      </c>
      <c r="D491" s="64"/>
      <c r="E491" s="98" t="s">
        <v>2676</v>
      </c>
      <c r="F491" s="99" t="s">
        <v>2707</v>
      </c>
      <c r="G491" s="101" t="s">
        <v>215</v>
      </c>
      <c r="H491" s="391">
        <v>45640.0</v>
      </c>
      <c r="I491" s="101"/>
      <c r="J491" s="99" t="s">
        <v>1116</v>
      </c>
      <c r="K491" s="101"/>
      <c r="L491" s="392" t="s">
        <v>2708</v>
      </c>
      <c r="M491" s="99" t="s">
        <v>2679</v>
      </c>
      <c r="N491" s="101"/>
      <c r="O491" s="107" t="s">
        <v>2680</v>
      </c>
      <c r="P491" s="48" t="str">
        <f t="array" ref="P491">HYPERLINK(INDEX('File Links'!B:B, MATCH(O491, 'File Links'!C:C, 0)))
</f>
        <v>https://drive.google.com/file/d/1v5DJu4qjqzVUJEfoj2GHrhMbmyHZ-m6z/view?usp=drivesdk</v>
      </c>
      <c r="Q491" s="99" t="s">
        <v>2681</v>
      </c>
      <c r="R491" s="99" t="s">
        <v>2682</v>
      </c>
      <c r="S491" s="101"/>
      <c r="T491" s="106"/>
      <c r="U491" s="99" t="s">
        <v>2683</v>
      </c>
      <c r="V491" s="99" t="s">
        <v>2691</v>
      </c>
      <c r="W491" s="45" t="str">
        <f t="array" ref="W491">HYPERLINK(INDEX('File Links'!B:B, MATCH(U491, 'File Links'!C:C, 0)))
</f>
        <v>#N/A</v>
      </c>
      <c r="X491" s="101"/>
      <c r="Y491" s="99" t="s">
        <v>1610</v>
      </c>
      <c r="Z491" s="99" t="s">
        <v>2692</v>
      </c>
      <c r="AA491" s="99" t="s">
        <v>2693</v>
      </c>
      <c r="AB491" s="99" t="s">
        <v>2709</v>
      </c>
      <c r="AC491" s="101"/>
      <c r="AD491" s="104">
        <v>37.0</v>
      </c>
      <c r="AE491" s="104">
        <v>674.0</v>
      </c>
      <c r="AF491" s="104">
        <v>-0.41</v>
      </c>
      <c r="AG491" s="107" t="s">
        <v>166</v>
      </c>
      <c r="AH491" s="99" t="s">
        <v>2696</v>
      </c>
      <c r="AI491" s="104">
        <v>0.05</v>
      </c>
      <c r="AJ491" s="108" t="s">
        <v>127</v>
      </c>
      <c r="AK491" s="99" t="s">
        <v>128</v>
      </c>
      <c r="AL491" s="101" t="s">
        <v>132</v>
      </c>
      <c r="AM491" s="593" t="s">
        <v>2687</v>
      </c>
      <c r="AN491" s="394">
        <v>404.0</v>
      </c>
      <c r="AO491" s="394">
        <v>0.1</v>
      </c>
      <c r="AP491" s="99" t="s">
        <v>208</v>
      </c>
      <c r="AQ491" s="99" t="s">
        <v>2696</v>
      </c>
      <c r="AR491" s="104">
        <v>0.05</v>
      </c>
      <c r="AS491" s="108" t="s">
        <v>127</v>
      </c>
      <c r="AT491" s="108" t="s">
        <v>128</v>
      </c>
      <c r="AU491" s="98" t="s">
        <v>132</v>
      </c>
      <c r="AV491" s="595" t="s">
        <v>2697</v>
      </c>
      <c r="AW491" s="450" t="s">
        <v>134</v>
      </c>
      <c r="AX491" s="55"/>
      <c r="AY491" s="64"/>
      <c r="AZ491" s="333"/>
      <c r="BA491" s="333"/>
      <c r="BB491" s="333"/>
      <c r="BC491" s="333"/>
      <c r="BD491" s="333"/>
      <c r="BE491" s="333"/>
      <c r="BF491" s="333"/>
      <c r="BG491" s="333"/>
      <c r="BH491" s="333"/>
      <c r="BI491" s="333"/>
      <c r="BJ491" s="333"/>
      <c r="BK491" s="333"/>
      <c r="BL491" s="333"/>
      <c r="BM491" s="333"/>
      <c r="BN491" s="333"/>
      <c r="BO491" s="333"/>
      <c r="BP491" s="333"/>
      <c r="BQ491" s="333"/>
      <c r="BR491" s="333"/>
      <c r="BS491" s="333"/>
      <c r="BT491" s="333"/>
      <c r="BU491" s="333"/>
      <c r="BV491" s="333"/>
      <c r="BW491" s="333"/>
      <c r="BX491" s="333"/>
      <c r="BY491" s="333"/>
      <c r="BZ491" s="333"/>
      <c r="CA491" s="333"/>
      <c r="CB491" s="333"/>
      <c r="CC491" s="333"/>
      <c r="CD491" s="333"/>
      <c r="CE491" s="333"/>
      <c r="CF491" s="333"/>
      <c r="CG491" s="333"/>
      <c r="CH491" s="333"/>
      <c r="CI491" s="333"/>
      <c r="CJ491" s="333"/>
      <c r="CK491" s="333"/>
      <c r="CL491" s="333"/>
      <c r="CM491" s="333"/>
      <c r="CN491" s="333"/>
      <c r="CO491" s="333"/>
      <c r="CP491" s="333"/>
      <c r="CQ491" s="333"/>
      <c r="CR491" s="333"/>
      <c r="CS491" s="333"/>
      <c r="CT491" s="333"/>
      <c r="CU491" s="333"/>
      <c r="CV491" s="333"/>
      <c r="CW491" s="333"/>
      <c r="CX491" s="333"/>
      <c r="CY491" s="333"/>
      <c r="CZ491" s="333"/>
      <c r="DA491" s="333"/>
      <c r="DB491" s="333"/>
      <c r="DC491" s="333"/>
      <c r="DD491" s="333"/>
      <c r="DE491" s="333"/>
      <c r="DF491" s="333"/>
      <c r="DG491" s="333"/>
    </row>
    <row r="492" ht="20.25" customHeight="1">
      <c r="A492" s="136" t="s">
        <v>279</v>
      </c>
      <c r="B492" s="136" t="s">
        <v>107</v>
      </c>
      <c r="C492" s="136" t="s">
        <v>214</v>
      </c>
      <c r="D492" s="64"/>
      <c r="E492" s="98" t="s">
        <v>2676</v>
      </c>
      <c r="F492" s="99" t="s">
        <v>2710</v>
      </c>
      <c r="G492" s="101" t="s">
        <v>215</v>
      </c>
      <c r="H492" s="391">
        <v>45640.0</v>
      </c>
      <c r="I492" s="101"/>
      <c r="J492" s="99" t="s">
        <v>1116</v>
      </c>
      <c r="K492" s="101"/>
      <c r="L492" s="392" t="s">
        <v>2711</v>
      </c>
      <c r="M492" s="99" t="s">
        <v>2679</v>
      </c>
      <c r="N492" s="101"/>
      <c r="O492" s="107" t="s">
        <v>2680</v>
      </c>
      <c r="P492" s="48" t="str">
        <f t="array" ref="P492">HYPERLINK(INDEX('File Links'!B:B, MATCH(O492, 'File Links'!C:C, 0)))
</f>
        <v>https://drive.google.com/file/d/1v5DJu4qjqzVUJEfoj2GHrhMbmyHZ-m6z/view?usp=drivesdk</v>
      </c>
      <c r="Q492" s="99" t="s">
        <v>2681</v>
      </c>
      <c r="R492" s="99" t="s">
        <v>2682</v>
      </c>
      <c r="S492" s="101"/>
      <c r="T492" s="106"/>
      <c r="U492" s="99" t="s">
        <v>2683</v>
      </c>
      <c r="V492" s="99" t="s">
        <v>2691</v>
      </c>
      <c r="W492" s="45" t="str">
        <f t="array" ref="W492">HYPERLINK(INDEX('File Links'!B:B, MATCH(U492, 'File Links'!C:C, 0)))
</f>
        <v>#N/A</v>
      </c>
      <c r="X492" s="101"/>
      <c r="Y492" s="99" t="s">
        <v>1610</v>
      </c>
      <c r="Z492" s="99" t="s">
        <v>2692</v>
      </c>
      <c r="AA492" s="99" t="s">
        <v>2693</v>
      </c>
      <c r="AB492" s="99" t="s">
        <v>2712</v>
      </c>
      <c r="AC492" s="101"/>
      <c r="AD492" s="104">
        <v>37.0</v>
      </c>
      <c r="AE492" s="104">
        <v>674.0</v>
      </c>
      <c r="AF492" s="104">
        <v>-0.65</v>
      </c>
      <c r="AG492" s="107" t="s">
        <v>166</v>
      </c>
      <c r="AH492" s="99" t="s">
        <v>2696</v>
      </c>
      <c r="AI492" s="104">
        <v>0.05</v>
      </c>
      <c r="AJ492" s="108" t="s">
        <v>127</v>
      </c>
      <c r="AK492" s="99" t="s">
        <v>128</v>
      </c>
      <c r="AL492" s="101" t="s">
        <v>132</v>
      </c>
      <c r="AM492" s="593" t="s">
        <v>2687</v>
      </c>
      <c r="AN492" s="394">
        <v>404.0</v>
      </c>
      <c r="AO492" s="394">
        <v>0.1</v>
      </c>
      <c r="AP492" s="99" t="s">
        <v>208</v>
      </c>
      <c r="AQ492" s="99" t="s">
        <v>2696</v>
      </c>
      <c r="AR492" s="104">
        <v>0.05</v>
      </c>
      <c r="AS492" s="108" t="s">
        <v>127</v>
      </c>
      <c r="AT492" s="108" t="s">
        <v>128</v>
      </c>
      <c r="AU492" s="98" t="s">
        <v>132</v>
      </c>
      <c r="AV492" s="595" t="s">
        <v>2697</v>
      </c>
      <c r="AW492" s="450" t="s">
        <v>134</v>
      </c>
      <c r="AX492" s="55"/>
      <c r="AY492" s="64"/>
      <c r="AZ492" s="333"/>
      <c r="BA492" s="333"/>
      <c r="BB492" s="333"/>
      <c r="BC492" s="333"/>
      <c r="BD492" s="333"/>
      <c r="BE492" s="333"/>
      <c r="BF492" s="333"/>
      <c r="BG492" s="333"/>
      <c r="BH492" s="333"/>
      <c r="BI492" s="333"/>
      <c r="BJ492" s="333"/>
      <c r="BK492" s="333"/>
      <c r="BL492" s="333"/>
      <c r="BM492" s="333"/>
      <c r="BN492" s="333"/>
      <c r="BO492" s="333"/>
      <c r="BP492" s="333"/>
      <c r="BQ492" s="333"/>
      <c r="BR492" s="333"/>
      <c r="BS492" s="333"/>
      <c r="BT492" s="333"/>
      <c r="BU492" s="333"/>
      <c r="BV492" s="333"/>
      <c r="BW492" s="333"/>
      <c r="BX492" s="333"/>
      <c r="BY492" s="333"/>
      <c r="BZ492" s="333"/>
      <c r="CA492" s="333"/>
      <c r="CB492" s="333"/>
      <c r="CC492" s="333"/>
      <c r="CD492" s="333"/>
      <c r="CE492" s="333"/>
      <c r="CF492" s="333"/>
      <c r="CG492" s="333"/>
      <c r="CH492" s="333"/>
      <c r="CI492" s="333"/>
      <c r="CJ492" s="333"/>
      <c r="CK492" s="333"/>
      <c r="CL492" s="333"/>
      <c r="CM492" s="333"/>
      <c r="CN492" s="333"/>
      <c r="CO492" s="333"/>
      <c r="CP492" s="333"/>
      <c r="CQ492" s="333"/>
      <c r="CR492" s="333"/>
      <c r="CS492" s="333"/>
      <c r="CT492" s="333"/>
      <c r="CU492" s="333"/>
      <c r="CV492" s="333"/>
      <c r="CW492" s="333"/>
      <c r="CX492" s="333"/>
      <c r="CY492" s="333"/>
      <c r="CZ492" s="333"/>
      <c r="DA492" s="333"/>
      <c r="DB492" s="333"/>
      <c r="DC492" s="333"/>
      <c r="DD492" s="333"/>
      <c r="DE492" s="333"/>
      <c r="DF492" s="333"/>
      <c r="DG492" s="333"/>
    </row>
    <row r="493" ht="20.25" customHeight="1">
      <c r="A493" s="136" t="s">
        <v>279</v>
      </c>
      <c r="B493" s="136" t="s">
        <v>107</v>
      </c>
      <c r="C493" s="136" t="s">
        <v>214</v>
      </c>
      <c r="D493" s="64"/>
      <c r="E493" s="98" t="s">
        <v>2676</v>
      </c>
      <c r="F493" s="99" t="s">
        <v>2713</v>
      </c>
      <c r="G493" s="101" t="s">
        <v>215</v>
      </c>
      <c r="H493" s="391">
        <v>45640.0</v>
      </c>
      <c r="I493" s="101"/>
      <c r="J493" s="99" t="s">
        <v>1116</v>
      </c>
      <c r="K493" s="101"/>
      <c r="L493" s="392" t="s">
        <v>2714</v>
      </c>
      <c r="M493" s="99" t="s">
        <v>2679</v>
      </c>
      <c r="N493" s="101"/>
      <c r="O493" s="107" t="s">
        <v>2680</v>
      </c>
      <c r="P493" s="48" t="str">
        <f t="array" ref="P493">HYPERLINK(INDEX('File Links'!B:B, MATCH(O493, 'File Links'!C:C, 0)))
</f>
        <v>https://drive.google.com/file/d/1v5DJu4qjqzVUJEfoj2GHrhMbmyHZ-m6z/view?usp=drivesdk</v>
      </c>
      <c r="Q493" s="99" t="s">
        <v>2681</v>
      </c>
      <c r="R493" s="99" t="s">
        <v>2682</v>
      </c>
      <c r="S493" s="101"/>
      <c r="T493" s="106"/>
      <c r="U493" s="99" t="s">
        <v>2683</v>
      </c>
      <c r="V493" s="99" t="s">
        <v>2691</v>
      </c>
      <c r="W493" s="45" t="str">
        <f t="array" ref="W493">HYPERLINK(INDEX('File Links'!B:B, MATCH(U493, 'File Links'!C:C, 0)))
</f>
        <v>#N/A</v>
      </c>
      <c r="X493" s="101"/>
      <c r="Y493" s="99" t="s">
        <v>1610</v>
      </c>
      <c r="Z493" s="99" t="s">
        <v>2692</v>
      </c>
      <c r="AA493" s="99" t="s">
        <v>2693</v>
      </c>
      <c r="AB493" s="99" t="s">
        <v>2715</v>
      </c>
      <c r="AC493" s="101"/>
      <c r="AD493" s="104">
        <v>37.0</v>
      </c>
      <c r="AE493" s="104">
        <v>674.0</v>
      </c>
      <c r="AF493" s="104">
        <v>-1.45</v>
      </c>
      <c r="AG493" s="107" t="s">
        <v>166</v>
      </c>
      <c r="AH493" s="99" t="s">
        <v>2696</v>
      </c>
      <c r="AI493" s="104">
        <v>0.05</v>
      </c>
      <c r="AJ493" s="108" t="s">
        <v>127</v>
      </c>
      <c r="AK493" s="99" t="s">
        <v>128</v>
      </c>
      <c r="AL493" s="101" t="s">
        <v>132</v>
      </c>
      <c r="AM493" s="593" t="s">
        <v>2687</v>
      </c>
      <c r="AN493" s="394">
        <v>404.0</v>
      </c>
      <c r="AO493" s="394">
        <v>0.05</v>
      </c>
      <c r="AP493" s="99" t="s">
        <v>208</v>
      </c>
      <c r="AQ493" s="99" t="s">
        <v>2696</v>
      </c>
      <c r="AR493" s="104">
        <v>0.06</v>
      </c>
      <c r="AS493" s="108" t="s">
        <v>164</v>
      </c>
      <c r="AT493" s="108" t="s">
        <v>128</v>
      </c>
      <c r="AU493" s="98" t="s">
        <v>132</v>
      </c>
      <c r="AV493" s="595" t="s">
        <v>2697</v>
      </c>
      <c r="AW493" s="450" t="s">
        <v>134</v>
      </c>
      <c r="AX493" s="55"/>
      <c r="AY493" s="64"/>
      <c r="AZ493" s="178"/>
      <c r="BA493" s="178"/>
      <c r="BB493" s="178"/>
      <c r="BC493" s="178"/>
      <c r="BD493" s="178"/>
      <c r="BE493" s="178"/>
      <c r="BF493" s="178"/>
      <c r="BG493" s="178"/>
      <c r="BH493" s="178"/>
      <c r="BI493" s="178"/>
      <c r="BJ493" s="178"/>
      <c r="BK493" s="178"/>
      <c r="BL493" s="178"/>
      <c r="BM493" s="178"/>
      <c r="BN493" s="178"/>
      <c r="BO493" s="178"/>
      <c r="BP493" s="178"/>
      <c r="BQ493" s="178"/>
      <c r="BR493" s="178"/>
      <c r="BS493" s="178"/>
      <c r="BT493" s="178"/>
      <c r="BU493" s="178"/>
      <c r="BV493" s="178"/>
      <c r="BW493" s="178"/>
      <c r="BX493" s="178"/>
      <c r="BY493" s="178"/>
      <c r="BZ493" s="178"/>
      <c r="CA493" s="178"/>
      <c r="CB493" s="178"/>
      <c r="CC493" s="178"/>
      <c r="CD493" s="178"/>
      <c r="CE493" s="178"/>
      <c r="CF493" s="178"/>
      <c r="CG493" s="178"/>
      <c r="CH493" s="178"/>
      <c r="CI493" s="178"/>
      <c r="CJ493" s="178"/>
      <c r="CK493" s="178"/>
      <c r="CL493" s="178"/>
      <c r="CM493" s="178"/>
      <c r="CN493" s="178"/>
      <c r="CO493" s="178"/>
      <c r="CP493" s="178"/>
      <c r="CQ493" s="178"/>
      <c r="CR493" s="178"/>
      <c r="CS493" s="178"/>
      <c r="CT493" s="178"/>
      <c r="CU493" s="178"/>
      <c r="CV493" s="178"/>
      <c r="CW493" s="178"/>
      <c r="CX493" s="178"/>
      <c r="CY493" s="178"/>
      <c r="CZ493" s="178"/>
      <c r="DA493" s="178"/>
      <c r="DB493" s="178"/>
      <c r="DC493" s="178"/>
      <c r="DD493" s="178"/>
      <c r="DE493" s="178"/>
      <c r="DF493" s="178"/>
      <c r="DG493" s="178"/>
    </row>
    <row r="494" ht="20.25" customHeight="1">
      <c r="A494" s="136" t="s">
        <v>279</v>
      </c>
      <c r="B494" s="136" t="s">
        <v>107</v>
      </c>
      <c r="C494" s="136" t="s">
        <v>214</v>
      </c>
      <c r="D494" s="64"/>
      <c r="E494" s="98" t="s">
        <v>2676</v>
      </c>
      <c r="F494" s="99" t="s">
        <v>2716</v>
      </c>
      <c r="G494" s="101" t="s">
        <v>215</v>
      </c>
      <c r="H494" s="391">
        <v>45640.0</v>
      </c>
      <c r="I494" s="101"/>
      <c r="J494" s="99" t="s">
        <v>1116</v>
      </c>
      <c r="K494" s="101"/>
      <c r="L494" s="392" t="s">
        <v>2717</v>
      </c>
      <c r="M494" s="99" t="s">
        <v>2679</v>
      </c>
      <c r="N494" s="101"/>
      <c r="O494" s="107" t="s">
        <v>2680</v>
      </c>
      <c r="P494" s="48" t="str">
        <f t="array" ref="P494">HYPERLINK(INDEX('File Links'!B:B, MATCH(O494, 'File Links'!C:C, 0)))
</f>
        <v>https://drive.google.com/file/d/1v5DJu4qjqzVUJEfoj2GHrhMbmyHZ-m6z/view?usp=drivesdk</v>
      </c>
      <c r="Q494" s="99" t="s">
        <v>2681</v>
      </c>
      <c r="R494" s="99" t="s">
        <v>2682</v>
      </c>
      <c r="S494" s="101"/>
      <c r="T494" s="106"/>
      <c r="U494" s="99" t="s">
        <v>2683</v>
      </c>
      <c r="V494" s="99" t="s">
        <v>2691</v>
      </c>
      <c r="W494" s="45" t="str">
        <f t="array" ref="W494">HYPERLINK(INDEX('File Links'!B:B, MATCH(U494, 'File Links'!C:C, 0)))
</f>
        <v>#N/A</v>
      </c>
      <c r="X494" s="101"/>
      <c r="Y494" s="99" t="s">
        <v>1610</v>
      </c>
      <c r="Z494" s="99" t="s">
        <v>2692</v>
      </c>
      <c r="AA494" s="99" t="s">
        <v>2693</v>
      </c>
      <c r="AB494" s="99" t="s">
        <v>2718</v>
      </c>
      <c r="AC494" s="101"/>
      <c r="AD494" s="104">
        <v>37.0</v>
      </c>
      <c r="AE494" s="104">
        <v>674.0</v>
      </c>
      <c r="AF494" s="104">
        <v>-0.21</v>
      </c>
      <c r="AG494" s="107" t="s">
        <v>166</v>
      </c>
      <c r="AH494" s="99" t="s">
        <v>2696</v>
      </c>
      <c r="AI494" s="104">
        <v>0.1</v>
      </c>
      <c r="AJ494" s="108" t="s">
        <v>164</v>
      </c>
      <c r="AK494" s="99" t="s">
        <v>128</v>
      </c>
      <c r="AL494" s="101" t="s">
        <v>132</v>
      </c>
      <c r="AM494" s="593" t="s">
        <v>2687</v>
      </c>
      <c r="AN494" s="394">
        <v>404.0</v>
      </c>
      <c r="AO494" s="394">
        <v>0.18</v>
      </c>
      <c r="AP494" s="99" t="s">
        <v>208</v>
      </c>
      <c r="AQ494" s="99" t="s">
        <v>2696</v>
      </c>
      <c r="AR494" s="104">
        <v>0.08</v>
      </c>
      <c r="AS494" s="108" t="s">
        <v>164</v>
      </c>
      <c r="AT494" s="108" t="s">
        <v>128</v>
      </c>
      <c r="AU494" s="98" t="s">
        <v>132</v>
      </c>
      <c r="AV494" s="595" t="s">
        <v>2697</v>
      </c>
      <c r="AW494" s="450" t="s">
        <v>134</v>
      </c>
      <c r="AX494" s="55"/>
      <c r="AY494" s="64"/>
      <c r="AZ494" s="178"/>
      <c r="BA494" s="178"/>
      <c r="BB494" s="178"/>
      <c r="BC494" s="178"/>
      <c r="BD494" s="178"/>
      <c r="BE494" s="178"/>
      <c r="BF494" s="178"/>
      <c r="BG494" s="178"/>
      <c r="BH494" s="178"/>
      <c r="BI494" s="178"/>
      <c r="BJ494" s="178"/>
      <c r="BK494" s="178"/>
      <c r="BL494" s="178"/>
      <c r="BM494" s="178"/>
      <c r="BN494" s="178"/>
      <c r="BO494" s="178"/>
      <c r="BP494" s="178"/>
      <c r="BQ494" s="178"/>
      <c r="BR494" s="178"/>
      <c r="BS494" s="178"/>
      <c r="BT494" s="178"/>
      <c r="BU494" s="178"/>
      <c r="BV494" s="178"/>
      <c r="BW494" s="178"/>
      <c r="BX494" s="178"/>
      <c r="BY494" s="178"/>
      <c r="BZ494" s="178"/>
      <c r="CA494" s="178"/>
      <c r="CB494" s="178"/>
      <c r="CC494" s="178"/>
      <c r="CD494" s="178"/>
      <c r="CE494" s="178"/>
      <c r="CF494" s="178"/>
      <c r="CG494" s="178"/>
      <c r="CH494" s="178"/>
      <c r="CI494" s="178"/>
      <c r="CJ494" s="178"/>
      <c r="CK494" s="178"/>
      <c r="CL494" s="178"/>
      <c r="CM494" s="178"/>
      <c r="CN494" s="178"/>
      <c r="CO494" s="178"/>
      <c r="CP494" s="178"/>
      <c r="CQ494" s="178"/>
      <c r="CR494" s="178"/>
      <c r="CS494" s="178"/>
      <c r="CT494" s="178"/>
      <c r="CU494" s="178"/>
      <c r="CV494" s="178"/>
      <c r="CW494" s="178"/>
      <c r="CX494" s="178"/>
      <c r="CY494" s="178"/>
      <c r="CZ494" s="178"/>
      <c r="DA494" s="178"/>
      <c r="DB494" s="178"/>
      <c r="DC494" s="178"/>
      <c r="DD494" s="178"/>
      <c r="DE494" s="178"/>
      <c r="DF494" s="178"/>
      <c r="DG494" s="178"/>
    </row>
    <row r="495" ht="20.25" customHeight="1">
      <c r="A495" s="136" t="s">
        <v>279</v>
      </c>
      <c r="B495" s="136" t="s">
        <v>107</v>
      </c>
      <c r="C495" s="136" t="s">
        <v>214</v>
      </c>
      <c r="D495" s="64"/>
      <c r="E495" s="98" t="s">
        <v>2676</v>
      </c>
      <c r="F495" s="99" t="s">
        <v>2719</v>
      </c>
      <c r="G495" s="101" t="s">
        <v>215</v>
      </c>
      <c r="H495" s="391">
        <v>45640.0</v>
      </c>
      <c r="I495" s="101"/>
      <c r="J495" s="99" t="s">
        <v>1116</v>
      </c>
      <c r="K495" s="101"/>
      <c r="L495" s="392" t="s">
        <v>2720</v>
      </c>
      <c r="M495" s="99" t="s">
        <v>2679</v>
      </c>
      <c r="N495" s="101"/>
      <c r="O495" s="107" t="s">
        <v>2680</v>
      </c>
      <c r="P495" s="48" t="str">
        <f t="array" ref="P495">HYPERLINK(INDEX('File Links'!B:B, MATCH(O495, 'File Links'!C:C, 0)))
</f>
        <v>https://drive.google.com/file/d/1v5DJu4qjqzVUJEfoj2GHrhMbmyHZ-m6z/view?usp=drivesdk</v>
      </c>
      <c r="Q495" s="99" t="s">
        <v>2681</v>
      </c>
      <c r="R495" s="99" t="s">
        <v>2682</v>
      </c>
      <c r="S495" s="101"/>
      <c r="T495" s="106"/>
      <c r="U495" s="99" t="s">
        <v>2683</v>
      </c>
      <c r="V495" s="99" t="s">
        <v>2691</v>
      </c>
      <c r="W495" s="45" t="str">
        <f t="array" ref="W495">HYPERLINK(INDEX('File Links'!B:B, MATCH(U495, 'File Links'!C:C, 0)))
</f>
        <v>#N/A</v>
      </c>
      <c r="X495" s="101"/>
      <c r="Y495" s="99" t="s">
        <v>1610</v>
      </c>
      <c r="Z495" s="99" t="s">
        <v>2692</v>
      </c>
      <c r="AA495" s="99" t="s">
        <v>2693</v>
      </c>
      <c r="AB495" s="99" t="s">
        <v>2721</v>
      </c>
      <c r="AC495" s="101"/>
      <c r="AD495" s="104">
        <v>37.0</v>
      </c>
      <c r="AE495" s="104">
        <v>674.0</v>
      </c>
      <c r="AF495" s="104">
        <v>-0.21</v>
      </c>
      <c r="AG495" s="107" t="s">
        <v>166</v>
      </c>
      <c r="AH495" s="99" t="s">
        <v>2696</v>
      </c>
      <c r="AI495" s="104">
        <v>0.01</v>
      </c>
      <c r="AJ495" s="108" t="s">
        <v>127</v>
      </c>
      <c r="AK495" s="99" t="s">
        <v>128</v>
      </c>
      <c r="AL495" s="101" t="s">
        <v>132</v>
      </c>
      <c r="AM495" s="593" t="s">
        <v>2687</v>
      </c>
      <c r="AN495" s="394">
        <v>404.0</v>
      </c>
      <c r="AO495" s="394">
        <v>-0.14</v>
      </c>
      <c r="AP495" s="99" t="s">
        <v>208</v>
      </c>
      <c r="AQ495" s="99" t="s">
        <v>2696</v>
      </c>
      <c r="AR495" s="104">
        <v>0.05</v>
      </c>
      <c r="AS495" s="108" t="s">
        <v>127</v>
      </c>
      <c r="AT495" s="108" t="s">
        <v>128</v>
      </c>
      <c r="AU495" s="98" t="s">
        <v>132</v>
      </c>
      <c r="AV495" s="595" t="s">
        <v>2697</v>
      </c>
      <c r="AW495" s="450" t="s">
        <v>134</v>
      </c>
      <c r="AX495" s="55"/>
      <c r="AY495" s="64"/>
      <c r="AZ495" s="84"/>
      <c r="BA495" s="84"/>
      <c r="BB495" s="84"/>
      <c r="BC495" s="84"/>
      <c r="BD495" s="84"/>
      <c r="BE495" s="84"/>
      <c r="BF495" s="84"/>
      <c r="BG495" s="84"/>
      <c r="BH495" s="84"/>
      <c r="BI495" s="84"/>
      <c r="BJ495" s="84"/>
      <c r="BK495" s="84"/>
      <c r="BL495" s="84"/>
      <c r="BM495" s="84"/>
      <c r="BN495" s="84"/>
      <c r="BO495" s="84"/>
      <c r="BP495" s="84"/>
      <c r="BQ495" s="84"/>
      <c r="BR495" s="84"/>
      <c r="BS495" s="84"/>
      <c r="BT495" s="84"/>
      <c r="BU495" s="84"/>
      <c r="BV495" s="84"/>
      <c r="BW495" s="84"/>
      <c r="BX495" s="84"/>
      <c r="BY495" s="84"/>
      <c r="BZ495" s="84"/>
      <c r="CA495" s="84"/>
      <c r="CB495" s="84"/>
      <c r="CC495" s="84"/>
      <c r="CD495" s="84"/>
      <c r="CE495" s="84"/>
      <c r="CF495" s="84"/>
      <c r="CG495" s="84"/>
      <c r="CH495" s="84"/>
      <c r="CI495" s="84"/>
      <c r="CJ495" s="84"/>
      <c r="CK495" s="84"/>
      <c r="CL495" s="84"/>
      <c r="CM495" s="84"/>
      <c r="CN495" s="84"/>
      <c r="CO495" s="84"/>
      <c r="CP495" s="84"/>
      <c r="CQ495" s="84"/>
      <c r="CR495" s="84"/>
      <c r="CS495" s="84"/>
      <c r="CT495" s="84"/>
      <c r="CU495" s="84"/>
      <c r="CV495" s="84"/>
      <c r="CW495" s="84"/>
      <c r="CX495" s="84"/>
      <c r="CY495" s="84"/>
      <c r="CZ495" s="84"/>
      <c r="DA495" s="84"/>
      <c r="DB495" s="84"/>
      <c r="DC495" s="84"/>
      <c r="DD495" s="84"/>
      <c r="DE495" s="84"/>
      <c r="DF495" s="84"/>
      <c r="DG495" s="84"/>
    </row>
    <row r="496" ht="20.25" customHeight="1">
      <c r="A496" s="136" t="s">
        <v>279</v>
      </c>
      <c r="B496" s="136" t="s">
        <v>107</v>
      </c>
      <c r="C496" s="136" t="s">
        <v>214</v>
      </c>
      <c r="D496" s="64"/>
      <c r="E496" s="98" t="s">
        <v>2676</v>
      </c>
      <c r="F496" s="99" t="s">
        <v>2722</v>
      </c>
      <c r="G496" s="101" t="s">
        <v>215</v>
      </c>
      <c r="H496" s="391">
        <v>45640.0</v>
      </c>
      <c r="I496" s="101"/>
      <c r="J496" s="99" t="s">
        <v>1116</v>
      </c>
      <c r="K496" s="101"/>
      <c r="L496" s="392" t="s">
        <v>2723</v>
      </c>
      <c r="M496" s="99" t="s">
        <v>2679</v>
      </c>
      <c r="N496" s="101"/>
      <c r="O496" s="107" t="s">
        <v>2680</v>
      </c>
      <c r="P496" s="48" t="str">
        <f t="array" ref="P496">HYPERLINK(INDEX('File Links'!B:B, MATCH(O496, 'File Links'!C:C, 0)))
</f>
        <v>https://drive.google.com/file/d/1v5DJu4qjqzVUJEfoj2GHrhMbmyHZ-m6z/view?usp=drivesdk</v>
      </c>
      <c r="Q496" s="99" t="s">
        <v>2681</v>
      </c>
      <c r="R496" s="99" t="s">
        <v>2682</v>
      </c>
      <c r="S496" s="101"/>
      <c r="T496" s="106"/>
      <c r="U496" s="99" t="s">
        <v>2683</v>
      </c>
      <c r="V496" s="99" t="s">
        <v>2691</v>
      </c>
      <c r="W496" s="45" t="str">
        <f t="array" ref="W496">HYPERLINK(INDEX('File Links'!B:B, MATCH(U496, 'File Links'!C:C, 0)))
</f>
        <v>#N/A</v>
      </c>
      <c r="X496" s="101"/>
      <c r="Y496" s="99" t="s">
        <v>1610</v>
      </c>
      <c r="Z496" s="99" t="s">
        <v>2692</v>
      </c>
      <c r="AA496" s="99" t="s">
        <v>2693</v>
      </c>
      <c r="AB496" s="99" t="s">
        <v>2724</v>
      </c>
      <c r="AC496" s="101"/>
      <c r="AD496" s="104">
        <v>37.0</v>
      </c>
      <c r="AE496" s="104">
        <v>674.0</v>
      </c>
      <c r="AF496" s="104">
        <v>-0.11</v>
      </c>
      <c r="AG496" s="107" t="s">
        <v>166</v>
      </c>
      <c r="AH496" s="99" t="s">
        <v>2696</v>
      </c>
      <c r="AI496" s="104">
        <v>0.05</v>
      </c>
      <c r="AJ496" s="108" t="s">
        <v>164</v>
      </c>
      <c r="AK496" s="99" t="s">
        <v>128</v>
      </c>
      <c r="AL496" s="101" t="s">
        <v>132</v>
      </c>
      <c r="AM496" s="593" t="s">
        <v>2687</v>
      </c>
      <c r="AN496" s="394">
        <v>404.0</v>
      </c>
      <c r="AO496" s="394">
        <v>-0.14</v>
      </c>
      <c r="AP496" s="99" t="s">
        <v>208</v>
      </c>
      <c r="AQ496" s="99" t="s">
        <v>2696</v>
      </c>
      <c r="AR496" s="104">
        <v>0.07</v>
      </c>
      <c r="AS496" s="108" t="s">
        <v>164</v>
      </c>
      <c r="AT496" s="108" t="s">
        <v>128</v>
      </c>
      <c r="AU496" s="98" t="s">
        <v>132</v>
      </c>
      <c r="AV496" s="595" t="s">
        <v>2697</v>
      </c>
      <c r="AW496" s="450" t="s">
        <v>134</v>
      </c>
      <c r="AX496" s="55"/>
      <c r="AY496" s="64"/>
      <c r="AZ496" s="84"/>
      <c r="BA496" s="84"/>
      <c r="BB496" s="84"/>
      <c r="BC496" s="84"/>
      <c r="BD496" s="84"/>
      <c r="BE496" s="84"/>
      <c r="BF496" s="84"/>
      <c r="BG496" s="84"/>
      <c r="BH496" s="84"/>
      <c r="BI496" s="84"/>
      <c r="BJ496" s="84"/>
      <c r="BK496" s="84"/>
      <c r="BL496" s="84"/>
      <c r="BM496" s="84"/>
      <c r="BN496" s="84"/>
      <c r="BO496" s="84"/>
      <c r="BP496" s="84"/>
      <c r="BQ496" s="84"/>
      <c r="BR496" s="84"/>
      <c r="BS496" s="84"/>
      <c r="BT496" s="84"/>
      <c r="BU496" s="84"/>
      <c r="BV496" s="84"/>
      <c r="BW496" s="84"/>
      <c r="BX496" s="84"/>
      <c r="BY496" s="84"/>
      <c r="BZ496" s="84"/>
      <c r="CA496" s="84"/>
      <c r="CB496" s="84"/>
      <c r="CC496" s="84"/>
      <c r="CD496" s="84"/>
      <c r="CE496" s="84"/>
      <c r="CF496" s="84"/>
      <c r="CG496" s="84"/>
      <c r="CH496" s="84"/>
      <c r="CI496" s="84"/>
      <c r="CJ496" s="84"/>
      <c r="CK496" s="84"/>
      <c r="CL496" s="84"/>
      <c r="CM496" s="84"/>
      <c r="CN496" s="84"/>
      <c r="CO496" s="84"/>
      <c r="CP496" s="84"/>
      <c r="CQ496" s="84"/>
      <c r="CR496" s="84"/>
      <c r="CS496" s="84"/>
      <c r="CT496" s="84"/>
      <c r="CU496" s="84"/>
      <c r="CV496" s="84"/>
      <c r="CW496" s="84"/>
      <c r="CX496" s="84"/>
      <c r="CY496" s="84"/>
      <c r="CZ496" s="84"/>
      <c r="DA496" s="84"/>
      <c r="DB496" s="84"/>
      <c r="DC496" s="84"/>
      <c r="DD496" s="84"/>
      <c r="DE496" s="84"/>
      <c r="DF496" s="84"/>
      <c r="DG496" s="84"/>
    </row>
    <row r="497" ht="20.25" customHeight="1">
      <c r="A497" s="136" t="s">
        <v>279</v>
      </c>
      <c r="B497" s="136" t="s">
        <v>107</v>
      </c>
      <c r="C497" s="136" t="s">
        <v>214</v>
      </c>
      <c r="D497" s="64"/>
      <c r="E497" s="98" t="s">
        <v>2676</v>
      </c>
      <c r="F497" s="99" t="s">
        <v>2725</v>
      </c>
      <c r="G497" s="101" t="s">
        <v>215</v>
      </c>
      <c r="H497" s="391">
        <v>45640.0</v>
      </c>
      <c r="I497" s="101"/>
      <c r="J497" s="99" t="s">
        <v>1116</v>
      </c>
      <c r="K497" s="101"/>
      <c r="L497" s="392" t="s">
        <v>2726</v>
      </c>
      <c r="M497" s="99" t="s">
        <v>2679</v>
      </c>
      <c r="N497" s="101"/>
      <c r="O497" s="107" t="s">
        <v>2680</v>
      </c>
      <c r="P497" s="48" t="str">
        <f t="array" ref="P497">HYPERLINK(INDEX('File Links'!B:B, MATCH(O497, 'File Links'!C:C, 0)))
</f>
        <v>https://drive.google.com/file/d/1v5DJu4qjqzVUJEfoj2GHrhMbmyHZ-m6z/view?usp=drivesdk</v>
      </c>
      <c r="Q497" s="99" t="s">
        <v>2681</v>
      </c>
      <c r="R497" s="99" t="s">
        <v>2682</v>
      </c>
      <c r="S497" s="101"/>
      <c r="T497" s="106"/>
      <c r="U497" s="99" t="s">
        <v>2683</v>
      </c>
      <c r="V497" s="99" t="s">
        <v>2691</v>
      </c>
      <c r="W497" s="45" t="str">
        <f t="array" ref="W497">HYPERLINK(INDEX('File Links'!B:B, MATCH(U497, 'File Links'!C:C, 0)))
</f>
        <v>#N/A</v>
      </c>
      <c r="X497" s="101"/>
      <c r="Y497" s="99" t="s">
        <v>1610</v>
      </c>
      <c r="Z497" s="99" t="s">
        <v>2692</v>
      </c>
      <c r="AA497" s="99" t="s">
        <v>2693</v>
      </c>
      <c r="AB497" s="99" t="s">
        <v>2727</v>
      </c>
      <c r="AC497" s="101"/>
      <c r="AD497" s="104">
        <v>37.0</v>
      </c>
      <c r="AE497" s="104">
        <v>674.0</v>
      </c>
      <c r="AF497" s="104">
        <v>-0.11</v>
      </c>
      <c r="AG497" s="107" t="s">
        <v>166</v>
      </c>
      <c r="AH497" s="99" t="s">
        <v>2696</v>
      </c>
      <c r="AI497" s="104">
        <v>0.05</v>
      </c>
      <c r="AJ497" s="108" t="s">
        <v>127</v>
      </c>
      <c r="AK497" s="99" t="s">
        <v>128</v>
      </c>
      <c r="AL497" s="101" t="s">
        <v>132</v>
      </c>
      <c r="AM497" s="593" t="s">
        <v>2687</v>
      </c>
      <c r="AN497" s="394">
        <v>404.0</v>
      </c>
      <c r="AO497" s="394">
        <v>0.3</v>
      </c>
      <c r="AP497" s="99" t="s">
        <v>208</v>
      </c>
      <c r="AQ497" s="99" t="s">
        <v>2696</v>
      </c>
      <c r="AR497" s="104">
        <v>0.05</v>
      </c>
      <c r="AS497" s="108" t="s">
        <v>127</v>
      </c>
      <c r="AT497" s="108" t="s">
        <v>128</v>
      </c>
      <c r="AU497" s="98" t="s">
        <v>132</v>
      </c>
      <c r="AV497" s="595" t="s">
        <v>2697</v>
      </c>
      <c r="AW497" s="450" t="s">
        <v>134</v>
      </c>
      <c r="AX497" s="55"/>
      <c r="AY497" s="64"/>
      <c r="AZ497" s="84"/>
      <c r="BA497" s="84"/>
      <c r="BB497" s="84"/>
      <c r="BC497" s="84"/>
      <c r="BD497" s="84"/>
      <c r="BE497" s="84"/>
      <c r="BF497" s="84"/>
      <c r="BG497" s="84"/>
      <c r="BH497" s="84"/>
      <c r="BI497" s="84"/>
      <c r="BJ497" s="84"/>
      <c r="BK497" s="84"/>
      <c r="BL497" s="84"/>
      <c r="BM497" s="84"/>
      <c r="BN497" s="84"/>
      <c r="BO497" s="84"/>
      <c r="BP497" s="84"/>
      <c r="BQ497" s="84"/>
      <c r="BR497" s="84"/>
      <c r="BS497" s="84"/>
      <c r="BT497" s="84"/>
      <c r="BU497" s="84"/>
      <c r="BV497" s="84"/>
      <c r="BW497" s="84"/>
      <c r="BX497" s="84"/>
      <c r="BY497" s="84"/>
      <c r="BZ497" s="84"/>
      <c r="CA497" s="84"/>
      <c r="CB497" s="84"/>
      <c r="CC497" s="84"/>
      <c r="CD497" s="84"/>
      <c r="CE497" s="84"/>
      <c r="CF497" s="84"/>
      <c r="CG497" s="84"/>
      <c r="CH497" s="84"/>
      <c r="CI497" s="84"/>
      <c r="CJ497" s="84"/>
      <c r="CK497" s="84"/>
      <c r="CL497" s="84"/>
      <c r="CM497" s="84"/>
      <c r="CN497" s="84"/>
      <c r="CO497" s="84"/>
      <c r="CP497" s="84"/>
      <c r="CQ497" s="84"/>
      <c r="CR497" s="84"/>
      <c r="CS497" s="84"/>
      <c r="CT497" s="84"/>
      <c r="CU497" s="84"/>
      <c r="CV497" s="84"/>
      <c r="CW497" s="84"/>
      <c r="CX497" s="84"/>
      <c r="CY497" s="84"/>
      <c r="CZ497" s="84"/>
      <c r="DA497" s="84"/>
      <c r="DB497" s="84"/>
      <c r="DC497" s="84"/>
      <c r="DD497" s="84"/>
      <c r="DE497" s="84"/>
      <c r="DF497" s="84"/>
      <c r="DG497" s="84"/>
    </row>
    <row r="498" ht="20.25" customHeight="1">
      <c r="A498" s="784" t="s">
        <v>106</v>
      </c>
      <c r="B498" s="784" t="s">
        <v>107</v>
      </c>
      <c r="C498" s="784" t="s">
        <v>1251</v>
      </c>
      <c r="D498" s="691"/>
      <c r="E498" s="785" t="s">
        <v>2728</v>
      </c>
      <c r="F498" s="786" t="s">
        <v>2729</v>
      </c>
      <c r="G498" s="786" t="s">
        <v>1254</v>
      </c>
      <c r="H498" s="787">
        <v>45641.0</v>
      </c>
      <c r="I498" s="159">
        <v>45691.0</v>
      </c>
      <c r="J498" s="788"/>
      <c r="K498" s="788"/>
      <c r="L498" s="786" t="s">
        <v>2730</v>
      </c>
      <c r="M498" s="786" t="s">
        <v>2731</v>
      </c>
      <c r="N498" s="789">
        <v>1.0</v>
      </c>
      <c r="O498" s="790" t="s">
        <v>2732</v>
      </c>
      <c r="P498" s="48" t="str">
        <f t="array" ref="P498">HYPERLINK(INDEX('File Links'!B:B, MATCH(O498, 'File Links'!C:C, 0)))
</f>
        <v>https://drive.google.com/file/d/1mJVZEGRuGEHvjJLpaIkoRcJuDNXnANgI/view?usp=drivesdk</v>
      </c>
      <c r="Q498" s="786" t="s">
        <v>2733</v>
      </c>
      <c r="R498" s="786" t="s">
        <v>2734</v>
      </c>
      <c r="T498" s="791">
        <v>1.0</v>
      </c>
      <c r="U498" s="786" t="s">
        <v>2735</v>
      </c>
      <c r="V498" s="792" t="s">
        <v>202</v>
      </c>
      <c r="W498" s="45" t="str">
        <f t="array" ref="W498">HYPERLINK(INDEX('File Links'!B:B, MATCH(U498, 'File Links'!C:C, 0)))
</f>
        <v>#N/A</v>
      </c>
      <c r="X498" s="786"/>
      <c r="Y498" s="786" t="s">
        <v>220</v>
      </c>
      <c r="Z498" s="69"/>
      <c r="AA498" s="793" t="s">
        <v>2736</v>
      </c>
      <c r="AB498" s="786" t="s">
        <v>2737</v>
      </c>
      <c r="AC498" s="786" t="s">
        <v>2738</v>
      </c>
      <c r="AD498" s="786" t="s">
        <v>2739</v>
      </c>
      <c r="AE498" s="794">
        <v>4963.0</v>
      </c>
      <c r="AF498" s="788"/>
      <c r="AG498" s="795"/>
      <c r="AH498" s="788"/>
      <c r="AI498" s="789">
        <v>0.001</v>
      </c>
      <c r="AJ498" s="785" t="s">
        <v>127</v>
      </c>
      <c r="AK498" s="786" t="s">
        <v>179</v>
      </c>
      <c r="AL498" s="788" t="s">
        <v>129</v>
      </c>
      <c r="AM498" s="788"/>
      <c r="AN498" s="794">
        <v>4963.0</v>
      </c>
      <c r="AO498" s="788"/>
      <c r="AP498" s="788"/>
      <c r="AQ498" s="788"/>
      <c r="AR498" s="789">
        <v>0.001</v>
      </c>
      <c r="AS498" s="785" t="s">
        <v>127</v>
      </c>
      <c r="AT498" s="785" t="s">
        <v>179</v>
      </c>
      <c r="AU498" s="796" t="s">
        <v>129</v>
      </c>
      <c r="AV498" s="797" t="s">
        <v>2740</v>
      </c>
      <c r="AW498" s="796"/>
      <c r="AX498" s="115" t="s">
        <v>2741</v>
      </c>
      <c r="AY498" s="784" t="s">
        <v>135</v>
      </c>
      <c r="AZ498" s="84"/>
      <c r="BA498" s="84"/>
      <c r="BB498" s="84"/>
      <c r="BC498" s="84"/>
      <c r="BD498" s="84"/>
      <c r="BE498" s="84"/>
      <c r="BF498" s="84"/>
      <c r="BG498" s="84"/>
      <c r="BH498" s="84"/>
      <c r="BI498" s="84"/>
      <c r="BJ498" s="84"/>
      <c r="BK498" s="84"/>
      <c r="BL498" s="84"/>
      <c r="BM498" s="84"/>
      <c r="BN498" s="84"/>
      <c r="BO498" s="84"/>
      <c r="BP498" s="84"/>
      <c r="BQ498" s="84"/>
      <c r="BR498" s="84"/>
      <c r="BS498" s="84"/>
      <c r="BT498" s="84"/>
      <c r="BU498" s="84"/>
      <c r="BV498" s="84"/>
      <c r="BW498" s="84"/>
      <c r="BX498" s="84"/>
      <c r="BY498" s="84"/>
      <c r="BZ498" s="84"/>
      <c r="CA498" s="84"/>
      <c r="CB498" s="84"/>
      <c r="CC498" s="84"/>
      <c r="CD498" s="84"/>
      <c r="CE498" s="84"/>
      <c r="CF498" s="84"/>
      <c r="CG498" s="84"/>
      <c r="CH498" s="84"/>
      <c r="CI498" s="84"/>
      <c r="CJ498" s="84"/>
      <c r="CK498" s="84"/>
      <c r="CL498" s="84"/>
      <c r="CM498" s="84"/>
      <c r="CN498" s="84"/>
      <c r="CO498" s="84"/>
      <c r="CP498" s="84"/>
      <c r="CQ498" s="84"/>
      <c r="CR498" s="84"/>
      <c r="CS498" s="84"/>
      <c r="CT498" s="84"/>
      <c r="CU498" s="84"/>
      <c r="CV498" s="84"/>
      <c r="CW498" s="84"/>
      <c r="CX498" s="84"/>
      <c r="CY498" s="84"/>
      <c r="CZ498" s="84"/>
      <c r="DA498" s="84"/>
      <c r="DB498" s="84"/>
      <c r="DC498" s="84"/>
      <c r="DD498" s="84"/>
      <c r="DE498" s="84"/>
      <c r="DF498" s="84"/>
      <c r="DG498" s="84"/>
    </row>
    <row r="499" ht="20.25" customHeight="1">
      <c r="A499" s="784" t="s">
        <v>143</v>
      </c>
      <c r="B499" s="85" t="s">
        <v>107</v>
      </c>
      <c r="C499" s="85" t="s">
        <v>214</v>
      </c>
      <c r="D499" s="84"/>
      <c r="E499" s="86" t="s">
        <v>2728</v>
      </c>
      <c r="F499" s="69" t="s">
        <v>2742</v>
      </c>
      <c r="G499" s="69" t="s">
        <v>215</v>
      </c>
      <c r="H499" s="798">
        <v>45641.0</v>
      </c>
      <c r="I499" s="159">
        <v>45691.0</v>
      </c>
      <c r="J499" s="799" t="s">
        <v>2743</v>
      </c>
      <c r="K499" s="72" t="s">
        <v>2744</v>
      </c>
      <c r="L499" s="569" t="s">
        <v>2745</v>
      </c>
      <c r="M499" s="69" t="s">
        <v>2731</v>
      </c>
      <c r="N499" s="800">
        <v>1.0</v>
      </c>
      <c r="O499" s="90" t="s">
        <v>2732</v>
      </c>
      <c r="P499" s="48" t="str">
        <f t="array" ref="P499">HYPERLINK(INDEX('File Links'!B:B, MATCH(O499, 'File Links'!C:C, 0)))
</f>
        <v>https://drive.google.com/file/d/1mJVZEGRuGEHvjJLpaIkoRcJuDNXnANgI/view?usp=drivesdk</v>
      </c>
      <c r="Q499" s="69" t="s">
        <v>2733</v>
      </c>
      <c r="R499" s="69" t="s">
        <v>2734</v>
      </c>
      <c r="S499" s="75"/>
      <c r="T499" s="801">
        <v>2.0</v>
      </c>
      <c r="U499" s="69" t="s">
        <v>2735</v>
      </c>
      <c r="V499" s="792" t="s">
        <v>202</v>
      </c>
      <c r="W499" s="45" t="str">
        <f t="array" ref="W499">HYPERLINK(INDEX('File Links'!B:B, MATCH(U499, 'File Links'!C:C, 0)))
</f>
        <v>#N/A</v>
      </c>
      <c r="X499" s="75"/>
      <c r="Y499" s="69" t="s">
        <v>220</v>
      </c>
      <c r="Z499" s="69"/>
      <c r="AA499" s="69" t="s">
        <v>2736</v>
      </c>
      <c r="AB499" s="69" t="s">
        <v>2746</v>
      </c>
      <c r="AC499" s="69" t="s">
        <v>2747</v>
      </c>
      <c r="AD499" s="573">
        <v>2.0</v>
      </c>
      <c r="AE499" s="573">
        <v>3578.0</v>
      </c>
      <c r="AF499" s="573">
        <v>0.204</v>
      </c>
      <c r="AG499" s="90" t="s">
        <v>357</v>
      </c>
      <c r="AH499" s="69" t="s">
        <v>2748</v>
      </c>
      <c r="AI499" s="573">
        <v>0.001</v>
      </c>
      <c r="AJ499" s="87" t="s">
        <v>127</v>
      </c>
      <c r="AK499" s="69" t="s">
        <v>128</v>
      </c>
      <c r="AL499" s="75" t="s">
        <v>129</v>
      </c>
      <c r="AM499" s="802" t="s">
        <v>2749</v>
      </c>
      <c r="AN499" s="803">
        <v>1193.0</v>
      </c>
      <c r="AO499" s="803">
        <v>0.302</v>
      </c>
      <c r="AP499" s="69" t="s">
        <v>357</v>
      </c>
      <c r="AQ499" s="69" t="s">
        <v>621</v>
      </c>
      <c r="AR499" s="573">
        <v>0.01</v>
      </c>
      <c r="AS499" s="87" t="s">
        <v>127</v>
      </c>
      <c r="AT499" s="87" t="s">
        <v>128</v>
      </c>
      <c r="AU499" s="86" t="s">
        <v>129</v>
      </c>
      <c r="AV499" s="92" t="s">
        <v>2750</v>
      </c>
      <c r="AW499" s="93" t="s">
        <v>134</v>
      </c>
      <c r="AX499" s="109" t="s">
        <v>2751</v>
      </c>
      <c r="AY499" s="784" t="s">
        <v>135</v>
      </c>
      <c r="AZ499" s="84"/>
      <c r="BA499" s="84"/>
      <c r="BB499" s="84"/>
      <c r="BC499" s="84"/>
      <c r="BD499" s="84"/>
      <c r="BE499" s="84"/>
      <c r="BF499" s="84"/>
      <c r="BG499" s="84"/>
      <c r="BH499" s="84"/>
      <c r="BI499" s="84"/>
      <c r="BJ499" s="84"/>
      <c r="BK499" s="84"/>
      <c r="BL499" s="84"/>
      <c r="BM499" s="84"/>
      <c r="BN499" s="84"/>
      <c r="BO499" s="84"/>
      <c r="BP499" s="84"/>
      <c r="BQ499" s="84"/>
      <c r="BR499" s="84"/>
      <c r="BS499" s="84"/>
      <c r="BT499" s="84"/>
      <c r="BU499" s="84"/>
      <c r="BV499" s="84"/>
      <c r="BW499" s="84"/>
      <c r="BX499" s="84"/>
      <c r="BY499" s="84"/>
      <c r="BZ499" s="84"/>
      <c r="CA499" s="84"/>
      <c r="CB499" s="84"/>
      <c r="CC499" s="84"/>
      <c r="CD499" s="84"/>
      <c r="CE499" s="84"/>
      <c r="CF499" s="84"/>
      <c r="CG499" s="84"/>
      <c r="CH499" s="84"/>
      <c r="CI499" s="84"/>
      <c r="CJ499" s="84"/>
      <c r="CK499" s="84"/>
      <c r="CL499" s="84"/>
      <c r="CM499" s="84"/>
      <c r="CN499" s="84"/>
      <c r="CO499" s="84"/>
      <c r="CP499" s="84"/>
      <c r="CQ499" s="84"/>
      <c r="CR499" s="84"/>
      <c r="CS499" s="84"/>
      <c r="CT499" s="84"/>
      <c r="CU499" s="84"/>
      <c r="CV499" s="84"/>
      <c r="CW499" s="84"/>
      <c r="CX499" s="84"/>
      <c r="CY499" s="84"/>
      <c r="CZ499" s="84"/>
      <c r="DA499" s="84"/>
      <c r="DB499" s="84"/>
      <c r="DC499" s="84"/>
      <c r="DD499" s="84"/>
      <c r="DE499" s="84"/>
      <c r="DF499" s="84"/>
      <c r="DG499" s="84"/>
    </row>
    <row r="500" ht="20.25" customHeight="1">
      <c r="A500" s="784" t="s">
        <v>143</v>
      </c>
      <c r="B500" s="85" t="s">
        <v>107</v>
      </c>
      <c r="C500" s="85" t="s">
        <v>214</v>
      </c>
      <c r="D500" s="84"/>
      <c r="E500" s="86" t="s">
        <v>2728</v>
      </c>
      <c r="F500" s="69" t="s">
        <v>2752</v>
      </c>
      <c r="G500" s="69" t="s">
        <v>215</v>
      </c>
      <c r="H500" s="798">
        <v>45641.0</v>
      </c>
      <c r="I500" s="159">
        <v>45691.0</v>
      </c>
      <c r="J500" s="799" t="s">
        <v>2753</v>
      </c>
      <c r="K500" s="72" t="s">
        <v>2744</v>
      </c>
      <c r="L500" s="569" t="s">
        <v>2754</v>
      </c>
      <c r="M500" s="69" t="s">
        <v>2731</v>
      </c>
      <c r="N500" s="800">
        <v>1.0</v>
      </c>
      <c r="O500" s="90" t="s">
        <v>2732</v>
      </c>
      <c r="P500" s="48" t="str">
        <f t="array" ref="P500">HYPERLINK(INDEX('File Links'!B:B, MATCH(O500, 'File Links'!C:C, 0)))
</f>
        <v>https://drive.google.com/file/d/1mJVZEGRuGEHvjJLpaIkoRcJuDNXnANgI/view?usp=drivesdk</v>
      </c>
      <c r="Q500" s="69" t="s">
        <v>2733</v>
      </c>
      <c r="R500" s="69" t="s">
        <v>2734</v>
      </c>
      <c r="S500" s="75"/>
      <c r="T500" s="801">
        <v>2.0</v>
      </c>
      <c r="U500" s="69" t="s">
        <v>2735</v>
      </c>
      <c r="V500" s="792" t="s">
        <v>202</v>
      </c>
      <c r="W500" s="45" t="str">
        <f t="array" ref="W500">HYPERLINK(INDEX('File Links'!B:B, MATCH(U500, 'File Links'!C:C, 0)))
</f>
        <v>#N/A</v>
      </c>
      <c r="X500" s="75"/>
      <c r="Y500" s="69" t="s">
        <v>220</v>
      </c>
      <c r="Z500" s="69"/>
      <c r="AA500" s="69" t="s">
        <v>2736</v>
      </c>
      <c r="AB500" s="69" t="s">
        <v>2755</v>
      </c>
      <c r="AC500" s="69" t="s">
        <v>2756</v>
      </c>
      <c r="AD500" s="573">
        <v>2.0</v>
      </c>
      <c r="AE500" s="573">
        <v>3578.0</v>
      </c>
      <c r="AF500" s="573">
        <v>0.163</v>
      </c>
      <c r="AG500" s="90" t="s">
        <v>357</v>
      </c>
      <c r="AH500" s="69" t="s">
        <v>2748</v>
      </c>
      <c r="AI500" s="573">
        <v>0.001</v>
      </c>
      <c r="AJ500" s="87" t="s">
        <v>127</v>
      </c>
      <c r="AK500" s="69" t="s">
        <v>128</v>
      </c>
      <c r="AL500" s="75" t="s">
        <v>129</v>
      </c>
      <c r="AM500" s="802" t="s">
        <v>2749</v>
      </c>
      <c r="AN500" s="803">
        <v>1193.0</v>
      </c>
      <c r="AO500" s="803">
        <v>0.302</v>
      </c>
      <c r="AP500" s="69" t="s">
        <v>357</v>
      </c>
      <c r="AQ500" s="69" t="s">
        <v>621</v>
      </c>
      <c r="AR500" s="573">
        <v>0.01</v>
      </c>
      <c r="AS500" s="87" t="s">
        <v>127</v>
      </c>
      <c r="AT500" s="87" t="s">
        <v>128</v>
      </c>
      <c r="AU500" s="86" t="s">
        <v>129</v>
      </c>
      <c r="AV500" s="92" t="s">
        <v>2750</v>
      </c>
      <c r="AW500" s="93" t="s">
        <v>134</v>
      </c>
      <c r="AX500" s="55"/>
      <c r="AY500" s="784" t="s">
        <v>135</v>
      </c>
      <c r="AZ500" s="84"/>
      <c r="BA500" s="84"/>
      <c r="BB500" s="84"/>
      <c r="BC500" s="84"/>
      <c r="BD500" s="84"/>
      <c r="BE500" s="84"/>
      <c r="BF500" s="84"/>
      <c r="BG500" s="84"/>
      <c r="BH500" s="84"/>
      <c r="BI500" s="84"/>
      <c r="BJ500" s="84"/>
      <c r="BK500" s="84"/>
      <c r="BL500" s="84"/>
      <c r="BM500" s="84"/>
      <c r="BN500" s="84"/>
      <c r="BO500" s="84"/>
      <c r="BP500" s="84"/>
      <c r="BQ500" s="84"/>
      <c r="BR500" s="84"/>
      <c r="BS500" s="84"/>
      <c r="BT500" s="84"/>
      <c r="BU500" s="84"/>
      <c r="BV500" s="84"/>
      <c r="BW500" s="84"/>
      <c r="BX500" s="84"/>
      <c r="BY500" s="84"/>
      <c r="BZ500" s="84"/>
      <c r="CA500" s="84"/>
      <c r="CB500" s="84"/>
      <c r="CC500" s="84"/>
      <c r="CD500" s="84"/>
      <c r="CE500" s="84"/>
      <c r="CF500" s="84"/>
      <c r="CG500" s="84"/>
      <c r="CH500" s="84"/>
      <c r="CI500" s="84"/>
      <c r="CJ500" s="84"/>
      <c r="CK500" s="84"/>
      <c r="CL500" s="84"/>
      <c r="CM500" s="84"/>
      <c r="CN500" s="84"/>
      <c r="CO500" s="84"/>
      <c r="CP500" s="84"/>
      <c r="CQ500" s="84"/>
      <c r="CR500" s="84"/>
      <c r="CS500" s="84"/>
      <c r="CT500" s="84"/>
      <c r="CU500" s="84"/>
      <c r="CV500" s="84"/>
      <c r="CW500" s="84"/>
      <c r="CX500" s="84"/>
      <c r="CY500" s="84"/>
      <c r="CZ500" s="84"/>
      <c r="DA500" s="84"/>
      <c r="DB500" s="84"/>
      <c r="DC500" s="84"/>
      <c r="DD500" s="84"/>
      <c r="DE500" s="84"/>
      <c r="DF500" s="84"/>
      <c r="DG500" s="84"/>
    </row>
    <row r="501" ht="20.25" customHeight="1">
      <c r="A501" s="784" t="s">
        <v>106</v>
      </c>
      <c r="B501" s="784" t="s">
        <v>107</v>
      </c>
      <c r="C501" s="784" t="s">
        <v>1251</v>
      </c>
      <c r="D501" s="691"/>
      <c r="E501" s="86" t="s">
        <v>2728</v>
      </c>
      <c r="F501" s="786" t="s">
        <v>2752</v>
      </c>
      <c r="G501" s="788"/>
      <c r="H501" s="804"/>
      <c r="I501" s="159">
        <v>45691.0</v>
      </c>
      <c r="J501" s="788"/>
      <c r="K501" s="788"/>
      <c r="L501" s="786" t="s">
        <v>2730</v>
      </c>
      <c r="M501" s="786" t="s">
        <v>2731</v>
      </c>
      <c r="N501" s="789">
        <v>1.0</v>
      </c>
      <c r="O501" s="790" t="s">
        <v>2732</v>
      </c>
      <c r="P501" s="48" t="str">
        <f t="array" ref="P501">HYPERLINK(INDEX('File Links'!B:B, MATCH(O501, 'File Links'!C:C, 0)))
</f>
        <v>https://drive.google.com/file/d/1mJVZEGRuGEHvjJLpaIkoRcJuDNXnANgI/view?usp=drivesdk</v>
      </c>
      <c r="Q501" s="786" t="s">
        <v>2733</v>
      </c>
      <c r="R501" s="786" t="s">
        <v>2734</v>
      </c>
      <c r="T501" s="805">
        <v>2.0</v>
      </c>
      <c r="U501" s="786" t="s">
        <v>2735</v>
      </c>
      <c r="V501" s="792" t="s">
        <v>202</v>
      </c>
      <c r="W501" s="45" t="str">
        <f t="array" ref="W501">HYPERLINK(INDEX('File Links'!B:B, MATCH(U501, 'File Links'!C:C, 0)))
</f>
        <v>#N/A</v>
      </c>
      <c r="X501" s="786"/>
      <c r="Y501" s="786"/>
      <c r="Z501" s="786"/>
      <c r="AA501" s="793" t="s">
        <v>2736</v>
      </c>
      <c r="AB501" s="788"/>
      <c r="AC501" s="788"/>
      <c r="AD501" s="788"/>
      <c r="AE501" s="788"/>
      <c r="AF501" s="788"/>
      <c r="AG501" s="795"/>
      <c r="AH501" s="788"/>
      <c r="AI501" s="788"/>
      <c r="AJ501" s="796"/>
      <c r="AK501" s="788"/>
      <c r="AL501" s="788"/>
      <c r="AM501" s="788"/>
      <c r="AN501" s="789">
        <v>1250.0</v>
      </c>
      <c r="AO501" s="788"/>
      <c r="AP501" s="788"/>
      <c r="AQ501" s="788"/>
      <c r="AR501" s="789">
        <v>0.001</v>
      </c>
      <c r="AS501" s="785" t="s">
        <v>127</v>
      </c>
      <c r="AT501" s="785" t="s">
        <v>179</v>
      </c>
      <c r="AU501" s="785"/>
      <c r="AV501" s="797" t="s">
        <v>2757</v>
      </c>
      <c r="AW501" s="796"/>
      <c r="AX501" s="55"/>
      <c r="AY501" s="784" t="s">
        <v>135</v>
      </c>
      <c r="AZ501" s="84"/>
      <c r="BA501" s="84"/>
      <c r="BB501" s="84"/>
      <c r="BC501" s="84"/>
      <c r="BD501" s="84"/>
      <c r="BE501" s="84"/>
      <c r="BF501" s="84"/>
      <c r="BG501" s="84"/>
      <c r="BH501" s="84"/>
      <c r="BI501" s="84"/>
      <c r="BJ501" s="84"/>
      <c r="BK501" s="84"/>
      <c r="BL501" s="84"/>
      <c r="BM501" s="84"/>
      <c r="BN501" s="84"/>
      <c r="BO501" s="84"/>
      <c r="BP501" s="84"/>
      <c r="BQ501" s="84"/>
      <c r="BR501" s="84"/>
      <c r="BS501" s="84"/>
      <c r="BT501" s="84"/>
      <c r="BU501" s="84"/>
      <c r="BV501" s="84"/>
      <c r="BW501" s="84"/>
      <c r="BX501" s="84"/>
      <c r="BY501" s="84"/>
      <c r="BZ501" s="84"/>
      <c r="CA501" s="84"/>
      <c r="CB501" s="84"/>
      <c r="CC501" s="84"/>
      <c r="CD501" s="84"/>
      <c r="CE501" s="84"/>
      <c r="CF501" s="84"/>
      <c r="CG501" s="84"/>
      <c r="CH501" s="84"/>
      <c r="CI501" s="84"/>
      <c r="CJ501" s="84"/>
      <c r="CK501" s="84"/>
      <c r="CL501" s="84"/>
      <c r="CM501" s="84"/>
      <c r="CN501" s="84"/>
      <c r="CO501" s="84"/>
      <c r="CP501" s="84"/>
      <c r="CQ501" s="84"/>
      <c r="CR501" s="84"/>
      <c r="CS501" s="84"/>
      <c r="CT501" s="84"/>
      <c r="CU501" s="84"/>
      <c r="CV501" s="84"/>
      <c r="CW501" s="84"/>
      <c r="CX501" s="84"/>
      <c r="CY501" s="84"/>
      <c r="CZ501" s="84"/>
      <c r="DA501" s="84"/>
      <c r="DB501" s="84"/>
      <c r="DC501" s="84"/>
      <c r="DD501" s="84"/>
      <c r="DE501" s="84"/>
      <c r="DF501" s="84"/>
      <c r="DG501" s="84"/>
    </row>
    <row r="502" ht="20.25" customHeight="1">
      <c r="A502" s="784" t="s">
        <v>106</v>
      </c>
      <c r="B502" s="85" t="s">
        <v>107</v>
      </c>
      <c r="C502" s="85" t="s">
        <v>214</v>
      </c>
      <c r="D502" s="84"/>
      <c r="E502" s="86" t="s">
        <v>2728</v>
      </c>
      <c r="F502" s="69" t="s">
        <v>2758</v>
      </c>
      <c r="G502" s="69" t="s">
        <v>215</v>
      </c>
      <c r="H502" s="798">
        <v>45641.0</v>
      </c>
      <c r="I502" s="159">
        <v>45691.0</v>
      </c>
      <c r="J502" s="799" t="s">
        <v>2759</v>
      </c>
      <c r="K502" s="72" t="s">
        <v>2744</v>
      </c>
      <c r="L502" s="569" t="s">
        <v>2760</v>
      </c>
      <c r="M502" s="69" t="s">
        <v>2731</v>
      </c>
      <c r="N502" s="800">
        <v>1.0</v>
      </c>
      <c r="O502" s="90" t="s">
        <v>2732</v>
      </c>
      <c r="P502" s="48" t="str">
        <f t="array" ref="P502">HYPERLINK(INDEX('File Links'!B:B, MATCH(O502, 'File Links'!C:C, 0)))
</f>
        <v>https://drive.google.com/file/d/1mJVZEGRuGEHvjJLpaIkoRcJuDNXnANgI/view?usp=drivesdk</v>
      </c>
      <c r="Q502" s="69" t="s">
        <v>2733</v>
      </c>
      <c r="R502" s="69" t="s">
        <v>2734</v>
      </c>
      <c r="S502" s="75"/>
      <c r="T502" s="801">
        <v>2.0</v>
      </c>
      <c r="U502" s="69" t="s">
        <v>2735</v>
      </c>
      <c r="V502" s="792" t="s">
        <v>202</v>
      </c>
      <c r="W502" s="45" t="str">
        <f t="array" ref="W502">HYPERLINK(INDEX('File Links'!B:B, MATCH(U502, 'File Links'!C:C, 0)))
</f>
        <v>#N/A</v>
      </c>
      <c r="X502" s="75"/>
      <c r="Y502" s="69" t="s">
        <v>220</v>
      </c>
      <c r="Z502" s="69"/>
      <c r="AA502" s="69" t="s">
        <v>2736</v>
      </c>
      <c r="AB502" s="69" t="s">
        <v>2761</v>
      </c>
      <c r="AC502" s="69" t="s">
        <v>2762</v>
      </c>
      <c r="AD502" s="573">
        <v>2.0</v>
      </c>
      <c r="AE502" s="573">
        <v>3578.0</v>
      </c>
      <c r="AF502" s="573">
        <v>0.066</v>
      </c>
      <c r="AG502" s="90" t="s">
        <v>357</v>
      </c>
      <c r="AH502" s="69" t="s">
        <v>2748</v>
      </c>
      <c r="AI502" s="573">
        <v>0.001</v>
      </c>
      <c r="AJ502" s="87" t="s">
        <v>127</v>
      </c>
      <c r="AK502" s="69" t="s">
        <v>128</v>
      </c>
      <c r="AL502" s="75" t="s">
        <v>129</v>
      </c>
      <c r="AM502" s="802" t="s">
        <v>2749</v>
      </c>
      <c r="AN502" s="803">
        <v>1193.0</v>
      </c>
      <c r="AO502" s="72" t="s">
        <v>165</v>
      </c>
      <c r="AP502" s="72" t="s">
        <v>165</v>
      </c>
      <c r="AQ502" s="72" t="s">
        <v>165</v>
      </c>
      <c r="AR502" s="72" t="s">
        <v>165</v>
      </c>
      <c r="AS502" s="72" t="s">
        <v>165</v>
      </c>
      <c r="AT502" s="72" t="s">
        <v>179</v>
      </c>
      <c r="AU502" s="86" t="s">
        <v>129</v>
      </c>
      <c r="AV502" s="92" t="s">
        <v>2750</v>
      </c>
      <c r="AW502" s="93" t="s">
        <v>134</v>
      </c>
      <c r="AX502" s="55"/>
      <c r="AY502" s="784" t="s">
        <v>135</v>
      </c>
    </row>
    <row r="503" ht="20.25" customHeight="1">
      <c r="A503" s="136" t="s">
        <v>586</v>
      </c>
      <c r="B503" s="136" t="s">
        <v>107</v>
      </c>
      <c r="C503" s="136" t="s">
        <v>1251</v>
      </c>
      <c r="D503" s="64"/>
      <c r="E503" s="98" t="s">
        <v>2763</v>
      </c>
      <c r="F503" s="99" t="s">
        <v>2764</v>
      </c>
      <c r="G503" s="99" t="s">
        <v>1254</v>
      </c>
      <c r="H503" s="391">
        <v>45472.0</v>
      </c>
      <c r="I503" s="100">
        <v>45641.0</v>
      </c>
      <c r="J503" s="101"/>
      <c r="K503" s="101"/>
      <c r="L503" s="99" t="s">
        <v>2765</v>
      </c>
      <c r="M503" s="99" t="s">
        <v>2766</v>
      </c>
      <c r="N503" s="104">
        <v>1.0</v>
      </c>
      <c r="O503" s="107" t="s">
        <v>2767</v>
      </c>
      <c r="P503" s="48" t="str">
        <f t="array" ref="P503">HYPERLINK(INDEX('File Links'!B:B, MATCH(O503, 'File Links'!C:C, 0)))
</f>
        <v>https://drive.google.com/file/d/1LJ0WrqBtVRCt68G-AduIa1fUKucFOQw4/view?usp=drivesdk</v>
      </c>
      <c r="Q503" s="99" t="s">
        <v>2768</v>
      </c>
      <c r="R503" s="99" t="s">
        <v>165</v>
      </c>
      <c r="S503" s="392" t="s">
        <v>2769</v>
      </c>
      <c r="T503" s="594">
        <v>1.0</v>
      </c>
      <c r="U503" s="99" t="s">
        <v>2770</v>
      </c>
      <c r="V503" s="99" t="s">
        <v>2771</v>
      </c>
      <c r="W503" s="45" t="str">
        <f t="array" ref="W503">HYPERLINK(INDEX('File Links'!B:B, MATCH(U503, 'File Links'!C:C, 0)))
</f>
        <v>#N/A</v>
      </c>
      <c r="X503" s="99"/>
      <c r="Y503" s="99" t="s">
        <v>2772</v>
      </c>
      <c r="AA503" s="99" t="s">
        <v>2773</v>
      </c>
      <c r="AB503" s="99" t="s">
        <v>2774</v>
      </c>
      <c r="AD503" s="104">
        <v>623.0</v>
      </c>
      <c r="AE503" s="104">
        <v>51.0</v>
      </c>
      <c r="AF503" s="101"/>
      <c r="AG503" s="106"/>
      <c r="AH503" s="101"/>
      <c r="AI503" s="101"/>
      <c r="AJ503" s="98"/>
      <c r="AK503" s="99" t="s">
        <v>179</v>
      </c>
      <c r="AL503" s="99"/>
      <c r="AM503" s="101"/>
      <c r="AN503" s="104">
        <v>303.0</v>
      </c>
      <c r="AO503" s="101"/>
      <c r="AP503" s="101"/>
      <c r="AQ503" s="99" t="s">
        <v>165</v>
      </c>
      <c r="AR503" s="101"/>
      <c r="AS503" s="98"/>
      <c r="AT503" s="108" t="s">
        <v>179</v>
      </c>
      <c r="AU503" s="108"/>
      <c r="AV503" s="98"/>
      <c r="AW503" s="98"/>
      <c r="AX503" s="55"/>
      <c r="AY503" s="64"/>
      <c r="AZ503" s="152"/>
      <c r="BA503" s="152"/>
      <c r="BB503" s="152"/>
      <c r="BC503" s="152"/>
      <c r="BD503" s="152"/>
      <c r="BE503" s="152"/>
      <c r="BF503" s="152"/>
      <c r="BG503" s="152"/>
      <c r="BH503" s="152"/>
      <c r="BI503" s="152"/>
      <c r="BJ503" s="152"/>
      <c r="BK503" s="152"/>
      <c r="BL503" s="152"/>
      <c r="BM503" s="152"/>
      <c r="BN503" s="152"/>
      <c r="BO503" s="152"/>
      <c r="BP503" s="152"/>
      <c r="BQ503" s="152"/>
      <c r="BR503" s="152"/>
      <c r="BS503" s="152"/>
      <c r="BT503" s="152"/>
      <c r="BU503" s="152"/>
      <c r="BV503" s="152"/>
      <c r="BW503" s="152"/>
      <c r="BX503" s="152"/>
      <c r="BY503" s="152"/>
      <c r="BZ503" s="152"/>
      <c r="CA503" s="152"/>
      <c r="CB503" s="152"/>
      <c r="CC503" s="152"/>
      <c r="CD503" s="152"/>
      <c r="CE503" s="152"/>
      <c r="CF503" s="152"/>
      <c r="CG503" s="152"/>
      <c r="CH503" s="152"/>
      <c r="CI503" s="152"/>
      <c r="CJ503" s="152"/>
      <c r="CK503" s="152"/>
      <c r="CL503" s="152"/>
      <c r="CM503" s="152"/>
      <c r="CN503" s="152"/>
      <c r="CO503" s="152"/>
      <c r="CP503" s="152"/>
      <c r="CQ503" s="152"/>
      <c r="CR503" s="152"/>
      <c r="CS503" s="152"/>
      <c r="CT503" s="152"/>
      <c r="CU503" s="152"/>
      <c r="CV503" s="152"/>
      <c r="CW503" s="152"/>
      <c r="CX503" s="152"/>
      <c r="CY503" s="152"/>
      <c r="CZ503" s="152"/>
      <c r="DA503" s="152"/>
      <c r="DB503" s="152"/>
      <c r="DC503" s="152"/>
      <c r="DD503" s="152"/>
      <c r="DE503" s="152"/>
      <c r="DF503" s="152"/>
      <c r="DG503" s="152"/>
    </row>
    <row r="504" ht="20.25" customHeight="1">
      <c r="A504" s="110" t="s">
        <v>279</v>
      </c>
      <c r="B504" s="110" t="s">
        <v>107</v>
      </c>
      <c r="C504" s="110" t="s">
        <v>214</v>
      </c>
      <c r="D504" s="95"/>
      <c r="E504" s="111" t="s">
        <v>2763</v>
      </c>
      <c r="F504" s="112" t="s">
        <v>2775</v>
      </c>
      <c r="G504" s="112" t="s">
        <v>215</v>
      </c>
      <c r="H504" s="310">
        <v>45641.0</v>
      </c>
      <c r="I504" s="119"/>
      <c r="J504" s="112" t="s">
        <v>2655</v>
      </c>
      <c r="K504" s="119"/>
      <c r="L504" s="112" t="s">
        <v>2776</v>
      </c>
      <c r="M504" s="112" t="s">
        <v>2766</v>
      </c>
      <c r="N504" s="119"/>
      <c r="O504" s="212" t="s">
        <v>2767</v>
      </c>
      <c r="P504" s="48" t="str">
        <f t="array" ref="P504">HYPERLINK(INDEX('File Links'!B:B, MATCH(O504, 'File Links'!C:C, 0)))
</f>
        <v>https://drive.google.com/file/d/1LJ0WrqBtVRCt68G-AduIa1fUKucFOQw4/view?usp=drivesdk</v>
      </c>
      <c r="Q504" s="112" t="s">
        <v>2768</v>
      </c>
      <c r="R504" s="119"/>
      <c r="S504" s="119"/>
      <c r="T504" s="311"/>
      <c r="U504" s="112" t="s">
        <v>351</v>
      </c>
      <c r="V504" s="112" t="s">
        <v>2777</v>
      </c>
      <c r="W504" s="45" t="str">
        <f t="array" ref="W504">HYPERLINK(INDEX('File Links'!B:B, MATCH(U504, 'File Links'!C:C, 0)))
</f>
        <v>#N/A</v>
      </c>
      <c r="X504" s="119"/>
      <c r="Y504" s="112" t="s">
        <v>220</v>
      </c>
      <c r="Z504" s="112" t="s">
        <v>2778</v>
      </c>
      <c r="AA504" s="112" t="s">
        <v>2779</v>
      </c>
      <c r="AB504" s="112" t="s">
        <v>2780</v>
      </c>
      <c r="AC504" s="112" t="s">
        <v>2781</v>
      </c>
      <c r="AD504" s="117">
        <v>827.0</v>
      </c>
      <c r="AE504" s="117">
        <v>126.0</v>
      </c>
      <c r="AF504" s="117">
        <v>11.83</v>
      </c>
      <c r="AG504" s="212" t="s">
        <v>2782</v>
      </c>
      <c r="AH504" s="117">
        <v>827.0</v>
      </c>
      <c r="AI504" s="119"/>
      <c r="AJ504" s="111"/>
      <c r="AK504" s="119"/>
      <c r="AL504" s="119"/>
      <c r="AM504" s="119"/>
      <c r="AN504" s="117">
        <v>254.0</v>
      </c>
      <c r="AO504" s="117">
        <v>2.05</v>
      </c>
      <c r="AP504" s="112" t="s">
        <v>2782</v>
      </c>
      <c r="AQ504" s="112" t="s">
        <v>297</v>
      </c>
      <c r="AR504" s="119"/>
      <c r="AS504" s="111"/>
      <c r="AT504" s="111"/>
      <c r="AU504" s="111"/>
      <c r="AV504" s="111"/>
      <c r="AW504" s="111" t="s">
        <v>142</v>
      </c>
      <c r="AX504" s="55"/>
      <c r="AY504" s="95"/>
      <c r="AZ504" s="152"/>
      <c r="BA504" s="152"/>
      <c r="BB504" s="152"/>
      <c r="BC504" s="152"/>
      <c r="BD504" s="152"/>
      <c r="BE504" s="152"/>
      <c r="BF504" s="152"/>
      <c r="BG504" s="152"/>
      <c r="BH504" s="152"/>
      <c r="BI504" s="152"/>
      <c r="BJ504" s="152"/>
      <c r="BK504" s="152"/>
      <c r="BL504" s="152"/>
      <c r="BM504" s="152"/>
      <c r="BN504" s="152"/>
      <c r="BO504" s="152"/>
      <c r="BP504" s="152"/>
      <c r="BQ504" s="152"/>
      <c r="BR504" s="152"/>
      <c r="BS504" s="152"/>
      <c r="BT504" s="152"/>
      <c r="BU504" s="152"/>
      <c r="BV504" s="152"/>
      <c r="BW504" s="152"/>
      <c r="BX504" s="152"/>
      <c r="BY504" s="152"/>
      <c r="BZ504" s="152"/>
      <c r="CA504" s="152"/>
      <c r="CB504" s="152"/>
      <c r="CC504" s="152"/>
      <c r="CD504" s="152"/>
      <c r="CE504" s="152"/>
      <c r="CF504" s="152"/>
      <c r="CG504" s="152"/>
      <c r="CH504" s="152"/>
      <c r="CI504" s="152"/>
      <c r="CJ504" s="152"/>
      <c r="CK504" s="152"/>
      <c r="CL504" s="152"/>
      <c r="CM504" s="152"/>
      <c r="CN504" s="152"/>
      <c r="CO504" s="152"/>
      <c r="CP504" s="152"/>
      <c r="CQ504" s="152"/>
      <c r="CR504" s="152"/>
      <c r="CS504" s="152"/>
      <c r="CT504" s="152"/>
      <c r="CU504" s="152"/>
      <c r="CV504" s="152"/>
      <c r="CW504" s="152"/>
      <c r="CX504" s="152"/>
      <c r="CY504" s="152"/>
      <c r="CZ504" s="152"/>
      <c r="DA504" s="152"/>
      <c r="DB504" s="152"/>
      <c r="DC504" s="152"/>
      <c r="DD504" s="152"/>
      <c r="DE504" s="152"/>
      <c r="DF504" s="152"/>
      <c r="DG504" s="152"/>
    </row>
    <row r="505" ht="20.25" customHeight="1">
      <c r="A505" s="110" t="s">
        <v>279</v>
      </c>
      <c r="B505" s="110" t="s">
        <v>107</v>
      </c>
      <c r="C505" s="110" t="s">
        <v>214</v>
      </c>
      <c r="D505" s="95"/>
      <c r="E505" s="111" t="s">
        <v>2763</v>
      </c>
      <c r="F505" s="112" t="s">
        <v>2783</v>
      </c>
      <c r="G505" s="112" t="s">
        <v>215</v>
      </c>
      <c r="H505" s="310">
        <v>45641.0</v>
      </c>
      <c r="I505" s="119"/>
      <c r="J505" s="112" t="s">
        <v>2655</v>
      </c>
      <c r="K505" s="119"/>
      <c r="L505" s="112" t="s">
        <v>2776</v>
      </c>
      <c r="M505" s="112" t="s">
        <v>2766</v>
      </c>
      <c r="N505" s="119"/>
      <c r="O505" s="212" t="s">
        <v>2767</v>
      </c>
      <c r="P505" s="48" t="str">
        <f t="array" ref="P505">HYPERLINK(INDEX('File Links'!B:B, MATCH(O505, 'File Links'!C:C, 0)))
</f>
        <v>https://drive.google.com/file/d/1LJ0WrqBtVRCt68G-AduIa1fUKucFOQw4/view?usp=drivesdk</v>
      </c>
      <c r="Q505" s="112" t="s">
        <v>2768</v>
      </c>
      <c r="R505" s="119"/>
      <c r="S505" s="119"/>
      <c r="T505" s="311"/>
      <c r="U505" s="112" t="s">
        <v>351</v>
      </c>
      <c r="V505" s="112" t="s">
        <v>2777</v>
      </c>
      <c r="W505" s="45" t="str">
        <f t="array" ref="W505">HYPERLINK(INDEX('File Links'!B:B, MATCH(U505, 'File Links'!C:C, 0)))
</f>
        <v>#N/A</v>
      </c>
      <c r="X505" s="119"/>
      <c r="Y505" s="112" t="s">
        <v>220</v>
      </c>
      <c r="Z505" s="112" t="s">
        <v>2778</v>
      </c>
      <c r="AA505" s="112" t="s">
        <v>2779</v>
      </c>
      <c r="AB505" s="112" t="s">
        <v>2784</v>
      </c>
      <c r="AC505" s="112" t="s">
        <v>2785</v>
      </c>
      <c r="AD505" s="117">
        <v>827.0</v>
      </c>
      <c r="AE505" s="117">
        <v>87.0</v>
      </c>
      <c r="AF505" s="117">
        <v>9.41</v>
      </c>
      <c r="AG505" s="212" t="s">
        <v>2782</v>
      </c>
      <c r="AH505" s="117">
        <v>827.0</v>
      </c>
      <c r="AI505" s="119"/>
      <c r="AJ505" s="111"/>
      <c r="AK505" s="119"/>
      <c r="AL505" s="119"/>
      <c r="AM505" s="119"/>
      <c r="AN505" s="117">
        <v>51.0</v>
      </c>
      <c r="AO505" s="117">
        <v>0.79</v>
      </c>
      <c r="AP505" s="112" t="s">
        <v>2782</v>
      </c>
      <c r="AQ505" s="112" t="s">
        <v>297</v>
      </c>
      <c r="AR505" s="119"/>
      <c r="AS505" s="111"/>
      <c r="AT505" s="111"/>
      <c r="AU505" s="111"/>
      <c r="AV505" s="111"/>
      <c r="AW505" s="111" t="s">
        <v>142</v>
      </c>
      <c r="AX505" s="55"/>
      <c r="AY505" s="95"/>
      <c r="AZ505" s="333"/>
      <c r="BA505" s="333"/>
      <c r="BB505" s="333"/>
      <c r="BC505" s="333"/>
      <c r="BD505" s="333"/>
      <c r="BE505" s="333"/>
      <c r="BF505" s="333"/>
      <c r="BG505" s="333"/>
      <c r="BH505" s="333"/>
      <c r="BI505" s="333"/>
      <c r="BJ505" s="333"/>
      <c r="BK505" s="333"/>
      <c r="BL505" s="333"/>
      <c r="BM505" s="333"/>
      <c r="BN505" s="333"/>
      <c r="BO505" s="333"/>
      <c r="BP505" s="333"/>
      <c r="BQ505" s="333"/>
      <c r="BR505" s="333"/>
      <c r="BS505" s="333"/>
      <c r="BT505" s="333"/>
      <c r="BU505" s="333"/>
      <c r="BV505" s="333"/>
      <c r="BW505" s="333"/>
      <c r="BX505" s="333"/>
      <c r="BY505" s="333"/>
      <c r="BZ505" s="333"/>
      <c r="CA505" s="333"/>
      <c r="CB505" s="333"/>
      <c r="CC505" s="333"/>
      <c r="CD505" s="333"/>
      <c r="CE505" s="333"/>
      <c r="CF505" s="333"/>
      <c r="CG505" s="333"/>
      <c r="CH505" s="333"/>
      <c r="CI505" s="333"/>
      <c r="CJ505" s="333"/>
      <c r="CK505" s="333"/>
      <c r="CL505" s="333"/>
      <c r="CM505" s="333"/>
      <c r="CN505" s="333"/>
      <c r="CO505" s="333"/>
      <c r="CP505" s="333"/>
      <c r="CQ505" s="333"/>
      <c r="CR505" s="333"/>
      <c r="CS505" s="333"/>
      <c r="CT505" s="333"/>
      <c r="CU505" s="333"/>
      <c r="CV505" s="333"/>
      <c r="CW505" s="333"/>
      <c r="CX505" s="333"/>
      <c r="CY505" s="333"/>
      <c r="CZ505" s="333"/>
      <c r="DA505" s="333"/>
      <c r="DB505" s="333"/>
      <c r="DC505" s="333"/>
      <c r="DD505" s="333"/>
      <c r="DE505" s="333"/>
      <c r="DF505" s="333"/>
      <c r="DG505" s="333"/>
    </row>
    <row r="506" ht="20.25" customHeight="1">
      <c r="A506" s="110" t="s">
        <v>279</v>
      </c>
      <c r="B506" s="110" t="s">
        <v>107</v>
      </c>
      <c r="C506" s="110" t="s">
        <v>214</v>
      </c>
      <c r="D506" s="95"/>
      <c r="E506" s="111" t="s">
        <v>2763</v>
      </c>
      <c r="F506" s="112" t="s">
        <v>2786</v>
      </c>
      <c r="G506" s="112" t="s">
        <v>215</v>
      </c>
      <c r="H506" s="310">
        <v>45641.0</v>
      </c>
      <c r="I506" s="119"/>
      <c r="J506" s="112" t="s">
        <v>2655</v>
      </c>
      <c r="K506" s="119"/>
      <c r="L506" s="112" t="s">
        <v>2776</v>
      </c>
      <c r="M506" s="112" t="s">
        <v>2766</v>
      </c>
      <c r="N506" s="119"/>
      <c r="O506" s="212" t="s">
        <v>2767</v>
      </c>
      <c r="P506" s="48" t="str">
        <f t="array" ref="P506">HYPERLINK(INDEX('File Links'!B:B, MATCH(O506, 'File Links'!C:C, 0)))
</f>
        <v>https://drive.google.com/file/d/1LJ0WrqBtVRCt68G-AduIa1fUKucFOQw4/view?usp=drivesdk</v>
      </c>
      <c r="Q506" s="112" t="s">
        <v>2768</v>
      </c>
      <c r="R506" s="119"/>
      <c r="S506" s="119"/>
      <c r="T506" s="311"/>
      <c r="U506" s="112" t="s">
        <v>351</v>
      </c>
      <c r="V506" s="112" t="s">
        <v>2777</v>
      </c>
      <c r="W506" s="45" t="str">
        <f t="array" ref="W506">HYPERLINK(INDEX('File Links'!B:B, MATCH(U506, 'File Links'!C:C, 0)))
</f>
        <v>#N/A</v>
      </c>
      <c r="X506" s="119"/>
      <c r="Y506" s="112" t="s">
        <v>220</v>
      </c>
      <c r="Z506" s="112" t="s">
        <v>2778</v>
      </c>
      <c r="AA506" s="112" t="s">
        <v>2779</v>
      </c>
      <c r="AB506" s="112" t="s">
        <v>2787</v>
      </c>
      <c r="AC506" s="112" t="s">
        <v>2788</v>
      </c>
      <c r="AD506" s="117">
        <v>827.0</v>
      </c>
      <c r="AE506" s="117">
        <v>19.0</v>
      </c>
      <c r="AF506" s="117">
        <v>4.1</v>
      </c>
      <c r="AG506" s="212" t="s">
        <v>2782</v>
      </c>
      <c r="AH506" s="117">
        <v>827.0</v>
      </c>
      <c r="AI506" s="119"/>
      <c r="AJ506" s="111"/>
      <c r="AK506" s="119"/>
      <c r="AL506" s="119"/>
      <c r="AM506" s="119"/>
      <c r="AN506" s="117">
        <v>36.0</v>
      </c>
      <c r="AO506" s="117">
        <v>0.65</v>
      </c>
      <c r="AP506" s="112" t="s">
        <v>2782</v>
      </c>
      <c r="AQ506" s="112" t="s">
        <v>1574</v>
      </c>
      <c r="AR506" s="119"/>
      <c r="AS506" s="111"/>
      <c r="AT506" s="111"/>
      <c r="AU506" s="111"/>
      <c r="AV506" s="111"/>
      <c r="AW506" s="111" t="s">
        <v>142</v>
      </c>
      <c r="AX506" s="55"/>
      <c r="AY506" s="95"/>
      <c r="AZ506" s="333"/>
      <c r="BA506" s="333"/>
      <c r="BB506" s="333"/>
      <c r="BC506" s="333"/>
      <c r="BD506" s="333"/>
      <c r="BE506" s="333"/>
      <c r="BF506" s="333"/>
      <c r="BG506" s="333"/>
      <c r="BH506" s="333"/>
      <c r="BI506" s="333"/>
      <c r="BJ506" s="333"/>
      <c r="BK506" s="333"/>
      <c r="BL506" s="333"/>
      <c r="BM506" s="333"/>
      <c r="BN506" s="333"/>
      <c r="BO506" s="333"/>
      <c r="BP506" s="333"/>
      <c r="BQ506" s="333"/>
      <c r="BR506" s="333"/>
      <c r="BS506" s="333"/>
      <c r="BT506" s="333"/>
      <c r="BU506" s="333"/>
      <c r="BV506" s="333"/>
      <c r="BW506" s="333"/>
      <c r="BX506" s="333"/>
      <c r="BY506" s="333"/>
      <c r="BZ506" s="333"/>
      <c r="CA506" s="333"/>
      <c r="CB506" s="333"/>
      <c r="CC506" s="333"/>
      <c r="CD506" s="333"/>
      <c r="CE506" s="333"/>
      <c r="CF506" s="333"/>
      <c r="CG506" s="333"/>
      <c r="CH506" s="333"/>
      <c r="CI506" s="333"/>
      <c r="CJ506" s="333"/>
      <c r="CK506" s="333"/>
      <c r="CL506" s="333"/>
      <c r="CM506" s="333"/>
      <c r="CN506" s="333"/>
      <c r="CO506" s="333"/>
      <c r="CP506" s="333"/>
      <c r="CQ506" s="333"/>
      <c r="CR506" s="333"/>
      <c r="CS506" s="333"/>
      <c r="CT506" s="333"/>
      <c r="CU506" s="333"/>
      <c r="CV506" s="333"/>
      <c r="CW506" s="333"/>
      <c r="CX506" s="333"/>
      <c r="CY506" s="333"/>
      <c r="CZ506" s="333"/>
      <c r="DA506" s="333"/>
      <c r="DB506" s="333"/>
      <c r="DC506" s="333"/>
      <c r="DD506" s="333"/>
      <c r="DE506" s="333"/>
      <c r="DF506" s="333"/>
      <c r="DG506" s="333"/>
    </row>
    <row r="507" ht="20.25" customHeight="1">
      <c r="A507" s="41" t="s">
        <v>279</v>
      </c>
      <c r="B507" s="41" t="s">
        <v>107</v>
      </c>
      <c r="C507" s="41" t="s">
        <v>1251</v>
      </c>
      <c r="E507" s="60" t="s">
        <v>2789</v>
      </c>
      <c r="F507" s="52" t="s">
        <v>2790</v>
      </c>
      <c r="G507" s="52" t="s">
        <v>1254</v>
      </c>
      <c r="H507" s="140">
        <v>45472.0</v>
      </c>
      <c r="I507" s="409">
        <v>45641.0</v>
      </c>
      <c r="J507" s="55"/>
      <c r="K507" s="55"/>
      <c r="L507" s="52" t="s">
        <v>2791</v>
      </c>
      <c r="M507" s="52" t="s">
        <v>2792</v>
      </c>
      <c r="N507" s="355">
        <v>2.0</v>
      </c>
      <c r="O507" s="353" t="s">
        <v>2793</v>
      </c>
      <c r="P507" s="48" t="str">
        <f t="array" ref="P507">HYPERLINK(INDEX('File Links'!B:B, MATCH(O507, 'File Links'!C:C, 0)))
</f>
        <v>https://drive.google.com/file/d/1U7jcEsjlgt0luv4Qd8Q7JmbBb7qRDTdD/view?usp=drivesdk</v>
      </c>
      <c r="Q507" s="52" t="s">
        <v>2794</v>
      </c>
      <c r="R507" s="52" t="s">
        <v>2795</v>
      </c>
      <c r="T507" s="646">
        <v>1.0</v>
      </c>
      <c r="U507" s="354" t="s">
        <v>2796</v>
      </c>
      <c r="V507" s="52" t="s">
        <v>2797</v>
      </c>
      <c r="W507" s="45" t="str">
        <f t="array" ref="W507">HYPERLINK(INDEX('File Links'!B:B, MATCH(U507, 'File Links'!C:C, 0)))
</f>
        <v>#N/A</v>
      </c>
      <c r="X507" s="52"/>
      <c r="Y507" s="52" t="s">
        <v>220</v>
      </c>
      <c r="AA507" s="52" t="s">
        <v>2798</v>
      </c>
      <c r="AB507" s="52" t="s">
        <v>2799</v>
      </c>
      <c r="AC507" s="52" t="s">
        <v>2800</v>
      </c>
      <c r="AD507" s="498">
        <v>21693.0</v>
      </c>
      <c r="AE507" s="355">
        <v>37.0</v>
      </c>
      <c r="AF507" s="355">
        <v>0.853</v>
      </c>
      <c r="AG507" s="330" t="s">
        <v>130</v>
      </c>
      <c r="AH507" s="52" t="s">
        <v>2801</v>
      </c>
      <c r="AI507" s="355">
        <v>0.001</v>
      </c>
      <c r="AJ507" s="147" t="s">
        <v>127</v>
      </c>
      <c r="AK507" s="52" t="s">
        <v>179</v>
      </c>
      <c r="AL507" s="55" t="s">
        <v>129</v>
      </c>
      <c r="AM507" s="55"/>
      <c r="AN507" s="355">
        <v>37.0</v>
      </c>
      <c r="AO507" s="355">
        <v>0.739</v>
      </c>
      <c r="AP507" s="52" t="s">
        <v>130</v>
      </c>
      <c r="AQ507" s="52" t="s">
        <v>2801</v>
      </c>
      <c r="AR507" s="355">
        <v>0.001</v>
      </c>
      <c r="AS507" s="147" t="s">
        <v>127</v>
      </c>
      <c r="AT507" s="147" t="s">
        <v>179</v>
      </c>
      <c r="AV507" s="60"/>
      <c r="AW507" s="60"/>
      <c r="AX507" s="55"/>
      <c r="AZ507" s="333"/>
      <c r="BA507" s="333"/>
      <c r="BB507" s="333"/>
      <c r="BC507" s="333"/>
      <c r="BD507" s="333"/>
      <c r="BE507" s="333"/>
      <c r="BF507" s="333"/>
      <c r="BG507" s="333"/>
      <c r="BH507" s="333"/>
      <c r="BI507" s="333"/>
      <c r="BJ507" s="333"/>
      <c r="BK507" s="333"/>
      <c r="BL507" s="333"/>
      <c r="BM507" s="333"/>
      <c r="BN507" s="333"/>
      <c r="BO507" s="333"/>
      <c r="BP507" s="333"/>
      <c r="BQ507" s="333"/>
      <c r="BR507" s="333"/>
      <c r="BS507" s="333"/>
      <c r="BT507" s="333"/>
      <c r="BU507" s="333"/>
      <c r="BV507" s="333"/>
      <c r="BW507" s="333"/>
      <c r="BX507" s="333"/>
      <c r="BY507" s="333"/>
      <c r="BZ507" s="333"/>
      <c r="CA507" s="333"/>
      <c r="CB507" s="333"/>
      <c r="CC507" s="333"/>
      <c r="CD507" s="333"/>
      <c r="CE507" s="333"/>
      <c r="CF507" s="333"/>
      <c r="CG507" s="333"/>
      <c r="CH507" s="333"/>
      <c r="CI507" s="333"/>
      <c r="CJ507" s="333"/>
      <c r="CK507" s="333"/>
      <c r="CL507" s="333"/>
      <c r="CM507" s="333"/>
      <c r="CN507" s="333"/>
      <c r="CO507" s="333"/>
      <c r="CP507" s="333"/>
      <c r="CQ507" s="333"/>
      <c r="CR507" s="333"/>
      <c r="CS507" s="333"/>
      <c r="CT507" s="333"/>
      <c r="CU507" s="333"/>
      <c r="CV507" s="333"/>
      <c r="CW507" s="333"/>
      <c r="CX507" s="333"/>
      <c r="CY507" s="333"/>
      <c r="CZ507" s="333"/>
      <c r="DA507" s="333"/>
      <c r="DB507" s="333"/>
      <c r="DC507" s="333"/>
      <c r="DD507" s="333"/>
      <c r="DE507" s="333"/>
      <c r="DF507" s="333"/>
      <c r="DG507" s="333"/>
    </row>
    <row r="508" ht="20.25" customHeight="1">
      <c r="A508" s="41" t="s">
        <v>279</v>
      </c>
      <c r="B508" s="41" t="s">
        <v>107</v>
      </c>
      <c r="C508" s="41" t="s">
        <v>1251</v>
      </c>
      <c r="E508" s="60" t="s">
        <v>2789</v>
      </c>
      <c r="F508" s="52" t="s">
        <v>2802</v>
      </c>
      <c r="G508" s="55"/>
      <c r="H508" s="806"/>
      <c r="I508" s="710"/>
      <c r="J508" s="55"/>
      <c r="K508" s="55"/>
      <c r="L508" s="52" t="s">
        <v>2803</v>
      </c>
      <c r="M508" s="52" t="s">
        <v>2804</v>
      </c>
      <c r="N508" s="355">
        <v>2.0</v>
      </c>
      <c r="O508" s="353" t="s">
        <v>2793</v>
      </c>
      <c r="P508" s="48" t="str">
        <f t="array" ref="P508">HYPERLINK(INDEX('File Links'!B:B, MATCH(O508, 'File Links'!C:C, 0)))
</f>
        <v>https://drive.google.com/file/d/1U7jcEsjlgt0luv4Qd8Q7JmbBb7qRDTdD/view?usp=drivesdk</v>
      </c>
      <c r="Q508" s="52" t="s">
        <v>2794</v>
      </c>
      <c r="R508" s="52" t="s">
        <v>2795</v>
      </c>
      <c r="T508" s="646">
        <v>1.0</v>
      </c>
      <c r="U508" s="354" t="s">
        <v>2796</v>
      </c>
      <c r="V508" s="52" t="s">
        <v>2797</v>
      </c>
      <c r="W508" s="45" t="str">
        <f t="array" ref="W508">HYPERLINK(INDEX('File Links'!B:B, MATCH(U508, 'File Links'!C:C, 0)))
</f>
        <v>#N/A</v>
      </c>
      <c r="X508" s="52"/>
      <c r="Y508" s="52" t="s">
        <v>220</v>
      </c>
      <c r="AA508" s="52" t="s">
        <v>2798</v>
      </c>
      <c r="AB508" s="52" t="s">
        <v>2799</v>
      </c>
      <c r="AD508" s="498">
        <v>21693.0</v>
      </c>
      <c r="AE508" s="355">
        <v>37.0</v>
      </c>
      <c r="AF508" s="355">
        <v>0.355</v>
      </c>
      <c r="AG508" s="330" t="s">
        <v>130</v>
      </c>
      <c r="AH508" s="52" t="s">
        <v>2801</v>
      </c>
      <c r="AI508" s="355">
        <v>0.001</v>
      </c>
      <c r="AJ508" s="147" t="s">
        <v>127</v>
      </c>
      <c r="AK508" s="52" t="s">
        <v>179</v>
      </c>
      <c r="AL508" s="55" t="s">
        <v>129</v>
      </c>
      <c r="AM508" s="55"/>
      <c r="AN508" s="355">
        <v>37.0</v>
      </c>
      <c r="AO508" s="355">
        <v>0.284</v>
      </c>
      <c r="AP508" s="52" t="s">
        <v>130</v>
      </c>
      <c r="AQ508" s="52" t="s">
        <v>2801</v>
      </c>
      <c r="AR508" s="355">
        <v>0.001</v>
      </c>
      <c r="AS508" s="147" t="s">
        <v>127</v>
      </c>
      <c r="AT508" s="147" t="s">
        <v>179</v>
      </c>
      <c r="AV508" s="60"/>
      <c r="AW508" s="60"/>
      <c r="AX508" s="55"/>
      <c r="AZ508" s="333"/>
      <c r="BA508" s="333"/>
      <c r="BB508" s="333"/>
      <c r="BC508" s="333"/>
      <c r="BD508" s="333"/>
      <c r="BE508" s="333"/>
      <c r="BF508" s="333"/>
      <c r="BG508" s="333"/>
      <c r="BH508" s="333"/>
      <c r="BI508" s="333"/>
      <c r="BJ508" s="333"/>
      <c r="BK508" s="333"/>
      <c r="BL508" s="333"/>
      <c r="BM508" s="333"/>
      <c r="BN508" s="333"/>
      <c r="BO508" s="333"/>
      <c r="BP508" s="333"/>
      <c r="BQ508" s="333"/>
      <c r="BR508" s="333"/>
      <c r="BS508" s="333"/>
      <c r="BT508" s="333"/>
      <c r="BU508" s="333"/>
      <c r="BV508" s="333"/>
      <c r="BW508" s="333"/>
      <c r="BX508" s="333"/>
      <c r="BY508" s="333"/>
      <c r="BZ508" s="333"/>
      <c r="CA508" s="333"/>
      <c r="CB508" s="333"/>
      <c r="CC508" s="333"/>
      <c r="CD508" s="333"/>
      <c r="CE508" s="333"/>
      <c r="CF508" s="333"/>
      <c r="CG508" s="333"/>
      <c r="CH508" s="333"/>
      <c r="CI508" s="333"/>
      <c r="CJ508" s="333"/>
      <c r="CK508" s="333"/>
      <c r="CL508" s="333"/>
      <c r="CM508" s="333"/>
      <c r="CN508" s="333"/>
      <c r="CO508" s="333"/>
      <c r="CP508" s="333"/>
      <c r="CQ508" s="333"/>
      <c r="CR508" s="333"/>
      <c r="CS508" s="333"/>
      <c r="CT508" s="333"/>
      <c r="CU508" s="333"/>
      <c r="CV508" s="333"/>
      <c r="CW508" s="333"/>
      <c r="CX508" s="333"/>
      <c r="CY508" s="333"/>
      <c r="CZ508" s="333"/>
      <c r="DA508" s="333"/>
      <c r="DB508" s="333"/>
      <c r="DC508" s="333"/>
      <c r="DD508" s="333"/>
      <c r="DE508" s="333"/>
      <c r="DF508" s="333"/>
      <c r="DG508" s="333"/>
    </row>
    <row r="509" ht="20.25" customHeight="1">
      <c r="A509" s="41" t="s">
        <v>279</v>
      </c>
      <c r="B509" s="41" t="s">
        <v>107</v>
      </c>
      <c r="C509" s="41" t="s">
        <v>1251</v>
      </c>
      <c r="E509" s="60" t="s">
        <v>2789</v>
      </c>
      <c r="F509" s="52" t="s">
        <v>2805</v>
      </c>
      <c r="G509" s="55"/>
      <c r="H509" s="806"/>
      <c r="I509" s="710"/>
      <c r="J509" s="55"/>
      <c r="K509" s="55"/>
      <c r="L509" s="52" t="s">
        <v>2806</v>
      </c>
      <c r="M509" s="52" t="s">
        <v>2807</v>
      </c>
      <c r="N509" s="355">
        <v>2.0</v>
      </c>
      <c r="O509" s="353" t="s">
        <v>2793</v>
      </c>
      <c r="P509" s="48" t="str">
        <f t="array" ref="P509">HYPERLINK(INDEX('File Links'!B:B, MATCH(O509, 'File Links'!C:C, 0)))
</f>
        <v>https://drive.google.com/file/d/1U7jcEsjlgt0luv4Qd8Q7JmbBb7qRDTdD/view?usp=drivesdk</v>
      </c>
      <c r="Q509" s="52" t="s">
        <v>2794</v>
      </c>
      <c r="R509" s="52" t="s">
        <v>2795</v>
      </c>
      <c r="T509" s="646">
        <v>1.0</v>
      </c>
      <c r="U509" s="354" t="s">
        <v>2796</v>
      </c>
      <c r="V509" s="52" t="s">
        <v>2797</v>
      </c>
      <c r="W509" s="45" t="str">
        <f t="array" ref="W509">HYPERLINK(INDEX('File Links'!B:B, MATCH(U509, 'File Links'!C:C, 0)))
</f>
        <v>#N/A</v>
      </c>
      <c r="X509" s="52"/>
      <c r="Y509" s="52" t="s">
        <v>220</v>
      </c>
      <c r="AA509" s="52" t="s">
        <v>2798</v>
      </c>
      <c r="AB509" s="52" t="s">
        <v>2799</v>
      </c>
      <c r="AC509" s="52" t="s">
        <v>2808</v>
      </c>
      <c r="AD509" s="498">
        <v>21693.0</v>
      </c>
      <c r="AE509" s="355">
        <v>37.0</v>
      </c>
      <c r="AF509" s="355">
        <v>0.201</v>
      </c>
      <c r="AG509" s="330" t="s">
        <v>130</v>
      </c>
      <c r="AH509" s="52" t="s">
        <v>2801</v>
      </c>
      <c r="AI509" s="355">
        <v>0.001</v>
      </c>
      <c r="AJ509" s="147" t="s">
        <v>127</v>
      </c>
      <c r="AK509" s="52" t="s">
        <v>179</v>
      </c>
      <c r="AL509" s="55" t="s">
        <v>129</v>
      </c>
      <c r="AM509" s="55"/>
      <c r="AN509" s="355">
        <v>37.0</v>
      </c>
      <c r="AO509" s="355">
        <v>0.136</v>
      </c>
      <c r="AP509" s="52" t="s">
        <v>130</v>
      </c>
      <c r="AQ509" s="52" t="s">
        <v>2801</v>
      </c>
      <c r="AR509" s="355">
        <v>0.002</v>
      </c>
      <c r="AS509" s="147" t="s">
        <v>164</v>
      </c>
      <c r="AT509" s="147" t="s">
        <v>179</v>
      </c>
      <c r="AV509" s="60"/>
      <c r="AW509" s="60"/>
      <c r="AX509" s="55"/>
    </row>
    <row r="510" ht="20.25" customHeight="1">
      <c r="A510" s="41" t="s">
        <v>279</v>
      </c>
      <c r="B510" s="41" t="s">
        <v>107</v>
      </c>
      <c r="C510" s="41" t="s">
        <v>1251</v>
      </c>
      <c r="E510" s="60" t="s">
        <v>2809</v>
      </c>
      <c r="F510" s="52" t="s">
        <v>2810</v>
      </c>
      <c r="G510" s="52" t="s">
        <v>1254</v>
      </c>
      <c r="H510" s="140">
        <v>45472.0</v>
      </c>
      <c r="I510" s="409">
        <v>45641.0</v>
      </c>
      <c r="J510" s="55"/>
      <c r="K510" s="55"/>
      <c r="L510" s="52" t="s">
        <v>2811</v>
      </c>
      <c r="M510" s="52" t="s">
        <v>2812</v>
      </c>
      <c r="N510" s="355">
        <v>3.0</v>
      </c>
      <c r="O510" s="353" t="s">
        <v>2813</v>
      </c>
      <c r="P510" s="48" t="str">
        <f t="array" ref="P510">HYPERLINK(INDEX('File Links'!B:B, MATCH(O510, 'File Links'!C:C, 0)))
</f>
        <v>https://drive.google.com/file/d/1pRBsytrBmWb0piV5bun6Rad2j51JyzSC/view?usp=drivesdk</v>
      </c>
      <c r="Q510" s="52" t="s">
        <v>2814</v>
      </c>
      <c r="R510" s="52" t="s">
        <v>165</v>
      </c>
      <c r="S510" s="48" t="s">
        <v>2815</v>
      </c>
      <c r="T510" s="807">
        <v>3.0</v>
      </c>
      <c r="U510" s="354" t="s">
        <v>351</v>
      </c>
      <c r="V510" s="52" t="s">
        <v>2816</v>
      </c>
      <c r="W510" s="45" t="str">
        <f t="array" ref="W510">HYPERLINK(INDEX('File Links'!B:B, MATCH(U510, 'File Links'!C:C, 0)))
</f>
        <v>#N/A</v>
      </c>
      <c r="X510" s="52"/>
      <c r="Y510" s="52" t="s">
        <v>220</v>
      </c>
      <c r="AA510" s="52" t="s">
        <v>2817</v>
      </c>
      <c r="AB510" s="52" t="s">
        <v>2818</v>
      </c>
      <c r="AD510" s="498">
        <v>403.0</v>
      </c>
      <c r="AE510" s="808">
        <v>1232.0</v>
      </c>
      <c r="AF510" s="55"/>
      <c r="AG510" s="329"/>
      <c r="AH510" s="55"/>
      <c r="AI510" s="55"/>
      <c r="AJ510" s="60"/>
      <c r="AK510" s="55"/>
      <c r="AL510" s="55"/>
      <c r="AM510" s="55"/>
      <c r="AN510" s="55"/>
      <c r="AO510" s="55"/>
      <c r="AP510" s="55"/>
      <c r="AQ510" s="55"/>
      <c r="AR510" s="55"/>
      <c r="AS510" s="60"/>
      <c r="AT510" s="60"/>
      <c r="AU510" s="60"/>
      <c r="AV510" s="60"/>
      <c r="AW510" s="60"/>
      <c r="AX510" s="55"/>
    </row>
    <row r="511" ht="20.25" customHeight="1">
      <c r="A511" s="40" t="s">
        <v>279</v>
      </c>
      <c r="B511" s="40" t="s">
        <v>107</v>
      </c>
      <c r="C511" s="40" t="s">
        <v>243</v>
      </c>
      <c r="D511" s="58"/>
      <c r="E511" s="41" t="s">
        <v>2819</v>
      </c>
      <c r="F511" s="40" t="s">
        <v>2820</v>
      </c>
      <c r="G511" s="40" t="s">
        <v>244</v>
      </c>
      <c r="H511" s="56">
        <v>45427.0</v>
      </c>
      <c r="I511" s="57">
        <v>45625.0</v>
      </c>
      <c r="J511" s="40" t="s">
        <v>2821</v>
      </c>
      <c r="K511" s="58"/>
      <c r="L511" s="40" t="s">
        <v>2822</v>
      </c>
      <c r="M511" s="40" t="s">
        <v>2823</v>
      </c>
      <c r="N511" s="58"/>
      <c r="O511" s="105" t="str">
        <f> hyperlink(vlookup(lower(M511),'File Links'!A:B, 2, FALSE), SUBSTITUTE(lower(M511), "/", "--") &amp;  ".pdf")</f>
        <v>10.3233--jad-2009-1163.pdf</v>
      </c>
      <c r="P511" s="48" t="str">
        <f t="array" ref="P511">HYPERLINK(INDEX('File Links'!B:B, MATCH(O511, 'File Links'!C:C, 0)))
</f>
        <v>https://drive.google.com/file/d/10IpKBTm-TxBYPtbdDzTDyVDz6z5jT5CF/view?usp=drivesdk</v>
      </c>
      <c r="Q511" s="40" t="s">
        <v>2824</v>
      </c>
      <c r="R511" s="40" t="s">
        <v>2825</v>
      </c>
      <c r="S511" s="58"/>
      <c r="T511" s="58"/>
      <c r="U511" s="59" t="str">
        <f> hyperlink(vlookup(lower(R511),'File Links'!E:F, 2, FALSE), SUBSTITUTE(lower(R511), "/", "--") &amp;  ".pdf")</f>
        <v>10.1371--journal.pone.0292576.pdf</v>
      </c>
      <c r="V511" s="58"/>
      <c r="W511" s="45" t="str">
        <f t="array" ref="W511">HYPERLINK(INDEX('File Links'!B:B, MATCH(U511, 'File Links'!C:C, 0)))
</f>
        <v>#N/A</v>
      </c>
      <c r="X511" s="58"/>
      <c r="Y511" s="40" t="s">
        <v>501</v>
      </c>
      <c r="Z511" s="58"/>
      <c r="AA511" s="40" t="s">
        <v>2826</v>
      </c>
      <c r="AB511" s="40" t="s">
        <v>2827</v>
      </c>
      <c r="AC511" s="40" t="s">
        <v>2828</v>
      </c>
      <c r="AD511" s="40">
        <v>556.0</v>
      </c>
      <c r="AE511" s="40">
        <v>53.0</v>
      </c>
      <c r="AF511" s="388">
        <v>621.0</v>
      </c>
      <c r="AG511" s="40" t="s">
        <v>166</v>
      </c>
      <c r="AH511" s="40" t="s">
        <v>2829</v>
      </c>
      <c r="AI511" s="40" t="s">
        <v>2830</v>
      </c>
      <c r="AJ511" s="40" t="s">
        <v>164</v>
      </c>
      <c r="AK511" s="40" t="s">
        <v>179</v>
      </c>
      <c r="AL511" s="25"/>
      <c r="AM511" s="58"/>
      <c r="AN511" s="40">
        <v>116.0</v>
      </c>
      <c r="AO511" s="40">
        <v>1.51</v>
      </c>
      <c r="AP511" s="40" t="s">
        <v>1051</v>
      </c>
      <c r="AQ511" s="58"/>
      <c r="AR511" s="40" t="s">
        <v>723</v>
      </c>
      <c r="AS511" s="40" t="s">
        <v>164</v>
      </c>
      <c r="AT511" s="40" t="s">
        <v>179</v>
      </c>
      <c r="AU511" s="25"/>
      <c r="AW511" s="60"/>
      <c r="AX511" s="58"/>
    </row>
    <row r="512" ht="20.25" customHeight="1">
      <c r="A512" s="40" t="s">
        <v>279</v>
      </c>
      <c r="B512" s="40" t="s">
        <v>107</v>
      </c>
      <c r="C512" s="40" t="s">
        <v>243</v>
      </c>
      <c r="D512" s="58"/>
      <c r="E512" s="41" t="s">
        <v>2819</v>
      </c>
      <c r="F512" s="40" t="s">
        <v>2831</v>
      </c>
      <c r="G512" s="40" t="s">
        <v>244</v>
      </c>
      <c r="H512" s="56">
        <v>45427.0</v>
      </c>
      <c r="I512" s="57">
        <v>45625.0</v>
      </c>
      <c r="J512" s="40" t="s">
        <v>2832</v>
      </c>
      <c r="K512" s="58"/>
      <c r="L512" s="40" t="s">
        <v>2822</v>
      </c>
      <c r="M512" s="40" t="s">
        <v>2823</v>
      </c>
      <c r="N512" s="58"/>
      <c r="O512" s="105" t="str">
        <f> hyperlink(vlookup(lower(M512),'File Links'!A:B, 2, FALSE), SUBSTITUTE(lower(M512), "/", "--") &amp;  ".pdf")</f>
        <v>10.3233--jad-2009-1163.pdf</v>
      </c>
      <c r="P512" s="48" t="str">
        <f t="array" ref="P512">HYPERLINK(INDEX('File Links'!B:B, MATCH(O512, 'File Links'!C:C, 0)))
</f>
        <v>https://drive.google.com/file/d/10IpKBTm-TxBYPtbdDzTDyVDz6z5jT5CF/view?usp=drivesdk</v>
      </c>
      <c r="Q512" s="40" t="s">
        <v>2824</v>
      </c>
      <c r="R512" s="40" t="s">
        <v>2825</v>
      </c>
      <c r="S512" s="58"/>
      <c r="T512" s="58"/>
      <c r="U512" s="59" t="str">
        <f> hyperlink(vlookup(lower(R512),'File Links'!E:F, 2, FALSE), SUBSTITUTE(lower(R512), "/", "--") &amp;  ".pdf")</f>
        <v>10.1371--journal.pone.0292576.pdf</v>
      </c>
      <c r="V512" s="58"/>
      <c r="W512" s="45" t="str">
        <f t="array" ref="W512">HYPERLINK(INDEX('File Links'!B:B, MATCH(U512, 'File Links'!C:C, 0)))
</f>
        <v>#N/A</v>
      </c>
      <c r="X512" s="58"/>
      <c r="Y512" s="40" t="s">
        <v>501</v>
      </c>
      <c r="Z512" s="58"/>
      <c r="AA512" s="40" t="s">
        <v>2833</v>
      </c>
      <c r="AB512" s="40" t="s">
        <v>2827</v>
      </c>
      <c r="AC512" s="40" t="s">
        <v>2834</v>
      </c>
      <c r="AD512" s="40">
        <v>556.0</v>
      </c>
      <c r="AE512" s="40">
        <v>53.0</v>
      </c>
      <c r="AF512" s="40">
        <v>3.23</v>
      </c>
      <c r="AG512" s="40" t="s">
        <v>166</v>
      </c>
      <c r="AH512" s="40" t="s">
        <v>2835</v>
      </c>
      <c r="AI512" s="40" t="s">
        <v>775</v>
      </c>
      <c r="AJ512" s="40" t="s">
        <v>127</v>
      </c>
      <c r="AK512" s="40" t="s">
        <v>179</v>
      </c>
      <c r="AL512" s="25"/>
      <c r="AM512" s="58"/>
      <c r="AN512" s="40">
        <v>116.0</v>
      </c>
      <c r="AO512" s="58"/>
      <c r="AP512" s="58"/>
      <c r="AQ512" s="58"/>
      <c r="AR512" s="40" t="s">
        <v>2587</v>
      </c>
      <c r="AS512" s="40" t="s">
        <v>329</v>
      </c>
      <c r="AT512" s="40" t="s">
        <v>179</v>
      </c>
      <c r="AU512" s="25"/>
      <c r="AW512" s="60"/>
      <c r="AX512" s="58"/>
    </row>
    <row r="513" ht="20.25" customHeight="1">
      <c r="A513" s="40" t="s">
        <v>279</v>
      </c>
      <c r="B513" s="40" t="s">
        <v>107</v>
      </c>
      <c r="C513" s="40" t="s">
        <v>243</v>
      </c>
      <c r="D513" s="58"/>
      <c r="E513" s="41" t="s">
        <v>2819</v>
      </c>
      <c r="F513" s="40" t="s">
        <v>2836</v>
      </c>
      <c r="G513" s="40" t="s">
        <v>244</v>
      </c>
      <c r="H513" s="56">
        <v>45427.0</v>
      </c>
      <c r="I513" s="57">
        <v>45625.0</v>
      </c>
      <c r="J513" s="40" t="s">
        <v>2837</v>
      </c>
      <c r="K513" s="58"/>
      <c r="L513" s="40" t="s">
        <v>2822</v>
      </c>
      <c r="M513" s="40" t="s">
        <v>2823</v>
      </c>
      <c r="N513" s="58"/>
      <c r="O513" s="105" t="str">
        <f> hyperlink(vlookup(lower(M513),'File Links'!A:B, 2, FALSE), SUBSTITUTE(lower(M513), "/", "--") &amp;  ".pdf")</f>
        <v>10.3233--jad-2009-1163.pdf</v>
      </c>
      <c r="P513" s="48" t="str">
        <f t="array" ref="P513">HYPERLINK(INDEX('File Links'!B:B, MATCH(O513, 'File Links'!C:C, 0)))
</f>
        <v>https://drive.google.com/file/d/10IpKBTm-TxBYPtbdDzTDyVDz6z5jT5CF/view?usp=drivesdk</v>
      </c>
      <c r="Q513" s="40" t="s">
        <v>2824</v>
      </c>
      <c r="R513" s="40" t="s">
        <v>2825</v>
      </c>
      <c r="S513" s="58"/>
      <c r="T513" s="58"/>
      <c r="U513" s="59" t="str">
        <f> hyperlink(vlookup(lower(R513),'File Links'!E:F, 2, FALSE), SUBSTITUTE(lower(R513), "/", "--") &amp;  ".pdf")</f>
        <v>10.1371--journal.pone.0292576.pdf</v>
      </c>
      <c r="V513" s="58"/>
      <c r="W513" s="45" t="str">
        <f t="array" ref="W513">HYPERLINK(INDEX('File Links'!B:B, MATCH(U513, 'File Links'!C:C, 0)))
</f>
        <v>#N/A</v>
      </c>
      <c r="X513" s="58"/>
      <c r="Y513" s="40" t="s">
        <v>501</v>
      </c>
      <c r="Z513" s="58"/>
      <c r="AA513" s="40" t="s">
        <v>2838</v>
      </c>
      <c r="AB513" s="40" t="s">
        <v>2827</v>
      </c>
      <c r="AC513" s="40" t="s">
        <v>2839</v>
      </c>
      <c r="AD513" s="40">
        <v>557.0</v>
      </c>
      <c r="AE513" s="40">
        <v>53.0</v>
      </c>
      <c r="AF513" s="58"/>
      <c r="AG513" s="58"/>
      <c r="AH513" s="40" t="s">
        <v>2840</v>
      </c>
      <c r="AI513" s="40" t="s">
        <v>922</v>
      </c>
      <c r="AJ513" s="40" t="s">
        <v>329</v>
      </c>
      <c r="AK513" s="40" t="s">
        <v>179</v>
      </c>
      <c r="AL513" s="25"/>
      <c r="AM513" s="58"/>
      <c r="AN513" s="40">
        <v>116.0</v>
      </c>
      <c r="AO513" s="58"/>
      <c r="AP513" s="58"/>
      <c r="AQ513" s="58"/>
      <c r="AR513" s="40" t="s">
        <v>2587</v>
      </c>
      <c r="AS513" s="40" t="s">
        <v>329</v>
      </c>
      <c r="AT513" s="40" t="s">
        <v>179</v>
      </c>
      <c r="AU513" s="25"/>
      <c r="AW513" s="60"/>
      <c r="AX513" s="58"/>
    </row>
    <row r="514" ht="20.25" customHeight="1">
      <c r="A514" s="41" t="s">
        <v>279</v>
      </c>
      <c r="B514" s="41" t="s">
        <v>107</v>
      </c>
      <c r="C514" s="41" t="s">
        <v>2064</v>
      </c>
      <c r="E514" s="147" t="s">
        <v>2841</v>
      </c>
      <c r="F514" s="52" t="s">
        <v>2842</v>
      </c>
      <c r="G514" s="147" t="s">
        <v>2067</v>
      </c>
      <c r="H514" s="140">
        <v>45473.0</v>
      </c>
      <c r="I514" s="140">
        <v>45633.0</v>
      </c>
      <c r="J514" s="147" t="s">
        <v>2843</v>
      </c>
      <c r="K514" s="60"/>
      <c r="L514" s="147" t="s">
        <v>2844</v>
      </c>
      <c r="M514" s="147" t="s">
        <v>2845</v>
      </c>
      <c r="N514" s="147" t="s">
        <v>2846</v>
      </c>
      <c r="O514" s="145" t="s">
        <v>2847</v>
      </c>
      <c r="P514" s="48" t="str">
        <f t="array" ref="P514">HYPERLINK(INDEX('File Links'!B:B, MATCH(O514, 'File Links'!C:C, 0)))
</f>
        <v>https://drive.google.com/file/d/1jpKVfN7bQV2qYmB0hMMFd61i7NfLKBWv/view?usp=drivesdk</v>
      </c>
      <c r="Q514" s="147" t="s">
        <v>2848</v>
      </c>
      <c r="R514" s="147" t="s">
        <v>2849</v>
      </c>
      <c r="S514" s="60"/>
      <c r="T514" s="147" t="s">
        <v>2846</v>
      </c>
      <c r="U514" s="145" t="s">
        <v>2850</v>
      </c>
      <c r="V514" s="147" t="s">
        <v>2851</v>
      </c>
      <c r="W514" s="45" t="str">
        <f t="array" ref="W514">HYPERLINK(INDEX('File Links'!B:B, MATCH(U514, 'File Links'!C:C, 0)))
</f>
        <v>#N/A</v>
      </c>
      <c r="X514" s="60"/>
      <c r="Y514" s="147" t="s">
        <v>121</v>
      </c>
      <c r="Z514" s="147" t="s">
        <v>2846</v>
      </c>
      <c r="AA514" s="147" t="s">
        <v>2852</v>
      </c>
      <c r="AB514" s="147" t="s">
        <v>2853</v>
      </c>
      <c r="AC514" s="147" t="s">
        <v>2854</v>
      </c>
      <c r="AD514" s="147" t="s">
        <v>2748</v>
      </c>
      <c r="AE514" s="808">
        <v>1065444.0</v>
      </c>
      <c r="AF514" s="330" t="s">
        <v>2846</v>
      </c>
      <c r="AG514" s="52" t="s">
        <v>2846</v>
      </c>
      <c r="AH514" s="52" t="s">
        <v>2846</v>
      </c>
      <c r="AI514" s="147" t="s">
        <v>2846</v>
      </c>
      <c r="AJ514" s="55"/>
      <c r="AK514" s="60"/>
      <c r="AL514" s="60"/>
      <c r="AM514" s="147" t="s">
        <v>2846</v>
      </c>
      <c r="AN514" s="808">
        <v>258786.0</v>
      </c>
      <c r="AO514" s="147" t="s">
        <v>2846</v>
      </c>
      <c r="AP514" s="60"/>
      <c r="AQ514" s="147" t="s">
        <v>2846</v>
      </c>
      <c r="AR514" s="147" t="s">
        <v>2846</v>
      </c>
      <c r="AS514" s="60"/>
      <c r="AT514" s="60"/>
      <c r="AU514" s="60"/>
      <c r="AV514" s="60" t="s">
        <v>2846</v>
      </c>
      <c r="AW514" s="60" t="s">
        <v>142</v>
      </c>
      <c r="AX514" s="60"/>
    </row>
    <row r="515" ht="20.25" customHeight="1">
      <c r="A515" s="41" t="s">
        <v>279</v>
      </c>
      <c r="B515" s="41" t="s">
        <v>107</v>
      </c>
      <c r="C515" s="41" t="s">
        <v>2064</v>
      </c>
      <c r="E515" s="147" t="s">
        <v>2855</v>
      </c>
      <c r="F515" s="52" t="s">
        <v>2856</v>
      </c>
      <c r="G515" s="147" t="s">
        <v>2067</v>
      </c>
      <c r="H515" s="140">
        <v>45473.0</v>
      </c>
      <c r="I515" s="140">
        <v>45633.0</v>
      </c>
      <c r="J515" s="147" t="s">
        <v>2843</v>
      </c>
      <c r="K515" s="60"/>
      <c r="L515" s="147" t="s">
        <v>2857</v>
      </c>
      <c r="M515" s="147" t="s">
        <v>2858</v>
      </c>
      <c r="N515" s="147" t="s">
        <v>2846</v>
      </c>
      <c r="O515" s="145" t="s">
        <v>2859</v>
      </c>
      <c r="P515" s="48" t="str">
        <f t="array" ref="P515">HYPERLINK(INDEX('File Links'!B:B, MATCH(O515, 'File Links'!C:C, 0)))
</f>
        <v>https://drive.google.com/file/d/16pg9MWE7EmtXDgvjDW9mExWkGIxt2MYX/view?usp=drivesdk</v>
      </c>
      <c r="Q515" s="147" t="s">
        <v>2848</v>
      </c>
      <c r="R515" s="147" t="s">
        <v>2849</v>
      </c>
      <c r="S515" s="60"/>
      <c r="T515" s="147" t="s">
        <v>2846</v>
      </c>
      <c r="U515" s="145" t="s">
        <v>2850</v>
      </c>
      <c r="V515" s="147" t="s">
        <v>2851</v>
      </c>
      <c r="W515" s="45" t="str">
        <f t="array" ref="W515">HYPERLINK(INDEX('File Links'!B:B, MATCH(U515, 'File Links'!C:C, 0)))
</f>
        <v>#N/A</v>
      </c>
      <c r="X515" s="60"/>
      <c r="Y515" s="147" t="s">
        <v>121</v>
      </c>
      <c r="Z515" s="147" t="s">
        <v>2846</v>
      </c>
      <c r="AA515" s="147" t="s">
        <v>2852</v>
      </c>
      <c r="AB515" s="147" t="s">
        <v>2853</v>
      </c>
      <c r="AC515" s="147" t="s">
        <v>2860</v>
      </c>
      <c r="AD515" s="147" t="s">
        <v>2861</v>
      </c>
      <c r="AE515" s="808">
        <v>4300000.0</v>
      </c>
      <c r="AF515" s="147" t="s">
        <v>2846</v>
      </c>
      <c r="AG515" s="330" t="s">
        <v>2846</v>
      </c>
      <c r="AH515" s="52" t="s">
        <v>2846</v>
      </c>
      <c r="AI515" s="52" t="s">
        <v>2846</v>
      </c>
      <c r="AJ515" s="60"/>
      <c r="AK515" s="55"/>
      <c r="AL515" s="60"/>
      <c r="AM515" s="147" t="s">
        <v>2846</v>
      </c>
      <c r="AN515" s="808">
        <v>258786.0</v>
      </c>
      <c r="AO515" s="147" t="s">
        <v>2846</v>
      </c>
      <c r="AP515" s="60"/>
      <c r="AQ515" s="147" t="s">
        <v>2846</v>
      </c>
      <c r="AR515" s="147" t="s">
        <v>2846</v>
      </c>
      <c r="AS515" s="60"/>
      <c r="AT515" s="60"/>
      <c r="AU515" s="60"/>
      <c r="AV515" s="60" t="s">
        <v>2846</v>
      </c>
      <c r="AW515" s="60" t="s">
        <v>142</v>
      </c>
      <c r="AX515" s="60"/>
    </row>
    <row r="516" ht="20.25" customHeight="1">
      <c r="A516" s="41" t="s">
        <v>279</v>
      </c>
      <c r="B516" s="41" t="s">
        <v>107</v>
      </c>
      <c r="C516" s="41" t="s">
        <v>2064</v>
      </c>
      <c r="E516" s="60" t="s">
        <v>2862</v>
      </c>
      <c r="F516" s="52" t="s">
        <v>2863</v>
      </c>
      <c r="G516" s="147" t="s">
        <v>2067</v>
      </c>
      <c r="H516" s="140">
        <v>45473.0</v>
      </c>
      <c r="I516" s="140">
        <v>45633.0</v>
      </c>
      <c r="J516" s="147" t="s">
        <v>2864</v>
      </c>
      <c r="K516" s="60"/>
      <c r="L516" s="147" t="s">
        <v>2865</v>
      </c>
      <c r="M516" s="147" t="s">
        <v>2866</v>
      </c>
      <c r="N516" s="147" t="s">
        <v>2846</v>
      </c>
      <c r="O516" s="145" t="s">
        <v>2867</v>
      </c>
      <c r="P516" s="48" t="str">
        <f t="array" ref="P516">HYPERLINK(INDEX('File Links'!B:B, MATCH(O516, 'File Links'!C:C, 0)))
</f>
        <v>https://drive.google.com/file/d/1YQ1rwTK8fHHydlCOqvw62rr4BQnhJ7v4/view?usp=drivesdk</v>
      </c>
      <c r="Q516" s="147" t="s">
        <v>2868</v>
      </c>
      <c r="R516" s="147" t="s">
        <v>2869</v>
      </c>
      <c r="S516" s="60"/>
      <c r="T516" s="147" t="s">
        <v>2846</v>
      </c>
      <c r="U516" s="145" t="s">
        <v>2870</v>
      </c>
      <c r="V516" s="147" t="s">
        <v>2871</v>
      </c>
      <c r="W516" s="45" t="str">
        <f t="array" ref="W516">HYPERLINK(INDEX('File Links'!B:B, MATCH(U516, 'File Links'!C:C, 0)))
</f>
        <v>#N/A</v>
      </c>
      <c r="X516" s="60"/>
      <c r="Y516" s="147" t="s">
        <v>220</v>
      </c>
      <c r="Z516" s="147" t="s">
        <v>2846</v>
      </c>
      <c r="AA516" s="147" t="s">
        <v>2872</v>
      </c>
      <c r="AB516" s="147" t="s">
        <v>2873</v>
      </c>
      <c r="AC516" s="147" t="s">
        <v>2874</v>
      </c>
      <c r="AD516" s="147" t="s">
        <v>2875</v>
      </c>
      <c r="AE516" s="144">
        <v>50.0</v>
      </c>
      <c r="AF516" s="147" t="s">
        <v>2876</v>
      </c>
      <c r="AG516" s="330" t="s">
        <v>356</v>
      </c>
      <c r="AH516" s="52" t="s">
        <v>2877</v>
      </c>
      <c r="AI516" s="355">
        <v>0.01</v>
      </c>
      <c r="AJ516" s="147" t="s">
        <v>164</v>
      </c>
      <c r="AK516" s="52" t="s">
        <v>179</v>
      </c>
      <c r="AL516" s="60" t="s">
        <v>132</v>
      </c>
      <c r="AM516" s="147" t="s">
        <v>2846</v>
      </c>
      <c r="AN516" s="808">
        <v>152.0</v>
      </c>
      <c r="AO516" s="144">
        <v>-0.31</v>
      </c>
      <c r="AP516" s="147" t="s">
        <v>356</v>
      </c>
      <c r="AQ516" s="147" t="s">
        <v>2878</v>
      </c>
      <c r="AR516" s="144">
        <v>0.444</v>
      </c>
      <c r="AS516" s="147" t="s">
        <v>164</v>
      </c>
      <c r="AT516" s="147" t="s">
        <v>128</v>
      </c>
      <c r="AU516" s="60" t="s">
        <v>132</v>
      </c>
      <c r="AV516" s="410" t="s">
        <v>2879</v>
      </c>
      <c r="AW516" s="531" t="s">
        <v>134</v>
      </c>
      <c r="AX516" s="60"/>
    </row>
    <row r="517" ht="20.25" customHeight="1">
      <c r="A517" s="41" t="s">
        <v>279</v>
      </c>
      <c r="B517" s="41" t="s">
        <v>107</v>
      </c>
      <c r="C517" s="41" t="s">
        <v>2064</v>
      </c>
      <c r="E517" s="60" t="s">
        <v>2862</v>
      </c>
      <c r="F517" s="52" t="s">
        <v>2863</v>
      </c>
      <c r="G517" s="147" t="s">
        <v>2880</v>
      </c>
      <c r="H517" s="140">
        <v>45633.0</v>
      </c>
      <c r="I517" s="806"/>
      <c r="J517" s="147" t="s">
        <v>2881</v>
      </c>
      <c r="K517" s="60"/>
      <c r="L517" s="147" t="s">
        <v>2865</v>
      </c>
      <c r="M517" s="147" t="s">
        <v>2866</v>
      </c>
      <c r="N517" s="147" t="s">
        <v>2846</v>
      </c>
      <c r="O517" s="145" t="s">
        <v>2867</v>
      </c>
      <c r="P517" s="48" t="str">
        <f t="array" ref="P517">HYPERLINK(INDEX('File Links'!B:B, MATCH(O517, 'File Links'!C:C, 0)))
</f>
        <v>https://drive.google.com/file/d/1YQ1rwTK8fHHydlCOqvw62rr4BQnhJ7v4/view?usp=drivesdk</v>
      </c>
      <c r="Q517" s="147" t="s">
        <v>2868</v>
      </c>
      <c r="R517" s="147" t="s">
        <v>2869</v>
      </c>
      <c r="S517" s="60"/>
      <c r="T517" s="147" t="s">
        <v>2846</v>
      </c>
      <c r="U517" s="145" t="s">
        <v>2870</v>
      </c>
      <c r="V517" s="147" t="s">
        <v>2871</v>
      </c>
      <c r="W517" s="45" t="str">
        <f t="array" ref="W517">HYPERLINK(INDEX('File Links'!B:B, MATCH(U517, 'File Links'!C:C, 0)))
</f>
        <v>#N/A</v>
      </c>
      <c r="X517" s="60"/>
      <c r="Y517" s="147" t="s">
        <v>220</v>
      </c>
      <c r="Z517" s="147" t="s">
        <v>2846</v>
      </c>
      <c r="AA517" s="147" t="s">
        <v>2872</v>
      </c>
      <c r="AB517" s="147" t="s">
        <v>2882</v>
      </c>
      <c r="AC517" s="147" t="s">
        <v>2883</v>
      </c>
      <c r="AD517" s="147" t="s">
        <v>2875</v>
      </c>
      <c r="AE517" s="144">
        <v>47.0</v>
      </c>
      <c r="AF517" s="147" t="s">
        <v>2884</v>
      </c>
      <c r="AG517" s="330" t="s">
        <v>356</v>
      </c>
      <c r="AH517" s="52" t="s">
        <v>2877</v>
      </c>
      <c r="AI517" s="355">
        <v>0.05</v>
      </c>
      <c r="AJ517" s="147" t="s">
        <v>164</v>
      </c>
      <c r="AK517" s="52" t="s">
        <v>179</v>
      </c>
      <c r="AL517" s="60" t="s">
        <v>132</v>
      </c>
      <c r="AM517" s="147" t="s">
        <v>2846</v>
      </c>
      <c r="AN517" s="808">
        <v>132.0</v>
      </c>
      <c r="AO517" s="144">
        <v>0.45</v>
      </c>
      <c r="AP517" s="147" t="s">
        <v>356</v>
      </c>
      <c r="AQ517" s="147" t="s">
        <v>2878</v>
      </c>
      <c r="AR517" s="144">
        <v>0.422</v>
      </c>
      <c r="AS517" s="147" t="s">
        <v>164</v>
      </c>
      <c r="AT517" s="147" t="s">
        <v>128</v>
      </c>
      <c r="AU517" s="60" t="s">
        <v>132</v>
      </c>
      <c r="AV517" s="410" t="s">
        <v>2879</v>
      </c>
      <c r="AW517" s="531" t="s">
        <v>134</v>
      </c>
      <c r="AX517" s="60"/>
    </row>
    <row r="518" ht="20.25" customHeight="1">
      <c r="A518" s="41" t="s">
        <v>279</v>
      </c>
      <c r="B518" s="41" t="s">
        <v>107</v>
      </c>
      <c r="C518" s="41" t="s">
        <v>2064</v>
      </c>
      <c r="E518" s="60" t="s">
        <v>2862</v>
      </c>
      <c r="F518" s="52" t="s">
        <v>2863</v>
      </c>
      <c r="G518" s="147" t="s">
        <v>2880</v>
      </c>
      <c r="H518" s="140">
        <v>45633.0</v>
      </c>
      <c r="I518" s="806"/>
      <c r="J518" s="147" t="s">
        <v>2885</v>
      </c>
      <c r="K518" s="60"/>
      <c r="L518" s="147" t="s">
        <v>2865</v>
      </c>
      <c r="M518" s="147" t="s">
        <v>2866</v>
      </c>
      <c r="N518" s="147" t="s">
        <v>2846</v>
      </c>
      <c r="O518" s="145" t="s">
        <v>2867</v>
      </c>
      <c r="P518" s="48" t="str">
        <f t="array" ref="P518">HYPERLINK(INDEX('File Links'!B:B, MATCH(O518, 'File Links'!C:C, 0)))
</f>
        <v>https://drive.google.com/file/d/1YQ1rwTK8fHHydlCOqvw62rr4BQnhJ7v4/view?usp=drivesdk</v>
      </c>
      <c r="Q518" s="147" t="s">
        <v>2868</v>
      </c>
      <c r="R518" s="147" t="s">
        <v>2869</v>
      </c>
      <c r="S518" s="60"/>
      <c r="T518" s="147" t="s">
        <v>2846</v>
      </c>
      <c r="U518" s="145" t="s">
        <v>2870</v>
      </c>
      <c r="V518" s="147" t="s">
        <v>2871</v>
      </c>
      <c r="W518" s="45" t="str">
        <f t="array" ref="W518">HYPERLINK(INDEX('File Links'!B:B, MATCH(U518, 'File Links'!C:C, 0)))
</f>
        <v>#N/A</v>
      </c>
      <c r="X518" s="60"/>
      <c r="Y518" s="147" t="s">
        <v>220</v>
      </c>
      <c r="Z518" s="147" t="s">
        <v>2846</v>
      </c>
      <c r="AA518" s="147" t="s">
        <v>2872</v>
      </c>
      <c r="AB518" s="147" t="s">
        <v>2886</v>
      </c>
      <c r="AC518" s="147" t="s">
        <v>2887</v>
      </c>
      <c r="AD518" s="147" t="s">
        <v>2875</v>
      </c>
      <c r="AE518" s="144">
        <v>47.0</v>
      </c>
      <c r="AF518" s="147" t="s">
        <v>2888</v>
      </c>
      <c r="AG518" s="330" t="s">
        <v>356</v>
      </c>
      <c r="AH518" s="52" t="s">
        <v>2877</v>
      </c>
      <c r="AI518" s="355">
        <v>0.004</v>
      </c>
      <c r="AJ518" s="147" t="s">
        <v>164</v>
      </c>
      <c r="AK518" s="52" t="s">
        <v>179</v>
      </c>
      <c r="AL518" s="60" t="s">
        <v>132</v>
      </c>
      <c r="AM518" s="147" t="s">
        <v>2846</v>
      </c>
      <c r="AN518" s="808">
        <v>143.0</v>
      </c>
      <c r="AO518" s="144">
        <v>0.05</v>
      </c>
      <c r="AP518" s="147" t="s">
        <v>356</v>
      </c>
      <c r="AQ518" s="147" t="s">
        <v>2878</v>
      </c>
      <c r="AR518" s="144">
        <v>0.908</v>
      </c>
      <c r="AS518" s="147" t="s">
        <v>164</v>
      </c>
      <c r="AT518" s="147" t="s">
        <v>128</v>
      </c>
      <c r="AU518" s="60" t="s">
        <v>132</v>
      </c>
      <c r="AV518" s="410" t="s">
        <v>2879</v>
      </c>
      <c r="AW518" s="531" t="s">
        <v>134</v>
      </c>
      <c r="AX518" s="60"/>
    </row>
    <row r="519" ht="20.25" customHeight="1">
      <c r="A519" s="809" t="s">
        <v>520</v>
      </c>
      <c r="B519" s="809" t="s">
        <v>107</v>
      </c>
      <c r="C519" s="809" t="s">
        <v>2889</v>
      </c>
      <c r="D519" s="810"/>
      <c r="E519" s="811" t="s">
        <v>2890</v>
      </c>
      <c r="F519" s="809" t="s">
        <v>2891</v>
      </c>
      <c r="G519" s="809" t="s">
        <v>2892</v>
      </c>
      <c r="H519" s="812">
        <v>45478.0</v>
      </c>
      <c r="I519" s="813">
        <v>45636.0</v>
      </c>
      <c r="J519" s="809" t="s">
        <v>2893</v>
      </c>
      <c r="K519" s="810"/>
      <c r="L519" s="809" t="s">
        <v>2894</v>
      </c>
      <c r="M519" s="809" t="s">
        <v>2895</v>
      </c>
      <c r="N519" s="809">
        <v>1.0</v>
      </c>
      <c r="O519" s="809" t="s">
        <v>2896</v>
      </c>
      <c r="P519" s="48" t="str">
        <f t="array" ref="P519">HYPERLINK(INDEX('File Links'!B:B, MATCH(O519, 'File Links'!C:C, 0)))
</f>
        <v>https://drive.google.com/file/d/1IfVJze_D0VNVGP0qGB9jOH8T88AinA4X/view?usp=drivesdk</v>
      </c>
      <c r="Q519" s="809" t="s">
        <v>2897</v>
      </c>
      <c r="R519" s="809" t="s">
        <v>2898</v>
      </c>
      <c r="S519" s="810"/>
      <c r="T519" s="809">
        <v>1.0</v>
      </c>
      <c r="U519" s="809" t="s">
        <v>2899</v>
      </c>
      <c r="V519" s="809" t="s">
        <v>202</v>
      </c>
      <c r="W519" s="45" t="str">
        <f t="array" ref="W519">HYPERLINK(INDEX('File Links'!B:B, MATCH(U519, 'File Links'!C:C, 0)))
</f>
        <v>#N/A</v>
      </c>
      <c r="X519" s="810"/>
      <c r="Y519" s="809" t="s">
        <v>2900</v>
      </c>
      <c r="Z519" s="810"/>
      <c r="AA519" s="809" t="s">
        <v>2901</v>
      </c>
      <c r="AB519" s="809" t="s">
        <v>2902</v>
      </c>
      <c r="AC519" s="809" t="s">
        <v>2903</v>
      </c>
      <c r="AD519" s="809">
        <v>23.0</v>
      </c>
      <c r="AE519" s="809">
        <v>338.0</v>
      </c>
      <c r="AF519" s="809">
        <v>0.273</v>
      </c>
      <c r="AG519" s="809" t="s">
        <v>357</v>
      </c>
      <c r="AH519" s="809" t="s">
        <v>1276</v>
      </c>
      <c r="AI519" s="809">
        <v>0.02</v>
      </c>
      <c r="AJ519" s="811" t="s">
        <v>164</v>
      </c>
      <c r="AK519" s="809" t="s">
        <v>179</v>
      </c>
      <c r="AL519" s="809" t="s">
        <v>132</v>
      </c>
      <c r="AM519" s="814" t="s">
        <v>2904</v>
      </c>
      <c r="AN519" s="809">
        <v>590.0</v>
      </c>
      <c r="AO519" s="809">
        <v>0.014</v>
      </c>
      <c r="AP519" s="809" t="s">
        <v>357</v>
      </c>
      <c r="AQ519" s="809" t="s">
        <v>610</v>
      </c>
      <c r="AR519" s="809" t="s">
        <v>2905</v>
      </c>
      <c r="AS519" s="763"/>
      <c r="AT519" s="811" t="s">
        <v>179</v>
      </c>
      <c r="AU519" s="815" t="s">
        <v>132</v>
      </c>
      <c r="AV519" s="763"/>
      <c r="AW519" s="811" t="s">
        <v>142</v>
      </c>
      <c r="AX519" s="810"/>
      <c r="AY519" s="763"/>
    </row>
    <row r="520" ht="20.25" customHeight="1">
      <c r="A520" s="809" t="s">
        <v>520</v>
      </c>
      <c r="B520" s="809" t="s">
        <v>107</v>
      </c>
      <c r="C520" s="809" t="s">
        <v>2889</v>
      </c>
      <c r="D520" s="810"/>
      <c r="E520" s="811" t="s">
        <v>2890</v>
      </c>
      <c r="F520" s="809" t="s">
        <v>2906</v>
      </c>
      <c r="G520" s="809" t="s">
        <v>2892</v>
      </c>
      <c r="H520" s="812">
        <v>45478.0</v>
      </c>
      <c r="I520" s="813">
        <v>45636.0</v>
      </c>
      <c r="J520" s="809" t="s">
        <v>2907</v>
      </c>
      <c r="K520" s="810"/>
      <c r="L520" s="809" t="s">
        <v>2894</v>
      </c>
      <c r="M520" s="809" t="s">
        <v>2895</v>
      </c>
      <c r="N520" s="809">
        <v>1.0</v>
      </c>
      <c r="O520" s="809" t="s">
        <v>2896</v>
      </c>
      <c r="P520" s="48" t="str">
        <f t="array" ref="P520">HYPERLINK(INDEX('File Links'!B:B, MATCH(O520, 'File Links'!C:C, 0)))
</f>
        <v>https://drive.google.com/file/d/1IfVJze_D0VNVGP0qGB9jOH8T88AinA4X/view?usp=drivesdk</v>
      </c>
      <c r="Q520" s="809" t="s">
        <v>2897</v>
      </c>
      <c r="R520" s="809" t="s">
        <v>2898</v>
      </c>
      <c r="S520" s="810"/>
      <c r="T520" s="809">
        <v>1.0</v>
      </c>
      <c r="U520" s="809" t="s">
        <v>2899</v>
      </c>
      <c r="V520" s="809" t="s">
        <v>202</v>
      </c>
      <c r="W520" s="45" t="str">
        <f t="array" ref="W520">HYPERLINK(INDEX('File Links'!B:B, MATCH(U520, 'File Links'!C:C, 0)))
</f>
        <v>#N/A</v>
      </c>
      <c r="X520" s="810"/>
      <c r="Y520" s="809" t="s">
        <v>2900</v>
      </c>
      <c r="Z520" s="810"/>
      <c r="AA520" s="809" t="s">
        <v>2901</v>
      </c>
      <c r="AB520" s="809" t="s">
        <v>2908</v>
      </c>
      <c r="AC520" s="809" t="s">
        <v>2909</v>
      </c>
      <c r="AD520" s="809">
        <v>23.0</v>
      </c>
      <c r="AE520" s="809">
        <v>358.0</v>
      </c>
      <c r="AF520" s="809">
        <v>0.292</v>
      </c>
      <c r="AG520" s="809" t="s">
        <v>357</v>
      </c>
      <c r="AH520" s="809" t="s">
        <v>1276</v>
      </c>
      <c r="AI520" s="809">
        <v>0.02</v>
      </c>
      <c r="AJ520" s="811" t="s">
        <v>164</v>
      </c>
      <c r="AK520" s="809" t="s">
        <v>179</v>
      </c>
      <c r="AL520" s="809" t="s">
        <v>132</v>
      </c>
      <c r="AM520" s="814" t="s">
        <v>2904</v>
      </c>
      <c r="AN520" s="809">
        <v>590.0</v>
      </c>
      <c r="AO520" s="809">
        <v>0.076</v>
      </c>
      <c r="AP520" s="809" t="s">
        <v>357</v>
      </c>
      <c r="AQ520" s="809" t="s">
        <v>610</v>
      </c>
      <c r="AR520" s="809" t="s">
        <v>2905</v>
      </c>
      <c r="AS520" s="763"/>
      <c r="AT520" s="811" t="s">
        <v>179</v>
      </c>
      <c r="AU520" s="815" t="s">
        <v>132</v>
      </c>
      <c r="AV520" s="763"/>
      <c r="AW520" s="811" t="s">
        <v>142</v>
      </c>
      <c r="AX520" s="810"/>
      <c r="AY520" s="763"/>
    </row>
    <row r="521" ht="20.25" customHeight="1">
      <c r="A521" s="809" t="s">
        <v>520</v>
      </c>
      <c r="B521" s="809" t="s">
        <v>107</v>
      </c>
      <c r="C521" s="809" t="s">
        <v>2889</v>
      </c>
      <c r="D521" s="810"/>
      <c r="E521" s="811" t="s">
        <v>2890</v>
      </c>
      <c r="F521" s="809" t="s">
        <v>2910</v>
      </c>
      <c r="G521" s="809" t="s">
        <v>2892</v>
      </c>
      <c r="H521" s="812">
        <v>45478.0</v>
      </c>
      <c r="I521" s="813">
        <v>45636.0</v>
      </c>
      <c r="J521" s="809" t="s">
        <v>2911</v>
      </c>
      <c r="K521" s="810"/>
      <c r="L521" s="809" t="s">
        <v>2894</v>
      </c>
      <c r="M521" s="809" t="s">
        <v>2895</v>
      </c>
      <c r="N521" s="809">
        <v>1.0</v>
      </c>
      <c r="O521" s="809" t="s">
        <v>2896</v>
      </c>
      <c r="P521" s="48" t="str">
        <f t="array" ref="P521">HYPERLINK(INDEX('File Links'!B:B, MATCH(O521, 'File Links'!C:C, 0)))
</f>
        <v>https://drive.google.com/file/d/1IfVJze_D0VNVGP0qGB9jOH8T88AinA4X/view?usp=drivesdk</v>
      </c>
      <c r="Q521" s="809" t="s">
        <v>2897</v>
      </c>
      <c r="R521" s="809" t="s">
        <v>2898</v>
      </c>
      <c r="S521" s="810"/>
      <c r="T521" s="809">
        <v>1.0</v>
      </c>
      <c r="U521" s="809" t="s">
        <v>2899</v>
      </c>
      <c r="V521" s="809" t="s">
        <v>202</v>
      </c>
      <c r="W521" s="45" t="str">
        <f t="array" ref="W521">HYPERLINK(INDEX('File Links'!B:B, MATCH(U521, 'File Links'!C:C, 0)))
</f>
        <v>#N/A</v>
      </c>
      <c r="X521" s="810"/>
      <c r="Y521" s="809" t="s">
        <v>2900</v>
      </c>
      <c r="Z521" s="810"/>
      <c r="AA521" s="809" t="s">
        <v>2901</v>
      </c>
      <c r="AB521" s="809" t="s">
        <v>2912</v>
      </c>
      <c r="AC521" s="809" t="s">
        <v>2913</v>
      </c>
      <c r="AD521" s="809">
        <v>23.0</v>
      </c>
      <c r="AE521" s="809">
        <v>318.0</v>
      </c>
      <c r="AF521" s="809">
        <v>0.269</v>
      </c>
      <c r="AG521" s="809" t="s">
        <v>357</v>
      </c>
      <c r="AH521" s="809" t="s">
        <v>1276</v>
      </c>
      <c r="AI521" s="809">
        <v>0.026</v>
      </c>
      <c r="AJ521" s="811" t="s">
        <v>164</v>
      </c>
      <c r="AK521" s="809" t="s">
        <v>179</v>
      </c>
      <c r="AL521" s="809" t="s">
        <v>132</v>
      </c>
      <c r="AM521" s="814" t="s">
        <v>2904</v>
      </c>
      <c r="AN521" s="809">
        <v>590.0</v>
      </c>
      <c r="AO521" s="809">
        <v>-0.254</v>
      </c>
      <c r="AP521" s="809" t="s">
        <v>357</v>
      </c>
      <c r="AQ521" s="809" t="s">
        <v>610</v>
      </c>
      <c r="AR521" s="809">
        <v>0.1</v>
      </c>
      <c r="AS521" s="811" t="s">
        <v>127</v>
      </c>
      <c r="AT521" s="811" t="s">
        <v>179</v>
      </c>
      <c r="AU521" s="815" t="s">
        <v>132</v>
      </c>
      <c r="AV521" s="763"/>
      <c r="AW521" s="811" t="s">
        <v>142</v>
      </c>
      <c r="AX521" s="810"/>
      <c r="AY521" s="763"/>
    </row>
    <row r="522" ht="20.25" customHeight="1">
      <c r="A522" s="809" t="s">
        <v>520</v>
      </c>
      <c r="B522" s="316" t="s">
        <v>107</v>
      </c>
      <c r="C522" s="316" t="s">
        <v>2914</v>
      </c>
      <c r="D522" s="215"/>
      <c r="E522" s="232" t="s">
        <v>2915</v>
      </c>
      <c r="F522" s="386" t="s">
        <v>2916</v>
      </c>
      <c r="G522" s="232" t="s">
        <v>2917</v>
      </c>
      <c r="H522" s="597">
        <v>45478.0</v>
      </c>
      <c r="I522" s="597">
        <v>45663.0</v>
      </c>
      <c r="J522" s="232" t="s">
        <v>2918</v>
      </c>
      <c r="K522" s="322"/>
      <c r="L522" s="232" t="s">
        <v>2894</v>
      </c>
      <c r="M522" s="232" t="s">
        <v>2895</v>
      </c>
      <c r="N522" s="322"/>
      <c r="O522" s="232" t="s">
        <v>2896</v>
      </c>
      <c r="P522" s="48" t="str">
        <f t="array" ref="P522">HYPERLINK(INDEX('File Links'!B:B, MATCH(O522, 'File Links'!C:C, 0)))
</f>
        <v>https://drive.google.com/file/d/1IfVJze_D0VNVGP0qGB9jOH8T88AinA4X/view?usp=drivesdk</v>
      </c>
      <c r="Q522" s="232" t="s">
        <v>2897</v>
      </c>
      <c r="R522" s="232" t="s">
        <v>2898</v>
      </c>
      <c r="S522" s="322"/>
      <c r="T522" s="322"/>
      <c r="U522" s="232" t="s">
        <v>2899</v>
      </c>
      <c r="V522" s="232" t="s">
        <v>2919</v>
      </c>
      <c r="W522" s="45" t="str">
        <f t="array" ref="W522">HYPERLINK(INDEX('File Links'!B:B, MATCH(U522, 'File Links'!C:C, 0)))
</f>
        <v>#N/A</v>
      </c>
      <c r="X522" s="215"/>
      <c r="Y522" s="232" t="s">
        <v>220</v>
      </c>
      <c r="Z522" s="816" t="s">
        <v>2920</v>
      </c>
      <c r="AA522" s="322" t="s">
        <v>2921</v>
      </c>
      <c r="AB522" s="232" t="s">
        <v>2922</v>
      </c>
      <c r="AC522" s="232" t="s">
        <v>2923</v>
      </c>
      <c r="AD522" s="325">
        <v>23.0</v>
      </c>
      <c r="AE522" s="325">
        <v>272.0</v>
      </c>
      <c r="AF522" s="817">
        <v>0.273</v>
      </c>
      <c r="AG522" s="232" t="s">
        <v>1006</v>
      </c>
      <c r="AH522" s="232" t="s">
        <v>2924</v>
      </c>
      <c r="AI522" s="818">
        <v>0.053</v>
      </c>
      <c r="AJ522" s="386" t="s">
        <v>164</v>
      </c>
      <c r="AK522" s="386" t="s">
        <v>179</v>
      </c>
      <c r="AL522" s="322" t="s">
        <v>132</v>
      </c>
      <c r="AM522" s="364"/>
      <c r="AN522" s="325">
        <v>590.0</v>
      </c>
      <c r="AO522" s="325">
        <v>0.012</v>
      </c>
      <c r="AP522" s="232" t="s">
        <v>1006</v>
      </c>
      <c r="AQ522" s="232" t="s">
        <v>2925</v>
      </c>
      <c r="AR522" s="232" t="s">
        <v>2384</v>
      </c>
      <c r="AS522" s="322"/>
      <c r="AT522" s="232" t="s">
        <v>179</v>
      </c>
      <c r="AU522" s="322" t="s">
        <v>132</v>
      </c>
      <c r="AV522" s="322"/>
      <c r="AW522" s="322" t="s">
        <v>434</v>
      </c>
      <c r="AX522" s="215"/>
      <c r="AY522" s="215"/>
    </row>
    <row r="523" ht="20.25" customHeight="1">
      <c r="A523" s="809" t="s">
        <v>520</v>
      </c>
      <c r="B523" s="316" t="s">
        <v>107</v>
      </c>
      <c r="C523" s="316" t="s">
        <v>2914</v>
      </c>
      <c r="D523" s="215"/>
      <c r="E523" s="232" t="s">
        <v>2926</v>
      </c>
      <c r="F523" s="386" t="s">
        <v>2916</v>
      </c>
      <c r="G523" s="232" t="s">
        <v>2917</v>
      </c>
      <c r="H523" s="597">
        <v>45478.0</v>
      </c>
      <c r="I523" s="597">
        <v>45663.0</v>
      </c>
      <c r="J523" s="322"/>
      <c r="K523" s="322"/>
      <c r="L523" s="232" t="s">
        <v>2927</v>
      </c>
      <c r="M523" s="232" t="s">
        <v>2928</v>
      </c>
      <c r="N523" s="322"/>
      <c r="O523" s="232" t="s">
        <v>2896</v>
      </c>
      <c r="P523" s="48" t="str">
        <f t="array" ref="P523">HYPERLINK(INDEX('File Links'!B:B, MATCH(O523, 'File Links'!C:C, 0)))
</f>
        <v>https://drive.google.com/file/d/1IfVJze_D0VNVGP0qGB9jOH8T88AinA4X/view?usp=drivesdk</v>
      </c>
      <c r="Q523" s="232" t="s">
        <v>2929</v>
      </c>
      <c r="R523" s="232" t="s">
        <v>2930</v>
      </c>
      <c r="S523" s="322"/>
      <c r="T523" s="322"/>
      <c r="U523" s="232" t="s">
        <v>2899</v>
      </c>
      <c r="V523" s="232" t="s">
        <v>2919</v>
      </c>
      <c r="W523" s="45" t="str">
        <f t="array" ref="W523">HYPERLINK(INDEX('File Links'!B:B, MATCH(U523, 'File Links'!C:C, 0)))
</f>
        <v>#N/A</v>
      </c>
      <c r="X523" s="215"/>
      <c r="Y523" s="232" t="s">
        <v>220</v>
      </c>
      <c r="Z523" s="816" t="s">
        <v>2920</v>
      </c>
      <c r="AA523" s="322" t="s">
        <v>2921</v>
      </c>
      <c r="AB523" s="232" t="s">
        <v>2931</v>
      </c>
      <c r="AC523" s="232" t="s">
        <v>2932</v>
      </c>
      <c r="AD523" s="325">
        <v>23.0</v>
      </c>
      <c r="AE523" s="325">
        <v>358.0</v>
      </c>
      <c r="AF523" s="817">
        <v>0.292</v>
      </c>
      <c r="AG523" s="232" t="s">
        <v>1006</v>
      </c>
      <c r="AH523" s="232" t="s">
        <v>2933</v>
      </c>
      <c r="AI523" s="818">
        <v>0.012</v>
      </c>
      <c r="AJ523" s="386" t="s">
        <v>164</v>
      </c>
      <c r="AK523" s="386" t="s">
        <v>179</v>
      </c>
      <c r="AL523" s="322" t="s">
        <v>132</v>
      </c>
      <c r="AM523" s="364"/>
      <c r="AN523" s="325">
        <v>590.0</v>
      </c>
      <c r="AO523" s="325">
        <v>0.062</v>
      </c>
      <c r="AP523" s="232" t="s">
        <v>1006</v>
      </c>
      <c r="AQ523" s="232" t="s">
        <v>2925</v>
      </c>
      <c r="AR523" s="232" t="s">
        <v>2384</v>
      </c>
      <c r="AS523" s="322"/>
      <c r="AT523" s="232" t="s">
        <v>179</v>
      </c>
      <c r="AU523" s="322" t="s">
        <v>132</v>
      </c>
      <c r="AV523" s="322"/>
      <c r="AW523" s="322" t="s">
        <v>434</v>
      </c>
      <c r="AX523" s="215"/>
      <c r="AY523" s="215"/>
      <c r="AZ523" s="64"/>
      <c r="BA523" s="64"/>
      <c r="BB523" s="64"/>
      <c r="BC523" s="64"/>
      <c r="BD523" s="64"/>
      <c r="BE523" s="64"/>
      <c r="BF523" s="64"/>
      <c r="BG523" s="64"/>
      <c r="BH523" s="64"/>
      <c r="BI523" s="64"/>
      <c r="BJ523" s="64"/>
      <c r="BK523" s="64"/>
      <c r="BL523" s="64"/>
      <c r="BM523" s="64"/>
      <c r="BN523" s="64"/>
      <c r="BO523" s="64"/>
      <c r="BP523" s="64"/>
      <c r="BQ523" s="64"/>
      <c r="BR523" s="64"/>
      <c r="BS523" s="64"/>
      <c r="BT523" s="64"/>
      <c r="BU523" s="64"/>
      <c r="BV523" s="64"/>
      <c r="BW523" s="64"/>
      <c r="BX523" s="64"/>
      <c r="BY523" s="64"/>
      <c r="BZ523" s="64"/>
      <c r="CA523" s="64"/>
      <c r="CB523" s="64"/>
      <c r="CC523" s="64"/>
      <c r="CD523" s="64"/>
      <c r="CE523" s="64"/>
      <c r="CF523" s="64"/>
      <c r="CG523" s="64"/>
      <c r="CH523" s="64"/>
      <c r="CI523" s="64"/>
      <c r="CJ523" s="64"/>
      <c r="CK523" s="64"/>
      <c r="CL523" s="64"/>
      <c r="CM523" s="64"/>
      <c r="CN523" s="64"/>
      <c r="CO523" s="64"/>
      <c r="CP523" s="64"/>
      <c r="CQ523" s="64"/>
      <c r="CR523" s="64"/>
      <c r="CS523" s="64"/>
      <c r="CT523" s="64"/>
      <c r="CU523" s="64"/>
      <c r="CV523" s="64"/>
      <c r="CW523" s="64"/>
      <c r="CX523" s="64"/>
      <c r="CY523" s="64"/>
      <c r="CZ523" s="64"/>
      <c r="DA523" s="64"/>
      <c r="DB523" s="64"/>
      <c r="DC523" s="64"/>
      <c r="DD523" s="64"/>
      <c r="DE523" s="64"/>
      <c r="DF523" s="64"/>
      <c r="DG523" s="64"/>
    </row>
    <row r="524" ht="20.25" customHeight="1">
      <c r="A524" s="809" t="s">
        <v>520</v>
      </c>
      <c r="B524" s="316" t="s">
        <v>107</v>
      </c>
      <c r="C524" s="316" t="s">
        <v>2914</v>
      </c>
      <c r="D524" s="215"/>
      <c r="E524" s="232" t="s">
        <v>2934</v>
      </c>
      <c r="F524" s="386" t="s">
        <v>2916</v>
      </c>
      <c r="G524" s="232" t="s">
        <v>2917</v>
      </c>
      <c r="H524" s="597">
        <v>45478.0</v>
      </c>
      <c r="I524" s="597">
        <v>45663.0</v>
      </c>
      <c r="J524" s="322"/>
      <c r="K524" s="322"/>
      <c r="L524" s="232" t="s">
        <v>2935</v>
      </c>
      <c r="M524" s="232" t="s">
        <v>2936</v>
      </c>
      <c r="N524" s="322"/>
      <c r="O524" s="232" t="s">
        <v>2896</v>
      </c>
      <c r="P524" s="48" t="str">
        <f t="array" ref="P524">HYPERLINK(INDEX('File Links'!B:B, MATCH(O524, 'File Links'!C:C, 0)))
</f>
        <v>https://drive.google.com/file/d/1IfVJze_D0VNVGP0qGB9jOH8T88AinA4X/view?usp=drivesdk</v>
      </c>
      <c r="Q524" s="232" t="s">
        <v>2937</v>
      </c>
      <c r="R524" s="232" t="s">
        <v>2938</v>
      </c>
      <c r="S524" s="322"/>
      <c r="T524" s="322"/>
      <c r="U524" s="232" t="s">
        <v>2899</v>
      </c>
      <c r="V524" s="232" t="s">
        <v>2919</v>
      </c>
      <c r="W524" s="45" t="str">
        <f t="array" ref="W524">HYPERLINK(INDEX('File Links'!B:B, MATCH(U524, 'File Links'!C:C, 0)))
</f>
        <v>#N/A</v>
      </c>
      <c r="X524" s="215"/>
      <c r="Y524" s="232" t="s">
        <v>220</v>
      </c>
      <c r="Z524" s="816" t="s">
        <v>2920</v>
      </c>
      <c r="AA524" s="322" t="s">
        <v>2921</v>
      </c>
      <c r="AB524" s="232" t="s">
        <v>2939</v>
      </c>
      <c r="AC524" s="232" t="s">
        <v>2940</v>
      </c>
      <c r="AD524" s="325">
        <v>23.0</v>
      </c>
      <c r="AE524" s="325">
        <v>318.0</v>
      </c>
      <c r="AF524" s="325">
        <v>0.269</v>
      </c>
      <c r="AG524" s="232" t="s">
        <v>1006</v>
      </c>
      <c r="AH524" s="232" t="s">
        <v>2941</v>
      </c>
      <c r="AI524" s="819">
        <v>0.037</v>
      </c>
      <c r="AJ524" s="386" t="s">
        <v>164</v>
      </c>
      <c r="AK524" s="386" t="s">
        <v>179</v>
      </c>
      <c r="AL524" s="322" t="s">
        <v>132</v>
      </c>
      <c r="AM524" s="364"/>
      <c r="AN524" s="325">
        <v>590.0</v>
      </c>
      <c r="AO524" s="325">
        <v>0.124</v>
      </c>
      <c r="AP524" s="232" t="s">
        <v>1006</v>
      </c>
      <c r="AQ524" s="232" t="s">
        <v>2925</v>
      </c>
      <c r="AR524" s="325">
        <v>0.1</v>
      </c>
      <c r="AS524" s="232" t="s">
        <v>127</v>
      </c>
      <c r="AT524" s="232" t="s">
        <v>179</v>
      </c>
      <c r="AU524" s="322" t="s">
        <v>132</v>
      </c>
      <c r="AV524" s="322"/>
      <c r="AW524" s="322" t="s">
        <v>434</v>
      </c>
      <c r="AX524" s="215"/>
      <c r="AY524" s="215"/>
      <c r="AZ524" s="64"/>
      <c r="BA524" s="64"/>
      <c r="BB524" s="64"/>
      <c r="BC524" s="64"/>
      <c r="BD524" s="64"/>
      <c r="BE524" s="64"/>
      <c r="BF524" s="64"/>
      <c r="BG524" s="64"/>
      <c r="BH524" s="64"/>
      <c r="BI524" s="64"/>
      <c r="BJ524" s="64"/>
      <c r="BK524" s="64"/>
      <c r="BL524" s="64"/>
      <c r="BM524" s="64"/>
      <c r="BN524" s="64"/>
      <c r="BO524" s="64"/>
      <c r="BP524" s="64"/>
      <c r="BQ524" s="64"/>
      <c r="BR524" s="64"/>
      <c r="BS524" s="64"/>
      <c r="BT524" s="64"/>
      <c r="BU524" s="64"/>
      <c r="BV524" s="64"/>
      <c r="BW524" s="64"/>
      <c r="BX524" s="64"/>
      <c r="BY524" s="64"/>
      <c r="BZ524" s="64"/>
      <c r="CA524" s="64"/>
      <c r="CB524" s="64"/>
      <c r="CC524" s="64"/>
      <c r="CD524" s="64"/>
      <c r="CE524" s="64"/>
      <c r="CF524" s="64"/>
      <c r="CG524" s="64"/>
      <c r="CH524" s="64"/>
      <c r="CI524" s="64"/>
      <c r="CJ524" s="64"/>
      <c r="CK524" s="64"/>
      <c r="CL524" s="64"/>
      <c r="CM524" s="64"/>
      <c r="CN524" s="64"/>
      <c r="CO524" s="64"/>
      <c r="CP524" s="64"/>
      <c r="CQ524" s="64"/>
      <c r="CR524" s="64"/>
      <c r="CS524" s="64"/>
      <c r="CT524" s="64"/>
      <c r="CU524" s="64"/>
      <c r="CV524" s="64"/>
      <c r="CW524" s="64"/>
      <c r="CX524" s="64"/>
      <c r="CY524" s="64"/>
      <c r="CZ524" s="64"/>
      <c r="DA524" s="64"/>
      <c r="DB524" s="64"/>
      <c r="DC524" s="64"/>
      <c r="DD524" s="64"/>
      <c r="DE524" s="64"/>
      <c r="DF524" s="64"/>
      <c r="DG524" s="64"/>
    </row>
    <row r="525" ht="20.25" customHeight="1">
      <c r="A525" s="809" t="s">
        <v>520</v>
      </c>
      <c r="B525" s="316" t="s">
        <v>107</v>
      </c>
      <c r="C525" s="316" t="s">
        <v>2914</v>
      </c>
      <c r="D525" s="215"/>
      <c r="E525" s="232" t="s">
        <v>2942</v>
      </c>
      <c r="F525" s="386" t="s">
        <v>2916</v>
      </c>
      <c r="G525" s="232" t="s">
        <v>2917</v>
      </c>
      <c r="H525" s="597">
        <v>45478.0</v>
      </c>
      <c r="I525" s="597">
        <v>45663.0</v>
      </c>
      <c r="J525" s="322"/>
      <c r="K525" s="322"/>
      <c r="L525" s="232" t="s">
        <v>2943</v>
      </c>
      <c r="M525" s="232" t="s">
        <v>2944</v>
      </c>
      <c r="N525" s="322"/>
      <c r="O525" s="232" t="s">
        <v>2896</v>
      </c>
      <c r="P525" s="48" t="str">
        <f t="array" ref="P525">HYPERLINK(INDEX('File Links'!B:B, MATCH(O525, 'File Links'!C:C, 0)))
</f>
        <v>https://drive.google.com/file/d/1IfVJze_D0VNVGP0qGB9jOH8T88AinA4X/view?usp=drivesdk</v>
      </c>
      <c r="Q525" s="232" t="s">
        <v>2945</v>
      </c>
      <c r="R525" s="232" t="s">
        <v>2946</v>
      </c>
      <c r="S525" s="322"/>
      <c r="T525" s="322"/>
      <c r="U525" s="232" t="s">
        <v>2899</v>
      </c>
      <c r="V525" s="232" t="s">
        <v>2919</v>
      </c>
      <c r="W525" s="45" t="str">
        <f t="array" ref="W525">HYPERLINK(INDEX('File Links'!B:B, MATCH(U525, 'File Links'!C:C, 0)))
</f>
        <v>#N/A</v>
      </c>
      <c r="X525" s="215"/>
      <c r="Y525" s="232" t="s">
        <v>220</v>
      </c>
      <c r="Z525" s="816" t="s">
        <v>2920</v>
      </c>
      <c r="AA525" s="322" t="s">
        <v>2921</v>
      </c>
      <c r="AB525" s="232" t="s">
        <v>2947</v>
      </c>
      <c r="AC525" s="232" t="s">
        <v>2948</v>
      </c>
      <c r="AD525" s="325">
        <v>24.0</v>
      </c>
      <c r="AE525" s="325">
        <v>346.0</v>
      </c>
      <c r="AF525" s="817">
        <v>0.309</v>
      </c>
      <c r="AG525" s="232" t="s">
        <v>1006</v>
      </c>
      <c r="AH525" s="232" t="s">
        <v>2949</v>
      </c>
      <c r="AI525" s="818">
        <v>0.003</v>
      </c>
      <c r="AJ525" s="386" t="s">
        <v>164</v>
      </c>
      <c r="AK525" s="386" t="s">
        <v>179</v>
      </c>
      <c r="AL525" s="322" t="s">
        <v>132</v>
      </c>
      <c r="AM525" s="364"/>
      <c r="AN525" s="325">
        <v>571.0</v>
      </c>
      <c r="AO525" s="325">
        <v>0.034</v>
      </c>
      <c r="AP525" s="232" t="s">
        <v>1006</v>
      </c>
      <c r="AQ525" s="232" t="s">
        <v>2925</v>
      </c>
      <c r="AR525" s="232" t="s">
        <v>2384</v>
      </c>
      <c r="AS525" s="322"/>
      <c r="AT525" s="232" t="s">
        <v>179</v>
      </c>
      <c r="AU525" s="322" t="s">
        <v>132</v>
      </c>
      <c r="AV525" s="322"/>
      <c r="AW525" s="322" t="s">
        <v>434</v>
      </c>
      <c r="AX525" s="215"/>
      <c r="AY525" s="215"/>
      <c r="AZ525" s="64"/>
      <c r="BA525" s="64"/>
      <c r="BB525" s="64"/>
      <c r="BC525" s="64"/>
      <c r="BD525" s="64"/>
      <c r="BE525" s="64"/>
      <c r="BF525" s="64"/>
      <c r="BG525" s="64"/>
      <c r="BH525" s="64"/>
      <c r="BI525" s="64"/>
      <c r="BJ525" s="64"/>
      <c r="BK525" s="64"/>
      <c r="BL525" s="64"/>
      <c r="BM525" s="64"/>
      <c r="BN525" s="64"/>
      <c r="BO525" s="64"/>
      <c r="BP525" s="64"/>
      <c r="BQ525" s="64"/>
      <c r="BR525" s="64"/>
      <c r="BS525" s="64"/>
      <c r="BT525" s="64"/>
      <c r="BU525" s="64"/>
      <c r="BV525" s="64"/>
      <c r="BW525" s="64"/>
      <c r="BX525" s="64"/>
      <c r="BY525" s="64"/>
      <c r="BZ525" s="64"/>
      <c r="CA525" s="64"/>
      <c r="CB525" s="64"/>
      <c r="CC525" s="64"/>
      <c r="CD525" s="64"/>
      <c r="CE525" s="64"/>
      <c r="CF525" s="64"/>
      <c r="CG525" s="64"/>
      <c r="CH525" s="64"/>
      <c r="CI525" s="64"/>
      <c r="CJ525" s="64"/>
      <c r="CK525" s="64"/>
      <c r="CL525" s="64"/>
      <c r="CM525" s="64"/>
      <c r="CN525" s="64"/>
      <c r="CO525" s="64"/>
      <c r="CP525" s="64"/>
      <c r="CQ525" s="64"/>
      <c r="CR525" s="64"/>
      <c r="CS525" s="64"/>
      <c r="CT525" s="64"/>
      <c r="CU525" s="64"/>
      <c r="CV525" s="64"/>
      <c r="CW525" s="64"/>
      <c r="CX525" s="64"/>
      <c r="CY525" s="64"/>
      <c r="CZ525" s="64"/>
      <c r="DA525" s="64"/>
      <c r="DB525" s="64"/>
      <c r="DC525" s="64"/>
      <c r="DD525" s="64"/>
      <c r="DE525" s="64"/>
      <c r="DF525" s="64"/>
      <c r="DG525" s="64"/>
    </row>
    <row r="526" ht="20.25" customHeight="1">
      <c r="A526" s="809" t="s">
        <v>520</v>
      </c>
      <c r="B526" s="316" t="s">
        <v>107</v>
      </c>
      <c r="C526" s="316" t="s">
        <v>2914</v>
      </c>
      <c r="D526" s="215"/>
      <c r="E526" s="232" t="s">
        <v>2950</v>
      </c>
      <c r="F526" s="386" t="s">
        <v>2916</v>
      </c>
      <c r="G526" s="232" t="s">
        <v>2917</v>
      </c>
      <c r="H526" s="597">
        <v>45478.0</v>
      </c>
      <c r="I526" s="597">
        <v>45663.0</v>
      </c>
      <c r="J526" s="322"/>
      <c r="K526" s="322"/>
      <c r="L526" s="232" t="s">
        <v>2951</v>
      </c>
      <c r="M526" s="232" t="s">
        <v>2952</v>
      </c>
      <c r="N526" s="322"/>
      <c r="O526" s="232" t="s">
        <v>2896</v>
      </c>
      <c r="P526" s="48" t="str">
        <f t="array" ref="P526">HYPERLINK(INDEX('File Links'!B:B, MATCH(O526, 'File Links'!C:C, 0)))
</f>
        <v>https://drive.google.com/file/d/1IfVJze_D0VNVGP0qGB9jOH8T88AinA4X/view?usp=drivesdk</v>
      </c>
      <c r="Q526" s="232" t="s">
        <v>2953</v>
      </c>
      <c r="R526" s="232" t="s">
        <v>2954</v>
      </c>
      <c r="S526" s="322"/>
      <c r="T526" s="322"/>
      <c r="U526" s="232" t="s">
        <v>2899</v>
      </c>
      <c r="V526" s="232" t="s">
        <v>2919</v>
      </c>
      <c r="W526" s="45" t="str">
        <f t="array" ref="W526">HYPERLINK(INDEX('File Links'!B:B, MATCH(U526, 'File Links'!C:C, 0)))
</f>
        <v>#N/A</v>
      </c>
      <c r="X526" s="215"/>
      <c r="Y526" s="232" t="s">
        <v>220</v>
      </c>
      <c r="Z526" s="816" t="s">
        <v>2920</v>
      </c>
      <c r="AA526" s="322" t="s">
        <v>2921</v>
      </c>
      <c r="AB526" s="232" t="s">
        <v>2955</v>
      </c>
      <c r="AC526" s="232" t="s">
        <v>2956</v>
      </c>
      <c r="AD526" s="325">
        <v>24.0</v>
      </c>
      <c r="AE526" s="325">
        <v>260.0</v>
      </c>
      <c r="AF526" s="817">
        <v>0.06</v>
      </c>
      <c r="AG526" s="232" t="s">
        <v>1006</v>
      </c>
      <c r="AH526" s="232" t="s">
        <v>2957</v>
      </c>
      <c r="AI526" s="818">
        <v>0.702</v>
      </c>
      <c r="AJ526" s="386" t="s">
        <v>164</v>
      </c>
      <c r="AK526" s="386" t="s">
        <v>179</v>
      </c>
      <c r="AL526" s="322" t="s">
        <v>132</v>
      </c>
      <c r="AM526" s="364"/>
      <c r="AN526" s="325">
        <v>588.0</v>
      </c>
      <c r="AO526" s="325">
        <v>-0.075</v>
      </c>
      <c r="AP526" s="232" t="s">
        <v>1006</v>
      </c>
      <c r="AQ526" s="232" t="s">
        <v>2925</v>
      </c>
      <c r="AR526" s="232" t="s">
        <v>2384</v>
      </c>
      <c r="AS526" s="322"/>
      <c r="AT526" s="232" t="s">
        <v>179</v>
      </c>
      <c r="AU526" s="322" t="s">
        <v>132</v>
      </c>
      <c r="AV526" s="322"/>
      <c r="AW526" s="322" t="s">
        <v>434</v>
      </c>
      <c r="AX526" s="215"/>
      <c r="AY526" s="215"/>
      <c r="AZ526" s="64"/>
      <c r="BA526" s="64"/>
      <c r="BB526" s="64"/>
      <c r="BC526" s="64"/>
      <c r="BD526" s="64"/>
      <c r="BE526" s="64"/>
      <c r="BF526" s="64"/>
      <c r="BG526" s="64"/>
      <c r="BH526" s="64"/>
      <c r="BI526" s="64"/>
      <c r="BJ526" s="64"/>
      <c r="BK526" s="64"/>
      <c r="BL526" s="64"/>
      <c r="BM526" s="64"/>
      <c r="BN526" s="64"/>
      <c r="BO526" s="64"/>
      <c r="BP526" s="64"/>
      <c r="BQ526" s="64"/>
      <c r="BR526" s="64"/>
      <c r="BS526" s="64"/>
      <c r="BT526" s="64"/>
      <c r="BU526" s="64"/>
      <c r="BV526" s="64"/>
      <c r="BW526" s="64"/>
      <c r="BX526" s="64"/>
      <c r="BY526" s="64"/>
      <c r="BZ526" s="64"/>
      <c r="CA526" s="64"/>
      <c r="CB526" s="64"/>
      <c r="CC526" s="64"/>
      <c r="CD526" s="64"/>
      <c r="CE526" s="64"/>
      <c r="CF526" s="64"/>
      <c r="CG526" s="64"/>
      <c r="CH526" s="64"/>
      <c r="CI526" s="64"/>
      <c r="CJ526" s="64"/>
      <c r="CK526" s="64"/>
      <c r="CL526" s="64"/>
      <c r="CM526" s="64"/>
      <c r="CN526" s="64"/>
      <c r="CO526" s="64"/>
      <c r="CP526" s="64"/>
      <c r="CQ526" s="64"/>
      <c r="CR526" s="64"/>
      <c r="CS526" s="64"/>
      <c r="CT526" s="64"/>
      <c r="CU526" s="64"/>
      <c r="CV526" s="64"/>
      <c r="CW526" s="64"/>
      <c r="CX526" s="64"/>
      <c r="CY526" s="64"/>
      <c r="CZ526" s="64"/>
      <c r="DA526" s="64"/>
      <c r="DB526" s="64"/>
      <c r="DC526" s="64"/>
      <c r="DD526" s="64"/>
      <c r="DE526" s="64"/>
      <c r="DF526" s="64"/>
      <c r="DG526" s="64"/>
    </row>
    <row r="527" ht="20.25" customHeight="1">
      <c r="A527" s="809" t="s">
        <v>520</v>
      </c>
      <c r="B527" s="316" t="s">
        <v>107</v>
      </c>
      <c r="C527" s="316" t="s">
        <v>2914</v>
      </c>
      <c r="D527" s="215"/>
      <c r="E527" s="232" t="s">
        <v>2958</v>
      </c>
      <c r="F527" s="386" t="s">
        <v>2916</v>
      </c>
      <c r="G527" s="232" t="s">
        <v>2917</v>
      </c>
      <c r="H527" s="597">
        <v>45478.0</v>
      </c>
      <c r="I527" s="597">
        <v>45663.0</v>
      </c>
      <c r="J527" s="232" t="s">
        <v>2959</v>
      </c>
      <c r="K527" s="322"/>
      <c r="L527" s="232" t="s">
        <v>2960</v>
      </c>
      <c r="M527" s="232" t="s">
        <v>2961</v>
      </c>
      <c r="N527" s="322"/>
      <c r="O527" s="232" t="s">
        <v>2896</v>
      </c>
      <c r="P527" s="48" t="str">
        <f t="array" ref="P527">HYPERLINK(INDEX('File Links'!B:B, MATCH(O527, 'File Links'!C:C, 0)))
</f>
        <v>https://drive.google.com/file/d/1IfVJze_D0VNVGP0qGB9jOH8T88AinA4X/view?usp=drivesdk</v>
      </c>
      <c r="Q527" s="232" t="s">
        <v>2962</v>
      </c>
      <c r="R527" s="232" t="s">
        <v>2963</v>
      </c>
      <c r="S527" s="322"/>
      <c r="T527" s="322"/>
      <c r="U527" s="232" t="s">
        <v>2899</v>
      </c>
      <c r="V527" s="232" t="s">
        <v>2919</v>
      </c>
      <c r="W527" s="45" t="str">
        <f t="array" ref="W527">HYPERLINK(INDEX('File Links'!B:B, MATCH(U527, 'File Links'!C:C, 0)))
</f>
        <v>#N/A</v>
      </c>
      <c r="X527" s="215"/>
      <c r="Y527" s="232" t="s">
        <v>220</v>
      </c>
      <c r="Z527" s="816" t="s">
        <v>2920</v>
      </c>
      <c r="AA527" s="322" t="s">
        <v>2921</v>
      </c>
      <c r="AB527" s="232" t="s">
        <v>2964</v>
      </c>
      <c r="AC527" s="232" t="s">
        <v>2965</v>
      </c>
      <c r="AD527" s="325">
        <v>25.0</v>
      </c>
      <c r="AE527" s="325">
        <v>332.0</v>
      </c>
      <c r="AF527" s="817">
        <v>0.324</v>
      </c>
      <c r="AG527" s="232" t="s">
        <v>1006</v>
      </c>
      <c r="AH527" s="232" t="s">
        <v>2966</v>
      </c>
      <c r="AI527" s="818">
        <v>0.05</v>
      </c>
      <c r="AJ527" s="386" t="s">
        <v>127</v>
      </c>
      <c r="AK527" s="386" t="s">
        <v>179</v>
      </c>
      <c r="AL527" s="322" t="s">
        <v>129</v>
      </c>
      <c r="AM527" s="364"/>
      <c r="AN527" s="322"/>
      <c r="AO527" s="325">
        <v>0.029</v>
      </c>
      <c r="AP527" s="232" t="s">
        <v>1006</v>
      </c>
      <c r="AQ527" s="232" t="s">
        <v>2925</v>
      </c>
      <c r="AR527" s="232" t="s">
        <v>2384</v>
      </c>
      <c r="AS527" s="322"/>
      <c r="AT527" s="232" t="s">
        <v>179</v>
      </c>
      <c r="AU527" s="322" t="s">
        <v>129</v>
      </c>
      <c r="AV527" s="322"/>
      <c r="AW527" s="322" t="s">
        <v>434</v>
      </c>
      <c r="AX527" s="215"/>
      <c r="AY527" s="215"/>
      <c r="AZ527" s="64"/>
      <c r="BA527" s="64"/>
      <c r="BB527" s="64"/>
      <c r="BC527" s="64"/>
      <c r="BD527" s="64"/>
      <c r="BE527" s="64"/>
      <c r="BF527" s="64"/>
      <c r="BG527" s="64"/>
      <c r="BH527" s="64"/>
      <c r="BI527" s="64"/>
      <c r="BJ527" s="64"/>
      <c r="BK527" s="64"/>
      <c r="BL527" s="64"/>
      <c r="BM527" s="64"/>
      <c r="BN527" s="64"/>
      <c r="BO527" s="64"/>
      <c r="BP527" s="64"/>
      <c r="BQ527" s="64"/>
      <c r="BR527" s="64"/>
      <c r="BS527" s="64"/>
      <c r="BT527" s="64"/>
      <c r="BU527" s="64"/>
      <c r="BV527" s="64"/>
      <c r="BW527" s="64"/>
      <c r="BX527" s="64"/>
      <c r="BY527" s="64"/>
      <c r="BZ527" s="64"/>
      <c r="CA527" s="64"/>
      <c r="CB527" s="64"/>
      <c r="CC527" s="64"/>
      <c r="CD527" s="64"/>
      <c r="CE527" s="64"/>
      <c r="CF527" s="64"/>
      <c r="CG527" s="64"/>
      <c r="CH527" s="64"/>
      <c r="CI527" s="64"/>
      <c r="CJ527" s="64"/>
      <c r="CK527" s="64"/>
      <c r="CL527" s="64"/>
      <c r="CM527" s="64"/>
      <c r="CN527" s="64"/>
      <c r="CO527" s="64"/>
      <c r="CP527" s="64"/>
      <c r="CQ527" s="64"/>
      <c r="CR527" s="64"/>
      <c r="CS527" s="64"/>
      <c r="CT527" s="64"/>
      <c r="CU527" s="64"/>
      <c r="CV527" s="64"/>
      <c r="CW527" s="64"/>
      <c r="CX527" s="64"/>
      <c r="CY527" s="64"/>
      <c r="CZ527" s="64"/>
      <c r="DA527" s="64"/>
      <c r="DB527" s="64"/>
      <c r="DC527" s="64"/>
      <c r="DD527" s="64"/>
      <c r="DE527" s="64"/>
      <c r="DF527" s="64"/>
      <c r="DG527" s="64"/>
    </row>
    <row r="528" ht="20.25" customHeight="1">
      <c r="A528" s="809" t="s">
        <v>520</v>
      </c>
      <c r="B528" s="316" t="s">
        <v>107</v>
      </c>
      <c r="C528" s="316" t="s">
        <v>2914</v>
      </c>
      <c r="D528" s="215"/>
      <c r="E528" s="232" t="s">
        <v>2967</v>
      </c>
      <c r="F528" s="386" t="s">
        <v>2916</v>
      </c>
      <c r="G528" s="232" t="s">
        <v>2917</v>
      </c>
      <c r="H528" s="597">
        <v>45478.0</v>
      </c>
      <c r="I528" s="597">
        <v>45663.0</v>
      </c>
      <c r="J528" s="232" t="s">
        <v>2959</v>
      </c>
      <c r="K528" s="322"/>
      <c r="L528" s="232" t="s">
        <v>2968</v>
      </c>
      <c r="M528" s="232" t="s">
        <v>2969</v>
      </c>
      <c r="N528" s="322"/>
      <c r="O528" s="232" t="s">
        <v>2896</v>
      </c>
      <c r="P528" s="48" t="str">
        <f t="array" ref="P528">HYPERLINK(INDEX('File Links'!B:B, MATCH(O528, 'File Links'!C:C, 0)))
</f>
        <v>https://drive.google.com/file/d/1IfVJze_D0VNVGP0qGB9jOH8T88AinA4X/view?usp=drivesdk</v>
      </c>
      <c r="Q528" s="232" t="s">
        <v>2970</v>
      </c>
      <c r="R528" s="232" t="s">
        <v>2971</v>
      </c>
      <c r="S528" s="322"/>
      <c r="T528" s="322"/>
      <c r="U528" s="232" t="s">
        <v>2899</v>
      </c>
      <c r="V528" s="232" t="s">
        <v>2919</v>
      </c>
      <c r="W528" s="45" t="str">
        <f t="array" ref="W528">HYPERLINK(INDEX('File Links'!B:B, MATCH(U528, 'File Links'!C:C, 0)))
</f>
        <v>#N/A</v>
      </c>
      <c r="X528" s="215"/>
      <c r="Y528" s="232" t="s">
        <v>220</v>
      </c>
      <c r="Z528" s="816" t="s">
        <v>2920</v>
      </c>
      <c r="AA528" s="322" t="s">
        <v>2921</v>
      </c>
      <c r="AB528" s="232" t="s">
        <v>2972</v>
      </c>
      <c r="AC528" s="232" t="s">
        <v>2965</v>
      </c>
      <c r="AD528" s="325">
        <v>25.0</v>
      </c>
      <c r="AE528" s="817">
        <v>332.0</v>
      </c>
      <c r="AF528" s="325">
        <v>-0.058</v>
      </c>
      <c r="AG528" s="232" t="s">
        <v>1006</v>
      </c>
      <c r="AH528" s="232" t="s">
        <v>2973</v>
      </c>
      <c r="AI528" s="599" t="s">
        <v>2384</v>
      </c>
      <c r="AJ528" s="364"/>
      <c r="AK528" s="386" t="s">
        <v>179</v>
      </c>
      <c r="AL528" s="322" t="s">
        <v>129</v>
      </c>
      <c r="AM528" s="364"/>
      <c r="AN528" s="322"/>
      <c r="AO528" s="325">
        <v>-0.032</v>
      </c>
      <c r="AP528" s="232" t="s">
        <v>1006</v>
      </c>
      <c r="AQ528" s="232" t="s">
        <v>2925</v>
      </c>
      <c r="AR528" s="232" t="s">
        <v>2384</v>
      </c>
      <c r="AS528" s="322"/>
      <c r="AT528" s="232" t="s">
        <v>179</v>
      </c>
      <c r="AU528" s="322" t="s">
        <v>129</v>
      </c>
      <c r="AV528" s="322"/>
      <c r="AW528" s="322" t="s">
        <v>434</v>
      </c>
      <c r="AX528" s="215"/>
      <c r="AY528" s="215"/>
      <c r="AZ528" s="64"/>
      <c r="BA528" s="64"/>
      <c r="BB528" s="64"/>
      <c r="BC528" s="64"/>
      <c r="BD528" s="64"/>
      <c r="BE528" s="64"/>
      <c r="BF528" s="64"/>
      <c r="BG528" s="64"/>
      <c r="BH528" s="64"/>
      <c r="BI528" s="64"/>
      <c r="BJ528" s="64"/>
      <c r="BK528" s="64"/>
      <c r="BL528" s="64"/>
      <c r="BM528" s="64"/>
      <c r="BN528" s="64"/>
      <c r="BO528" s="64"/>
      <c r="BP528" s="64"/>
      <c r="BQ528" s="64"/>
      <c r="BR528" s="64"/>
      <c r="BS528" s="64"/>
      <c r="BT528" s="64"/>
      <c r="BU528" s="64"/>
      <c r="BV528" s="64"/>
      <c r="BW528" s="64"/>
      <c r="BX528" s="64"/>
      <c r="BY528" s="64"/>
      <c r="BZ528" s="64"/>
      <c r="CA528" s="64"/>
      <c r="CB528" s="64"/>
      <c r="CC528" s="64"/>
      <c r="CD528" s="64"/>
      <c r="CE528" s="64"/>
      <c r="CF528" s="64"/>
      <c r="CG528" s="64"/>
      <c r="CH528" s="64"/>
      <c r="CI528" s="64"/>
      <c r="CJ528" s="64"/>
      <c r="CK528" s="64"/>
      <c r="CL528" s="64"/>
      <c r="CM528" s="64"/>
      <c r="CN528" s="64"/>
      <c r="CO528" s="64"/>
      <c r="CP528" s="64"/>
      <c r="CQ528" s="64"/>
      <c r="CR528" s="64"/>
      <c r="CS528" s="64"/>
      <c r="CT528" s="64"/>
      <c r="CU528" s="64"/>
      <c r="CV528" s="64"/>
      <c r="CW528" s="64"/>
      <c r="CX528" s="64"/>
      <c r="CY528" s="64"/>
      <c r="CZ528" s="64"/>
      <c r="DA528" s="64"/>
      <c r="DB528" s="64"/>
      <c r="DC528" s="64"/>
      <c r="DD528" s="64"/>
      <c r="DE528" s="64"/>
      <c r="DF528" s="64"/>
      <c r="DG528" s="64"/>
    </row>
    <row r="529" ht="20.25" customHeight="1">
      <c r="A529" s="809" t="s">
        <v>520</v>
      </c>
      <c r="B529" s="316" t="s">
        <v>107</v>
      </c>
      <c r="C529" s="316" t="s">
        <v>2914</v>
      </c>
      <c r="D529" s="215"/>
      <c r="E529" s="232" t="s">
        <v>2974</v>
      </c>
      <c r="F529" s="386" t="s">
        <v>2916</v>
      </c>
      <c r="G529" s="232" t="s">
        <v>2917</v>
      </c>
      <c r="H529" s="597">
        <v>45478.0</v>
      </c>
      <c r="I529" s="597">
        <v>45663.0</v>
      </c>
      <c r="J529" s="232" t="s">
        <v>2959</v>
      </c>
      <c r="K529" s="322"/>
      <c r="L529" s="232" t="s">
        <v>2975</v>
      </c>
      <c r="M529" s="232" t="s">
        <v>2976</v>
      </c>
      <c r="N529" s="322"/>
      <c r="O529" s="232" t="s">
        <v>2896</v>
      </c>
      <c r="P529" s="48" t="str">
        <f t="array" ref="P529">HYPERLINK(INDEX('File Links'!B:B, MATCH(O529, 'File Links'!C:C, 0)))
</f>
        <v>https://drive.google.com/file/d/1IfVJze_D0VNVGP0qGB9jOH8T88AinA4X/view?usp=drivesdk</v>
      </c>
      <c r="Q529" s="232" t="s">
        <v>2977</v>
      </c>
      <c r="R529" s="232" t="s">
        <v>2978</v>
      </c>
      <c r="S529" s="322"/>
      <c r="T529" s="322"/>
      <c r="U529" s="232" t="s">
        <v>2899</v>
      </c>
      <c r="V529" s="232" t="s">
        <v>2919</v>
      </c>
      <c r="W529" s="45" t="str">
        <f t="array" ref="W529">HYPERLINK(INDEX('File Links'!B:B, MATCH(U529, 'File Links'!C:C, 0)))
</f>
        <v>#N/A</v>
      </c>
      <c r="X529" s="215"/>
      <c r="Y529" s="232" t="s">
        <v>220</v>
      </c>
      <c r="Z529" s="816" t="s">
        <v>2920</v>
      </c>
      <c r="AA529" s="322" t="s">
        <v>2921</v>
      </c>
      <c r="AB529" s="232" t="s">
        <v>2979</v>
      </c>
      <c r="AC529" s="232" t="s">
        <v>2965</v>
      </c>
      <c r="AD529" s="325">
        <v>25.0</v>
      </c>
      <c r="AE529" s="325">
        <v>344.0</v>
      </c>
      <c r="AF529" s="817">
        <v>0.26</v>
      </c>
      <c r="AG529" s="232" t="s">
        <v>1006</v>
      </c>
      <c r="AH529" s="232" t="s">
        <v>2980</v>
      </c>
      <c r="AI529" s="818">
        <v>0.05</v>
      </c>
      <c r="AJ529" s="386" t="s">
        <v>127</v>
      </c>
      <c r="AK529" s="386" t="s">
        <v>179</v>
      </c>
      <c r="AL529" s="322" t="s">
        <v>129</v>
      </c>
      <c r="AM529" s="364"/>
      <c r="AN529" s="322"/>
      <c r="AO529" s="325">
        <v>0.136</v>
      </c>
      <c r="AP529" s="232" t="s">
        <v>1006</v>
      </c>
      <c r="AQ529" s="232" t="s">
        <v>2925</v>
      </c>
      <c r="AR529" s="232" t="s">
        <v>2384</v>
      </c>
      <c r="AS529" s="322"/>
      <c r="AT529" s="232" t="s">
        <v>179</v>
      </c>
      <c r="AU529" s="322" t="s">
        <v>129</v>
      </c>
      <c r="AV529" s="322"/>
      <c r="AW529" s="322" t="s">
        <v>434</v>
      </c>
      <c r="AX529" s="215"/>
      <c r="AY529" s="215"/>
      <c r="AZ529" s="64"/>
      <c r="BA529" s="64"/>
      <c r="BB529" s="64"/>
      <c r="BC529" s="64"/>
      <c r="BD529" s="64"/>
      <c r="BE529" s="64"/>
      <c r="BF529" s="64"/>
      <c r="BG529" s="64"/>
      <c r="BH529" s="64"/>
      <c r="BI529" s="64"/>
      <c r="BJ529" s="64"/>
      <c r="BK529" s="64"/>
      <c r="BL529" s="64"/>
      <c r="BM529" s="64"/>
      <c r="BN529" s="64"/>
      <c r="BO529" s="64"/>
      <c r="BP529" s="64"/>
      <c r="BQ529" s="64"/>
      <c r="BR529" s="64"/>
      <c r="BS529" s="64"/>
      <c r="BT529" s="64"/>
      <c r="BU529" s="64"/>
      <c r="BV529" s="64"/>
      <c r="BW529" s="64"/>
      <c r="BX529" s="64"/>
      <c r="BY529" s="64"/>
      <c r="BZ529" s="64"/>
      <c r="CA529" s="64"/>
      <c r="CB529" s="64"/>
      <c r="CC529" s="64"/>
      <c r="CD529" s="64"/>
      <c r="CE529" s="64"/>
      <c r="CF529" s="64"/>
      <c r="CG529" s="64"/>
      <c r="CH529" s="64"/>
      <c r="CI529" s="64"/>
      <c r="CJ529" s="64"/>
      <c r="CK529" s="64"/>
      <c r="CL529" s="64"/>
      <c r="CM529" s="64"/>
      <c r="CN529" s="64"/>
      <c r="CO529" s="64"/>
      <c r="CP529" s="64"/>
      <c r="CQ529" s="64"/>
      <c r="CR529" s="64"/>
      <c r="CS529" s="64"/>
      <c r="CT529" s="64"/>
      <c r="CU529" s="64"/>
      <c r="CV529" s="64"/>
      <c r="CW529" s="64"/>
      <c r="CX529" s="64"/>
      <c r="CY529" s="64"/>
      <c r="CZ529" s="64"/>
      <c r="DA529" s="64"/>
      <c r="DB529" s="64"/>
      <c r="DC529" s="64"/>
      <c r="DD529" s="64"/>
      <c r="DE529" s="64"/>
      <c r="DF529" s="64"/>
      <c r="DG529" s="64"/>
    </row>
    <row r="530" ht="20.25" customHeight="1">
      <c r="A530" s="809" t="s">
        <v>520</v>
      </c>
      <c r="B530" s="316" t="s">
        <v>107</v>
      </c>
      <c r="C530" s="316" t="s">
        <v>2914</v>
      </c>
      <c r="D530" s="215"/>
      <c r="E530" s="232" t="s">
        <v>2981</v>
      </c>
      <c r="F530" s="386" t="s">
        <v>2916</v>
      </c>
      <c r="G530" s="232" t="s">
        <v>2917</v>
      </c>
      <c r="H530" s="597">
        <v>45478.0</v>
      </c>
      <c r="I530" s="597">
        <v>45663.0</v>
      </c>
      <c r="J530" s="232" t="s">
        <v>2959</v>
      </c>
      <c r="K530" s="322"/>
      <c r="L530" s="232" t="s">
        <v>2982</v>
      </c>
      <c r="M530" s="232" t="s">
        <v>2983</v>
      </c>
      <c r="N530" s="322"/>
      <c r="O530" s="232" t="s">
        <v>2896</v>
      </c>
      <c r="P530" s="48" t="str">
        <f t="array" ref="P530">HYPERLINK(INDEX('File Links'!B:B, MATCH(O530, 'File Links'!C:C, 0)))
</f>
        <v>https://drive.google.com/file/d/1IfVJze_D0VNVGP0qGB9jOH8T88AinA4X/view?usp=drivesdk</v>
      </c>
      <c r="Q530" s="232" t="s">
        <v>2984</v>
      </c>
      <c r="R530" s="232" t="s">
        <v>2985</v>
      </c>
      <c r="S530" s="322"/>
      <c r="T530" s="322"/>
      <c r="U530" s="232" t="s">
        <v>2899</v>
      </c>
      <c r="V530" s="232" t="s">
        <v>2919</v>
      </c>
      <c r="W530" s="45" t="str">
        <f t="array" ref="W530">HYPERLINK(INDEX('File Links'!B:B, MATCH(U530, 'File Links'!C:C, 0)))
</f>
        <v>#N/A</v>
      </c>
      <c r="X530" s="215"/>
      <c r="Y530" s="232" t="s">
        <v>220</v>
      </c>
      <c r="Z530" s="816" t="s">
        <v>2920</v>
      </c>
      <c r="AA530" s="322" t="s">
        <v>2921</v>
      </c>
      <c r="AB530" s="232" t="s">
        <v>2986</v>
      </c>
      <c r="AC530" s="232" t="s">
        <v>2965</v>
      </c>
      <c r="AD530" s="325">
        <v>25.0</v>
      </c>
      <c r="AE530" s="325">
        <v>344.0</v>
      </c>
      <c r="AF530" s="817">
        <v>-0.005</v>
      </c>
      <c r="AG530" s="232" t="s">
        <v>1006</v>
      </c>
      <c r="AH530" s="232" t="s">
        <v>2987</v>
      </c>
      <c r="AI530" s="599" t="s">
        <v>2384</v>
      </c>
      <c r="AJ530" s="364"/>
      <c r="AK530" s="386" t="s">
        <v>179</v>
      </c>
      <c r="AL530" s="322" t="s">
        <v>129</v>
      </c>
      <c r="AM530" s="364"/>
      <c r="AN530" s="322"/>
      <c r="AO530" s="325">
        <v>-0.131</v>
      </c>
      <c r="AP530" s="232" t="s">
        <v>1006</v>
      </c>
      <c r="AQ530" s="232" t="s">
        <v>2925</v>
      </c>
      <c r="AR530" s="232" t="s">
        <v>2384</v>
      </c>
      <c r="AS530" s="322"/>
      <c r="AT530" s="232" t="s">
        <v>179</v>
      </c>
      <c r="AU530" s="322" t="s">
        <v>129</v>
      </c>
      <c r="AV530" s="322"/>
      <c r="AW530" s="322" t="s">
        <v>434</v>
      </c>
      <c r="AX530" s="215"/>
      <c r="AY530" s="215"/>
      <c r="AZ530" s="64"/>
      <c r="BA530" s="64"/>
      <c r="BB530" s="64"/>
      <c r="BC530" s="64"/>
      <c r="BD530" s="64"/>
      <c r="BE530" s="64"/>
      <c r="BF530" s="64"/>
      <c r="BG530" s="64"/>
      <c r="BH530" s="64"/>
      <c r="BI530" s="64"/>
      <c r="BJ530" s="64"/>
      <c r="BK530" s="64"/>
      <c r="BL530" s="64"/>
      <c r="BM530" s="64"/>
      <c r="BN530" s="64"/>
      <c r="BO530" s="64"/>
      <c r="BP530" s="64"/>
      <c r="BQ530" s="64"/>
      <c r="BR530" s="64"/>
      <c r="BS530" s="64"/>
      <c r="BT530" s="64"/>
      <c r="BU530" s="64"/>
      <c r="BV530" s="64"/>
      <c r="BW530" s="64"/>
      <c r="BX530" s="64"/>
      <c r="BY530" s="64"/>
      <c r="BZ530" s="64"/>
      <c r="CA530" s="64"/>
      <c r="CB530" s="64"/>
      <c r="CC530" s="64"/>
      <c r="CD530" s="64"/>
      <c r="CE530" s="64"/>
      <c r="CF530" s="64"/>
      <c r="CG530" s="64"/>
      <c r="CH530" s="64"/>
      <c r="CI530" s="64"/>
      <c r="CJ530" s="64"/>
      <c r="CK530" s="64"/>
      <c r="CL530" s="64"/>
      <c r="CM530" s="64"/>
      <c r="CN530" s="64"/>
      <c r="CO530" s="64"/>
      <c r="CP530" s="64"/>
      <c r="CQ530" s="64"/>
      <c r="CR530" s="64"/>
      <c r="CS530" s="64"/>
      <c r="CT530" s="64"/>
      <c r="CU530" s="64"/>
      <c r="CV530" s="64"/>
      <c r="CW530" s="64"/>
      <c r="CX530" s="64"/>
      <c r="CY530" s="64"/>
      <c r="CZ530" s="64"/>
      <c r="DA530" s="64"/>
      <c r="DB530" s="64"/>
      <c r="DC530" s="64"/>
      <c r="DD530" s="64"/>
      <c r="DE530" s="64"/>
      <c r="DF530" s="64"/>
      <c r="DG530" s="64"/>
    </row>
    <row r="531" ht="20.25" customHeight="1">
      <c r="A531" s="809" t="s">
        <v>520</v>
      </c>
      <c r="B531" s="316" t="s">
        <v>107</v>
      </c>
      <c r="C531" s="316" t="s">
        <v>2914</v>
      </c>
      <c r="D531" s="215"/>
      <c r="E531" s="232" t="s">
        <v>2988</v>
      </c>
      <c r="F531" s="386" t="s">
        <v>2916</v>
      </c>
      <c r="G531" s="232" t="s">
        <v>2917</v>
      </c>
      <c r="H531" s="597">
        <v>45478.0</v>
      </c>
      <c r="I531" s="597">
        <v>45663.0</v>
      </c>
      <c r="J531" s="232" t="s">
        <v>2959</v>
      </c>
      <c r="K531" s="322"/>
      <c r="L531" s="232" t="s">
        <v>2989</v>
      </c>
      <c r="M531" s="232" t="s">
        <v>2990</v>
      </c>
      <c r="N531" s="322"/>
      <c r="O531" s="232" t="s">
        <v>2896</v>
      </c>
      <c r="P531" s="48" t="str">
        <f t="array" ref="P531">HYPERLINK(INDEX('File Links'!B:B, MATCH(O531, 'File Links'!C:C, 0)))
</f>
        <v>https://drive.google.com/file/d/1IfVJze_D0VNVGP0qGB9jOH8T88AinA4X/view?usp=drivesdk</v>
      </c>
      <c r="Q531" s="232" t="s">
        <v>2991</v>
      </c>
      <c r="R531" s="232" t="s">
        <v>2992</v>
      </c>
      <c r="S531" s="322"/>
      <c r="T531" s="322"/>
      <c r="U531" s="232" t="s">
        <v>2899</v>
      </c>
      <c r="V531" s="232" t="s">
        <v>2919</v>
      </c>
      <c r="W531" s="45" t="str">
        <f t="array" ref="W531">HYPERLINK(INDEX('File Links'!B:B, MATCH(U531, 'File Links'!C:C, 0)))
</f>
        <v>#N/A</v>
      </c>
      <c r="X531" s="215"/>
      <c r="Y531" s="232" t="s">
        <v>220</v>
      </c>
      <c r="Z531" s="816" t="s">
        <v>2920</v>
      </c>
      <c r="AA531" s="322" t="s">
        <v>2921</v>
      </c>
      <c r="AB531" s="232" t="s">
        <v>2993</v>
      </c>
      <c r="AC531" s="232" t="s">
        <v>2965</v>
      </c>
      <c r="AD531" s="325">
        <v>25.0</v>
      </c>
      <c r="AE531" s="325">
        <v>314.0</v>
      </c>
      <c r="AF531" s="817">
        <v>0.215</v>
      </c>
      <c r="AG531" s="232" t="s">
        <v>1006</v>
      </c>
      <c r="AH531" s="232" t="s">
        <v>2994</v>
      </c>
      <c r="AI531" s="599" t="s">
        <v>2384</v>
      </c>
      <c r="AJ531" s="364"/>
      <c r="AK531" s="386" t="s">
        <v>179</v>
      </c>
      <c r="AL531" s="322" t="s">
        <v>129</v>
      </c>
      <c r="AM531" s="364"/>
      <c r="AN531" s="322"/>
      <c r="AO531" s="325">
        <v>-0.191</v>
      </c>
      <c r="AP531" s="232" t="s">
        <v>1006</v>
      </c>
      <c r="AQ531" s="232" t="s">
        <v>2925</v>
      </c>
      <c r="AR531" s="232" t="s">
        <v>2384</v>
      </c>
      <c r="AS531" s="322"/>
      <c r="AT531" s="232" t="s">
        <v>179</v>
      </c>
      <c r="AU531" s="322" t="s">
        <v>129</v>
      </c>
      <c r="AV531" s="322"/>
      <c r="AW531" s="322" t="s">
        <v>434</v>
      </c>
      <c r="AX531" s="215"/>
      <c r="AY531" s="215"/>
      <c r="AZ531" s="64"/>
      <c r="BA531" s="64"/>
      <c r="BB531" s="64"/>
      <c r="BC531" s="64"/>
      <c r="BD531" s="64"/>
      <c r="BE531" s="64"/>
      <c r="BF531" s="64"/>
      <c r="BG531" s="64"/>
      <c r="BH531" s="64"/>
      <c r="BI531" s="64"/>
      <c r="BJ531" s="64"/>
      <c r="BK531" s="64"/>
      <c r="BL531" s="64"/>
      <c r="BM531" s="64"/>
      <c r="BN531" s="64"/>
      <c r="BO531" s="64"/>
      <c r="BP531" s="64"/>
      <c r="BQ531" s="64"/>
      <c r="BR531" s="64"/>
      <c r="BS531" s="64"/>
      <c r="BT531" s="64"/>
      <c r="BU531" s="64"/>
      <c r="BV531" s="64"/>
      <c r="BW531" s="64"/>
      <c r="BX531" s="64"/>
      <c r="BY531" s="64"/>
      <c r="BZ531" s="64"/>
      <c r="CA531" s="64"/>
      <c r="CB531" s="64"/>
      <c r="CC531" s="64"/>
      <c r="CD531" s="64"/>
      <c r="CE531" s="64"/>
      <c r="CF531" s="64"/>
      <c r="CG531" s="64"/>
      <c r="CH531" s="64"/>
      <c r="CI531" s="64"/>
      <c r="CJ531" s="64"/>
      <c r="CK531" s="64"/>
      <c r="CL531" s="64"/>
      <c r="CM531" s="64"/>
      <c r="CN531" s="64"/>
      <c r="CO531" s="64"/>
      <c r="CP531" s="64"/>
      <c r="CQ531" s="64"/>
      <c r="CR531" s="64"/>
      <c r="CS531" s="64"/>
      <c r="CT531" s="64"/>
      <c r="CU531" s="64"/>
      <c r="CV531" s="64"/>
      <c r="CW531" s="64"/>
      <c r="CX531" s="64"/>
      <c r="CY531" s="64"/>
      <c r="CZ531" s="64"/>
      <c r="DA531" s="64"/>
      <c r="DB531" s="64"/>
      <c r="DC531" s="64"/>
      <c r="DD531" s="64"/>
      <c r="DE531" s="64"/>
      <c r="DF531" s="64"/>
      <c r="DG531" s="64"/>
    </row>
    <row r="532" ht="20.25" customHeight="1">
      <c r="A532" s="809" t="s">
        <v>520</v>
      </c>
      <c r="B532" s="316" t="s">
        <v>107</v>
      </c>
      <c r="C532" s="316" t="s">
        <v>2914</v>
      </c>
      <c r="D532" s="215"/>
      <c r="E532" s="232" t="s">
        <v>2995</v>
      </c>
      <c r="F532" s="386" t="s">
        <v>2916</v>
      </c>
      <c r="G532" s="232" t="s">
        <v>2917</v>
      </c>
      <c r="H532" s="597">
        <v>45478.0</v>
      </c>
      <c r="I532" s="597">
        <v>45663.0</v>
      </c>
      <c r="J532" s="232" t="s">
        <v>2959</v>
      </c>
      <c r="K532" s="322"/>
      <c r="L532" s="232" t="s">
        <v>2989</v>
      </c>
      <c r="M532" s="232" t="s">
        <v>2990</v>
      </c>
      <c r="N532" s="322"/>
      <c r="O532" s="232" t="s">
        <v>2896</v>
      </c>
      <c r="P532" s="48" t="str">
        <f t="array" ref="P532">HYPERLINK(INDEX('File Links'!B:B, MATCH(O532, 'File Links'!C:C, 0)))
</f>
        <v>https://drive.google.com/file/d/1IfVJze_D0VNVGP0qGB9jOH8T88AinA4X/view?usp=drivesdk</v>
      </c>
      <c r="Q532" s="232" t="s">
        <v>2991</v>
      </c>
      <c r="R532" s="232" t="s">
        <v>2992</v>
      </c>
      <c r="S532" s="322"/>
      <c r="T532" s="322"/>
      <c r="U532" s="232" t="s">
        <v>2899</v>
      </c>
      <c r="V532" s="232" t="s">
        <v>2919</v>
      </c>
      <c r="W532" s="45" t="str">
        <f t="array" ref="W532">HYPERLINK(INDEX('File Links'!B:B, MATCH(U532, 'File Links'!C:C, 0)))
</f>
        <v>#N/A</v>
      </c>
      <c r="X532" s="215"/>
      <c r="Y532" s="232" t="s">
        <v>220</v>
      </c>
      <c r="Z532" s="816" t="s">
        <v>2920</v>
      </c>
      <c r="AA532" s="322" t="s">
        <v>2921</v>
      </c>
      <c r="AB532" s="322" t="s">
        <v>2996</v>
      </c>
      <c r="AC532" s="232" t="s">
        <v>2965</v>
      </c>
      <c r="AD532" s="325">
        <v>25.0</v>
      </c>
      <c r="AE532" s="325">
        <v>314.0</v>
      </c>
      <c r="AF532" s="817">
        <v>-0.005</v>
      </c>
      <c r="AG532" s="232" t="s">
        <v>1006</v>
      </c>
      <c r="AH532" s="232" t="s">
        <v>2994</v>
      </c>
      <c r="AI532" s="599" t="s">
        <v>2384</v>
      </c>
      <c r="AJ532" s="364"/>
      <c r="AK532" s="386" t="s">
        <v>179</v>
      </c>
      <c r="AL532" s="322" t="s">
        <v>129</v>
      </c>
      <c r="AM532" s="364"/>
      <c r="AN532" s="322"/>
      <c r="AO532" s="325">
        <v>-0.131</v>
      </c>
      <c r="AP532" s="232" t="s">
        <v>1006</v>
      </c>
      <c r="AQ532" s="232" t="s">
        <v>2925</v>
      </c>
      <c r="AR532" s="232" t="s">
        <v>2384</v>
      </c>
      <c r="AS532" s="322"/>
      <c r="AT532" s="232" t="s">
        <v>179</v>
      </c>
      <c r="AU532" s="322" t="s">
        <v>129</v>
      </c>
      <c r="AV532" s="322"/>
      <c r="AW532" s="322" t="s">
        <v>434</v>
      </c>
      <c r="AX532" s="215"/>
      <c r="AY532" s="215"/>
      <c r="AZ532" s="64"/>
      <c r="BA532" s="64"/>
      <c r="BB532" s="64"/>
      <c r="BC532" s="64"/>
      <c r="BD532" s="64"/>
      <c r="BE532" s="64"/>
      <c r="BF532" s="64"/>
      <c r="BG532" s="64"/>
      <c r="BH532" s="64"/>
      <c r="BI532" s="64"/>
      <c r="BJ532" s="64"/>
      <c r="BK532" s="64"/>
      <c r="BL532" s="64"/>
      <c r="BM532" s="64"/>
      <c r="BN532" s="64"/>
      <c r="BO532" s="64"/>
      <c r="BP532" s="64"/>
      <c r="BQ532" s="64"/>
      <c r="BR532" s="64"/>
      <c r="BS532" s="64"/>
      <c r="BT532" s="64"/>
      <c r="BU532" s="64"/>
      <c r="BV532" s="64"/>
      <c r="BW532" s="64"/>
      <c r="BX532" s="64"/>
      <c r="BY532" s="64"/>
      <c r="BZ532" s="64"/>
      <c r="CA532" s="64"/>
      <c r="CB532" s="64"/>
      <c r="CC532" s="64"/>
      <c r="CD532" s="64"/>
      <c r="CE532" s="64"/>
      <c r="CF532" s="64"/>
      <c r="CG532" s="64"/>
      <c r="CH532" s="64"/>
      <c r="CI532" s="64"/>
      <c r="CJ532" s="64"/>
      <c r="CK532" s="64"/>
      <c r="CL532" s="64"/>
      <c r="CM532" s="64"/>
      <c r="CN532" s="64"/>
      <c r="CO532" s="64"/>
      <c r="CP532" s="64"/>
      <c r="CQ532" s="64"/>
      <c r="CR532" s="64"/>
      <c r="CS532" s="64"/>
      <c r="CT532" s="64"/>
      <c r="CU532" s="64"/>
      <c r="CV532" s="64"/>
      <c r="CW532" s="64"/>
      <c r="CX532" s="64"/>
      <c r="CY532" s="64"/>
      <c r="CZ532" s="64"/>
      <c r="DA532" s="64"/>
      <c r="DB532" s="64"/>
      <c r="DC532" s="64"/>
      <c r="DD532" s="64"/>
      <c r="DE532" s="64"/>
      <c r="DF532" s="64"/>
      <c r="DG532" s="64"/>
    </row>
    <row r="533" ht="20.25" customHeight="1">
      <c r="A533" s="809" t="s">
        <v>520</v>
      </c>
      <c r="B533" s="316" t="s">
        <v>107</v>
      </c>
      <c r="C533" s="316" t="s">
        <v>2914</v>
      </c>
      <c r="D533" s="215"/>
      <c r="E533" s="232" t="s">
        <v>2997</v>
      </c>
      <c r="F533" s="386" t="s">
        <v>2916</v>
      </c>
      <c r="G533" s="232" t="s">
        <v>2917</v>
      </c>
      <c r="H533" s="597">
        <v>45478.0</v>
      </c>
      <c r="I533" s="597">
        <v>45663.0</v>
      </c>
      <c r="J533" s="232" t="s">
        <v>2959</v>
      </c>
      <c r="K533" s="322"/>
      <c r="L533" s="232" t="s">
        <v>2989</v>
      </c>
      <c r="M533" s="232" t="s">
        <v>2990</v>
      </c>
      <c r="N533" s="322"/>
      <c r="O533" s="232" t="s">
        <v>2896</v>
      </c>
      <c r="P533" s="48" t="str">
        <f t="array" ref="P533">HYPERLINK(INDEX('File Links'!B:B, MATCH(O533, 'File Links'!C:C, 0)))
</f>
        <v>https://drive.google.com/file/d/1IfVJze_D0VNVGP0qGB9jOH8T88AinA4X/view?usp=drivesdk</v>
      </c>
      <c r="Q533" s="232" t="s">
        <v>2991</v>
      </c>
      <c r="R533" s="232" t="s">
        <v>2992</v>
      </c>
      <c r="S533" s="322"/>
      <c r="T533" s="322"/>
      <c r="U533" s="232" t="s">
        <v>2899</v>
      </c>
      <c r="V533" s="232" t="s">
        <v>2919</v>
      </c>
      <c r="W533" s="45" t="str">
        <f t="array" ref="W533">HYPERLINK(INDEX('File Links'!B:B, MATCH(U533, 'File Links'!C:C, 0)))
</f>
        <v>#N/A</v>
      </c>
      <c r="X533" s="215"/>
      <c r="Y533" s="232" t="s">
        <v>220</v>
      </c>
      <c r="Z533" s="816" t="s">
        <v>2920</v>
      </c>
      <c r="AA533" s="322" t="s">
        <v>2921</v>
      </c>
      <c r="AB533" s="232" t="s">
        <v>2998</v>
      </c>
      <c r="AC533" s="232" t="s">
        <v>2965</v>
      </c>
      <c r="AD533" s="325">
        <v>25.0</v>
      </c>
      <c r="AE533" s="817">
        <v>380.0</v>
      </c>
      <c r="AF533" s="325">
        <v>-0.043</v>
      </c>
      <c r="AG533" s="232" t="s">
        <v>1006</v>
      </c>
      <c r="AH533" s="232" t="s">
        <v>2994</v>
      </c>
      <c r="AI533" s="599" t="s">
        <v>2384</v>
      </c>
      <c r="AJ533" s="364"/>
      <c r="AK533" s="386" t="s">
        <v>179</v>
      </c>
      <c r="AL533" s="322" t="s">
        <v>129</v>
      </c>
      <c r="AM533" s="364"/>
      <c r="AN533" s="322"/>
      <c r="AO533" s="325">
        <v>-0.154</v>
      </c>
      <c r="AP533" s="232" t="s">
        <v>1006</v>
      </c>
      <c r="AQ533" s="232" t="s">
        <v>2925</v>
      </c>
      <c r="AR533" s="232" t="s">
        <v>2384</v>
      </c>
      <c r="AS533" s="322"/>
      <c r="AT533" s="232" t="s">
        <v>179</v>
      </c>
      <c r="AU533" s="322" t="s">
        <v>129</v>
      </c>
      <c r="AV533" s="322"/>
      <c r="AW533" s="322" t="s">
        <v>434</v>
      </c>
      <c r="AX533" s="215"/>
      <c r="AY533" s="215"/>
      <c r="AZ533" s="64"/>
      <c r="BA533" s="64"/>
      <c r="BB533" s="64"/>
      <c r="BC533" s="64"/>
      <c r="BD533" s="64"/>
      <c r="BE533" s="64"/>
      <c r="BF533" s="64"/>
      <c r="BG533" s="64"/>
      <c r="BH533" s="64"/>
      <c r="BI533" s="64"/>
      <c r="BJ533" s="64"/>
      <c r="BK533" s="64"/>
      <c r="BL533" s="64"/>
      <c r="BM533" s="64"/>
      <c r="BN533" s="64"/>
      <c r="BO533" s="64"/>
      <c r="BP533" s="64"/>
      <c r="BQ533" s="64"/>
      <c r="BR533" s="64"/>
      <c r="BS533" s="64"/>
      <c r="BT533" s="64"/>
      <c r="BU533" s="64"/>
      <c r="BV533" s="64"/>
      <c r="BW533" s="64"/>
      <c r="BX533" s="64"/>
      <c r="BY533" s="64"/>
      <c r="BZ533" s="64"/>
      <c r="CA533" s="64"/>
      <c r="CB533" s="64"/>
      <c r="CC533" s="64"/>
      <c r="CD533" s="64"/>
      <c r="CE533" s="64"/>
      <c r="CF533" s="64"/>
      <c r="CG533" s="64"/>
      <c r="CH533" s="64"/>
      <c r="CI533" s="64"/>
      <c r="CJ533" s="64"/>
      <c r="CK533" s="64"/>
      <c r="CL533" s="64"/>
      <c r="CM533" s="64"/>
      <c r="CN533" s="64"/>
      <c r="CO533" s="64"/>
      <c r="CP533" s="64"/>
      <c r="CQ533" s="64"/>
      <c r="CR533" s="64"/>
      <c r="CS533" s="64"/>
      <c r="CT533" s="64"/>
      <c r="CU533" s="64"/>
      <c r="CV533" s="64"/>
      <c r="CW533" s="64"/>
      <c r="CX533" s="64"/>
      <c r="CY533" s="64"/>
      <c r="CZ533" s="64"/>
      <c r="DA533" s="64"/>
      <c r="DB533" s="64"/>
      <c r="DC533" s="64"/>
      <c r="DD533" s="64"/>
      <c r="DE533" s="64"/>
      <c r="DF533" s="64"/>
      <c r="DG533" s="64"/>
    </row>
    <row r="534" ht="20.25" customHeight="1">
      <c r="A534" s="809" t="s">
        <v>520</v>
      </c>
      <c r="B534" s="316" t="s">
        <v>107</v>
      </c>
      <c r="C534" s="316" t="s">
        <v>2914</v>
      </c>
      <c r="D534" s="215"/>
      <c r="E534" s="232" t="s">
        <v>2999</v>
      </c>
      <c r="F534" s="386" t="s">
        <v>2916</v>
      </c>
      <c r="G534" s="232" t="s">
        <v>2917</v>
      </c>
      <c r="H534" s="597">
        <v>45478.0</v>
      </c>
      <c r="I534" s="597">
        <v>45663.0</v>
      </c>
      <c r="J534" s="232" t="s">
        <v>2959</v>
      </c>
      <c r="K534" s="322"/>
      <c r="L534" s="232" t="s">
        <v>2989</v>
      </c>
      <c r="M534" s="232" t="s">
        <v>2990</v>
      </c>
      <c r="N534" s="322"/>
      <c r="O534" s="232" t="s">
        <v>2896</v>
      </c>
      <c r="P534" s="48" t="str">
        <f t="array" ref="P534">HYPERLINK(INDEX('File Links'!B:B, MATCH(O534, 'File Links'!C:C, 0)))
</f>
        <v>https://drive.google.com/file/d/1IfVJze_D0VNVGP0qGB9jOH8T88AinA4X/view?usp=drivesdk</v>
      </c>
      <c r="Q534" s="232" t="s">
        <v>2991</v>
      </c>
      <c r="R534" s="232" t="s">
        <v>2992</v>
      </c>
      <c r="S534" s="322"/>
      <c r="T534" s="322"/>
      <c r="U534" s="232" t="s">
        <v>2899</v>
      </c>
      <c r="V534" s="232" t="s">
        <v>2919</v>
      </c>
      <c r="W534" s="45" t="str">
        <f t="array" ref="W534">HYPERLINK(INDEX('File Links'!B:B, MATCH(U534, 'File Links'!C:C, 0)))
</f>
        <v>#N/A</v>
      </c>
      <c r="X534" s="215"/>
      <c r="Y534" s="232" t="s">
        <v>220</v>
      </c>
      <c r="Z534" s="816" t="s">
        <v>2920</v>
      </c>
      <c r="AA534" s="322" t="s">
        <v>2921</v>
      </c>
      <c r="AB534" s="232" t="s">
        <v>3000</v>
      </c>
      <c r="AC534" s="232" t="s">
        <v>2965</v>
      </c>
      <c r="AD534" s="325">
        <v>25.0</v>
      </c>
      <c r="AE534" s="325">
        <v>380.0</v>
      </c>
      <c r="AF534" s="817">
        <v>-0.15</v>
      </c>
      <c r="AG534" s="232" t="s">
        <v>1006</v>
      </c>
      <c r="AH534" s="232" t="s">
        <v>2994</v>
      </c>
      <c r="AI534" s="599" t="s">
        <v>2384</v>
      </c>
      <c r="AJ534" s="364"/>
      <c r="AK534" s="386" t="s">
        <v>179</v>
      </c>
      <c r="AL534" s="322" t="s">
        <v>129</v>
      </c>
      <c r="AM534" s="364"/>
      <c r="AN534" s="322"/>
      <c r="AO534" s="325">
        <v>0.334</v>
      </c>
      <c r="AP534" s="232" t="s">
        <v>1006</v>
      </c>
      <c r="AQ534" s="232" t="s">
        <v>2925</v>
      </c>
      <c r="AR534" s="232" t="s">
        <v>2384</v>
      </c>
      <c r="AS534" s="322"/>
      <c r="AT534" s="232" t="s">
        <v>179</v>
      </c>
      <c r="AU534" s="322" t="s">
        <v>129</v>
      </c>
      <c r="AV534" s="322"/>
      <c r="AW534" s="322" t="s">
        <v>434</v>
      </c>
      <c r="AX534" s="215"/>
      <c r="AY534" s="215"/>
    </row>
    <row r="535" ht="20.25" customHeight="1">
      <c r="A535" s="809" t="s">
        <v>520</v>
      </c>
      <c r="B535" s="316" t="s">
        <v>107</v>
      </c>
      <c r="C535" s="316" t="s">
        <v>2914</v>
      </c>
      <c r="D535" s="215"/>
      <c r="E535" s="232" t="s">
        <v>3001</v>
      </c>
      <c r="F535" s="386" t="s">
        <v>2916</v>
      </c>
      <c r="G535" s="232" t="s">
        <v>2917</v>
      </c>
      <c r="H535" s="597">
        <v>45478.0</v>
      </c>
      <c r="I535" s="597">
        <v>45663.0</v>
      </c>
      <c r="J535" s="232" t="s">
        <v>2959</v>
      </c>
      <c r="K535" s="322"/>
      <c r="L535" s="232" t="s">
        <v>2989</v>
      </c>
      <c r="M535" s="232" t="s">
        <v>2990</v>
      </c>
      <c r="N535" s="322"/>
      <c r="O535" s="232" t="s">
        <v>2896</v>
      </c>
      <c r="P535" s="48" t="str">
        <f t="array" ref="P535">HYPERLINK(INDEX('File Links'!B:B, MATCH(O535, 'File Links'!C:C, 0)))
</f>
        <v>https://drive.google.com/file/d/1IfVJze_D0VNVGP0qGB9jOH8T88AinA4X/view?usp=drivesdk</v>
      </c>
      <c r="Q535" s="232" t="s">
        <v>2991</v>
      </c>
      <c r="R535" s="232" t="s">
        <v>2992</v>
      </c>
      <c r="S535" s="322"/>
      <c r="T535" s="322"/>
      <c r="U535" s="232" t="s">
        <v>2899</v>
      </c>
      <c r="V535" s="232" t="s">
        <v>2919</v>
      </c>
      <c r="W535" s="45" t="str">
        <f t="array" ref="W535">HYPERLINK(INDEX('File Links'!B:B, MATCH(U535, 'File Links'!C:C, 0)))
</f>
        <v>#N/A</v>
      </c>
      <c r="X535" s="215"/>
      <c r="Y535" s="232" t="s">
        <v>220</v>
      </c>
      <c r="Z535" s="816" t="s">
        <v>2920</v>
      </c>
      <c r="AA535" s="322" t="s">
        <v>2921</v>
      </c>
      <c r="AB535" s="232" t="s">
        <v>3002</v>
      </c>
      <c r="AC535" s="232" t="s">
        <v>2965</v>
      </c>
      <c r="AD535" s="325">
        <v>25.0</v>
      </c>
      <c r="AE535" s="325">
        <v>259.0</v>
      </c>
      <c r="AF535" s="817">
        <v>0.029</v>
      </c>
      <c r="AG535" s="232" t="s">
        <v>1006</v>
      </c>
      <c r="AH535" s="232" t="s">
        <v>2994</v>
      </c>
      <c r="AI535" s="599" t="s">
        <v>2384</v>
      </c>
      <c r="AJ535" s="364"/>
      <c r="AK535" s="386" t="s">
        <v>179</v>
      </c>
      <c r="AL535" s="322" t="s">
        <v>129</v>
      </c>
      <c r="AM535" s="364"/>
      <c r="AN535" s="322"/>
      <c r="AO535" s="325">
        <v>-0.003</v>
      </c>
      <c r="AP535" s="232" t="s">
        <v>1006</v>
      </c>
      <c r="AQ535" s="232" t="s">
        <v>2925</v>
      </c>
      <c r="AR535" s="232" t="s">
        <v>2384</v>
      </c>
      <c r="AS535" s="322"/>
      <c r="AT535" s="232" t="s">
        <v>179</v>
      </c>
      <c r="AU535" s="322" t="s">
        <v>129</v>
      </c>
      <c r="AV535" s="322"/>
      <c r="AW535" s="322" t="s">
        <v>434</v>
      </c>
      <c r="AX535" s="215"/>
      <c r="AY535" s="215"/>
    </row>
    <row r="536" ht="20.25" customHeight="1">
      <c r="A536" s="809" t="s">
        <v>520</v>
      </c>
      <c r="B536" s="316" t="s">
        <v>107</v>
      </c>
      <c r="C536" s="316" t="s">
        <v>2914</v>
      </c>
      <c r="D536" s="215"/>
      <c r="E536" s="232" t="s">
        <v>3003</v>
      </c>
      <c r="F536" s="386" t="s">
        <v>2916</v>
      </c>
      <c r="G536" s="232" t="s">
        <v>2917</v>
      </c>
      <c r="H536" s="597">
        <v>45478.0</v>
      </c>
      <c r="I536" s="597">
        <v>45663.0</v>
      </c>
      <c r="J536" s="232" t="s">
        <v>2959</v>
      </c>
      <c r="K536" s="322"/>
      <c r="L536" s="232" t="s">
        <v>2989</v>
      </c>
      <c r="M536" s="232" t="s">
        <v>2990</v>
      </c>
      <c r="N536" s="322"/>
      <c r="O536" s="232" t="s">
        <v>2896</v>
      </c>
      <c r="P536" s="48" t="str">
        <f t="array" ref="P536">HYPERLINK(INDEX('File Links'!B:B, MATCH(O536, 'File Links'!C:C, 0)))
</f>
        <v>https://drive.google.com/file/d/1IfVJze_D0VNVGP0qGB9jOH8T88AinA4X/view?usp=drivesdk</v>
      </c>
      <c r="Q536" s="232" t="s">
        <v>2991</v>
      </c>
      <c r="R536" s="232" t="s">
        <v>2992</v>
      </c>
      <c r="S536" s="322"/>
      <c r="T536" s="322"/>
      <c r="U536" s="232" t="s">
        <v>2899</v>
      </c>
      <c r="V536" s="232" t="s">
        <v>2919</v>
      </c>
      <c r="W536" s="45" t="str">
        <f t="array" ref="W536">HYPERLINK(INDEX('File Links'!B:B, MATCH(U536, 'File Links'!C:C, 0)))
</f>
        <v>#N/A</v>
      </c>
      <c r="X536" s="215"/>
      <c r="Y536" s="232" t="s">
        <v>220</v>
      </c>
      <c r="Z536" s="816" t="s">
        <v>2920</v>
      </c>
      <c r="AA536" s="322" t="s">
        <v>2921</v>
      </c>
      <c r="AB536" s="322" t="s">
        <v>3004</v>
      </c>
      <c r="AC536" s="232" t="s">
        <v>2965</v>
      </c>
      <c r="AD536" s="325">
        <v>25.0</v>
      </c>
      <c r="AE536" s="325">
        <v>259.0</v>
      </c>
      <c r="AF536" s="817">
        <v>0.062</v>
      </c>
      <c r="AG536" s="232" t="s">
        <v>1006</v>
      </c>
      <c r="AH536" s="232" t="s">
        <v>2994</v>
      </c>
      <c r="AI536" s="599" t="s">
        <v>2384</v>
      </c>
      <c r="AJ536" s="364"/>
      <c r="AK536" s="386" t="s">
        <v>179</v>
      </c>
      <c r="AL536" s="322" t="s">
        <v>129</v>
      </c>
      <c r="AM536" s="364"/>
      <c r="AN536" s="322"/>
      <c r="AO536" s="325">
        <v>0.045</v>
      </c>
      <c r="AP536" s="232" t="s">
        <v>1006</v>
      </c>
      <c r="AQ536" s="232" t="s">
        <v>2925</v>
      </c>
      <c r="AR536" s="232" t="s">
        <v>2384</v>
      </c>
      <c r="AS536" s="322"/>
      <c r="AT536" s="232" t="s">
        <v>179</v>
      </c>
      <c r="AU536" s="322" t="s">
        <v>129</v>
      </c>
      <c r="AV536" s="322"/>
      <c r="AW536" s="322" t="s">
        <v>434</v>
      </c>
      <c r="AX536" s="215"/>
      <c r="AY536" s="215"/>
    </row>
    <row r="537" ht="20.25" hidden="1" customHeight="1">
      <c r="A537" s="331" t="s">
        <v>279</v>
      </c>
      <c r="B537" s="331" t="s">
        <v>107</v>
      </c>
      <c r="C537" s="331" t="s">
        <v>2889</v>
      </c>
      <c r="D537" s="335"/>
      <c r="E537" s="332" t="s">
        <v>3005</v>
      </c>
      <c r="F537" s="331" t="s">
        <v>3006</v>
      </c>
      <c r="G537" s="331" t="s">
        <v>2892</v>
      </c>
      <c r="H537" s="820">
        <v>45478.0</v>
      </c>
      <c r="I537" s="820">
        <v>45633.0</v>
      </c>
      <c r="J537" s="331" t="s">
        <v>3007</v>
      </c>
      <c r="K537" s="335"/>
      <c r="L537" s="331" t="s">
        <v>3008</v>
      </c>
      <c r="M537" s="331" t="s">
        <v>3009</v>
      </c>
      <c r="N537" s="331">
        <v>1.0</v>
      </c>
      <c r="O537" s="331" t="s">
        <v>3010</v>
      </c>
      <c r="P537" s="48" t="str">
        <f t="array" ref="P537">HYPERLINK(INDEX('File Links'!B:B, MATCH(O537, 'File Links'!C:C, 0)))
</f>
        <v>https://drive.google.com/file/d/1bQdPG6N4D0o1pKlwFaURIS3ouXnJPLk2/view?usp=drivesdk</v>
      </c>
      <c r="Q537" s="331" t="s">
        <v>3011</v>
      </c>
      <c r="R537" s="331" t="s">
        <v>3012</v>
      </c>
      <c r="S537" s="335"/>
      <c r="T537" s="331">
        <v>1.0</v>
      </c>
      <c r="U537" s="331" t="s">
        <v>3013</v>
      </c>
      <c r="V537" s="331" t="s">
        <v>202</v>
      </c>
      <c r="W537" s="50" t="str">
        <f t="array" ref="W537">HYPERLINK(INDEX('File Links'!B:B, MATCH(U537, 'File Links'!C:C, 0)))
</f>
        <v>https://drive.google.com/file/d/1mAgtvtRNwI_LQ2ccnmAWuBfkaX8itu_d/view?usp=drivesdk</v>
      </c>
      <c r="X537" s="331" t="s">
        <v>3014</v>
      </c>
      <c r="Y537" s="331" t="s">
        <v>235</v>
      </c>
      <c r="Z537" s="335"/>
      <c r="AA537" s="335"/>
      <c r="AB537" s="335"/>
      <c r="AC537" s="335"/>
      <c r="AD537" s="335"/>
      <c r="AE537" s="335"/>
      <c r="AF537" s="335"/>
      <c r="AG537" s="331"/>
      <c r="AH537" s="335"/>
      <c r="AI537" s="335"/>
      <c r="AJ537" s="333"/>
      <c r="AK537" s="335"/>
      <c r="AL537" s="335"/>
      <c r="AM537" s="335"/>
      <c r="AN537" s="335"/>
      <c r="AO537" s="335"/>
      <c r="AP537" s="335"/>
      <c r="AQ537" s="335"/>
      <c r="AR537" s="335"/>
      <c r="AS537" s="333"/>
      <c r="AT537" s="333"/>
      <c r="AU537" s="738"/>
      <c r="AV537" s="333"/>
      <c r="AW537" s="333"/>
      <c r="AX537" s="335"/>
      <c r="AY537" s="333"/>
    </row>
    <row r="538" ht="20.25" customHeight="1">
      <c r="A538" s="332" t="s">
        <v>279</v>
      </c>
      <c r="B538" s="332" t="s">
        <v>107</v>
      </c>
      <c r="C538" s="332" t="s">
        <v>2914</v>
      </c>
      <c r="D538" s="333"/>
      <c r="E538" s="734" t="s">
        <v>3005</v>
      </c>
      <c r="F538" s="736" t="s">
        <v>3006</v>
      </c>
      <c r="G538" s="734" t="s">
        <v>2917</v>
      </c>
      <c r="H538" s="737">
        <v>45478.0</v>
      </c>
      <c r="I538" s="737">
        <v>45660.0</v>
      </c>
      <c r="J538" s="734" t="s">
        <v>3015</v>
      </c>
      <c r="K538" s="738"/>
      <c r="L538" s="734" t="s">
        <v>3008</v>
      </c>
      <c r="M538" s="734" t="s">
        <v>3009</v>
      </c>
      <c r="N538" s="738"/>
      <c r="O538" s="734" t="s">
        <v>3010</v>
      </c>
      <c r="P538" s="48" t="str">
        <f t="array" ref="P538">HYPERLINK(INDEX('File Links'!B:B, MATCH(O538, 'File Links'!C:C, 0)))
</f>
        <v>https://drive.google.com/file/d/1bQdPG6N4D0o1pKlwFaURIS3ouXnJPLk2/view?usp=drivesdk</v>
      </c>
      <c r="Q538" s="734" t="s">
        <v>3016</v>
      </c>
      <c r="R538" s="734" t="s">
        <v>3012</v>
      </c>
      <c r="S538" s="738"/>
      <c r="T538" s="738"/>
      <c r="U538" s="734" t="s">
        <v>3013</v>
      </c>
      <c r="V538" s="734" t="s">
        <v>3017</v>
      </c>
      <c r="W538" s="50" t="str">
        <f t="array" ref="W538">HYPERLINK(INDEX('File Links'!B:B, MATCH(U538, 'File Links'!C:C, 0)))
</f>
        <v>https://drive.google.com/file/d/1mAgtvtRNwI_LQ2ccnmAWuBfkaX8itu_d/view?usp=drivesdk</v>
      </c>
      <c r="X538" s="333"/>
      <c r="Y538" s="734" t="s">
        <v>235</v>
      </c>
      <c r="Z538" s="738" t="s">
        <v>3018</v>
      </c>
      <c r="AA538" s="734" t="s">
        <v>3019</v>
      </c>
      <c r="AB538" s="734" t="s">
        <v>3020</v>
      </c>
      <c r="AC538" s="821" t="s">
        <v>3021</v>
      </c>
      <c r="AD538" s="734" t="s">
        <v>3022</v>
      </c>
      <c r="AE538" s="739">
        <v>39.0</v>
      </c>
      <c r="AF538" s="738"/>
      <c r="AG538" s="738"/>
      <c r="AH538" s="734" t="s">
        <v>3023</v>
      </c>
      <c r="AI538" s="740"/>
      <c r="AJ538" s="741"/>
      <c r="AK538" s="741"/>
      <c r="AL538" s="738"/>
      <c r="AM538" s="741"/>
      <c r="AN538" s="739">
        <v>42.0</v>
      </c>
      <c r="AO538" s="738"/>
      <c r="AP538" s="738"/>
      <c r="AQ538" s="734" t="s">
        <v>3024</v>
      </c>
      <c r="AR538" s="738"/>
      <c r="AS538" s="738"/>
      <c r="AT538" s="738"/>
      <c r="AU538" s="738"/>
      <c r="AV538" s="738"/>
      <c r="AW538" s="738" t="s">
        <v>134</v>
      </c>
      <c r="AX538" s="333"/>
      <c r="AY538" s="333"/>
    </row>
    <row r="539" ht="20.25" customHeight="1">
      <c r="A539" s="344" t="s">
        <v>106</v>
      </c>
      <c r="B539" s="344" t="s">
        <v>107</v>
      </c>
      <c r="C539" s="344" t="s">
        <v>2889</v>
      </c>
      <c r="D539" s="624"/>
      <c r="E539" s="177" t="s">
        <v>3025</v>
      </c>
      <c r="F539" s="344" t="s">
        <v>3026</v>
      </c>
      <c r="G539" s="344" t="s">
        <v>2892</v>
      </c>
      <c r="H539" s="822">
        <v>45633.0</v>
      </c>
      <c r="I539" s="159">
        <v>45688.0</v>
      </c>
      <c r="J539" s="624"/>
      <c r="K539" s="624"/>
      <c r="L539" s="344" t="s">
        <v>3027</v>
      </c>
      <c r="M539" s="344" t="s">
        <v>3028</v>
      </c>
      <c r="N539" s="344">
        <v>1.0</v>
      </c>
      <c r="O539" s="344" t="s">
        <v>3029</v>
      </c>
      <c r="P539" s="48" t="str">
        <f t="array" ref="P539">HYPERLINK(INDEX('File Links'!B:B, MATCH(O539, 'File Links'!C:C, 0)))
</f>
        <v>https://drive.google.com/file/d/1EOobtRYPjKeO9_gYW4bu-_TIpK_PjuLA/view?usp=drivesdk</v>
      </c>
      <c r="Q539" s="344" t="s">
        <v>3030</v>
      </c>
      <c r="R539" s="344" t="s">
        <v>3031</v>
      </c>
      <c r="S539" s="624"/>
      <c r="T539" s="344">
        <v>1.0</v>
      </c>
      <c r="U539" s="344" t="s">
        <v>3032</v>
      </c>
      <c r="V539" s="344" t="s">
        <v>202</v>
      </c>
      <c r="W539" s="50" t="str">
        <f t="array" ref="W539">HYPERLINK(INDEX('File Links'!B:B, MATCH(U539, 'File Links'!C:C, 0)))
</f>
        <v>https://drive.google.com/file/d/1VVeqTkEjSzuu9KSkYUb2Q1_BeFG8ZFes/view?usp=drivesdk</v>
      </c>
      <c r="X539" s="624"/>
      <c r="Y539" s="344" t="s">
        <v>220</v>
      </c>
      <c r="Z539" s="823" t="s">
        <v>3033</v>
      </c>
      <c r="AA539" s="344" t="s">
        <v>3034</v>
      </c>
      <c r="AB539" s="823" t="s">
        <v>3035</v>
      </c>
      <c r="AC539" s="344" t="s">
        <v>3036</v>
      </c>
      <c r="AD539" s="344">
        <v>2.0</v>
      </c>
      <c r="AE539" s="344">
        <v>576.0</v>
      </c>
      <c r="AF539" s="344">
        <v>0.13</v>
      </c>
      <c r="AG539" s="344" t="s">
        <v>357</v>
      </c>
      <c r="AH539" s="344" t="s">
        <v>886</v>
      </c>
      <c r="AI539" s="344">
        <v>0.007</v>
      </c>
      <c r="AJ539" s="177" t="s">
        <v>164</v>
      </c>
      <c r="AK539" s="344" t="s">
        <v>179</v>
      </c>
      <c r="AL539" s="344" t="s">
        <v>129</v>
      </c>
      <c r="AM539" s="824" t="s">
        <v>3037</v>
      </c>
      <c r="AN539" s="344">
        <v>961.0</v>
      </c>
      <c r="AO539" s="344">
        <v>0.095</v>
      </c>
      <c r="AP539" s="344" t="s">
        <v>357</v>
      </c>
      <c r="AQ539" s="344" t="s">
        <v>861</v>
      </c>
      <c r="AR539" s="344">
        <v>0.014</v>
      </c>
      <c r="AS539" s="177" t="s">
        <v>164</v>
      </c>
      <c r="AT539" s="177" t="s">
        <v>179</v>
      </c>
      <c r="AU539" s="350" t="s">
        <v>129</v>
      </c>
      <c r="AV539" s="825" t="s">
        <v>3038</v>
      </c>
      <c r="AW539" s="177" t="s">
        <v>134</v>
      </c>
      <c r="AX539" s="344" t="s">
        <v>3039</v>
      </c>
      <c r="AY539" s="177" t="s">
        <v>135</v>
      </c>
    </row>
    <row r="540" ht="20.25" customHeight="1">
      <c r="A540" s="344" t="s">
        <v>143</v>
      </c>
      <c r="B540" s="177" t="s">
        <v>107</v>
      </c>
      <c r="C540" s="177" t="s">
        <v>2914</v>
      </c>
      <c r="D540" s="178"/>
      <c r="E540" s="179" t="s">
        <v>3025</v>
      </c>
      <c r="F540" s="180" t="s">
        <v>3026</v>
      </c>
      <c r="G540" s="188" t="s">
        <v>2917</v>
      </c>
      <c r="H540" s="181">
        <v>45635.0</v>
      </c>
      <c r="I540" s="159">
        <v>45688.0</v>
      </c>
      <c r="J540" s="188" t="s">
        <v>3040</v>
      </c>
      <c r="K540" s="179"/>
      <c r="L540" s="188" t="s">
        <v>3027</v>
      </c>
      <c r="M540" s="188" t="s">
        <v>3028</v>
      </c>
      <c r="N540" s="695">
        <v>1.0</v>
      </c>
      <c r="O540" s="188" t="s">
        <v>3029</v>
      </c>
      <c r="P540" s="48" t="str">
        <f t="array" ref="P540">HYPERLINK(INDEX('File Links'!B:B, MATCH(O540, 'File Links'!C:C, 0)))
</f>
        <v>https://drive.google.com/file/d/1EOobtRYPjKeO9_gYW4bu-_TIpK_PjuLA/view?usp=drivesdk</v>
      </c>
      <c r="Q540" s="344" t="s">
        <v>3030</v>
      </c>
      <c r="R540" s="188" t="s">
        <v>3031</v>
      </c>
      <c r="S540" s="179"/>
      <c r="T540" s="344">
        <v>1.0</v>
      </c>
      <c r="U540" s="188" t="s">
        <v>3032</v>
      </c>
      <c r="V540" s="344" t="s">
        <v>202</v>
      </c>
      <c r="W540" s="50" t="str">
        <f t="array" ref="W540">HYPERLINK(INDEX('File Links'!B:B, MATCH(U540, 'File Links'!C:C, 0)))
</f>
        <v>https://drive.google.com/file/d/1VVeqTkEjSzuu9KSkYUb2Q1_BeFG8ZFes/view?usp=drivesdk</v>
      </c>
      <c r="X540" s="178"/>
      <c r="Y540" s="344" t="s">
        <v>220</v>
      </c>
      <c r="Z540" s="188" t="s">
        <v>3033</v>
      </c>
      <c r="AA540" s="826" t="s">
        <v>3034</v>
      </c>
      <c r="AB540" s="188" t="s">
        <v>3035</v>
      </c>
      <c r="AC540" s="344" t="s">
        <v>3036</v>
      </c>
      <c r="AD540" s="695">
        <v>2.0</v>
      </c>
      <c r="AE540" s="826">
        <v>576.0</v>
      </c>
      <c r="AF540" s="695">
        <v>0.13</v>
      </c>
      <c r="AG540" s="188" t="s">
        <v>357</v>
      </c>
      <c r="AH540" s="344" t="s">
        <v>886</v>
      </c>
      <c r="AI540" s="827">
        <v>0.007</v>
      </c>
      <c r="AJ540" s="180" t="s">
        <v>164</v>
      </c>
      <c r="AK540" s="180" t="s">
        <v>179</v>
      </c>
      <c r="AL540" s="179" t="s">
        <v>129</v>
      </c>
      <c r="AM540" s="828" t="s">
        <v>3037</v>
      </c>
      <c r="AN540" s="695">
        <v>961.0</v>
      </c>
      <c r="AO540" s="695">
        <v>0.095</v>
      </c>
      <c r="AP540" s="188" t="s">
        <v>357</v>
      </c>
      <c r="AQ540" s="344" t="s">
        <v>861</v>
      </c>
      <c r="AR540" s="826">
        <v>0.014</v>
      </c>
      <c r="AS540" s="188" t="s">
        <v>164</v>
      </c>
      <c r="AT540" s="188" t="s">
        <v>179</v>
      </c>
      <c r="AU540" s="179" t="s">
        <v>129</v>
      </c>
      <c r="AV540" s="829" t="s">
        <v>3038</v>
      </c>
      <c r="AW540" s="179" t="s">
        <v>134</v>
      </c>
      <c r="AX540" s="344" t="s">
        <v>3039</v>
      </c>
      <c r="AY540" s="177" t="s">
        <v>135</v>
      </c>
    </row>
    <row r="541" ht="20.25" customHeight="1">
      <c r="A541" s="65" t="s">
        <v>520</v>
      </c>
      <c r="B541" s="65" t="s">
        <v>107</v>
      </c>
      <c r="C541" s="65" t="s">
        <v>2889</v>
      </c>
      <c r="D541" s="66"/>
      <c r="E541" s="85" t="s">
        <v>3041</v>
      </c>
      <c r="F541" s="65" t="s">
        <v>3042</v>
      </c>
      <c r="G541" s="65" t="s">
        <v>2892</v>
      </c>
      <c r="H541" s="830">
        <v>45489.0</v>
      </c>
      <c r="I541" s="830">
        <v>45634.0</v>
      </c>
      <c r="J541" s="66"/>
      <c r="K541" s="66"/>
      <c r="L541" s="65" t="s">
        <v>3043</v>
      </c>
      <c r="M541" s="65" t="s">
        <v>3044</v>
      </c>
      <c r="N541" s="65" t="s">
        <v>3045</v>
      </c>
      <c r="O541" s="65" t="s">
        <v>3046</v>
      </c>
      <c r="P541" s="48" t="str">
        <f t="array" ref="P541">HYPERLINK(INDEX('File Links'!B:B, MATCH(O541, 'File Links'!C:C, 0)))
</f>
        <v>https://drive.google.com/file/d/1Dle9tBaQJnicGTbi-WNIWZLHBhpRMBFu/view?usp=drivesdk</v>
      </c>
      <c r="Q541" s="65" t="s">
        <v>3047</v>
      </c>
      <c r="R541" s="65" t="s">
        <v>3048</v>
      </c>
      <c r="S541" s="66"/>
      <c r="T541" s="65" t="s">
        <v>3045</v>
      </c>
      <c r="U541" s="65" t="s">
        <v>3049</v>
      </c>
      <c r="V541" s="65" t="s">
        <v>202</v>
      </c>
      <c r="W541" s="50" t="str">
        <f t="array" ref="W541">HYPERLINK(INDEX('File Links'!B:B, MATCH(U541, 'File Links'!C:C, 0)))
</f>
        <v>https://drive.google.com/file/d/1DMMXxQwzUbOxshIWiT8AwdGZ588_WZ8b/view?usp=drivesdk</v>
      </c>
      <c r="X541" s="66"/>
      <c r="Y541" s="65" t="s">
        <v>139</v>
      </c>
      <c r="Z541" s="66"/>
      <c r="AA541" s="65" t="s">
        <v>3050</v>
      </c>
      <c r="AB541" s="65" t="s">
        <v>3051</v>
      </c>
      <c r="AC541" s="65" t="s">
        <v>3052</v>
      </c>
      <c r="AD541" s="65">
        <v>3.0</v>
      </c>
      <c r="AE541" s="65">
        <v>462.0</v>
      </c>
      <c r="AF541" s="65">
        <v>0.32</v>
      </c>
      <c r="AG541" s="65" t="s">
        <v>166</v>
      </c>
      <c r="AH541" s="65" t="s">
        <v>886</v>
      </c>
      <c r="AI541" s="65">
        <v>0.001</v>
      </c>
      <c r="AJ541" s="85" t="s">
        <v>127</v>
      </c>
      <c r="AK541" s="65" t="s">
        <v>128</v>
      </c>
      <c r="AL541" s="65" t="s">
        <v>129</v>
      </c>
      <c r="AM541" s="66"/>
      <c r="AN541" s="65">
        <v>475.0</v>
      </c>
      <c r="AO541" s="65">
        <v>0.009</v>
      </c>
      <c r="AP541" s="65" t="s">
        <v>166</v>
      </c>
      <c r="AQ541" s="65" t="s">
        <v>861</v>
      </c>
      <c r="AR541" s="65">
        <v>0.924</v>
      </c>
      <c r="AS541" s="85" t="s">
        <v>164</v>
      </c>
      <c r="AT541" s="85" t="s">
        <v>128</v>
      </c>
      <c r="AU541" s="72" t="s">
        <v>129</v>
      </c>
      <c r="AV541" s="831" t="s">
        <v>3053</v>
      </c>
      <c r="AW541" s="85" t="s">
        <v>134</v>
      </c>
      <c r="AX541" s="66"/>
      <c r="AY541" s="84"/>
    </row>
    <row r="542" ht="20.25" customHeight="1">
      <c r="A542" s="65" t="s">
        <v>520</v>
      </c>
      <c r="B542" s="85" t="s">
        <v>107</v>
      </c>
      <c r="C542" s="85" t="s">
        <v>2914</v>
      </c>
      <c r="D542" s="84"/>
      <c r="E542" s="86" t="s">
        <v>3054</v>
      </c>
      <c r="F542" s="69" t="s">
        <v>3042</v>
      </c>
      <c r="G542" s="87" t="s">
        <v>2917</v>
      </c>
      <c r="H542" s="798">
        <v>45489.0</v>
      </c>
      <c r="I542" s="798">
        <v>45663.0</v>
      </c>
      <c r="J542" s="87" t="s">
        <v>3055</v>
      </c>
      <c r="K542" s="86"/>
      <c r="L542" s="87" t="s">
        <v>3043</v>
      </c>
      <c r="M542" s="87" t="s">
        <v>3044</v>
      </c>
      <c r="N542" s="87" t="s">
        <v>3045</v>
      </c>
      <c r="O542" s="87" t="s">
        <v>3046</v>
      </c>
      <c r="P542" s="48" t="str">
        <f t="array" ref="P542">HYPERLINK(INDEX('File Links'!B:B, MATCH(O542, 'File Links'!C:C, 0)))
</f>
        <v>https://drive.google.com/file/d/1Dle9tBaQJnicGTbi-WNIWZLHBhpRMBFu/view?usp=drivesdk</v>
      </c>
      <c r="Q542" s="87" t="s">
        <v>3047</v>
      </c>
      <c r="R542" s="87" t="s">
        <v>3048</v>
      </c>
      <c r="S542" s="86"/>
      <c r="T542" s="86"/>
      <c r="U542" s="87" t="s">
        <v>3049</v>
      </c>
      <c r="V542" s="87" t="s">
        <v>3017</v>
      </c>
      <c r="W542" s="50" t="str">
        <f t="array" ref="W542">HYPERLINK(INDEX('File Links'!B:B, MATCH(U542, 'File Links'!C:C, 0)))
</f>
        <v>https://drive.google.com/file/d/1DMMXxQwzUbOxshIWiT8AwdGZ588_WZ8b/view?usp=drivesdk</v>
      </c>
      <c r="X542" s="84"/>
      <c r="Y542" s="87" t="s">
        <v>220</v>
      </c>
      <c r="Z542" s="87" t="s">
        <v>3056</v>
      </c>
      <c r="AA542" s="87" t="s">
        <v>3057</v>
      </c>
      <c r="AB542" s="832" t="s">
        <v>3058</v>
      </c>
      <c r="AC542" s="87" t="s">
        <v>3059</v>
      </c>
      <c r="AD542" s="89">
        <v>3.0</v>
      </c>
      <c r="AE542" s="89">
        <f t="shared" ref="AE542:AE543" si="32">228+234</f>
        <v>462</v>
      </c>
      <c r="AF542" s="833">
        <v>0.32</v>
      </c>
      <c r="AG542" s="87" t="s">
        <v>166</v>
      </c>
      <c r="AH542" s="87" t="s">
        <v>3060</v>
      </c>
      <c r="AI542" s="571">
        <v>0.001</v>
      </c>
      <c r="AJ542" s="69" t="s">
        <v>127</v>
      </c>
      <c r="AK542" s="69" t="s">
        <v>179</v>
      </c>
      <c r="AL542" s="86" t="s">
        <v>129</v>
      </c>
      <c r="AM542" s="75"/>
      <c r="AN542" s="89">
        <f t="shared" ref="AN542:AN543" si="33">236+239</f>
        <v>475</v>
      </c>
      <c r="AO542" s="89">
        <v>0.009</v>
      </c>
      <c r="AP542" s="87" t="s">
        <v>166</v>
      </c>
      <c r="AQ542" s="87" t="s">
        <v>3061</v>
      </c>
      <c r="AR542" s="89">
        <v>0.924</v>
      </c>
      <c r="AS542" s="87" t="s">
        <v>164</v>
      </c>
      <c r="AT542" s="87" t="s">
        <v>128</v>
      </c>
      <c r="AU542" s="86" t="s">
        <v>129</v>
      </c>
      <c r="AV542" s="92" t="s">
        <v>3053</v>
      </c>
      <c r="AW542" s="86" t="s">
        <v>134</v>
      </c>
      <c r="AX542" s="84"/>
      <c r="AY542" s="84"/>
    </row>
    <row r="543" ht="20.25" customHeight="1">
      <c r="A543" s="65" t="s">
        <v>520</v>
      </c>
      <c r="B543" s="85" t="s">
        <v>107</v>
      </c>
      <c r="C543" s="85" t="s">
        <v>2914</v>
      </c>
      <c r="D543" s="84"/>
      <c r="E543" s="86" t="s">
        <v>3062</v>
      </c>
      <c r="F543" s="69" t="s">
        <v>3042</v>
      </c>
      <c r="G543" s="87" t="s">
        <v>2917</v>
      </c>
      <c r="H543" s="798">
        <v>45489.0</v>
      </c>
      <c r="I543" s="798">
        <v>45663.0</v>
      </c>
      <c r="J543" s="87" t="s">
        <v>3055</v>
      </c>
      <c r="K543" s="86"/>
      <c r="L543" s="87" t="s">
        <v>3043</v>
      </c>
      <c r="M543" s="87" t="s">
        <v>3044</v>
      </c>
      <c r="N543" s="87" t="s">
        <v>3045</v>
      </c>
      <c r="O543" s="87" t="s">
        <v>3046</v>
      </c>
      <c r="P543" s="48" t="str">
        <f t="array" ref="P543">HYPERLINK(INDEX('File Links'!B:B, MATCH(O543, 'File Links'!C:C, 0)))
</f>
        <v>https://drive.google.com/file/d/1Dle9tBaQJnicGTbi-WNIWZLHBhpRMBFu/view?usp=drivesdk</v>
      </c>
      <c r="Q543" s="87" t="s">
        <v>3047</v>
      </c>
      <c r="R543" s="87" t="s">
        <v>3048</v>
      </c>
      <c r="S543" s="86"/>
      <c r="T543" s="86"/>
      <c r="U543" s="87" t="s">
        <v>3049</v>
      </c>
      <c r="V543" s="87" t="s">
        <v>3017</v>
      </c>
      <c r="W543" s="50" t="str">
        <f t="array" ref="W543">HYPERLINK(INDEX('File Links'!B:B, MATCH(U543, 'File Links'!C:C, 0)))
</f>
        <v>https://drive.google.com/file/d/1DMMXxQwzUbOxshIWiT8AwdGZ588_WZ8b/view?usp=drivesdk</v>
      </c>
      <c r="X543" s="84"/>
      <c r="Y543" s="87" t="s">
        <v>220</v>
      </c>
      <c r="Z543" s="87" t="s">
        <v>3056</v>
      </c>
      <c r="AA543" s="87" t="s">
        <v>3057</v>
      </c>
      <c r="AB543" s="832" t="s">
        <v>3063</v>
      </c>
      <c r="AC543" s="87" t="s">
        <v>3064</v>
      </c>
      <c r="AD543" s="89">
        <v>3.0</v>
      </c>
      <c r="AE543" s="89">
        <f t="shared" si="32"/>
        <v>462</v>
      </c>
      <c r="AF543" s="833">
        <v>0.72</v>
      </c>
      <c r="AG543" s="87" t="s">
        <v>166</v>
      </c>
      <c r="AH543" s="87" t="s">
        <v>3065</v>
      </c>
      <c r="AI543" s="571">
        <v>0.001</v>
      </c>
      <c r="AJ543" s="69" t="s">
        <v>127</v>
      </c>
      <c r="AK543" s="69" t="s">
        <v>179</v>
      </c>
      <c r="AL543" s="86" t="s">
        <v>129</v>
      </c>
      <c r="AM543" s="75"/>
      <c r="AN543" s="89">
        <f t="shared" si="33"/>
        <v>475</v>
      </c>
      <c r="AO543" s="89">
        <v>0.77</v>
      </c>
      <c r="AP543" s="87" t="s">
        <v>166</v>
      </c>
      <c r="AQ543" s="87" t="s">
        <v>3066</v>
      </c>
      <c r="AR543" s="89">
        <v>0.001</v>
      </c>
      <c r="AS543" s="87" t="s">
        <v>127</v>
      </c>
      <c r="AT543" s="87" t="s">
        <v>179</v>
      </c>
      <c r="AU543" s="86" t="s">
        <v>129</v>
      </c>
      <c r="AV543" s="86"/>
      <c r="AW543" s="86" t="s">
        <v>134</v>
      </c>
      <c r="AX543" s="84"/>
      <c r="AY543" s="84"/>
    </row>
    <row r="544" ht="20.25" customHeight="1">
      <c r="A544" s="65" t="s">
        <v>520</v>
      </c>
      <c r="B544" s="85" t="s">
        <v>107</v>
      </c>
      <c r="C544" s="85" t="s">
        <v>2914</v>
      </c>
      <c r="D544" s="84"/>
      <c r="E544" s="86" t="s">
        <v>3067</v>
      </c>
      <c r="F544" s="69" t="s">
        <v>3042</v>
      </c>
      <c r="G544" s="87" t="s">
        <v>2917</v>
      </c>
      <c r="H544" s="798">
        <v>45489.0</v>
      </c>
      <c r="I544" s="798">
        <v>45663.0</v>
      </c>
      <c r="J544" s="87" t="s">
        <v>3068</v>
      </c>
      <c r="K544" s="86"/>
      <c r="L544" s="87" t="s">
        <v>3043</v>
      </c>
      <c r="M544" s="87" t="s">
        <v>3044</v>
      </c>
      <c r="N544" s="87" t="s">
        <v>3045</v>
      </c>
      <c r="O544" s="87" t="s">
        <v>3046</v>
      </c>
      <c r="P544" s="48" t="str">
        <f t="array" ref="P544">HYPERLINK(INDEX('File Links'!B:B, MATCH(O544, 'File Links'!C:C, 0)))
</f>
        <v>https://drive.google.com/file/d/1Dle9tBaQJnicGTbi-WNIWZLHBhpRMBFu/view?usp=drivesdk</v>
      </c>
      <c r="Q544" s="87" t="s">
        <v>3047</v>
      </c>
      <c r="R544" s="87" t="s">
        <v>3048</v>
      </c>
      <c r="S544" s="86"/>
      <c r="T544" s="86"/>
      <c r="U544" s="87" t="s">
        <v>3049</v>
      </c>
      <c r="V544" s="87" t="s">
        <v>3017</v>
      </c>
      <c r="W544" s="50" t="str">
        <f t="array" ref="W544">HYPERLINK(INDEX('File Links'!B:B, MATCH(U544, 'File Links'!C:C, 0)))
</f>
        <v>https://drive.google.com/file/d/1DMMXxQwzUbOxshIWiT8AwdGZ588_WZ8b/view?usp=drivesdk</v>
      </c>
      <c r="X544" s="84"/>
      <c r="Y544" s="87" t="s">
        <v>220</v>
      </c>
      <c r="Z544" s="87" t="s">
        <v>3056</v>
      </c>
      <c r="AA544" s="87" t="s">
        <v>3057</v>
      </c>
      <c r="AB544" s="832" t="s">
        <v>3069</v>
      </c>
      <c r="AC544" s="87" t="s">
        <v>3064</v>
      </c>
      <c r="AD544" s="89">
        <v>3.0</v>
      </c>
      <c r="AE544" s="89">
        <v>462.0</v>
      </c>
      <c r="AF544" s="833">
        <v>3.83</v>
      </c>
      <c r="AG544" s="87" t="s">
        <v>162</v>
      </c>
      <c r="AH544" s="87" t="s">
        <v>3070</v>
      </c>
      <c r="AI544" s="90" t="s">
        <v>3071</v>
      </c>
      <c r="AJ544" s="75"/>
      <c r="AK544" s="75"/>
      <c r="AL544" s="86"/>
      <c r="AM544" s="75"/>
      <c r="AN544" s="89">
        <v>475.0</v>
      </c>
      <c r="AO544" s="89">
        <v>2.83</v>
      </c>
      <c r="AP544" s="86" t="s">
        <v>162</v>
      </c>
      <c r="AQ544" s="87" t="s">
        <v>3072</v>
      </c>
      <c r="AR544" s="87" t="s">
        <v>3071</v>
      </c>
      <c r="AS544" s="86"/>
      <c r="AT544" s="86"/>
      <c r="AU544" s="86"/>
      <c r="AV544" s="86"/>
      <c r="AW544" s="86" t="s">
        <v>134</v>
      </c>
      <c r="AX544" s="84"/>
      <c r="AY544" s="84"/>
    </row>
    <row r="545" ht="20.25" customHeight="1">
      <c r="A545" s="65" t="s">
        <v>520</v>
      </c>
      <c r="B545" s="85" t="s">
        <v>107</v>
      </c>
      <c r="C545" s="85" t="s">
        <v>2914</v>
      </c>
      <c r="D545" s="84"/>
      <c r="E545" s="86" t="s">
        <v>3073</v>
      </c>
      <c r="F545" s="69" t="s">
        <v>3042</v>
      </c>
      <c r="G545" s="87" t="s">
        <v>2917</v>
      </c>
      <c r="H545" s="798">
        <v>45489.0</v>
      </c>
      <c r="I545" s="798">
        <v>45663.0</v>
      </c>
      <c r="J545" s="87" t="s">
        <v>3074</v>
      </c>
      <c r="K545" s="86"/>
      <c r="L545" s="87" t="s">
        <v>3043</v>
      </c>
      <c r="M545" s="87" t="s">
        <v>3044</v>
      </c>
      <c r="N545" s="87" t="s">
        <v>3045</v>
      </c>
      <c r="O545" s="87" t="s">
        <v>3046</v>
      </c>
      <c r="P545" s="48" t="str">
        <f t="array" ref="P545">HYPERLINK(INDEX('File Links'!B:B, MATCH(O545, 'File Links'!C:C, 0)))
</f>
        <v>https://drive.google.com/file/d/1Dle9tBaQJnicGTbi-WNIWZLHBhpRMBFu/view?usp=drivesdk</v>
      </c>
      <c r="Q545" s="87" t="s">
        <v>3047</v>
      </c>
      <c r="R545" s="87" t="s">
        <v>3048</v>
      </c>
      <c r="S545" s="86"/>
      <c r="T545" s="86"/>
      <c r="U545" s="87" t="s">
        <v>3049</v>
      </c>
      <c r="V545" s="87" t="s">
        <v>3017</v>
      </c>
      <c r="W545" s="50" t="str">
        <f t="array" ref="W545">HYPERLINK(INDEX('File Links'!B:B, MATCH(U545, 'File Links'!C:C, 0)))
</f>
        <v>https://drive.google.com/file/d/1DMMXxQwzUbOxshIWiT8AwdGZ588_WZ8b/view?usp=drivesdk</v>
      </c>
      <c r="X545" s="84"/>
      <c r="Y545" s="87" t="s">
        <v>220</v>
      </c>
      <c r="Z545" s="87" t="s">
        <v>3056</v>
      </c>
      <c r="AA545" s="87" t="s">
        <v>3057</v>
      </c>
      <c r="AB545" s="832" t="s">
        <v>3075</v>
      </c>
      <c r="AC545" s="86" t="s">
        <v>3076</v>
      </c>
      <c r="AD545" s="89">
        <v>3.0</v>
      </c>
      <c r="AE545" s="89">
        <f t="shared" ref="AE545:AE547" si="34">133+95</f>
        <v>228</v>
      </c>
      <c r="AF545" s="833">
        <v>0.36</v>
      </c>
      <c r="AG545" s="87" t="s">
        <v>166</v>
      </c>
      <c r="AH545" s="87" t="s">
        <v>3065</v>
      </c>
      <c r="AI545" s="571">
        <v>0.008</v>
      </c>
      <c r="AJ545" s="69" t="s">
        <v>164</v>
      </c>
      <c r="AK545" s="69" t="s">
        <v>179</v>
      </c>
      <c r="AL545" s="86" t="s">
        <v>129</v>
      </c>
      <c r="AM545" s="75"/>
      <c r="AN545" s="89">
        <f t="shared" ref="AN545:AN547" si="35">140+130</f>
        <v>270</v>
      </c>
      <c r="AO545" s="89">
        <v>-0.008</v>
      </c>
      <c r="AP545" s="86" t="s">
        <v>166</v>
      </c>
      <c r="AQ545" s="87" t="s">
        <v>3066</v>
      </c>
      <c r="AR545" s="89">
        <v>0.95</v>
      </c>
      <c r="AS545" s="87" t="s">
        <v>164</v>
      </c>
      <c r="AT545" s="87" t="s">
        <v>179</v>
      </c>
      <c r="AU545" s="86" t="s">
        <v>129</v>
      </c>
      <c r="AV545" s="86"/>
      <c r="AW545" s="86" t="s">
        <v>134</v>
      </c>
      <c r="AX545" s="84"/>
      <c r="AY545" s="84"/>
      <c r="AZ545" s="691"/>
      <c r="BA545" s="691"/>
      <c r="BB545" s="691"/>
      <c r="BC545" s="691"/>
      <c r="BD545" s="691"/>
      <c r="BE545" s="691"/>
      <c r="BF545" s="691"/>
      <c r="BG545" s="691"/>
      <c r="BH545" s="691"/>
      <c r="BI545" s="691"/>
      <c r="BJ545" s="691"/>
      <c r="BK545" s="691"/>
      <c r="BL545" s="691"/>
      <c r="BM545" s="691"/>
      <c r="BN545" s="691"/>
      <c r="BO545" s="691"/>
      <c r="BP545" s="691"/>
      <c r="BQ545" s="691"/>
      <c r="BR545" s="691"/>
      <c r="BS545" s="691"/>
      <c r="BT545" s="691"/>
      <c r="BU545" s="691"/>
      <c r="BV545" s="691"/>
      <c r="BW545" s="691"/>
      <c r="BX545" s="691"/>
      <c r="BY545" s="691"/>
      <c r="BZ545" s="691"/>
      <c r="CA545" s="691"/>
      <c r="CB545" s="691"/>
      <c r="CC545" s="691"/>
      <c r="CD545" s="691"/>
      <c r="CE545" s="691"/>
      <c r="CF545" s="691"/>
      <c r="CG545" s="691"/>
      <c r="CH545" s="691"/>
      <c r="CI545" s="691"/>
      <c r="CJ545" s="691"/>
      <c r="CK545" s="691"/>
      <c r="CL545" s="691"/>
      <c r="CM545" s="691"/>
      <c r="CN545" s="691"/>
      <c r="CO545" s="691"/>
      <c r="CP545" s="691"/>
      <c r="CQ545" s="691"/>
      <c r="CR545" s="691"/>
      <c r="CS545" s="691"/>
      <c r="CT545" s="691"/>
      <c r="CU545" s="691"/>
      <c r="CV545" s="691"/>
      <c r="CW545" s="691"/>
      <c r="CX545" s="691"/>
      <c r="CY545" s="691"/>
      <c r="CZ545" s="691"/>
      <c r="DA545" s="691"/>
      <c r="DB545" s="691"/>
      <c r="DC545" s="691"/>
      <c r="DD545" s="691"/>
      <c r="DE545" s="691"/>
      <c r="DF545" s="691"/>
      <c r="DG545" s="691"/>
    </row>
    <row r="546" ht="20.25" customHeight="1">
      <c r="A546" s="65" t="s">
        <v>520</v>
      </c>
      <c r="B546" s="85" t="s">
        <v>107</v>
      </c>
      <c r="C546" s="85" t="s">
        <v>2914</v>
      </c>
      <c r="D546" s="84"/>
      <c r="E546" s="86" t="s">
        <v>3077</v>
      </c>
      <c r="F546" s="69" t="s">
        <v>3042</v>
      </c>
      <c r="G546" s="87" t="s">
        <v>2917</v>
      </c>
      <c r="H546" s="798">
        <v>45489.0</v>
      </c>
      <c r="I546" s="798">
        <v>45663.0</v>
      </c>
      <c r="J546" s="87" t="s">
        <v>3074</v>
      </c>
      <c r="K546" s="86"/>
      <c r="L546" s="87" t="s">
        <v>3043</v>
      </c>
      <c r="M546" s="87" t="s">
        <v>3044</v>
      </c>
      <c r="N546" s="87" t="s">
        <v>3045</v>
      </c>
      <c r="O546" s="87" t="s">
        <v>3046</v>
      </c>
      <c r="P546" s="48" t="str">
        <f t="array" ref="P546">HYPERLINK(INDEX('File Links'!B:B, MATCH(O546, 'File Links'!C:C, 0)))
</f>
        <v>https://drive.google.com/file/d/1Dle9tBaQJnicGTbi-WNIWZLHBhpRMBFu/view?usp=drivesdk</v>
      </c>
      <c r="Q546" s="87" t="s">
        <v>3047</v>
      </c>
      <c r="R546" s="87" t="s">
        <v>3048</v>
      </c>
      <c r="S546" s="86"/>
      <c r="T546" s="86"/>
      <c r="U546" s="87" t="s">
        <v>3049</v>
      </c>
      <c r="V546" s="87" t="s">
        <v>3017</v>
      </c>
      <c r="W546" s="50" t="str">
        <f t="array" ref="W546">HYPERLINK(INDEX('File Links'!B:B, MATCH(U546, 'File Links'!C:C, 0)))
</f>
        <v>https://drive.google.com/file/d/1DMMXxQwzUbOxshIWiT8AwdGZ588_WZ8b/view?usp=drivesdk</v>
      </c>
      <c r="X546" s="84"/>
      <c r="Y546" s="87" t="s">
        <v>220</v>
      </c>
      <c r="Z546" s="87" t="s">
        <v>3056</v>
      </c>
      <c r="AA546" s="87" t="s">
        <v>3057</v>
      </c>
      <c r="AB546" s="832" t="s">
        <v>3078</v>
      </c>
      <c r="AC546" s="87" t="s">
        <v>3079</v>
      </c>
      <c r="AD546" s="89">
        <v>3.0</v>
      </c>
      <c r="AE546" s="89">
        <f t="shared" si="34"/>
        <v>228</v>
      </c>
      <c r="AF546" s="833">
        <v>0.5</v>
      </c>
      <c r="AG546" s="87" t="s">
        <v>166</v>
      </c>
      <c r="AH546" s="87" t="s">
        <v>3080</v>
      </c>
      <c r="AI546" s="571">
        <v>0.001</v>
      </c>
      <c r="AJ546" s="69" t="s">
        <v>127</v>
      </c>
      <c r="AK546" s="69" t="s">
        <v>179</v>
      </c>
      <c r="AL546" s="86" t="s">
        <v>129</v>
      </c>
      <c r="AM546" s="75"/>
      <c r="AN546" s="89">
        <f t="shared" si="35"/>
        <v>270</v>
      </c>
      <c r="AO546" s="89">
        <v>0.689</v>
      </c>
      <c r="AP546" s="86" t="s">
        <v>166</v>
      </c>
      <c r="AQ546" s="87" t="s">
        <v>3061</v>
      </c>
      <c r="AR546" s="89">
        <v>0.001</v>
      </c>
      <c r="AS546" s="87" t="s">
        <v>127</v>
      </c>
      <c r="AT546" s="87" t="s">
        <v>179</v>
      </c>
      <c r="AU546" s="86" t="s">
        <v>129</v>
      </c>
      <c r="AV546" s="86"/>
      <c r="AW546" s="86" t="s">
        <v>134</v>
      </c>
      <c r="AX546" s="84"/>
      <c r="AY546" s="84"/>
      <c r="AZ546" s="84"/>
      <c r="BA546" s="84"/>
      <c r="BB546" s="84"/>
      <c r="BC546" s="84"/>
      <c r="BD546" s="84"/>
      <c r="BE546" s="84"/>
      <c r="BF546" s="84"/>
      <c r="BG546" s="84"/>
      <c r="BH546" s="84"/>
      <c r="BI546" s="84"/>
      <c r="BJ546" s="84"/>
      <c r="BK546" s="84"/>
      <c r="BL546" s="84"/>
      <c r="BM546" s="84"/>
      <c r="BN546" s="84"/>
      <c r="BO546" s="84"/>
      <c r="BP546" s="84"/>
      <c r="BQ546" s="84"/>
      <c r="BR546" s="84"/>
      <c r="BS546" s="84"/>
      <c r="BT546" s="84"/>
      <c r="BU546" s="84"/>
      <c r="BV546" s="84"/>
      <c r="BW546" s="84"/>
      <c r="BX546" s="84"/>
      <c r="BY546" s="84"/>
      <c r="BZ546" s="84"/>
      <c r="CA546" s="84"/>
      <c r="CB546" s="84"/>
      <c r="CC546" s="84"/>
      <c r="CD546" s="84"/>
      <c r="CE546" s="84"/>
      <c r="CF546" s="84"/>
      <c r="CG546" s="84"/>
      <c r="CH546" s="84"/>
      <c r="CI546" s="84"/>
      <c r="CJ546" s="84"/>
      <c r="CK546" s="84"/>
      <c r="CL546" s="84"/>
      <c r="CM546" s="84"/>
      <c r="CN546" s="84"/>
      <c r="CO546" s="84"/>
      <c r="CP546" s="84"/>
      <c r="CQ546" s="84"/>
      <c r="CR546" s="84"/>
      <c r="CS546" s="84"/>
      <c r="CT546" s="84"/>
      <c r="CU546" s="84"/>
      <c r="CV546" s="84"/>
      <c r="CW546" s="84"/>
      <c r="CX546" s="84"/>
      <c r="CY546" s="84"/>
      <c r="CZ546" s="84"/>
      <c r="DA546" s="84"/>
      <c r="DB546" s="84"/>
      <c r="DC546" s="84"/>
      <c r="DD546" s="84"/>
      <c r="DE546" s="84"/>
      <c r="DF546" s="84"/>
      <c r="DG546" s="84"/>
    </row>
    <row r="547" ht="20.25" customHeight="1">
      <c r="A547" s="65" t="s">
        <v>520</v>
      </c>
      <c r="B547" s="85" t="s">
        <v>107</v>
      </c>
      <c r="C547" s="85" t="s">
        <v>2914</v>
      </c>
      <c r="D547" s="84"/>
      <c r="E547" s="86" t="s">
        <v>3081</v>
      </c>
      <c r="F547" s="69" t="s">
        <v>3042</v>
      </c>
      <c r="G547" s="87" t="s">
        <v>2917</v>
      </c>
      <c r="H547" s="798">
        <v>45489.0</v>
      </c>
      <c r="I547" s="798">
        <v>45663.0</v>
      </c>
      <c r="J547" s="87" t="s">
        <v>3082</v>
      </c>
      <c r="K547" s="86"/>
      <c r="L547" s="87" t="s">
        <v>3043</v>
      </c>
      <c r="M547" s="87" t="s">
        <v>3044</v>
      </c>
      <c r="N547" s="87" t="s">
        <v>3045</v>
      </c>
      <c r="O547" s="87" t="s">
        <v>3046</v>
      </c>
      <c r="P547" s="48" t="str">
        <f t="array" ref="P547">HYPERLINK(INDEX('File Links'!B:B, MATCH(O547, 'File Links'!C:C, 0)))
</f>
        <v>https://drive.google.com/file/d/1Dle9tBaQJnicGTbi-WNIWZLHBhpRMBFu/view?usp=drivesdk</v>
      </c>
      <c r="Q547" s="87" t="s">
        <v>3047</v>
      </c>
      <c r="R547" s="87" t="s">
        <v>3048</v>
      </c>
      <c r="S547" s="86"/>
      <c r="T547" s="86"/>
      <c r="U547" s="87" t="s">
        <v>3049</v>
      </c>
      <c r="V547" s="87" t="s">
        <v>3017</v>
      </c>
      <c r="W547" s="50" t="str">
        <f t="array" ref="W547">HYPERLINK(INDEX('File Links'!B:B, MATCH(U547, 'File Links'!C:C, 0)))
</f>
        <v>https://drive.google.com/file/d/1DMMXxQwzUbOxshIWiT8AwdGZ588_WZ8b/view?usp=drivesdk</v>
      </c>
      <c r="X547" s="84"/>
      <c r="Y547" s="87" t="s">
        <v>220</v>
      </c>
      <c r="Z547" s="87" t="s">
        <v>3056</v>
      </c>
      <c r="AA547" s="87" t="s">
        <v>3057</v>
      </c>
      <c r="AB547" s="832" t="s">
        <v>3083</v>
      </c>
      <c r="AC547" s="87" t="s">
        <v>3084</v>
      </c>
      <c r="AD547" s="89">
        <v>3.0</v>
      </c>
      <c r="AE547" s="89">
        <f t="shared" si="34"/>
        <v>228</v>
      </c>
      <c r="AF547" s="833">
        <v>4.18</v>
      </c>
      <c r="AG547" s="87" t="s">
        <v>162</v>
      </c>
      <c r="AH547" s="87" t="s">
        <v>3070</v>
      </c>
      <c r="AI547" s="90" t="s">
        <v>3085</v>
      </c>
      <c r="AJ547" s="75"/>
      <c r="AK547" s="75"/>
      <c r="AL547" s="86"/>
      <c r="AM547" s="75"/>
      <c r="AN547" s="89">
        <f t="shared" si="35"/>
        <v>270</v>
      </c>
      <c r="AO547" s="89">
        <v>3.25</v>
      </c>
      <c r="AP547" s="86" t="s">
        <v>162</v>
      </c>
      <c r="AQ547" s="87" t="s">
        <v>3072</v>
      </c>
      <c r="AR547" s="87" t="s">
        <v>3085</v>
      </c>
      <c r="AS547" s="86"/>
      <c r="AT547" s="86"/>
      <c r="AU547" s="86"/>
      <c r="AV547" s="86"/>
      <c r="AW547" s="86" t="s">
        <v>134</v>
      </c>
      <c r="AX547" s="84"/>
      <c r="AY547" s="84"/>
      <c r="AZ547" s="84"/>
      <c r="BA547" s="84"/>
      <c r="BB547" s="84"/>
      <c r="BC547" s="84"/>
      <c r="BD547" s="84"/>
      <c r="BE547" s="84"/>
      <c r="BF547" s="84"/>
      <c r="BG547" s="84"/>
      <c r="BH547" s="84"/>
      <c r="BI547" s="84"/>
      <c r="BJ547" s="84"/>
      <c r="BK547" s="84"/>
      <c r="BL547" s="84"/>
      <c r="BM547" s="84"/>
      <c r="BN547" s="84"/>
      <c r="BO547" s="84"/>
      <c r="BP547" s="84"/>
      <c r="BQ547" s="84"/>
      <c r="BR547" s="84"/>
      <c r="BS547" s="84"/>
      <c r="BT547" s="84"/>
      <c r="BU547" s="84"/>
      <c r="BV547" s="84"/>
      <c r="BW547" s="84"/>
      <c r="BX547" s="84"/>
      <c r="BY547" s="84"/>
      <c r="BZ547" s="84"/>
      <c r="CA547" s="84"/>
      <c r="CB547" s="84"/>
      <c r="CC547" s="84"/>
      <c r="CD547" s="84"/>
      <c r="CE547" s="84"/>
      <c r="CF547" s="84"/>
      <c r="CG547" s="84"/>
      <c r="CH547" s="84"/>
      <c r="CI547" s="84"/>
      <c r="CJ547" s="84"/>
      <c r="CK547" s="84"/>
      <c r="CL547" s="84"/>
      <c r="CM547" s="84"/>
      <c r="CN547" s="84"/>
      <c r="CO547" s="84"/>
      <c r="CP547" s="84"/>
      <c r="CQ547" s="84"/>
      <c r="CR547" s="84"/>
      <c r="CS547" s="84"/>
      <c r="CT547" s="84"/>
      <c r="CU547" s="84"/>
      <c r="CV547" s="84"/>
      <c r="CW547" s="84"/>
      <c r="CX547" s="84"/>
      <c r="CY547" s="84"/>
      <c r="CZ547" s="84"/>
      <c r="DA547" s="84"/>
      <c r="DB547" s="84"/>
      <c r="DC547" s="84"/>
      <c r="DD547" s="84"/>
      <c r="DE547" s="84"/>
      <c r="DF547" s="84"/>
      <c r="DG547" s="84"/>
    </row>
    <row r="548" ht="20.25" hidden="1" customHeight="1">
      <c r="A548" s="177" t="s">
        <v>520</v>
      </c>
      <c r="B548" s="177" t="s">
        <v>107</v>
      </c>
      <c r="C548" s="177" t="s">
        <v>341</v>
      </c>
      <c r="D548" s="178"/>
      <c r="E548" s="60" t="s">
        <v>3086</v>
      </c>
      <c r="F548" s="52" t="s">
        <v>3087</v>
      </c>
      <c r="G548" s="52" t="s">
        <v>344</v>
      </c>
      <c r="H548" s="140">
        <v>45427.0</v>
      </c>
      <c r="I548" s="140">
        <v>45636.0</v>
      </c>
      <c r="J548" s="352" t="s">
        <v>3088</v>
      </c>
      <c r="K548" s="55"/>
      <c r="L548" s="52" t="s">
        <v>3089</v>
      </c>
      <c r="M548" s="352" t="s">
        <v>3090</v>
      </c>
      <c r="N548" s="55"/>
      <c r="O548" s="353" t="s">
        <v>3091</v>
      </c>
      <c r="P548" s="48" t="str">
        <f t="array" ref="P548">HYPERLINK(INDEX('File Links'!B:B, MATCH(O548, 'File Links'!C:C, 0)))
</f>
        <v>https://drive.google.com/file/d/1NONRrVPLj3_SNxu7Ptx53k4VBPMr7tIo/view?usp=drivesdk</v>
      </c>
      <c r="Q548" s="52" t="s">
        <v>3092</v>
      </c>
      <c r="R548" s="52" t="s">
        <v>3093</v>
      </c>
      <c r="S548" s="55"/>
      <c r="T548" s="329"/>
      <c r="U548" s="354" t="s">
        <v>351</v>
      </c>
      <c r="V548" s="52" t="s">
        <v>604</v>
      </c>
      <c r="W548" s="45" t="str">
        <f t="array" ref="W548">HYPERLINK(INDEX('File Links'!B:B, MATCH(U548, 'File Links'!C:C, 0)))
</f>
        <v>#N/A</v>
      </c>
      <c r="X548" s="52" t="s">
        <v>3094</v>
      </c>
      <c r="Y548" s="52" t="s">
        <v>220</v>
      </c>
      <c r="Z548" s="55"/>
      <c r="AA548" s="352" t="s">
        <v>3095</v>
      </c>
      <c r="AB548" s="55"/>
      <c r="AC548" s="55"/>
      <c r="AD548" s="55"/>
      <c r="AE548" s="55"/>
      <c r="AF548" s="55"/>
      <c r="AG548" s="329"/>
      <c r="AH548" s="55"/>
      <c r="AI548" s="55"/>
      <c r="AJ548" s="60"/>
      <c r="AK548" s="55"/>
      <c r="AL548" s="55"/>
      <c r="AM548" s="55"/>
      <c r="AN548" s="55"/>
      <c r="AO548" s="55"/>
      <c r="AP548" s="55"/>
      <c r="AQ548" s="55"/>
      <c r="AR548" s="55"/>
      <c r="AS548" s="60"/>
      <c r="AT548" s="60"/>
      <c r="AU548" s="60"/>
      <c r="AV548" s="60" t="s">
        <v>165</v>
      </c>
      <c r="AW548" s="60"/>
      <c r="AX548" s="55"/>
      <c r="AZ548" s="333"/>
      <c r="BA548" s="333"/>
      <c r="BB548" s="333"/>
      <c r="BC548" s="333"/>
      <c r="BD548" s="333"/>
      <c r="BE548" s="333"/>
      <c r="BF548" s="333"/>
      <c r="BG548" s="333"/>
      <c r="BH548" s="333"/>
      <c r="BI548" s="333"/>
      <c r="BJ548" s="333"/>
      <c r="BK548" s="333"/>
      <c r="BL548" s="333"/>
      <c r="BM548" s="333"/>
      <c r="BN548" s="333"/>
      <c r="BO548" s="333"/>
      <c r="BP548" s="333"/>
      <c r="BQ548" s="333"/>
      <c r="BR548" s="333"/>
      <c r="BS548" s="333"/>
      <c r="BT548" s="333"/>
      <c r="BU548" s="333"/>
      <c r="BV548" s="333"/>
      <c r="BW548" s="333"/>
      <c r="BX548" s="333"/>
      <c r="BY548" s="333"/>
      <c r="BZ548" s="333"/>
      <c r="CA548" s="333"/>
      <c r="CB548" s="333"/>
      <c r="CC548" s="333"/>
      <c r="CD548" s="333"/>
      <c r="CE548" s="333"/>
      <c r="CF548" s="333"/>
      <c r="CG548" s="333"/>
      <c r="CH548" s="333"/>
      <c r="CI548" s="333"/>
      <c r="CJ548" s="333"/>
      <c r="CK548" s="333"/>
      <c r="CL548" s="333"/>
      <c r="CM548" s="333"/>
      <c r="CN548" s="333"/>
      <c r="CO548" s="333"/>
      <c r="CP548" s="333"/>
      <c r="CQ548" s="333"/>
      <c r="CR548" s="333"/>
      <c r="CS548" s="333"/>
      <c r="CT548" s="333"/>
      <c r="CU548" s="333"/>
      <c r="CV548" s="333"/>
      <c r="CW548" s="333"/>
      <c r="CX548" s="333"/>
      <c r="CY548" s="333"/>
      <c r="CZ548" s="333"/>
      <c r="DA548" s="333"/>
      <c r="DB548" s="333"/>
      <c r="DC548" s="333"/>
      <c r="DD548" s="333"/>
      <c r="DE548" s="333"/>
      <c r="DF548" s="333"/>
      <c r="DG548" s="333"/>
    </row>
    <row r="549" ht="20.25" customHeight="1">
      <c r="A549" s="177" t="s">
        <v>520</v>
      </c>
      <c r="B549" s="177" t="s">
        <v>107</v>
      </c>
      <c r="C549" s="177" t="s">
        <v>214</v>
      </c>
      <c r="D549" s="178"/>
      <c r="E549" s="255" t="s">
        <v>3086</v>
      </c>
      <c r="F549" s="43" t="s">
        <v>3087</v>
      </c>
      <c r="G549" s="356" t="s">
        <v>214</v>
      </c>
      <c r="H549" s="357">
        <v>45686.0</v>
      </c>
      <c r="I549" s="357">
        <v>45687.0</v>
      </c>
      <c r="J549" s="356" t="s">
        <v>3096</v>
      </c>
      <c r="K549" s="42"/>
      <c r="L549" s="356" t="s">
        <v>3089</v>
      </c>
      <c r="M549" s="356" t="s">
        <v>3090</v>
      </c>
      <c r="N549" s="42"/>
      <c r="O549" s="145" t="s">
        <v>3091</v>
      </c>
      <c r="P549" s="48" t="str">
        <f t="array" ref="P549">HYPERLINK(INDEX('File Links'!B:B, MATCH(O549, 'File Links'!C:C, 0)))
</f>
        <v>https://drive.google.com/file/d/1NONRrVPLj3_SNxu7Ptx53k4VBPMr7tIo/view?usp=drivesdk</v>
      </c>
      <c r="Q549" s="356" t="s">
        <v>3092</v>
      </c>
      <c r="R549" s="42"/>
      <c r="S549" s="42"/>
      <c r="T549" s="42"/>
      <c r="U549" s="145" t="s">
        <v>351</v>
      </c>
      <c r="V549" s="356" t="s">
        <v>155</v>
      </c>
      <c r="W549" s="45" t="str">
        <f t="array" ref="W549">HYPERLINK(INDEX('File Links'!B:B, MATCH(U549, 'File Links'!C:C, 0)))
</f>
        <v>#N/A</v>
      </c>
      <c r="X549" s="42"/>
      <c r="Y549" s="356" t="s">
        <v>220</v>
      </c>
      <c r="Z549" s="356" t="s">
        <v>3097</v>
      </c>
      <c r="AA549" s="356" t="s">
        <v>3098</v>
      </c>
      <c r="AB549" s="42" t="s">
        <v>3099</v>
      </c>
      <c r="AC549" s="42"/>
      <c r="AD549" s="360">
        <v>8.0</v>
      </c>
      <c r="AE549" s="360">
        <v>252.0</v>
      </c>
      <c r="AF549" s="360">
        <v>-0.5</v>
      </c>
      <c r="AG549" s="356" t="s">
        <v>166</v>
      </c>
      <c r="AH549" s="356" t="s">
        <v>610</v>
      </c>
      <c r="AI549" s="51"/>
      <c r="AJ549" s="43" t="s">
        <v>127</v>
      </c>
      <c r="AK549" s="45"/>
      <c r="AL549" s="42"/>
      <c r="AM549" s="43" t="s">
        <v>165</v>
      </c>
      <c r="AN549" s="360">
        <v>729.0</v>
      </c>
      <c r="AO549" s="360">
        <v>-0.32</v>
      </c>
      <c r="AP549" s="356" t="s">
        <v>166</v>
      </c>
      <c r="AQ549" s="356" t="s">
        <v>131</v>
      </c>
      <c r="AR549" s="42"/>
      <c r="AS549" s="356" t="s">
        <v>127</v>
      </c>
      <c r="AT549" s="42"/>
      <c r="AU549" s="42"/>
      <c r="AV549" s="356" t="s">
        <v>165</v>
      </c>
      <c r="AW549" s="356" t="s">
        <v>434</v>
      </c>
      <c r="AZ549" s="484"/>
      <c r="BA549" s="484"/>
      <c r="BB549" s="484"/>
      <c r="BC549" s="484"/>
      <c r="BD549" s="484"/>
      <c r="BE549" s="484"/>
      <c r="BF549" s="484"/>
      <c r="BG549" s="484"/>
      <c r="BH549" s="484"/>
      <c r="BI549" s="484"/>
      <c r="BJ549" s="484"/>
      <c r="BK549" s="484"/>
      <c r="BL549" s="484"/>
      <c r="BM549" s="484"/>
      <c r="BN549" s="484"/>
      <c r="BO549" s="484"/>
      <c r="BP549" s="484"/>
      <c r="BQ549" s="484"/>
      <c r="BR549" s="484"/>
      <c r="BS549" s="484"/>
      <c r="BT549" s="484"/>
      <c r="BU549" s="484"/>
      <c r="BV549" s="484"/>
      <c r="BW549" s="484"/>
      <c r="BX549" s="484"/>
      <c r="BY549" s="484"/>
      <c r="BZ549" s="484"/>
      <c r="CA549" s="484"/>
      <c r="CB549" s="484"/>
      <c r="CC549" s="484"/>
      <c r="CD549" s="484"/>
      <c r="CE549" s="484"/>
      <c r="CF549" s="484"/>
      <c r="CG549" s="484"/>
      <c r="CH549" s="484"/>
      <c r="CI549" s="484"/>
      <c r="CJ549" s="484"/>
      <c r="CK549" s="484"/>
      <c r="CL549" s="484"/>
      <c r="CM549" s="484"/>
      <c r="CN549" s="484"/>
      <c r="CO549" s="484"/>
      <c r="CP549" s="484"/>
      <c r="CQ549" s="484"/>
      <c r="CR549" s="484"/>
      <c r="CS549" s="484"/>
      <c r="CT549" s="484"/>
      <c r="CU549" s="484"/>
      <c r="CV549" s="484"/>
      <c r="CW549" s="484"/>
      <c r="CX549" s="484"/>
      <c r="CY549" s="484"/>
      <c r="CZ549" s="484"/>
      <c r="DA549" s="484"/>
      <c r="DB549" s="484"/>
      <c r="DC549" s="484"/>
      <c r="DD549" s="484"/>
      <c r="DE549" s="484"/>
      <c r="DF549" s="484"/>
      <c r="DG549" s="484"/>
    </row>
    <row r="550" ht="20.25" customHeight="1">
      <c r="A550" s="155" t="s">
        <v>2021</v>
      </c>
      <c r="B550" s="155" t="s">
        <v>107</v>
      </c>
      <c r="C550" s="155" t="s">
        <v>2889</v>
      </c>
      <c r="D550" s="160"/>
      <c r="E550" s="157" t="s">
        <v>3100</v>
      </c>
      <c r="F550" s="155" t="s">
        <v>3101</v>
      </c>
      <c r="G550" s="155" t="s">
        <v>2892</v>
      </c>
      <c r="H550" s="834">
        <v>45634.0</v>
      </c>
      <c r="I550" s="159">
        <v>45691.0</v>
      </c>
      <c r="J550" s="155" t="s">
        <v>3102</v>
      </c>
      <c r="K550" s="160"/>
      <c r="L550" s="155" t="s">
        <v>3103</v>
      </c>
      <c r="M550" s="155" t="s">
        <v>3104</v>
      </c>
      <c r="N550" s="155">
        <v>1.0</v>
      </c>
      <c r="O550" s="155" t="s">
        <v>3105</v>
      </c>
      <c r="P550" s="48" t="str">
        <f t="array" ref="P550">HYPERLINK(INDEX('File Links'!B:B, MATCH(O550, 'File Links'!C:C, 0)))
</f>
        <v>https://drive.google.com/file/d/1_lgC5OmIfmdyPUatcoMBb50JoLNHFpBH/view?usp=drivesdk</v>
      </c>
      <c r="Q550" s="155" t="s">
        <v>3106</v>
      </c>
      <c r="R550" s="155" t="s">
        <v>3107</v>
      </c>
      <c r="S550" s="160"/>
      <c r="T550" s="155">
        <v>1.0</v>
      </c>
      <c r="U550" s="155" t="s">
        <v>3108</v>
      </c>
      <c r="V550" s="155" t="s">
        <v>202</v>
      </c>
      <c r="W550" s="50" t="str">
        <f t="array" ref="W550">HYPERLINK(INDEX('File Links'!B:B, MATCH(U550, 'File Links'!C:C, 0)))
</f>
        <v>https://drive.google.com/file/d/14qlQgDUVz3KRZQVXwZQMkCR0K1msJHmK/view?usp=drivesdk</v>
      </c>
      <c r="X550" s="155"/>
      <c r="Y550" s="155" t="s">
        <v>220</v>
      </c>
      <c r="Z550" s="155" t="s">
        <v>165</v>
      </c>
      <c r="AA550" s="155" t="s">
        <v>3109</v>
      </c>
      <c r="AB550" s="155" t="s">
        <v>3110</v>
      </c>
      <c r="AC550" s="155" t="s">
        <v>3111</v>
      </c>
      <c r="AD550" s="155">
        <v>1.0</v>
      </c>
      <c r="AE550" s="155">
        <v>10.0</v>
      </c>
      <c r="AF550" s="155" t="s">
        <v>165</v>
      </c>
      <c r="AG550" s="155" t="s">
        <v>165</v>
      </c>
      <c r="AH550" s="155" t="s">
        <v>165</v>
      </c>
      <c r="AI550" s="155" t="s">
        <v>165</v>
      </c>
      <c r="AJ550" s="157" t="s">
        <v>165</v>
      </c>
      <c r="AK550" s="155" t="s">
        <v>179</v>
      </c>
      <c r="AL550" s="155" t="s">
        <v>129</v>
      </c>
      <c r="AM550" s="157" t="s">
        <v>434</v>
      </c>
      <c r="AN550" s="155">
        <v>9.0</v>
      </c>
      <c r="AO550" s="155" t="s">
        <v>165</v>
      </c>
      <c r="AP550" s="155" t="s">
        <v>165</v>
      </c>
      <c r="AQ550" s="155" t="s">
        <v>165</v>
      </c>
      <c r="AR550" s="155" t="s">
        <v>165</v>
      </c>
      <c r="AS550" s="157" t="s">
        <v>165</v>
      </c>
      <c r="AT550" s="157" t="s">
        <v>179</v>
      </c>
      <c r="AU550" s="164" t="s">
        <v>129</v>
      </c>
      <c r="AV550" s="157" t="s">
        <v>165</v>
      </c>
      <c r="AW550" s="157" t="s">
        <v>434</v>
      </c>
      <c r="AX550" s="160"/>
      <c r="AY550" s="157" t="s">
        <v>135</v>
      </c>
      <c r="AZ550" s="215"/>
      <c r="BA550" s="215"/>
      <c r="BB550" s="215"/>
      <c r="BC550" s="215"/>
      <c r="BD550" s="215"/>
      <c r="BE550" s="215"/>
      <c r="BF550" s="215"/>
      <c r="BG550" s="215"/>
      <c r="BH550" s="215"/>
      <c r="BI550" s="215"/>
      <c r="BJ550" s="215"/>
      <c r="BK550" s="215"/>
      <c r="BL550" s="215"/>
      <c r="BM550" s="215"/>
      <c r="BN550" s="215"/>
      <c r="BO550" s="215"/>
      <c r="BP550" s="215"/>
      <c r="BQ550" s="215"/>
      <c r="BR550" s="215"/>
      <c r="BS550" s="215"/>
      <c r="BT550" s="215"/>
      <c r="BU550" s="215"/>
      <c r="BV550" s="215"/>
      <c r="BW550" s="215"/>
      <c r="BX550" s="215"/>
      <c r="BY550" s="215"/>
      <c r="BZ550" s="215"/>
      <c r="CA550" s="215"/>
      <c r="CB550" s="215"/>
      <c r="CC550" s="215"/>
      <c r="CD550" s="215"/>
      <c r="CE550" s="215"/>
      <c r="CF550" s="215"/>
      <c r="CG550" s="215"/>
      <c r="CH550" s="215"/>
      <c r="CI550" s="215"/>
      <c r="CJ550" s="215"/>
      <c r="CK550" s="215"/>
      <c r="CL550" s="215"/>
      <c r="CM550" s="215"/>
      <c r="CN550" s="215"/>
      <c r="CO550" s="215"/>
      <c r="CP550" s="215"/>
      <c r="CQ550" s="215"/>
      <c r="CR550" s="215"/>
      <c r="CS550" s="215"/>
      <c r="CT550" s="215"/>
      <c r="CU550" s="215"/>
      <c r="CV550" s="215"/>
      <c r="CW550" s="215"/>
      <c r="CX550" s="215"/>
      <c r="CY550" s="215"/>
      <c r="CZ550" s="215"/>
      <c r="DA550" s="215"/>
      <c r="DB550" s="215"/>
      <c r="DC550" s="215"/>
      <c r="DD550" s="215"/>
      <c r="DE550" s="215"/>
      <c r="DF550" s="215"/>
      <c r="DG550" s="215"/>
    </row>
    <row r="551" ht="20.25" customHeight="1">
      <c r="A551" s="155" t="s">
        <v>106</v>
      </c>
      <c r="B551" s="157" t="s">
        <v>107</v>
      </c>
      <c r="C551" s="157" t="s">
        <v>2914</v>
      </c>
      <c r="D551" s="152"/>
      <c r="E551" s="169" t="s">
        <v>3100</v>
      </c>
      <c r="F551" s="175" t="s">
        <v>3101</v>
      </c>
      <c r="G551" s="669" t="s">
        <v>2917</v>
      </c>
      <c r="H551" s="670">
        <v>45660.0</v>
      </c>
      <c r="I551" s="159">
        <v>45691.0</v>
      </c>
      <c r="J551" s="669" t="s">
        <v>3112</v>
      </c>
      <c r="K551" s="169"/>
      <c r="L551" s="669" t="s">
        <v>3103</v>
      </c>
      <c r="M551" s="669" t="s">
        <v>3104</v>
      </c>
      <c r="N551" s="169"/>
      <c r="O551" s="669" t="s">
        <v>3105</v>
      </c>
      <c r="P551" s="48" t="str">
        <f t="array" ref="P551">HYPERLINK(INDEX('File Links'!B:B, MATCH(O551, 'File Links'!C:C, 0)))
</f>
        <v>https://drive.google.com/file/d/1_lgC5OmIfmdyPUatcoMBb50JoLNHFpBH/view?usp=drivesdk</v>
      </c>
      <c r="Q551" s="669" t="s">
        <v>3106</v>
      </c>
      <c r="R551" s="669" t="s">
        <v>3107</v>
      </c>
      <c r="S551" s="169"/>
      <c r="T551" s="172">
        <v>1.0</v>
      </c>
      <c r="U551" s="669" t="s">
        <v>3108</v>
      </c>
      <c r="V551" s="669" t="s">
        <v>3017</v>
      </c>
      <c r="W551" s="50" t="str">
        <f t="array" ref="W551">HYPERLINK(INDEX('File Links'!B:B, MATCH(U551, 'File Links'!C:C, 0)))
</f>
        <v>https://drive.google.com/file/d/14qlQgDUVz3KRZQVXwZQMkCR0K1msJHmK/view?usp=drivesdk</v>
      </c>
      <c r="X551" s="152"/>
      <c r="Y551" s="669" t="s">
        <v>220</v>
      </c>
      <c r="Z551" s="669" t="s">
        <v>3113</v>
      </c>
      <c r="AA551" s="669" t="s">
        <v>3114</v>
      </c>
      <c r="AB551" s="169"/>
      <c r="AC551" s="669" t="s">
        <v>3115</v>
      </c>
      <c r="AD551" s="172">
        <v>238.0</v>
      </c>
      <c r="AE551" s="172">
        <v>10.0</v>
      </c>
      <c r="AF551" s="172">
        <v>30.41</v>
      </c>
      <c r="AG551" s="669" t="s">
        <v>162</v>
      </c>
      <c r="AH551" s="669" t="s">
        <v>3116</v>
      </c>
      <c r="AI551" s="677"/>
      <c r="AJ551" s="674"/>
      <c r="AK551" s="674"/>
      <c r="AL551" s="169"/>
      <c r="AM551" s="674"/>
      <c r="AN551" s="172">
        <v>9.0</v>
      </c>
      <c r="AO551" s="835">
        <v>35.08</v>
      </c>
      <c r="AP551" s="169" t="s">
        <v>162</v>
      </c>
      <c r="AQ551" s="169" t="s">
        <v>3117</v>
      </c>
      <c r="AR551" s="169"/>
      <c r="AS551" s="169"/>
      <c r="AT551" s="169"/>
      <c r="AU551" s="169"/>
      <c r="AV551" s="169"/>
      <c r="AW551" s="157" t="s">
        <v>434</v>
      </c>
      <c r="AX551" s="157" t="s">
        <v>3118</v>
      </c>
      <c r="AY551" s="157" t="s">
        <v>135</v>
      </c>
      <c r="AZ551" s="84"/>
      <c r="BA551" s="84"/>
      <c r="BB551" s="84"/>
      <c r="BC551" s="84"/>
      <c r="BD551" s="84"/>
      <c r="BE551" s="84"/>
      <c r="BF551" s="84"/>
      <c r="BG551" s="84"/>
      <c r="BH551" s="84"/>
      <c r="BI551" s="84"/>
      <c r="BJ551" s="84"/>
      <c r="BK551" s="84"/>
      <c r="BL551" s="84"/>
      <c r="BM551" s="84"/>
      <c r="BN551" s="84"/>
      <c r="BO551" s="84"/>
      <c r="BP551" s="84"/>
      <c r="BQ551" s="84"/>
      <c r="BR551" s="84"/>
      <c r="BS551" s="84"/>
      <c r="BT551" s="84"/>
      <c r="BU551" s="84"/>
      <c r="BV551" s="84"/>
      <c r="BW551" s="84"/>
      <c r="BX551" s="84"/>
      <c r="BY551" s="84"/>
      <c r="BZ551" s="84"/>
      <c r="CA551" s="84"/>
      <c r="CB551" s="84"/>
      <c r="CC551" s="84"/>
      <c r="CD551" s="84"/>
      <c r="CE551" s="84"/>
      <c r="CF551" s="84"/>
      <c r="CG551" s="84"/>
      <c r="CH551" s="84"/>
      <c r="CI551" s="84"/>
      <c r="CJ551" s="84"/>
      <c r="CK551" s="84"/>
      <c r="CL551" s="84"/>
      <c r="CM551" s="84"/>
      <c r="CN551" s="84"/>
      <c r="CO551" s="84"/>
      <c r="CP551" s="84"/>
      <c r="CQ551" s="84"/>
      <c r="CR551" s="84"/>
      <c r="CS551" s="84"/>
      <c r="CT551" s="84"/>
      <c r="CU551" s="84"/>
      <c r="CV551" s="84"/>
      <c r="CW551" s="84"/>
      <c r="CX551" s="84"/>
      <c r="CY551" s="84"/>
      <c r="CZ551" s="84"/>
      <c r="DA551" s="84"/>
      <c r="DB551" s="84"/>
      <c r="DC551" s="84"/>
      <c r="DD551" s="84"/>
      <c r="DE551" s="84"/>
      <c r="DF551" s="84"/>
      <c r="DG551" s="84"/>
    </row>
    <row r="552" ht="20.25" hidden="1" customHeight="1">
      <c r="A552" s="331" t="s">
        <v>106</v>
      </c>
      <c r="B552" s="331" t="s">
        <v>107</v>
      </c>
      <c r="C552" s="331" t="s">
        <v>2889</v>
      </c>
      <c r="D552" s="335"/>
      <c r="E552" s="332" t="s">
        <v>3119</v>
      </c>
      <c r="F552" s="331" t="s">
        <v>3120</v>
      </c>
      <c r="G552" s="331" t="s">
        <v>2892</v>
      </c>
      <c r="H552" s="820">
        <v>45634.0</v>
      </c>
      <c r="I552" s="159">
        <v>45691.0</v>
      </c>
      <c r="J552" s="331" t="s">
        <v>3121</v>
      </c>
      <c r="K552" s="335"/>
      <c r="L552" s="331" t="s">
        <v>3122</v>
      </c>
      <c r="M552" s="331" t="s">
        <v>3123</v>
      </c>
      <c r="N552" s="331">
        <v>1.0</v>
      </c>
      <c r="O552" s="331" t="s">
        <v>3124</v>
      </c>
      <c r="P552" s="48" t="str">
        <f t="array" ref="P552">HYPERLINK(INDEX('File Links'!B:B, MATCH(O552, 'File Links'!C:C, 0)))
</f>
        <v>https://drive.google.com/file/d/1d65j0saCEIanzMI-38I3fhweWKRYSiw2/view?usp=drivesdk</v>
      </c>
      <c r="Q552" s="331" t="s">
        <v>3125</v>
      </c>
      <c r="R552" s="331" t="s">
        <v>3126</v>
      </c>
      <c r="S552" s="335"/>
      <c r="T552" s="331">
        <v>1.0</v>
      </c>
      <c r="U552" s="331" t="s">
        <v>3127</v>
      </c>
      <c r="V552" s="331" t="s">
        <v>202</v>
      </c>
      <c r="W552" s="45" t="str">
        <f t="array" ref="W552">HYPERLINK(INDEX('File Links'!B:B, MATCH(U552, 'File Links'!C:C, 0)))
</f>
        <v>#N/A</v>
      </c>
      <c r="X552" s="331" t="s">
        <v>3128</v>
      </c>
      <c r="Y552" s="734" t="s">
        <v>121</v>
      </c>
      <c r="Z552" s="756" t="s">
        <v>3129</v>
      </c>
      <c r="AA552" s="734" t="s">
        <v>3130</v>
      </c>
      <c r="AB552" s="331" t="s">
        <v>3131</v>
      </c>
      <c r="AC552" s="331" t="s">
        <v>3132</v>
      </c>
      <c r="AD552" s="331">
        <v>11.0</v>
      </c>
      <c r="AE552" s="331">
        <v>862.0</v>
      </c>
      <c r="AF552" s="331">
        <v>0.23</v>
      </c>
      <c r="AG552" s="331" t="s">
        <v>357</v>
      </c>
      <c r="AH552" s="331" t="s">
        <v>125</v>
      </c>
      <c r="AI552" s="331">
        <v>0.05</v>
      </c>
      <c r="AJ552" s="332" t="s">
        <v>127</v>
      </c>
      <c r="AK552" s="331" t="s">
        <v>179</v>
      </c>
      <c r="AL552" s="331" t="s">
        <v>132</v>
      </c>
      <c r="AM552" s="331" t="s">
        <v>165</v>
      </c>
      <c r="AN552" s="331">
        <v>862.0</v>
      </c>
      <c r="AO552" s="331">
        <v>0.23</v>
      </c>
      <c r="AP552" s="331" t="s">
        <v>357</v>
      </c>
      <c r="AQ552" s="331" t="s">
        <v>131</v>
      </c>
      <c r="AR552" s="331">
        <v>0.05</v>
      </c>
      <c r="AS552" s="332" t="s">
        <v>127</v>
      </c>
      <c r="AT552" s="332" t="s">
        <v>179</v>
      </c>
      <c r="AU552" s="727" t="s">
        <v>132</v>
      </c>
      <c r="AV552" s="333"/>
      <c r="AW552" s="332" t="s">
        <v>134</v>
      </c>
      <c r="AX552" s="836" t="s">
        <v>3133</v>
      </c>
      <c r="AY552" s="332" t="s">
        <v>135</v>
      </c>
      <c r="AZ552" s="84"/>
      <c r="BA552" s="84"/>
      <c r="BB552" s="84"/>
      <c r="BC552" s="84"/>
      <c r="BD552" s="84"/>
      <c r="BE552" s="84"/>
      <c r="BF552" s="84"/>
      <c r="BG552" s="84"/>
      <c r="BH552" s="84"/>
      <c r="BI552" s="84"/>
      <c r="BJ552" s="84"/>
      <c r="BK552" s="84"/>
      <c r="BL552" s="84"/>
      <c r="BM552" s="84"/>
      <c r="BN552" s="84"/>
      <c r="BO552" s="84"/>
      <c r="BP552" s="84"/>
      <c r="BQ552" s="84"/>
      <c r="BR552" s="84"/>
      <c r="BS552" s="84"/>
      <c r="BT552" s="84"/>
      <c r="BU552" s="84"/>
      <c r="BV552" s="84"/>
      <c r="BW552" s="84"/>
      <c r="BX552" s="84"/>
      <c r="BY552" s="84"/>
      <c r="BZ552" s="84"/>
      <c r="CA552" s="84"/>
      <c r="CB552" s="84"/>
      <c r="CC552" s="84"/>
      <c r="CD552" s="84"/>
      <c r="CE552" s="84"/>
      <c r="CF552" s="84"/>
      <c r="CG552" s="84"/>
      <c r="CH552" s="84"/>
      <c r="CI552" s="84"/>
      <c r="CJ552" s="84"/>
      <c r="CK552" s="84"/>
      <c r="CL552" s="84"/>
      <c r="CM552" s="84"/>
      <c r="CN552" s="84"/>
      <c r="CO552" s="84"/>
      <c r="CP552" s="84"/>
      <c r="CQ552" s="84"/>
      <c r="CR552" s="84"/>
      <c r="CS552" s="84"/>
      <c r="CT552" s="84"/>
      <c r="CU552" s="84"/>
      <c r="CV552" s="84"/>
      <c r="CW552" s="84"/>
      <c r="CX552" s="84"/>
      <c r="CY552" s="84"/>
      <c r="CZ552" s="84"/>
      <c r="DA552" s="84"/>
      <c r="DB552" s="84"/>
      <c r="DC552" s="84"/>
      <c r="DD552" s="84"/>
      <c r="DE552" s="84"/>
      <c r="DF552" s="84"/>
      <c r="DG552" s="84"/>
    </row>
    <row r="553" ht="20.25" hidden="1" customHeight="1">
      <c r="A553" s="331" t="s">
        <v>106</v>
      </c>
      <c r="B553" s="332" t="s">
        <v>107</v>
      </c>
      <c r="C553" s="332" t="s">
        <v>2914</v>
      </c>
      <c r="D553" s="333"/>
      <c r="E553" s="738" t="s">
        <v>3134</v>
      </c>
      <c r="F553" s="736" t="s">
        <v>3120</v>
      </c>
      <c r="G553" s="734" t="s">
        <v>2917</v>
      </c>
      <c r="H553" s="737">
        <v>45663.0</v>
      </c>
      <c r="I553" s="159">
        <v>45691.0</v>
      </c>
      <c r="J553" s="734" t="s">
        <v>3135</v>
      </c>
      <c r="K553" s="738"/>
      <c r="L553" s="734" t="s">
        <v>3136</v>
      </c>
      <c r="M553" s="734" t="s">
        <v>3123</v>
      </c>
      <c r="N553" s="331">
        <v>1.0</v>
      </c>
      <c r="O553" s="734" t="s">
        <v>3124</v>
      </c>
      <c r="P553" s="48" t="str">
        <f t="array" ref="P553">HYPERLINK(INDEX('File Links'!B:B, MATCH(O553, 'File Links'!C:C, 0)))
</f>
        <v>https://drive.google.com/file/d/1d65j0saCEIanzMI-38I3fhweWKRYSiw2/view?usp=drivesdk</v>
      </c>
      <c r="Q553" s="734" t="s">
        <v>3125</v>
      </c>
      <c r="R553" s="734" t="s">
        <v>3126</v>
      </c>
      <c r="S553" s="738"/>
      <c r="T553" s="331">
        <v>1.0</v>
      </c>
      <c r="U553" s="734" t="s">
        <v>3127</v>
      </c>
      <c r="V553" s="331" t="s">
        <v>202</v>
      </c>
      <c r="W553" s="45" t="str">
        <f t="array" ref="W553">HYPERLINK(INDEX('File Links'!B:B, MATCH(U553, 'File Links'!C:C, 0)))
</f>
        <v>#N/A</v>
      </c>
      <c r="X553" s="331" t="s">
        <v>3128</v>
      </c>
      <c r="Y553" s="734" t="s">
        <v>121</v>
      </c>
      <c r="Z553" s="756" t="s">
        <v>3129</v>
      </c>
      <c r="AA553" s="734" t="s">
        <v>3130</v>
      </c>
      <c r="AB553" s="734" t="s">
        <v>3137</v>
      </c>
      <c r="AC553" s="756" t="s">
        <v>3132</v>
      </c>
      <c r="AD553" s="331">
        <v>11.0</v>
      </c>
      <c r="AE553" s="837">
        <v>1000.0</v>
      </c>
      <c r="AF553" s="739">
        <v>2.84</v>
      </c>
      <c r="AG553" s="734" t="s">
        <v>1051</v>
      </c>
      <c r="AH553" s="734" t="s">
        <v>3138</v>
      </c>
      <c r="AI553" s="838">
        <v>0.1</v>
      </c>
      <c r="AJ553" s="736" t="s">
        <v>127</v>
      </c>
      <c r="AK553" s="736" t="s">
        <v>179</v>
      </c>
      <c r="AL553" s="738" t="s">
        <v>129</v>
      </c>
      <c r="AM553" s="331" t="s">
        <v>165</v>
      </c>
      <c r="AN553" s="739">
        <v>1000.0</v>
      </c>
      <c r="AO553" s="739">
        <v>-0.04</v>
      </c>
      <c r="AP553" s="734" t="s">
        <v>1051</v>
      </c>
      <c r="AQ553" s="734" t="s">
        <v>3139</v>
      </c>
      <c r="AR553" s="734" t="s">
        <v>2384</v>
      </c>
      <c r="AS553" s="738"/>
      <c r="AT553" s="738"/>
      <c r="AU553" s="738"/>
      <c r="AV553" s="738"/>
      <c r="AW553" s="738" t="s">
        <v>134</v>
      </c>
      <c r="AX553" s="839" t="s">
        <v>3140</v>
      </c>
      <c r="AY553" s="332" t="s">
        <v>135</v>
      </c>
      <c r="AZ553" s="84"/>
      <c r="BA553" s="84"/>
      <c r="BB553" s="84"/>
      <c r="BC553" s="84"/>
      <c r="BD553" s="84"/>
      <c r="BE553" s="84"/>
      <c r="BF553" s="84"/>
      <c r="BG553" s="84"/>
      <c r="BH553" s="84"/>
      <c r="BI553" s="84"/>
      <c r="BJ553" s="84"/>
      <c r="BK553" s="84"/>
      <c r="BL553" s="84"/>
      <c r="BM553" s="84"/>
      <c r="BN553" s="84"/>
      <c r="BO553" s="84"/>
      <c r="BP553" s="84"/>
      <c r="BQ553" s="84"/>
      <c r="BR553" s="84"/>
      <c r="BS553" s="84"/>
      <c r="BT553" s="84"/>
      <c r="BU553" s="84"/>
      <c r="BV553" s="84"/>
      <c r="BW553" s="84"/>
      <c r="BX553" s="84"/>
      <c r="BY553" s="84"/>
      <c r="BZ553" s="84"/>
      <c r="CA553" s="84"/>
      <c r="CB553" s="84"/>
      <c r="CC553" s="84"/>
      <c r="CD553" s="84"/>
      <c r="CE553" s="84"/>
      <c r="CF553" s="84"/>
      <c r="CG553" s="84"/>
      <c r="CH553" s="84"/>
      <c r="CI553" s="84"/>
      <c r="CJ553" s="84"/>
      <c r="CK553" s="84"/>
      <c r="CL553" s="84"/>
      <c r="CM553" s="84"/>
      <c r="CN553" s="84"/>
      <c r="CO553" s="84"/>
      <c r="CP553" s="84"/>
      <c r="CQ553" s="84"/>
      <c r="CR553" s="84"/>
      <c r="CS553" s="84"/>
      <c r="CT553" s="84"/>
      <c r="CU553" s="84"/>
      <c r="CV553" s="84"/>
      <c r="CW553" s="84"/>
      <c r="CX553" s="84"/>
      <c r="CY553" s="84"/>
      <c r="CZ553" s="84"/>
      <c r="DA553" s="84"/>
      <c r="DB553" s="84"/>
      <c r="DC553" s="84"/>
      <c r="DD553" s="84"/>
      <c r="DE553" s="84"/>
      <c r="DF553" s="84"/>
      <c r="DG553" s="84"/>
    </row>
    <row r="554" ht="20.25" hidden="1" customHeight="1">
      <c r="A554" s="331" t="s">
        <v>106</v>
      </c>
      <c r="B554" s="332" t="s">
        <v>107</v>
      </c>
      <c r="C554" s="332" t="s">
        <v>2914</v>
      </c>
      <c r="D554" s="333"/>
      <c r="E554" s="738" t="s">
        <v>3141</v>
      </c>
      <c r="F554" s="736" t="s">
        <v>3120</v>
      </c>
      <c r="G554" s="734" t="s">
        <v>2917</v>
      </c>
      <c r="H554" s="737">
        <v>45663.0</v>
      </c>
      <c r="I554" s="159">
        <v>45691.0</v>
      </c>
      <c r="J554" s="734" t="s">
        <v>3142</v>
      </c>
      <c r="K554" s="738"/>
      <c r="L554" s="734" t="s">
        <v>3136</v>
      </c>
      <c r="M554" s="734" t="s">
        <v>3123</v>
      </c>
      <c r="N554" s="331">
        <v>1.0</v>
      </c>
      <c r="O554" s="734" t="s">
        <v>3124</v>
      </c>
      <c r="P554" s="48" t="str">
        <f t="array" ref="P554">HYPERLINK(INDEX('File Links'!B:B, MATCH(O554, 'File Links'!C:C, 0)))
</f>
        <v>https://drive.google.com/file/d/1d65j0saCEIanzMI-38I3fhweWKRYSiw2/view?usp=drivesdk</v>
      </c>
      <c r="Q554" s="734" t="s">
        <v>3125</v>
      </c>
      <c r="R554" s="734" t="s">
        <v>3126</v>
      </c>
      <c r="S554" s="738"/>
      <c r="T554" s="331">
        <v>1.0</v>
      </c>
      <c r="U554" s="734" t="s">
        <v>3127</v>
      </c>
      <c r="V554" s="331" t="s">
        <v>202</v>
      </c>
      <c r="W554" s="45" t="str">
        <f t="array" ref="W554">HYPERLINK(INDEX('File Links'!B:B, MATCH(U554, 'File Links'!C:C, 0)))
</f>
        <v>#N/A</v>
      </c>
      <c r="X554" s="331" t="s">
        <v>3128</v>
      </c>
      <c r="Y554" s="734" t="s">
        <v>121</v>
      </c>
      <c r="Z554" s="756" t="s">
        <v>3129</v>
      </c>
      <c r="AA554" s="734" t="s">
        <v>3130</v>
      </c>
      <c r="AB554" s="734" t="s">
        <v>3137</v>
      </c>
      <c r="AC554" s="756" t="s">
        <v>3132</v>
      </c>
      <c r="AD554" s="331">
        <v>11.0</v>
      </c>
      <c r="AE554" s="837">
        <v>1000.0</v>
      </c>
      <c r="AF554" s="739">
        <v>24.6</v>
      </c>
      <c r="AG554" s="734" t="s">
        <v>1051</v>
      </c>
      <c r="AH554" s="734" t="s">
        <v>3138</v>
      </c>
      <c r="AI554" s="838">
        <v>0.05</v>
      </c>
      <c r="AJ554" s="736" t="s">
        <v>127</v>
      </c>
      <c r="AK554" s="736" t="s">
        <v>179</v>
      </c>
      <c r="AL554" s="738" t="s">
        <v>129</v>
      </c>
      <c r="AM554" s="331" t="s">
        <v>165</v>
      </c>
      <c r="AN554" s="739">
        <v>1000.0</v>
      </c>
      <c r="AO554" s="739">
        <v>-0.11</v>
      </c>
      <c r="AP554" s="734" t="s">
        <v>1051</v>
      </c>
      <c r="AQ554" s="738"/>
      <c r="AR554" s="734" t="s">
        <v>2384</v>
      </c>
      <c r="AS554" s="738"/>
      <c r="AT554" s="738"/>
      <c r="AU554" s="738"/>
      <c r="AV554" s="738"/>
      <c r="AW554" s="738" t="s">
        <v>134</v>
      </c>
      <c r="AX554" s="333"/>
      <c r="AY554" s="332" t="s">
        <v>135</v>
      </c>
      <c r="AZ554" s="84"/>
      <c r="BA554" s="84"/>
      <c r="BB554" s="84"/>
      <c r="BC554" s="84"/>
      <c r="BD554" s="84"/>
      <c r="BE554" s="84"/>
      <c r="BF554" s="84"/>
      <c r="BG554" s="84"/>
      <c r="BH554" s="84"/>
      <c r="BI554" s="84"/>
      <c r="BJ554" s="84"/>
      <c r="BK554" s="84"/>
      <c r="BL554" s="84"/>
      <c r="BM554" s="84"/>
      <c r="BN554" s="84"/>
      <c r="BO554" s="84"/>
      <c r="BP554" s="84"/>
      <c r="BQ554" s="84"/>
      <c r="BR554" s="84"/>
      <c r="BS554" s="84"/>
      <c r="BT554" s="84"/>
      <c r="BU554" s="84"/>
      <c r="BV554" s="84"/>
      <c r="BW554" s="84"/>
      <c r="BX554" s="84"/>
      <c r="BY554" s="84"/>
      <c r="BZ554" s="84"/>
      <c r="CA554" s="84"/>
      <c r="CB554" s="84"/>
      <c r="CC554" s="84"/>
      <c r="CD554" s="84"/>
      <c r="CE554" s="84"/>
      <c r="CF554" s="84"/>
      <c r="CG554" s="84"/>
      <c r="CH554" s="84"/>
      <c r="CI554" s="84"/>
      <c r="CJ554" s="84"/>
      <c r="CK554" s="84"/>
      <c r="CL554" s="84"/>
      <c r="CM554" s="84"/>
      <c r="CN554" s="84"/>
      <c r="CO554" s="84"/>
      <c r="CP554" s="84"/>
      <c r="CQ554" s="84"/>
      <c r="CR554" s="84"/>
      <c r="CS554" s="84"/>
      <c r="CT554" s="84"/>
      <c r="CU554" s="84"/>
      <c r="CV554" s="84"/>
      <c r="CW554" s="84"/>
      <c r="CX554" s="84"/>
      <c r="CY554" s="84"/>
      <c r="CZ554" s="84"/>
      <c r="DA554" s="84"/>
      <c r="DB554" s="84"/>
      <c r="DC554" s="84"/>
      <c r="DD554" s="84"/>
      <c r="DE554" s="84"/>
      <c r="DF554" s="84"/>
      <c r="DG554" s="84"/>
    </row>
    <row r="555" ht="20.25" hidden="1" customHeight="1">
      <c r="A555" s="331" t="s">
        <v>106</v>
      </c>
      <c r="B555" s="332" t="s">
        <v>107</v>
      </c>
      <c r="C555" s="332" t="s">
        <v>2914</v>
      </c>
      <c r="D555" s="333"/>
      <c r="E555" s="738" t="s">
        <v>3143</v>
      </c>
      <c r="F555" s="736" t="s">
        <v>3120</v>
      </c>
      <c r="G555" s="734" t="s">
        <v>2917</v>
      </c>
      <c r="H555" s="737">
        <v>45663.0</v>
      </c>
      <c r="I555" s="159">
        <v>45691.0</v>
      </c>
      <c r="J555" s="734" t="s">
        <v>3144</v>
      </c>
      <c r="K555" s="738"/>
      <c r="L555" s="734" t="s">
        <v>3136</v>
      </c>
      <c r="M555" s="734" t="s">
        <v>3123</v>
      </c>
      <c r="N555" s="331">
        <v>1.0</v>
      </c>
      <c r="O555" s="734" t="s">
        <v>3124</v>
      </c>
      <c r="P555" s="48" t="str">
        <f t="array" ref="P555">HYPERLINK(INDEX('File Links'!B:B, MATCH(O555, 'File Links'!C:C, 0)))
</f>
        <v>https://drive.google.com/file/d/1d65j0saCEIanzMI-38I3fhweWKRYSiw2/view?usp=drivesdk</v>
      </c>
      <c r="Q555" s="734" t="s">
        <v>3125</v>
      </c>
      <c r="R555" s="734" t="s">
        <v>3126</v>
      </c>
      <c r="S555" s="738"/>
      <c r="T555" s="331">
        <v>1.0</v>
      </c>
      <c r="U555" s="734" t="s">
        <v>3127</v>
      </c>
      <c r="V555" s="331" t="s">
        <v>202</v>
      </c>
      <c r="W555" s="45" t="str">
        <f t="array" ref="W555">HYPERLINK(INDEX('File Links'!B:B, MATCH(U555, 'File Links'!C:C, 0)))
</f>
        <v>#N/A</v>
      </c>
      <c r="X555" s="331" t="s">
        <v>3128</v>
      </c>
      <c r="Y555" s="734" t="s">
        <v>121</v>
      </c>
      <c r="Z555" s="756" t="s">
        <v>3129</v>
      </c>
      <c r="AA555" s="734" t="s">
        <v>3130</v>
      </c>
      <c r="AB555" s="734" t="s">
        <v>3137</v>
      </c>
      <c r="AC555" s="756" t="s">
        <v>3132</v>
      </c>
      <c r="AD555" s="331">
        <v>11.0</v>
      </c>
      <c r="AE555" s="837">
        <v>1000.0</v>
      </c>
      <c r="AF555" s="739">
        <v>683.5</v>
      </c>
      <c r="AG555" s="734" t="s">
        <v>1051</v>
      </c>
      <c r="AH555" s="734" t="s">
        <v>3138</v>
      </c>
      <c r="AI555" s="838">
        <v>0.05</v>
      </c>
      <c r="AJ555" s="736" t="s">
        <v>127</v>
      </c>
      <c r="AK555" s="736" t="s">
        <v>179</v>
      </c>
      <c r="AL555" s="738" t="s">
        <v>129</v>
      </c>
      <c r="AM555" s="331" t="s">
        <v>165</v>
      </c>
      <c r="AN555" s="739">
        <v>1000.0</v>
      </c>
      <c r="AO555" s="739">
        <v>0.08</v>
      </c>
      <c r="AP555" s="734" t="s">
        <v>1051</v>
      </c>
      <c r="AQ555" s="738"/>
      <c r="AR555" s="734" t="s">
        <v>2384</v>
      </c>
      <c r="AS555" s="738"/>
      <c r="AT555" s="738"/>
      <c r="AU555" s="738"/>
      <c r="AV555" s="738"/>
      <c r="AW555" s="738" t="s">
        <v>134</v>
      </c>
      <c r="AX555" s="333"/>
      <c r="AY555" s="332" t="s">
        <v>135</v>
      </c>
      <c r="AZ555" s="691"/>
      <c r="BA555" s="691"/>
      <c r="BB555" s="691"/>
      <c r="BC555" s="691"/>
      <c r="BD555" s="691"/>
      <c r="BE555" s="691"/>
      <c r="BF555" s="691"/>
      <c r="BG555" s="691"/>
      <c r="BH555" s="691"/>
      <c r="BI555" s="691"/>
      <c r="BJ555" s="691"/>
      <c r="BK555" s="691"/>
      <c r="BL555" s="691"/>
      <c r="BM555" s="691"/>
      <c r="BN555" s="691"/>
      <c r="BO555" s="691"/>
      <c r="BP555" s="691"/>
      <c r="BQ555" s="691"/>
      <c r="BR555" s="691"/>
      <c r="BS555" s="691"/>
      <c r="BT555" s="691"/>
      <c r="BU555" s="691"/>
      <c r="BV555" s="691"/>
      <c r="BW555" s="691"/>
      <c r="BX555" s="691"/>
      <c r="BY555" s="691"/>
      <c r="BZ555" s="691"/>
      <c r="CA555" s="691"/>
      <c r="CB555" s="691"/>
      <c r="CC555" s="691"/>
      <c r="CD555" s="691"/>
      <c r="CE555" s="691"/>
      <c r="CF555" s="691"/>
      <c r="CG555" s="691"/>
      <c r="CH555" s="691"/>
      <c r="CI555" s="691"/>
      <c r="CJ555" s="691"/>
      <c r="CK555" s="691"/>
      <c r="CL555" s="691"/>
      <c r="CM555" s="691"/>
      <c r="CN555" s="691"/>
      <c r="CO555" s="691"/>
      <c r="CP555" s="691"/>
      <c r="CQ555" s="691"/>
      <c r="CR555" s="691"/>
      <c r="CS555" s="691"/>
      <c r="CT555" s="691"/>
      <c r="CU555" s="691"/>
      <c r="CV555" s="691"/>
      <c r="CW555" s="691"/>
      <c r="CX555" s="691"/>
      <c r="CY555" s="691"/>
      <c r="CZ555" s="691"/>
      <c r="DA555" s="691"/>
      <c r="DB555" s="691"/>
      <c r="DC555" s="691"/>
      <c r="DD555" s="691"/>
      <c r="DE555" s="691"/>
      <c r="DF555" s="691"/>
      <c r="DG555" s="691"/>
    </row>
    <row r="556" ht="20.25" customHeight="1">
      <c r="A556" s="316" t="s">
        <v>520</v>
      </c>
      <c r="B556" s="316" t="s">
        <v>107</v>
      </c>
      <c r="C556" s="316" t="s">
        <v>214</v>
      </c>
      <c r="D556" s="215"/>
      <c r="E556" s="138" t="s">
        <v>3145</v>
      </c>
      <c r="F556" s="52" t="s">
        <v>3146</v>
      </c>
      <c r="G556" s="147" t="s">
        <v>214</v>
      </c>
      <c r="H556" s="140">
        <v>45684.0</v>
      </c>
      <c r="I556" s="140">
        <v>45684.0</v>
      </c>
      <c r="J556" s="60"/>
      <c r="K556" s="60"/>
      <c r="L556" s="147" t="s">
        <v>3147</v>
      </c>
      <c r="M556" s="147" t="s">
        <v>3148</v>
      </c>
      <c r="N556" s="60"/>
      <c r="O556" s="145" t="s">
        <v>3149</v>
      </c>
      <c r="P556" s="48" t="str">
        <f t="array" ref="P556">HYPERLINK(INDEX('File Links'!B:B, MATCH(O556, 'File Links'!C:C, 0)))
</f>
        <v>https://drive.google.com/file/d/1BtYypYyY-PzT4y8FLAgHXAyFQwMz4y2O/view?usp=drivesdk</v>
      </c>
      <c r="Q556" s="147" t="s">
        <v>3150</v>
      </c>
      <c r="R556" s="147" t="s">
        <v>3151</v>
      </c>
      <c r="S556" s="60"/>
      <c r="T556" s="60"/>
      <c r="U556" s="145" t="s">
        <v>3152</v>
      </c>
      <c r="V556" s="147" t="s">
        <v>202</v>
      </c>
      <c r="W556" s="50" t="str">
        <f t="array" ref="W556">HYPERLINK(INDEX('File Links'!B:B, MATCH(U556, 'File Links'!C:C, 0)))
</f>
        <v>https://drive.google.com/file/d/1vDgLj9eoT-VnSILsFHRQ12VvtSFTsWUV/view?usp=drivesdk</v>
      </c>
      <c r="X556" s="60"/>
      <c r="Y556" s="147" t="s">
        <v>139</v>
      </c>
      <c r="Z556" s="147" t="s">
        <v>3153</v>
      </c>
      <c r="AA556" s="147" t="s">
        <v>3154</v>
      </c>
      <c r="AB556" s="147" t="s">
        <v>3155</v>
      </c>
      <c r="AC556" s="147" t="s">
        <v>3156</v>
      </c>
      <c r="AD556" s="144">
        <v>13.0</v>
      </c>
      <c r="AE556" s="144">
        <v>24.0</v>
      </c>
      <c r="AF556" s="144">
        <v>0.62</v>
      </c>
      <c r="AG556" s="147" t="s">
        <v>130</v>
      </c>
      <c r="AH556" s="147" t="s">
        <v>2030</v>
      </c>
      <c r="AI556" s="646">
        <v>0.001</v>
      </c>
      <c r="AJ556" s="52" t="s">
        <v>127</v>
      </c>
      <c r="AK556" s="52" t="s">
        <v>128</v>
      </c>
      <c r="AL556" s="147" t="s">
        <v>129</v>
      </c>
      <c r="AM556" s="52" t="s">
        <v>165</v>
      </c>
      <c r="AN556" s="144">
        <v>30.0</v>
      </c>
      <c r="AO556" s="144">
        <v>0.12</v>
      </c>
      <c r="AP556" s="147" t="s">
        <v>130</v>
      </c>
      <c r="AQ556" s="147" t="s">
        <v>3157</v>
      </c>
      <c r="AR556" s="144">
        <v>0.001</v>
      </c>
      <c r="AS556" s="147" t="s">
        <v>127</v>
      </c>
      <c r="AT556" s="147" t="s">
        <v>128</v>
      </c>
      <c r="AU556" s="147" t="s">
        <v>129</v>
      </c>
      <c r="AV556" s="147" t="s">
        <v>165</v>
      </c>
      <c r="AW556" s="147" t="s">
        <v>134</v>
      </c>
      <c r="AZ556" s="333"/>
      <c r="BA556" s="333"/>
      <c r="BB556" s="333"/>
      <c r="BC556" s="333"/>
      <c r="BD556" s="333"/>
      <c r="BE556" s="333"/>
      <c r="BF556" s="333"/>
      <c r="BG556" s="333"/>
      <c r="BH556" s="333"/>
      <c r="BI556" s="333"/>
      <c r="BJ556" s="333"/>
      <c r="BK556" s="333"/>
      <c r="BL556" s="333"/>
      <c r="BM556" s="333"/>
      <c r="BN556" s="333"/>
      <c r="BO556" s="333"/>
      <c r="BP556" s="333"/>
      <c r="BQ556" s="333"/>
      <c r="BR556" s="333"/>
      <c r="BS556" s="333"/>
      <c r="BT556" s="333"/>
      <c r="BU556" s="333"/>
      <c r="BV556" s="333"/>
      <c r="BW556" s="333"/>
      <c r="BX556" s="333"/>
      <c r="BY556" s="333"/>
      <c r="BZ556" s="333"/>
      <c r="CA556" s="333"/>
      <c r="CB556" s="333"/>
      <c r="CC556" s="333"/>
      <c r="CD556" s="333"/>
      <c r="CE556" s="333"/>
      <c r="CF556" s="333"/>
      <c r="CG556" s="333"/>
      <c r="CH556" s="333"/>
      <c r="CI556" s="333"/>
      <c r="CJ556" s="333"/>
      <c r="CK556" s="333"/>
      <c r="CL556" s="333"/>
      <c r="CM556" s="333"/>
      <c r="CN556" s="333"/>
      <c r="CO556" s="333"/>
      <c r="CP556" s="333"/>
      <c r="CQ556" s="333"/>
      <c r="CR556" s="333"/>
      <c r="CS556" s="333"/>
      <c r="CT556" s="333"/>
      <c r="CU556" s="333"/>
      <c r="CV556" s="333"/>
      <c r="CW556" s="333"/>
      <c r="CX556" s="333"/>
      <c r="CY556" s="333"/>
      <c r="CZ556" s="333"/>
      <c r="DA556" s="333"/>
      <c r="DB556" s="333"/>
      <c r="DC556" s="333"/>
      <c r="DD556" s="333"/>
      <c r="DE556" s="333"/>
      <c r="DF556" s="333"/>
      <c r="DG556" s="333"/>
    </row>
    <row r="557" ht="20.25" customHeight="1">
      <c r="A557" s="316" t="s">
        <v>520</v>
      </c>
      <c r="B557" s="316" t="s">
        <v>107</v>
      </c>
      <c r="C557" s="316" t="s">
        <v>214</v>
      </c>
      <c r="D557" s="215"/>
      <c r="E557" s="138" t="s">
        <v>3145</v>
      </c>
      <c r="F557" s="52" t="s">
        <v>3158</v>
      </c>
      <c r="G557" s="147" t="s">
        <v>214</v>
      </c>
      <c r="H557" s="140">
        <v>45684.0</v>
      </c>
      <c r="I557" s="140">
        <v>45684.0</v>
      </c>
      <c r="J557" s="42"/>
      <c r="K557" s="60"/>
      <c r="L557" s="147" t="s">
        <v>3147</v>
      </c>
      <c r="M557" s="147" t="s">
        <v>3148</v>
      </c>
      <c r="N557" s="60"/>
      <c r="O557" s="145" t="s">
        <v>3149</v>
      </c>
      <c r="P557" s="48" t="str">
        <f t="array" ref="P557">HYPERLINK(INDEX('File Links'!B:B, MATCH(O557, 'File Links'!C:C, 0)))
</f>
        <v>https://drive.google.com/file/d/1BtYypYyY-PzT4y8FLAgHXAyFQwMz4y2O/view?usp=drivesdk</v>
      </c>
      <c r="Q557" s="147" t="s">
        <v>3150</v>
      </c>
      <c r="R557" s="147" t="s">
        <v>3151</v>
      </c>
      <c r="S557" s="60"/>
      <c r="T557" s="60"/>
      <c r="U557" s="145" t="s">
        <v>3152</v>
      </c>
      <c r="V557" s="147" t="s">
        <v>202</v>
      </c>
      <c r="W557" s="50" t="str">
        <f t="array" ref="W557">HYPERLINK(INDEX('File Links'!B:B, MATCH(U557, 'File Links'!C:C, 0)))
</f>
        <v>https://drive.google.com/file/d/1vDgLj9eoT-VnSILsFHRQ12VvtSFTsWUV/view?usp=drivesdk</v>
      </c>
      <c r="X557" s="60"/>
      <c r="Y557" s="147" t="s">
        <v>3159</v>
      </c>
      <c r="Z557" s="147" t="s">
        <v>3153</v>
      </c>
      <c r="AA557" s="147" t="s">
        <v>3154</v>
      </c>
      <c r="AB557" s="60" t="s">
        <v>3160</v>
      </c>
      <c r="AC557" s="147" t="s">
        <v>3161</v>
      </c>
      <c r="AD557" s="144">
        <v>13.0</v>
      </c>
      <c r="AE557" s="144">
        <v>24.0</v>
      </c>
      <c r="AF557" s="144">
        <v>0.85</v>
      </c>
      <c r="AG557" s="147" t="s">
        <v>130</v>
      </c>
      <c r="AH557" s="147" t="s">
        <v>2030</v>
      </c>
      <c r="AI557" s="646">
        <v>0.001</v>
      </c>
      <c r="AJ557" s="52" t="s">
        <v>127</v>
      </c>
      <c r="AK557" s="52" t="s">
        <v>128</v>
      </c>
      <c r="AL557" s="147" t="s">
        <v>129</v>
      </c>
      <c r="AM557" s="52" t="s">
        <v>165</v>
      </c>
      <c r="AN557" s="144">
        <v>30.0</v>
      </c>
      <c r="AO557" s="144">
        <v>0.67</v>
      </c>
      <c r="AP557" s="147" t="s">
        <v>130</v>
      </c>
      <c r="AQ557" s="147" t="s">
        <v>3157</v>
      </c>
      <c r="AR557" s="144">
        <v>0.001</v>
      </c>
      <c r="AS557" s="147" t="s">
        <v>127</v>
      </c>
      <c r="AT557" s="147" t="s">
        <v>128</v>
      </c>
      <c r="AU557" s="147" t="s">
        <v>129</v>
      </c>
      <c r="AV557" s="147" t="s">
        <v>165</v>
      </c>
      <c r="AW557" s="147" t="s">
        <v>134</v>
      </c>
      <c r="AZ557" s="484"/>
      <c r="BA557" s="484"/>
      <c r="BB557" s="484"/>
      <c r="BC557" s="484"/>
      <c r="BD557" s="484"/>
      <c r="BE557" s="484"/>
      <c r="BF557" s="484"/>
      <c r="BG557" s="484"/>
      <c r="BH557" s="484"/>
      <c r="BI557" s="484"/>
      <c r="BJ557" s="484"/>
      <c r="BK557" s="484"/>
      <c r="BL557" s="484"/>
      <c r="BM557" s="484"/>
      <c r="BN557" s="484"/>
      <c r="BO557" s="484"/>
      <c r="BP557" s="484"/>
      <c r="BQ557" s="484"/>
      <c r="BR557" s="484"/>
      <c r="BS557" s="484"/>
      <c r="BT557" s="484"/>
      <c r="BU557" s="484"/>
      <c r="BV557" s="484"/>
      <c r="BW557" s="484"/>
      <c r="BX557" s="484"/>
      <c r="BY557" s="484"/>
      <c r="BZ557" s="484"/>
      <c r="CA557" s="484"/>
      <c r="CB557" s="484"/>
      <c r="CC557" s="484"/>
      <c r="CD557" s="484"/>
      <c r="CE557" s="484"/>
      <c r="CF557" s="484"/>
      <c r="CG557" s="484"/>
      <c r="CH557" s="484"/>
      <c r="CI557" s="484"/>
      <c r="CJ557" s="484"/>
      <c r="CK557" s="484"/>
      <c r="CL557" s="484"/>
      <c r="CM557" s="484"/>
      <c r="CN557" s="484"/>
      <c r="CO557" s="484"/>
      <c r="CP557" s="484"/>
      <c r="CQ557" s="484"/>
      <c r="CR557" s="484"/>
      <c r="CS557" s="484"/>
      <c r="CT557" s="484"/>
      <c r="CU557" s="484"/>
      <c r="CV557" s="484"/>
      <c r="CW557" s="484"/>
      <c r="CX557" s="484"/>
      <c r="CY557" s="484"/>
      <c r="CZ557" s="484"/>
      <c r="DA557" s="484"/>
      <c r="DB557" s="484"/>
      <c r="DC557" s="484"/>
      <c r="DD557" s="484"/>
      <c r="DE557" s="484"/>
      <c r="DF557" s="484"/>
      <c r="DG557" s="484"/>
    </row>
    <row r="558" ht="20.25" customHeight="1">
      <c r="A558" s="316" t="s">
        <v>520</v>
      </c>
      <c r="B558" s="316" t="s">
        <v>107</v>
      </c>
      <c r="C558" s="316" t="s">
        <v>214</v>
      </c>
      <c r="D558" s="215"/>
      <c r="E558" s="138" t="s">
        <v>3145</v>
      </c>
      <c r="F558" s="52" t="s">
        <v>3162</v>
      </c>
      <c r="G558" s="147" t="s">
        <v>214</v>
      </c>
      <c r="H558" s="140">
        <v>45684.0</v>
      </c>
      <c r="I558" s="140">
        <v>45684.0</v>
      </c>
      <c r="J558" s="42"/>
      <c r="K558" s="60"/>
      <c r="L558" s="147" t="s">
        <v>3147</v>
      </c>
      <c r="M558" s="147" t="s">
        <v>3148</v>
      </c>
      <c r="N558" s="60"/>
      <c r="O558" s="145" t="s">
        <v>3149</v>
      </c>
      <c r="P558" s="48" t="str">
        <f t="array" ref="P558">HYPERLINK(INDEX('File Links'!B:B, MATCH(O558, 'File Links'!C:C, 0)))
</f>
        <v>https://drive.google.com/file/d/1BtYypYyY-PzT4y8FLAgHXAyFQwMz4y2O/view?usp=drivesdk</v>
      </c>
      <c r="Q558" s="147" t="s">
        <v>3150</v>
      </c>
      <c r="R558" s="147" t="s">
        <v>3151</v>
      </c>
      <c r="S558" s="60"/>
      <c r="T558" s="60"/>
      <c r="U558" s="145" t="s">
        <v>3152</v>
      </c>
      <c r="V558" s="147" t="s">
        <v>202</v>
      </c>
      <c r="W558" s="50" t="str">
        <f t="array" ref="W558">HYPERLINK(INDEX('File Links'!B:B, MATCH(U558, 'File Links'!C:C, 0)))
</f>
        <v>https://drive.google.com/file/d/1vDgLj9eoT-VnSILsFHRQ12VvtSFTsWUV/view?usp=drivesdk</v>
      </c>
      <c r="X558" s="60"/>
      <c r="Y558" s="147" t="s">
        <v>3159</v>
      </c>
      <c r="Z558" s="147" t="s">
        <v>3153</v>
      </c>
      <c r="AA558" s="147" t="s">
        <v>3154</v>
      </c>
      <c r="AB558" s="60" t="s">
        <v>3163</v>
      </c>
      <c r="AC558" s="147" t="s">
        <v>3164</v>
      </c>
      <c r="AD558" s="144">
        <v>13.0</v>
      </c>
      <c r="AE558" s="144">
        <v>24.0</v>
      </c>
      <c r="AF558" s="144">
        <v>0.44</v>
      </c>
      <c r="AG558" s="147" t="s">
        <v>130</v>
      </c>
      <c r="AH558" s="147" t="s">
        <v>2030</v>
      </c>
      <c r="AI558" s="646">
        <v>0.001</v>
      </c>
      <c r="AJ558" s="52" t="s">
        <v>127</v>
      </c>
      <c r="AK558" s="52" t="s">
        <v>128</v>
      </c>
      <c r="AL558" s="147" t="s">
        <v>129</v>
      </c>
      <c r="AM558" s="52" t="s">
        <v>165</v>
      </c>
      <c r="AN558" s="144">
        <v>30.0</v>
      </c>
      <c r="AO558" s="144">
        <v>0.1</v>
      </c>
      <c r="AP558" s="147" t="s">
        <v>130</v>
      </c>
      <c r="AQ558" s="147" t="s">
        <v>3157</v>
      </c>
      <c r="AR558" s="144">
        <v>0.08</v>
      </c>
      <c r="AS558" s="147" t="s">
        <v>164</v>
      </c>
      <c r="AT558" s="147" t="s">
        <v>128</v>
      </c>
      <c r="AU558" s="147" t="s">
        <v>129</v>
      </c>
      <c r="AV558" s="147" t="s">
        <v>165</v>
      </c>
      <c r="AW558" s="147" t="s">
        <v>134</v>
      </c>
      <c r="AZ558" s="215"/>
      <c r="BA558" s="215"/>
      <c r="BB558" s="215"/>
      <c r="BC558" s="215"/>
      <c r="BD558" s="215"/>
      <c r="BE558" s="215"/>
      <c r="BF558" s="215"/>
      <c r="BG558" s="215"/>
      <c r="BH558" s="215"/>
      <c r="BI558" s="215"/>
      <c r="BJ558" s="215"/>
      <c r="BK558" s="215"/>
      <c r="BL558" s="215"/>
      <c r="BM558" s="215"/>
      <c r="BN558" s="215"/>
      <c r="BO558" s="215"/>
      <c r="BP558" s="215"/>
      <c r="BQ558" s="215"/>
      <c r="BR558" s="215"/>
      <c r="BS558" s="215"/>
      <c r="BT558" s="215"/>
      <c r="BU558" s="215"/>
      <c r="BV558" s="215"/>
      <c r="BW558" s="215"/>
      <c r="BX558" s="215"/>
      <c r="BY558" s="215"/>
      <c r="BZ558" s="215"/>
      <c r="CA558" s="215"/>
      <c r="CB558" s="215"/>
      <c r="CC558" s="215"/>
      <c r="CD558" s="215"/>
      <c r="CE558" s="215"/>
      <c r="CF558" s="215"/>
      <c r="CG558" s="215"/>
      <c r="CH558" s="215"/>
      <c r="CI558" s="215"/>
      <c r="CJ558" s="215"/>
      <c r="CK558" s="215"/>
      <c r="CL558" s="215"/>
      <c r="CM558" s="215"/>
      <c r="CN558" s="215"/>
      <c r="CO558" s="215"/>
      <c r="CP558" s="215"/>
      <c r="CQ558" s="215"/>
      <c r="CR558" s="215"/>
      <c r="CS558" s="215"/>
      <c r="CT558" s="215"/>
      <c r="CU558" s="215"/>
      <c r="CV558" s="215"/>
      <c r="CW558" s="215"/>
      <c r="CX558" s="215"/>
      <c r="CY558" s="215"/>
      <c r="CZ558" s="215"/>
      <c r="DA558" s="215"/>
      <c r="DB558" s="215"/>
      <c r="DC558" s="215"/>
      <c r="DD558" s="215"/>
      <c r="DE558" s="215"/>
      <c r="DF558" s="215"/>
      <c r="DG558" s="215"/>
    </row>
    <row r="559" ht="20.25" customHeight="1">
      <c r="A559" s="316" t="s">
        <v>520</v>
      </c>
      <c r="B559" s="316" t="s">
        <v>107</v>
      </c>
      <c r="C559" s="316" t="s">
        <v>1009</v>
      </c>
      <c r="D559" s="215"/>
      <c r="E559" s="147" t="s">
        <v>3165</v>
      </c>
      <c r="F559" s="52" t="s">
        <v>3146</v>
      </c>
      <c r="G559" s="52" t="s">
        <v>135</v>
      </c>
      <c r="H559" s="140">
        <v>45489.0</v>
      </c>
      <c r="I559" s="409">
        <v>45636.0</v>
      </c>
      <c r="J559" s="55"/>
      <c r="K559" s="55"/>
      <c r="L559" s="52" t="s">
        <v>3147</v>
      </c>
      <c r="M559" s="52" t="s">
        <v>3148</v>
      </c>
      <c r="N559" s="355">
        <v>1.0</v>
      </c>
      <c r="O559" s="330" t="s">
        <v>3149</v>
      </c>
      <c r="P559" s="48" t="str">
        <f t="array" ref="P559">HYPERLINK(INDEX('File Links'!B:B, MATCH(O559, 'File Links'!C:C, 0)))
</f>
        <v>https://drive.google.com/file/d/1BtYypYyY-PzT4y8FLAgHXAyFQwMz4y2O/view?usp=drivesdk</v>
      </c>
      <c r="Q559" s="52" t="s">
        <v>3150</v>
      </c>
      <c r="R559" s="52" t="s">
        <v>3151</v>
      </c>
      <c r="S559" s="55"/>
      <c r="T559" s="646">
        <v>1.0</v>
      </c>
      <c r="U559" s="52" t="s">
        <v>3152</v>
      </c>
      <c r="V559" s="52" t="s">
        <v>202</v>
      </c>
      <c r="W559" s="50" t="str">
        <f t="array" ref="W559">HYPERLINK(INDEX('File Links'!B:B, MATCH(U559, 'File Links'!C:C, 0)))
</f>
        <v>https://drive.google.com/file/d/1vDgLj9eoT-VnSILsFHRQ12VvtSFTsWUV/view?usp=drivesdk</v>
      </c>
      <c r="X559" s="55"/>
      <c r="Y559" s="52" t="s">
        <v>139</v>
      </c>
      <c r="Z559" s="55" t="s">
        <v>3166</v>
      </c>
      <c r="AA559" s="55" t="s">
        <v>3154</v>
      </c>
      <c r="AB559" s="52" t="s">
        <v>3167</v>
      </c>
      <c r="AC559" s="52" t="s">
        <v>3168</v>
      </c>
      <c r="AD559" s="355">
        <v>3.0</v>
      </c>
      <c r="AE559" s="355">
        <v>24.0</v>
      </c>
      <c r="AF559" s="498">
        <v>17.62</v>
      </c>
      <c r="AG559" s="330" t="s">
        <v>1051</v>
      </c>
      <c r="AH559" s="55"/>
      <c r="AI559" s="355">
        <v>0.001</v>
      </c>
      <c r="AJ559" s="147" t="s">
        <v>127</v>
      </c>
      <c r="AK559" s="52" t="s">
        <v>179</v>
      </c>
      <c r="AL559" s="55" t="s">
        <v>129</v>
      </c>
      <c r="AM559" s="55"/>
      <c r="AN559" s="355">
        <v>30.0</v>
      </c>
      <c r="AO559" s="355">
        <v>0.1</v>
      </c>
      <c r="AP559" s="52" t="s">
        <v>130</v>
      </c>
      <c r="AQ559" s="498">
        <v>3.0</v>
      </c>
      <c r="AR559" s="355">
        <v>0.08</v>
      </c>
      <c r="AS559" s="147" t="s">
        <v>164</v>
      </c>
      <c r="AT559" s="60"/>
      <c r="AU559" s="60" t="s">
        <v>129</v>
      </c>
      <c r="AV559" s="60"/>
      <c r="AW559" s="60" t="s">
        <v>134</v>
      </c>
      <c r="AX559" s="55"/>
      <c r="AZ559" s="209"/>
      <c r="BA559" s="209"/>
      <c r="BB559" s="209"/>
      <c r="BC559" s="209"/>
      <c r="BD559" s="209"/>
      <c r="BE559" s="209"/>
      <c r="BF559" s="209"/>
      <c r="BG559" s="209"/>
      <c r="BH559" s="209"/>
      <c r="BI559" s="209"/>
      <c r="BJ559" s="209"/>
      <c r="BK559" s="209"/>
      <c r="BL559" s="209"/>
      <c r="BM559" s="209"/>
      <c r="BN559" s="209"/>
      <c r="BO559" s="209"/>
      <c r="BP559" s="209"/>
      <c r="BQ559" s="209"/>
      <c r="BR559" s="209"/>
      <c r="BS559" s="209"/>
      <c r="BT559" s="209"/>
      <c r="BU559" s="209"/>
      <c r="BV559" s="209"/>
      <c r="BW559" s="209"/>
      <c r="BX559" s="209"/>
      <c r="BY559" s="209"/>
      <c r="BZ559" s="209"/>
      <c r="CA559" s="209"/>
      <c r="CB559" s="209"/>
      <c r="CC559" s="209"/>
      <c r="CD559" s="209"/>
      <c r="CE559" s="209"/>
      <c r="CF559" s="209"/>
      <c r="CG559" s="209"/>
      <c r="CH559" s="209"/>
      <c r="CI559" s="209"/>
      <c r="CJ559" s="209"/>
      <c r="CK559" s="209"/>
      <c r="CL559" s="209"/>
      <c r="CM559" s="209"/>
      <c r="CN559" s="209"/>
      <c r="CO559" s="209"/>
      <c r="CP559" s="209"/>
      <c r="CQ559" s="209"/>
      <c r="CR559" s="209"/>
      <c r="CS559" s="209"/>
      <c r="CT559" s="209"/>
      <c r="CU559" s="209"/>
      <c r="CV559" s="209"/>
      <c r="CW559" s="209"/>
      <c r="CX559" s="209"/>
      <c r="CY559" s="209"/>
      <c r="CZ559" s="209"/>
      <c r="DA559" s="209"/>
      <c r="DB559" s="209"/>
      <c r="DC559" s="209"/>
      <c r="DD559" s="209"/>
      <c r="DE559" s="209"/>
      <c r="DF559" s="209"/>
      <c r="DG559" s="209"/>
    </row>
    <row r="560" ht="20.25" customHeight="1">
      <c r="A560" s="316" t="s">
        <v>520</v>
      </c>
      <c r="B560" s="316" t="s">
        <v>107</v>
      </c>
      <c r="C560" s="316" t="s">
        <v>1009</v>
      </c>
      <c r="D560" s="215"/>
      <c r="E560" s="147" t="s">
        <v>3165</v>
      </c>
      <c r="F560" s="52" t="s">
        <v>3158</v>
      </c>
      <c r="G560" s="52" t="s">
        <v>135</v>
      </c>
      <c r="H560" s="140">
        <v>45489.0</v>
      </c>
      <c r="I560" s="409">
        <v>45636.0</v>
      </c>
      <c r="J560" s="55"/>
      <c r="K560" s="55"/>
      <c r="L560" s="52" t="s">
        <v>3147</v>
      </c>
      <c r="M560" s="52" t="s">
        <v>3148</v>
      </c>
      <c r="N560" s="355">
        <v>1.0</v>
      </c>
      <c r="O560" s="353" t="s">
        <v>3149</v>
      </c>
      <c r="P560" s="48" t="str">
        <f t="array" ref="P560">HYPERLINK(INDEX('File Links'!B:B, MATCH(O560, 'File Links'!C:C, 0)))
</f>
        <v>https://drive.google.com/file/d/1BtYypYyY-PzT4y8FLAgHXAyFQwMz4y2O/view?usp=drivesdk</v>
      </c>
      <c r="Q560" s="52" t="s">
        <v>3150</v>
      </c>
      <c r="R560" s="52" t="s">
        <v>3151</v>
      </c>
      <c r="S560" s="55"/>
      <c r="T560" s="646">
        <v>1.0</v>
      </c>
      <c r="U560" s="354" t="s">
        <v>3152</v>
      </c>
      <c r="V560" s="52" t="s">
        <v>202</v>
      </c>
      <c r="W560" s="50" t="str">
        <f t="array" ref="W560">HYPERLINK(INDEX('File Links'!B:B, MATCH(U560, 'File Links'!C:C, 0)))
</f>
        <v>https://drive.google.com/file/d/1vDgLj9eoT-VnSILsFHRQ12VvtSFTsWUV/view?usp=drivesdk</v>
      </c>
      <c r="X560" s="55"/>
      <c r="Y560" s="52" t="s">
        <v>139</v>
      </c>
      <c r="Z560" s="55" t="s">
        <v>3166</v>
      </c>
      <c r="AA560" s="55" t="s">
        <v>3154</v>
      </c>
      <c r="AB560" s="52" t="s">
        <v>3169</v>
      </c>
      <c r="AC560" s="52" t="s">
        <v>3170</v>
      </c>
      <c r="AD560" s="355">
        <v>3.0</v>
      </c>
      <c r="AE560" s="355">
        <v>24.0</v>
      </c>
      <c r="AF560" s="840">
        <v>121.1</v>
      </c>
      <c r="AG560" s="330" t="s">
        <v>1051</v>
      </c>
      <c r="AH560" s="55"/>
      <c r="AI560" s="355">
        <v>0.001</v>
      </c>
      <c r="AJ560" s="147" t="s">
        <v>127</v>
      </c>
      <c r="AK560" s="52" t="s">
        <v>179</v>
      </c>
      <c r="AL560" s="55" t="s">
        <v>129</v>
      </c>
      <c r="AM560" s="55"/>
      <c r="AN560" s="355">
        <v>30.0</v>
      </c>
      <c r="AO560" s="355">
        <v>0.67</v>
      </c>
      <c r="AP560" s="52" t="s">
        <v>130</v>
      </c>
      <c r="AQ560" s="355">
        <v>3.0</v>
      </c>
      <c r="AR560" s="355">
        <v>0.001</v>
      </c>
      <c r="AS560" s="147" t="s">
        <v>127</v>
      </c>
      <c r="AT560" s="147" t="s">
        <v>179</v>
      </c>
      <c r="AU560" s="60" t="s">
        <v>129</v>
      </c>
      <c r="AV560" s="60"/>
      <c r="AW560" s="60" t="s">
        <v>134</v>
      </c>
      <c r="AX560" s="55"/>
      <c r="AZ560" s="209"/>
      <c r="BA560" s="209"/>
      <c r="BB560" s="209"/>
      <c r="BC560" s="209"/>
      <c r="BD560" s="209"/>
      <c r="BE560" s="209"/>
      <c r="BF560" s="209"/>
      <c r="BG560" s="209"/>
      <c r="BH560" s="209"/>
      <c r="BI560" s="209"/>
      <c r="BJ560" s="209"/>
      <c r="BK560" s="209"/>
      <c r="BL560" s="209"/>
      <c r="BM560" s="209"/>
      <c r="BN560" s="209"/>
      <c r="BO560" s="209"/>
      <c r="BP560" s="209"/>
      <c r="BQ560" s="209"/>
      <c r="BR560" s="209"/>
      <c r="BS560" s="209"/>
      <c r="BT560" s="209"/>
      <c r="BU560" s="209"/>
      <c r="BV560" s="209"/>
      <c r="BW560" s="209"/>
      <c r="BX560" s="209"/>
      <c r="BY560" s="209"/>
      <c r="BZ560" s="209"/>
      <c r="CA560" s="209"/>
      <c r="CB560" s="209"/>
      <c r="CC560" s="209"/>
      <c r="CD560" s="209"/>
      <c r="CE560" s="209"/>
      <c r="CF560" s="209"/>
      <c r="CG560" s="209"/>
      <c r="CH560" s="209"/>
      <c r="CI560" s="209"/>
      <c r="CJ560" s="209"/>
      <c r="CK560" s="209"/>
      <c r="CL560" s="209"/>
      <c r="CM560" s="209"/>
      <c r="CN560" s="209"/>
      <c r="CO560" s="209"/>
      <c r="CP560" s="209"/>
      <c r="CQ560" s="209"/>
      <c r="CR560" s="209"/>
      <c r="CS560" s="209"/>
      <c r="CT560" s="209"/>
      <c r="CU560" s="209"/>
      <c r="CV560" s="209"/>
      <c r="CW560" s="209"/>
      <c r="CX560" s="209"/>
      <c r="CY560" s="209"/>
      <c r="CZ560" s="209"/>
      <c r="DA560" s="209"/>
      <c r="DB560" s="209"/>
      <c r="DC560" s="209"/>
      <c r="DD560" s="209"/>
      <c r="DE560" s="209"/>
      <c r="DF560" s="209"/>
      <c r="DG560" s="209"/>
    </row>
    <row r="561" ht="20.25" customHeight="1">
      <c r="A561" s="316" t="s">
        <v>520</v>
      </c>
      <c r="B561" s="316" t="s">
        <v>107</v>
      </c>
      <c r="C561" s="316" t="s">
        <v>1009</v>
      </c>
      <c r="D561" s="215"/>
      <c r="E561" s="147" t="s">
        <v>3165</v>
      </c>
      <c r="F561" s="52" t="s">
        <v>3162</v>
      </c>
      <c r="G561" s="52" t="s">
        <v>135</v>
      </c>
      <c r="H561" s="140">
        <v>45489.0</v>
      </c>
      <c r="I561" s="409">
        <v>45636.0</v>
      </c>
      <c r="J561" s="55"/>
      <c r="K561" s="55"/>
      <c r="L561" s="52" t="s">
        <v>3147</v>
      </c>
      <c r="M561" s="52" t="s">
        <v>3148</v>
      </c>
      <c r="N561" s="355">
        <v>1.0</v>
      </c>
      <c r="O561" s="353" t="s">
        <v>3149</v>
      </c>
      <c r="P561" s="48" t="str">
        <f t="array" ref="P561">HYPERLINK(INDEX('File Links'!B:B, MATCH(O561, 'File Links'!C:C, 0)))
</f>
        <v>https://drive.google.com/file/d/1BtYypYyY-PzT4y8FLAgHXAyFQwMz4y2O/view?usp=drivesdk</v>
      </c>
      <c r="Q561" s="52" t="s">
        <v>3150</v>
      </c>
      <c r="R561" s="52" t="s">
        <v>3151</v>
      </c>
      <c r="S561" s="55"/>
      <c r="T561" s="646">
        <v>1.0</v>
      </c>
      <c r="U561" s="354" t="s">
        <v>3152</v>
      </c>
      <c r="V561" s="52" t="s">
        <v>202</v>
      </c>
      <c r="W561" s="50" t="str">
        <f t="array" ref="W561">HYPERLINK(INDEX('File Links'!B:B, MATCH(U561, 'File Links'!C:C, 0)))
</f>
        <v>https://drive.google.com/file/d/1vDgLj9eoT-VnSILsFHRQ12VvtSFTsWUV/view?usp=drivesdk</v>
      </c>
      <c r="X561" s="55"/>
      <c r="Y561" s="52" t="s">
        <v>139</v>
      </c>
      <c r="Z561" s="55" t="s">
        <v>3166</v>
      </c>
      <c r="AA561" s="55" t="s">
        <v>3154</v>
      </c>
      <c r="AB561" s="52" t="s">
        <v>3171</v>
      </c>
      <c r="AC561" s="52" t="s">
        <v>3172</v>
      </c>
      <c r="AD561" s="355">
        <v>3.0</v>
      </c>
      <c r="AE561" s="355">
        <v>24.0</v>
      </c>
      <c r="AF561" s="840">
        <v>35.41</v>
      </c>
      <c r="AG561" s="330" t="s">
        <v>1051</v>
      </c>
      <c r="AH561" s="55"/>
      <c r="AI561" s="355">
        <v>0.001</v>
      </c>
      <c r="AJ561" s="147" t="s">
        <v>127</v>
      </c>
      <c r="AK561" s="52" t="s">
        <v>179</v>
      </c>
      <c r="AL561" s="55" t="s">
        <v>129</v>
      </c>
      <c r="AM561" s="55"/>
      <c r="AN561" s="355">
        <v>30.0</v>
      </c>
      <c r="AO561" s="355">
        <v>0.12</v>
      </c>
      <c r="AP561" s="52" t="s">
        <v>130</v>
      </c>
      <c r="AQ561" s="355">
        <v>3.0</v>
      </c>
      <c r="AR561" s="355">
        <v>0.001</v>
      </c>
      <c r="AS561" s="147" t="s">
        <v>127</v>
      </c>
      <c r="AT561" s="147" t="s">
        <v>179</v>
      </c>
      <c r="AU561" s="60" t="s">
        <v>129</v>
      </c>
      <c r="AV561" s="60"/>
      <c r="AW561" s="60" t="s">
        <v>134</v>
      </c>
      <c r="AX561" s="55"/>
    </row>
    <row r="562" ht="20.25" customHeight="1">
      <c r="A562" s="316" t="s">
        <v>520</v>
      </c>
      <c r="B562" s="316" t="s">
        <v>107</v>
      </c>
      <c r="C562" s="316" t="s">
        <v>1009</v>
      </c>
      <c r="D562" s="215"/>
      <c r="E562" s="147" t="s">
        <v>3165</v>
      </c>
      <c r="F562" s="52" t="s">
        <v>3173</v>
      </c>
      <c r="G562" s="52" t="s">
        <v>135</v>
      </c>
      <c r="H562" s="140">
        <v>45489.0</v>
      </c>
      <c r="I562" s="409">
        <v>45636.0</v>
      </c>
      <c r="J562" s="55"/>
      <c r="K562" s="55"/>
      <c r="L562" s="52" t="s">
        <v>3147</v>
      </c>
      <c r="M562" s="52" t="s">
        <v>3148</v>
      </c>
      <c r="N562" s="355">
        <v>2.0</v>
      </c>
      <c r="O562" s="353" t="s">
        <v>3149</v>
      </c>
      <c r="P562" s="48" t="str">
        <f t="array" ref="P562">HYPERLINK(INDEX('File Links'!B:B, MATCH(O562, 'File Links'!C:C, 0)))
</f>
        <v>https://drive.google.com/file/d/1BtYypYyY-PzT4y8FLAgHXAyFQwMz4y2O/view?usp=drivesdk</v>
      </c>
      <c r="Q562" s="52" t="s">
        <v>3150</v>
      </c>
      <c r="R562" s="52" t="s">
        <v>3151</v>
      </c>
      <c r="S562" s="55"/>
      <c r="T562" s="646">
        <v>2.0</v>
      </c>
      <c r="U562" s="354" t="s">
        <v>3152</v>
      </c>
      <c r="V562" s="52" t="s">
        <v>202</v>
      </c>
      <c r="W562" s="50" t="str">
        <f t="array" ref="W562">HYPERLINK(INDEX('File Links'!B:B, MATCH(U562, 'File Links'!C:C, 0)))
</f>
        <v>https://drive.google.com/file/d/1vDgLj9eoT-VnSILsFHRQ12VvtSFTsWUV/view?usp=drivesdk</v>
      </c>
      <c r="X562" s="55"/>
      <c r="Y562" s="52" t="s">
        <v>139</v>
      </c>
      <c r="Z562" s="55" t="s">
        <v>3166</v>
      </c>
      <c r="AA562" s="55" t="s">
        <v>3154</v>
      </c>
      <c r="AB562" s="52" t="s">
        <v>3174</v>
      </c>
      <c r="AC562" s="52" t="s">
        <v>3175</v>
      </c>
      <c r="AD562" s="355">
        <v>4.0</v>
      </c>
      <c r="AE562" s="355">
        <v>16.0</v>
      </c>
      <c r="AF562" s="355">
        <v>214.17</v>
      </c>
      <c r="AG562" s="330" t="s">
        <v>1051</v>
      </c>
      <c r="AH562" s="55"/>
      <c r="AI562" s="355">
        <v>0.001</v>
      </c>
      <c r="AJ562" s="147" t="s">
        <v>127</v>
      </c>
      <c r="AK562" s="52" t="s">
        <v>179</v>
      </c>
      <c r="AL562" s="55" t="s">
        <v>129</v>
      </c>
      <c r="AM562" s="55"/>
      <c r="AN562" s="355">
        <v>18.0</v>
      </c>
      <c r="AO562" s="355">
        <v>0.98</v>
      </c>
      <c r="AP562" s="52" t="s">
        <v>130</v>
      </c>
      <c r="AQ562" s="355">
        <v>4.0</v>
      </c>
      <c r="AR562" s="355">
        <v>0.001</v>
      </c>
      <c r="AS562" s="147" t="s">
        <v>127</v>
      </c>
      <c r="AT562" s="147" t="s">
        <v>179</v>
      </c>
      <c r="AU562" s="60" t="s">
        <v>129</v>
      </c>
      <c r="AV562" s="60"/>
      <c r="AW562" s="60" t="s">
        <v>134</v>
      </c>
      <c r="AX562" s="55"/>
    </row>
    <row r="563" ht="20.25" customHeight="1">
      <c r="A563" s="316" t="s">
        <v>520</v>
      </c>
      <c r="B563" s="316" t="s">
        <v>107</v>
      </c>
      <c r="C563" s="316" t="s">
        <v>1009</v>
      </c>
      <c r="D563" s="215"/>
      <c r="E563" s="147" t="s">
        <v>3165</v>
      </c>
      <c r="F563" s="52" t="s">
        <v>3176</v>
      </c>
      <c r="G563" s="52" t="s">
        <v>135</v>
      </c>
      <c r="H563" s="140">
        <v>45489.0</v>
      </c>
      <c r="I563" s="409">
        <v>45636.0</v>
      </c>
      <c r="J563" s="55"/>
      <c r="K563" s="55"/>
      <c r="L563" s="52" t="s">
        <v>3147</v>
      </c>
      <c r="M563" s="52" t="s">
        <v>3148</v>
      </c>
      <c r="N563" s="355">
        <v>2.0</v>
      </c>
      <c r="O563" s="353" t="s">
        <v>3149</v>
      </c>
      <c r="P563" s="48" t="str">
        <f t="array" ref="P563">HYPERLINK(INDEX('File Links'!B:B, MATCH(O563, 'File Links'!C:C, 0)))
</f>
        <v>https://drive.google.com/file/d/1BtYypYyY-PzT4y8FLAgHXAyFQwMz4y2O/view?usp=drivesdk</v>
      </c>
      <c r="Q563" s="52" t="s">
        <v>3150</v>
      </c>
      <c r="R563" s="52" t="s">
        <v>3151</v>
      </c>
      <c r="S563" s="55"/>
      <c r="T563" s="646">
        <v>2.0</v>
      </c>
      <c r="U563" s="354" t="s">
        <v>3152</v>
      </c>
      <c r="V563" s="52" t="s">
        <v>202</v>
      </c>
      <c r="W563" s="50" t="str">
        <f t="array" ref="W563">HYPERLINK(INDEX('File Links'!B:B, MATCH(U563, 'File Links'!C:C, 0)))
</f>
        <v>https://drive.google.com/file/d/1vDgLj9eoT-VnSILsFHRQ12VvtSFTsWUV/view?usp=drivesdk</v>
      </c>
      <c r="X563" s="55"/>
      <c r="Y563" s="52" t="s">
        <v>139</v>
      </c>
      <c r="Z563" s="55" t="s">
        <v>3166</v>
      </c>
      <c r="AA563" s="55" t="s">
        <v>3154</v>
      </c>
      <c r="AB563" s="52" t="s">
        <v>3177</v>
      </c>
      <c r="AC563" s="52" t="s">
        <v>3178</v>
      </c>
      <c r="AD563" s="355">
        <v>4.0</v>
      </c>
      <c r="AE563" s="355">
        <v>16.0</v>
      </c>
      <c r="AF563" s="355">
        <v>34.34</v>
      </c>
      <c r="AG563" s="330" t="s">
        <v>1051</v>
      </c>
      <c r="AH563" s="55"/>
      <c r="AI563" s="355">
        <v>0.001</v>
      </c>
      <c r="AJ563" s="147" t="s">
        <v>127</v>
      </c>
      <c r="AK563" s="52" t="s">
        <v>179</v>
      </c>
      <c r="AL563" s="55" t="s">
        <v>129</v>
      </c>
      <c r="AM563" s="55"/>
      <c r="AN563" s="355">
        <v>18.0</v>
      </c>
      <c r="AO563" s="355">
        <v>0.36</v>
      </c>
      <c r="AP563" s="52" t="s">
        <v>130</v>
      </c>
      <c r="AQ563" s="55"/>
      <c r="AR563" s="355">
        <v>0.007</v>
      </c>
      <c r="AS563" s="147" t="s">
        <v>164</v>
      </c>
      <c r="AT563" s="147" t="s">
        <v>179</v>
      </c>
      <c r="AU563" s="60" t="s">
        <v>129</v>
      </c>
      <c r="AV563" s="60"/>
      <c r="AW563" s="60" t="s">
        <v>134</v>
      </c>
      <c r="AX563" s="55"/>
    </row>
    <row r="564" ht="20.25" customHeight="1">
      <c r="A564" s="316" t="s">
        <v>520</v>
      </c>
      <c r="B564" s="316" t="s">
        <v>107</v>
      </c>
      <c r="C564" s="316" t="s">
        <v>1009</v>
      </c>
      <c r="D564" s="215"/>
      <c r="E564" s="147" t="s">
        <v>3165</v>
      </c>
      <c r="F564" s="52" t="s">
        <v>3179</v>
      </c>
      <c r="G564" s="52" t="s">
        <v>135</v>
      </c>
      <c r="H564" s="140">
        <v>45489.0</v>
      </c>
      <c r="I564" s="409">
        <v>45636.0</v>
      </c>
      <c r="J564" s="55"/>
      <c r="K564" s="55"/>
      <c r="L564" s="52" t="s">
        <v>3147</v>
      </c>
      <c r="M564" s="52" t="s">
        <v>3148</v>
      </c>
      <c r="N564" s="355">
        <v>3.0</v>
      </c>
      <c r="O564" s="353" t="s">
        <v>3149</v>
      </c>
      <c r="P564" s="48" t="str">
        <f t="array" ref="P564">HYPERLINK(INDEX('File Links'!B:B, MATCH(O564, 'File Links'!C:C, 0)))
</f>
        <v>https://drive.google.com/file/d/1BtYypYyY-PzT4y8FLAgHXAyFQwMz4y2O/view?usp=drivesdk</v>
      </c>
      <c r="Q564" s="52" t="s">
        <v>3150</v>
      </c>
      <c r="R564" s="52" t="s">
        <v>3151</v>
      </c>
      <c r="S564" s="55"/>
      <c r="T564" s="646">
        <v>3.0</v>
      </c>
      <c r="U564" s="354" t="s">
        <v>3152</v>
      </c>
      <c r="V564" s="52" t="s">
        <v>202</v>
      </c>
      <c r="W564" s="50" t="str">
        <f t="array" ref="W564">HYPERLINK(INDEX('File Links'!B:B, MATCH(U564, 'File Links'!C:C, 0)))
</f>
        <v>https://drive.google.com/file/d/1vDgLj9eoT-VnSILsFHRQ12VvtSFTsWUV/view?usp=drivesdk</v>
      </c>
      <c r="X564" s="55"/>
      <c r="Y564" s="52" t="s">
        <v>139</v>
      </c>
      <c r="Z564" s="55" t="s">
        <v>3166</v>
      </c>
      <c r="AA564" s="55" t="s">
        <v>3154</v>
      </c>
      <c r="AB564" s="52" t="s">
        <v>3180</v>
      </c>
      <c r="AC564" s="52" t="s">
        <v>3181</v>
      </c>
      <c r="AD564" s="355">
        <v>6.0</v>
      </c>
      <c r="AE564" s="355">
        <v>24.0</v>
      </c>
      <c r="AF564" s="355">
        <v>11.09</v>
      </c>
      <c r="AG564" s="330" t="s">
        <v>1051</v>
      </c>
      <c r="AH564" s="55"/>
      <c r="AI564" s="355">
        <v>0.005</v>
      </c>
      <c r="AJ564" s="147" t="s">
        <v>127</v>
      </c>
      <c r="AK564" s="52" t="s">
        <v>179</v>
      </c>
      <c r="AL564" s="55" t="s">
        <v>129</v>
      </c>
      <c r="AM564" s="55"/>
      <c r="AN564" s="355">
        <v>28.0</v>
      </c>
      <c r="AO564" s="55"/>
      <c r="AP564" s="55"/>
      <c r="AQ564" s="55"/>
      <c r="AR564" s="55"/>
      <c r="AS564" s="60"/>
      <c r="AT564" s="60"/>
      <c r="AU564" s="60"/>
      <c r="AV564" s="60"/>
      <c r="AW564" s="60"/>
      <c r="AX564" s="55"/>
    </row>
    <row r="565" ht="20.25" customHeight="1">
      <c r="A565" s="316" t="s">
        <v>520</v>
      </c>
      <c r="B565" s="316" t="s">
        <v>107</v>
      </c>
      <c r="C565" s="316" t="s">
        <v>1009</v>
      </c>
      <c r="D565" s="215"/>
      <c r="E565" s="147" t="s">
        <v>3165</v>
      </c>
      <c r="F565" s="52" t="s">
        <v>3182</v>
      </c>
      <c r="G565" s="52" t="s">
        <v>135</v>
      </c>
      <c r="H565" s="140">
        <v>45489.0</v>
      </c>
      <c r="I565" s="409">
        <v>45636.0</v>
      </c>
      <c r="J565" s="55"/>
      <c r="K565" s="55"/>
      <c r="L565" s="52" t="s">
        <v>3147</v>
      </c>
      <c r="M565" s="52" t="s">
        <v>3148</v>
      </c>
      <c r="N565" s="355">
        <v>3.0</v>
      </c>
      <c r="O565" s="353" t="s">
        <v>3149</v>
      </c>
      <c r="P565" s="48" t="str">
        <f t="array" ref="P565">HYPERLINK(INDEX('File Links'!B:B, MATCH(O565, 'File Links'!C:C, 0)))
</f>
        <v>https://drive.google.com/file/d/1BtYypYyY-PzT4y8FLAgHXAyFQwMz4y2O/view?usp=drivesdk</v>
      </c>
      <c r="Q565" s="52" t="s">
        <v>3150</v>
      </c>
      <c r="R565" s="52" t="s">
        <v>3151</v>
      </c>
      <c r="S565" s="55"/>
      <c r="T565" s="646">
        <v>3.0</v>
      </c>
      <c r="U565" s="354" t="s">
        <v>3152</v>
      </c>
      <c r="V565" s="52" t="s">
        <v>202</v>
      </c>
      <c r="W565" s="50" t="str">
        <f t="array" ref="W565">HYPERLINK(INDEX('File Links'!B:B, MATCH(U565, 'File Links'!C:C, 0)))
</f>
        <v>https://drive.google.com/file/d/1vDgLj9eoT-VnSILsFHRQ12VvtSFTsWUV/view?usp=drivesdk</v>
      </c>
      <c r="X565" s="55"/>
      <c r="Y565" s="52" t="s">
        <v>139</v>
      </c>
      <c r="Z565" s="55" t="s">
        <v>3166</v>
      </c>
      <c r="AA565" s="55" t="s">
        <v>3154</v>
      </c>
      <c r="AB565" s="52" t="s">
        <v>3183</v>
      </c>
      <c r="AC565" s="52" t="s">
        <v>3184</v>
      </c>
      <c r="AD565" s="355">
        <v>6.0</v>
      </c>
      <c r="AE565" s="355">
        <v>24.0</v>
      </c>
      <c r="AF565" s="355">
        <v>13.53</v>
      </c>
      <c r="AG565" s="330" t="s">
        <v>1051</v>
      </c>
      <c r="AH565" s="55"/>
      <c r="AI565" s="355">
        <v>0.001</v>
      </c>
      <c r="AJ565" s="147" t="s">
        <v>127</v>
      </c>
      <c r="AK565" s="52" t="s">
        <v>179</v>
      </c>
      <c r="AL565" s="55" t="s">
        <v>129</v>
      </c>
      <c r="AM565" s="55"/>
      <c r="AN565" s="355">
        <v>28.0</v>
      </c>
      <c r="AO565" s="355">
        <v>0.02</v>
      </c>
      <c r="AP565" s="52" t="s">
        <v>130</v>
      </c>
      <c r="AQ565" s="355">
        <v>5.0</v>
      </c>
      <c r="AR565" s="355">
        <v>0.46</v>
      </c>
      <c r="AS565" s="147" t="s">
        <v>164</v>
      </c>
      <c r="AT565" s="147" t="s">
        <v>179</v>
      </c>
      <c r="AU565" s="60" t="s">
        <v>129</v>
      </c>
      <c r="AV565" s="60"/>
      <c r="AW565" s="60" t="s">
        <v>134</v>
      </c>
      <c r="AX565" s="55"/>
    </row>
    <row r="566" ht="20.25" customHeight="1">
      <c r="A566" s="316" t="s">
        <v>520</v>
      </c>
      <c r="B566" s="316" t="s">
        <v>107</v>
      </c>
      <c r="C566" s="316" t="s">
        <v>1009</v>
      </c>
      <c r="D566" s="215"/>
      <c r="E566" s="147" t="s">
        <v>3165</v>
      </c>
      <c r="F566" s="52" t="s">
        <v>3185</v>
      </c>
      <c r="G566" s="52" t="s">
        <v>135</v>
      </c>
      <c r="H566" s="140">
        <v>45489.0</v>
      </c>
      <c r="I566" s="409">
        <v>45636.0</v>
      </c>
      <c r="J566" s="55"/>
      <c r="K566" s="55"/>
      <c r="L566" s="52" t="s">
        <v>3147</v>
      </c>
      <c r="M566" s="52" t="s">
        <v>3148</v>
      </c>
      <c r="N566" s="355">
        <v>3.0</v>
      </c>
      <c r="O566" s="353" t="s">
        <v>3149</v>
      </c>
      <c r="P566" s="48" t="str">
        <f t="array" ref="P566">HYPERLINK(INDEX('File Links'!B:B, MATCH(O566, 'File Links'!C:C, 0)))
</f>
        <v>https://drive.google.com/file/d/1BtYypYyY-PzT4y8FLAgHXAyFQwMz4y2O/view?usp=drivesdk</v>
      </c>
      <c r="Q566" s="52" t="s">
        <v>3150</v>
      </c>
      <c r="R566" s="52" t="s">
        <v>3151</v>
      </c>
      <c r="S566" s="55"/>
      <c r="T566" s="646">
        <v>3.0</v>
      </c>
      <c r="U566" s="354" t="s">
        <v>3152</v>
      </c>
      <c r="V566" s="52" t="s">
        <v>202</v>
      </c>
      <c r="W566" s="50" t="str">
        <f t="array" ref="W566">HYPERLINK(INDEX('File Links'!B:B, MATCH(U566, 'File Links'!C:C, 0)))
</f>
        <v>https://drive.google.com/file/d/1vDgLj9eoT-VnSILsFHRQ12VvtSFTsWUV/view?usp=drivesdk</v>
      </c>
      <c r="X566" s="55"/>
      <c r="Y566" s="52" t="s">
        <v>139</v>
      </c>
      <c r="Z566" s="55" t="s">
        <v>3166</v>
      </c>
      <c r="AA566" s="55" t="s">
        <v>3154</v>
      </c>
      <c r="AB566" s="52" t="s">
        <v>3186</v>
      </c>
      <c r="AC566" s="52" t="s">
        <v>3187</v>
      </c>
      <c r="AD566" s="355">
        <v>6.0</v>
      </c>
      <c r="AE566" s="355">
        <v>24.0</v>
      </c>
      <c r="AF566" s="355">
        <v>30.8</v>
      </c>
      <c r="AG566" s="330" t="s">
        <v>1051</v>
      </c>
      <c r="AH566" s="55"/>
      <c r="AI566" s="355">
        <v>0.001</v>
      </c>
      <c r="AJ566" s="147" t="s">
        <v>127</v>
      </c>
      <c r="AK566" s="52" t="s">
        <v>179</v>
      </c>
      <c r="AL566" s="55" t="s">
        <v>129</v>
      </c>
      <c r="AM566" s="55"/>
      <c r="AN566" s="355">
        <v>28.0</v>
      </c>
      <c r="AO566" s="355">
        <v>0.28</v>
      </c>
      <c r="AP566" s="52" t="s">
        <v>130</v>
      </c>
      <c r="AQ566" s="355">
        <v>5.0</v>
      </c>
      <c r="AR566" s="355">
        <v>0.004</v>
      </c>
      <c r="AS566" s="147" t="s">
        <v>164</v>
      </c>
      <c r="AT566" s="147" t="s">
        <v>179</v>
      </c>
      <c r="AU566" s="60" t="s">
        <v>129</v>
      </c>
      <c r="AV566" s="60"/>
      <c r="AW566" s="60" t="s">
        <v>134</v>
      </c>
      <c r="AX566" s="55"/>
    </row>
    <row r="567" ht="20.25" customHeight="1">
      <c r="A567" s="316" t="s">
        <v>520</v>
      </c>
      <c r="B567" s="316" t="s">
        <v>107</v>
      </c>
      <c r="C567" s="316" t="s">
        <v>1009</v>
      </c>
      <c r="D567" s="215"/>
      <c r="E567" s="147" t="s">
        <v>3165</v>
      </c>
      <c r="F567" s="52" t="s">
        <v>3188</v>
      </c>
      <c r="G567" s="52" t="s">
        <v>135</v>
      </c>
      <c r="H567" s="140">
        <v>45489.0</v>
      </c>
      <c r="I567" s="409">
        <v>45636.0</v>
      </c>
      <c r="J567" s="55"/>
      <c r="K567" s="55"/>
      <c r="L567" s="52" t="s">
        <v>3147</v>
      </c>
      <c r="M567" s="52" t="s">
        <v>3148</v>
      </c>
      <c r="N567" s="355">
        <v>4.0</v>
      </c>
      <c r="O567" s="353" t="s">
        <v>3149</v>
      </c>
      <c r="P567" s="48" t="str">
        <f t="array" ref="P567">HYPERLINK(INDEX('File Links'!B:B, MATCH(O567, 'File Links'!C:C, 0)))
</f>
        <v>https://drive.google.com/file/d/1BtYypYyY-PzT4y8FLAgHXAyFQwMz4y2O/view?usp=drivesdk</v>
      </c>
      <c r="Q567" s="52" t="s">
        <v>3150</v>
      </c>
      <c r="R567" s="52" t="s">
        <v>3151</v>
      </c>
      <c r="S567" s="55"/>
      <c r="T567" s="646">
        <v>4.0</v>
      </c>
      <c r="U567" s="354" t="s">
        <v>3152</v>
      </c>
      <c r="V567" s="52" t="s">
        <v>202</v>
      </c>
      <c r="W567" s="50" t="str">
        <f t="array" ref="W567">HYPERLINK(INDEX('File Links'!B:B, MATCH(U567, 'File Links'!C:C, 0)))
</f>
        <v>https://drive.google.com/file/d/1vDgLj9eoT-VnSILsFHRQ12VvtSFTsWUV/view?usp=drivesdk</v>
      </c>
      <c r="X567" s="55"/>
      <c r="Y567" s="52" t="s">
        <v>139</v>
      </c>
      <c r="Z567" s="55" t="s">
        <v>3166</v>
      </c>
      <c r="AA567" s="55" t="s">
        <v>3154</v>
      </c>
      <c r="AB567" s="52" t="s">
        <v>3189</v>
      </c>
      <c r="AC567" s="52" t="s">
        <v>3190</v>
      </c>
      <c r="AD567" s="355">
        <v>7.0</v>
      </c>
      <c r="AE567" s="355">
        <v>24.0</v>
      </c>
      <c r="AF567" s="355">
        <v>31.04</v>
      </c>
      <c r="AG567" s="330" t="s">
        <v>1051</v>
      </c>
      <c r="AH567" s="55"/>
      <c r="AI567" s="355">
        <v>0.001</v>
      </c>
      <c r="AJ567" s="147" t="s">
        <v>127</v>
      </c>
      <c r="AK567" s="52" t="s">
        <v>211</v>
      </c>
      <c r="AL567" s="55" t="s">
        <v>129</v>
      </c>
      <c r="AM567" s="55"/>
      <c r="AN567" s="355">
        <v>24.0</v>
      </c>
      <c r="AO567" s="355">
        <v>1.048</v>
      </c>
      <c r="AP567" s="52" t="s">
        <v>1051</v>
      </c>
      <c r="AQ567" s="355">
        <v>6.0</v>
      </c>
      <c r="AR567" s="355">
        <v>0.79</v>
      </c>
      <c r="AS567" s="147" t="s">
        <v>164</v>
      </c>
      <c r="AT567" s="147" t="s">
        <v>179</v>
      </c>
      <c r="AU567" s="60" t="s">
        <v>129</v>
      </c>
      <c r="AV567" s="60"/>
      <c r="AW567" s="60" t="s">
        <v>134</v>
      </c>
      <c r="AX567" s="55"/>
    </row>
    <row r="568" ht="20.25" customHeight="1">
      <c r="A568" s="316" t="s">
        <v>520</v>
      </c>
      <c r="B568" s="316" t="s">
        <v>107</v>
      </c>
      <c r="C568" s="316" t="s">
        <v>1009</v>
      </c>
      <c r="D568" s="215"/>
      <c r="E568" s="147" t="s">
        <v>3165</v>
      </c>
      <c r="F568" s="52" t="s">
        <v>3191</v>
      </c>
      <c r="G568" s="52" t="s">
        <v>135</v>
      </c>
      <c r="H568" s="140">
        <v>45489.0</v>
      </c>
      <c r="I568" s="409">
        <v>45636.0</v>
      </c>
      <c r="J568" s="55"/>
      <c r="K568" s="55"/>
      <c r="L568" s="52" t="s">
        <v>3147</v>
      </c>
      <c r="M568" s="52" t="s">
        <v>3148</v>
      </c>
      <c r="N568" s="355">
        <v>4.0</v>
      </c>
      <c r="O568" s="353" t="s">
        <v>3149</v>
      </c>
      <c r="P568" s="48" t="str">
        <f t="array" ref="P568">HYPERLINK(INDEX('File Links'!B:B, MATCH(O568, 'File Links'!C:C, 0)))
</f>
        <v>https://drive.google.com/file/d/1BtYypYyY-PzT4y8FLAgHXAyFQwMz4y2O/view?usp=drivesdk</v>
      </c>
      <c r="Q568" s="52" t="s">
        <v>3150</v>
      </c>
      <c r="R568" s="52" t="s">
        <v>3151</v>
      </c>
      <c r="S568" s="55"/>
      <c r="T568" s="646">
        <v>4.0</v>
      </c>
      <c r="U568" s="354" t="s">
        <v>3152</v>
      </c>
      <c r="V568" s="52" t="s">
        <v>202</v>
      </c>
      <c r="W568" s="50" t="str">
        <f t="array" ref="W568">HYPERLINK(INDEX('File Links'!B:B, MATCH(U568, 'File Links'!C:C, 0)))
</f>
        <v>https://drive.google.com/file/d/1vDgLj9eoT-VnSILsFHRQ12VvtSFTsWUV/view?usp=drivesdk</v>
      </c>
      <c r="X568" s="55"/>
      <c r="Y568" s="52" t="s">
        <v>139</v>
      </c>
      <c r="Z568" s="55" t="s">
        <v>3166</v>
      </c>
      <c r="AA568" s="55" t="s">
        <v>3154</v>
      </c>
      <c r="AB568" s="52" t="s">
        <v>3192</v>
      </c>
      <c r="AC568" s="52" t="s">
        <v>3193</v>
      </c>
      <c r="AD568" s="355">
        <v>7.0</v>
      </c>
      <c r="AE568" s="355">
        <v>24.0</v>
      </c>
      <c r="AF568" s="355">
        <v>23.33</v>
      </c>
      <c r="AG568" s="330" t="s">
        <v>1051</v>
      </c>
      <c r="AH568" s="55"/>
      <c r="AI568" s="355">
        <v>0.001</v>
      </c>
      <c r="AJ568" s="147" t="s">
        <v>127</v>
      </c>
      <c r="AK568" s="52" t="s">
        <v>211</v>
      </c>
      <c r="AL568" s="55" t="s">
        <v>129</v>
      </c>
      <c r="AM568" s="55"/>
      <c r="AN568" s="355">
        <v>24.0</v>
      </c>
      <c r="AO568" s="355">
        <v>67.045</v>
      </c>
      <c r="AP568" s="52" t="s">
        <v>1051</v>
      </c>
      <c r="AQ568" s="355">
        <v>6.0</v>
      </c>
      <c r="AR568" s="355">
        <v>0.001</v>
      </c>
      <c r="AS568" s="147" t="s">
        <v>127</v>
      </c>
      <c r="AT568" s="147" t="s">
        <v>179</v>
      </c>
      <c r="AU568" s="60" t="s">
        <v>129</v>
      </c>
      <c r="AV568" s="60"/>
      <c r="AW568" s="60" t="s">
        <v>134</v>
      </c>
      <c r="AX568" s="55"/>
    </row>
    <row r="569" ht="20.25" customHeight="1">
      <c r="A569" s="316" t="s">
        <v>520</v>
      </c>
      <c r="B569" s="316" t="s">
        <v>107</v>
      </c>
      <c r="C569" s="316" t="s">
        <v>1009</v>
      </c>
      <c r="D569" s="215"/>
      <c r="E569" s="147" t="s">
        <v>3165</v>
      </c>
      <c r="F569" s="52" t="s">
        <v>3194</v>
      </c>
      <c r="G569" s="52" t="s">
        <v>135</v>
      </c>
      <c r="H569" s="140">
        <v>45489.0</v>
      </c>
      <c r="I569" s="409">
        <v>45636.0</v>
      </c>
      <c r="J569" s="55"/>
      <c r="K569" s="55"/>
      <c r="L569" s="52" t="s">
        <v>3147</v>
      </c>
      <c r="M569" s="52" t="s">
        <v>3148</v>
      </c>
      <c r="N569" s="355">
        <v>4.0</v>
      </c>
      <c r="O569" s="353" t="s">
        <v>3149</v>
      </c>
      <c r="P569" s="48" t="str">
        <f t="array" ref="P569">HYPERLINK(INDEX('File Links'!B:B, MATCH(O569, 'File Links'!C:C, 0)))
</f>
        <v>https://drive.google.com/file/d/1BtYypYyY-PzT4y8FLAgHXAyFQwMz4y2O/view?usp=drivesdk</v>
      </c>
      <c r="Q569" s="52" t="s">
        <v>3150</v>
      </c>
      <c r="R569" s="52" t="s">
        <v>3151</v>
      </c>
      <c r="S569" s="55"/>
      <c r="T569" s="646">
        <v>4.0</v>
      </c>
      <c r="U569" s="354" t="s">
        <v>3152</v>
      </c>
      <c r="V569" s="52" t="s">
        <v>202</v>
      </c>
      <c r="W569" s="50" t="str">
        <f t="array" ref="W569">HYPERLINK(INDEX('File Links'!B:B, MATCH(U569, 'File Links'!C:C, 0)))
</f>
        <v>https://drive.google.com/file/d/1vDgLj9eoT-VnSILsFHRQ12VvtSFTsWUV/view?usp=drivesdk</v>
      </c>
      <c r="X569" s="55"/>
      <c r="Y569" s="52" t="s">
        <v>139</v>
      </c>
      <c r="Z569" s="55" t="s">
        <v>3166</v>
      </c>
      <c r="AA569" s="55" t="s">
        <v>3154</v>
      </c>
      <c r="AB569" s="52" t="s">
        <v>3195</v>
      </c>
      <c r="AC569" s="52" t="s">
        <v>3196</v>
      </c>
      <c r="AD569" s="355">
        <v>7.0</v>
      </c>
      <c r="AE569" s="355">
        <v>24.0</v>
      </c>
      <c r="AF569" s="355">
        <v>33.24</v>
      </c>
      <c r="AG569" s="330" t="s">
        <v>1051</v>
      </c>
      <c r="AH569" s="55"/>
      <c r="AI569" s="355">
        <v>0.001</v>
      </c>
      <c r="AJ569" s="147" t="s">
        <v>127</v>
      </c>
      <c r="AK569" s="52" t="s">
        <v>211</v>
      </c>
      <c r="AL569" s="55" t="s">
        <v>129</v>
      </c>
      <c r="AM569" s="55"/>
      <c r="AN569" s="355">
        <v>24.0</v>
      </c>
      <c r="AO569" s="355">
        <v>0.378</v>
      </c>
      <c r="AP569" s="52" t="s">
        <v>1051</v>
      </c>
      <c r="AQ569" s="355">
        <v>7.0</v>
      </c>
      <c r="AR569" s="355">
        <v>0.54</v>
      </c>
      <c r="AS569" s="147" t="s">
        <v>164</v>
      </c>
      <c r="AT569" s="147" t="s">
        <v>179</v>
      </c>
      <c r="AU569" s="60" t="s">
        <v>129</v>
      </c>
      <c r="AV569" s="60"/>
      <c r="AW569" s="60" t="s">
        <v>134</v>
      </c>
      <c r="AX569" s="55"/>
    </row>
    <row r="570" ht="20.25" customHeight="1">
      <c r="A570" s="316" t="s">
        <v>520</v>
      </c>
      <c r="B570" s="316" t="s">
        <v>107</v>
      </c>
      <c r="C570" s="316" t="s">
        <v>1009</v>
      </c>
      <c r="D570" s="215"/>
      <c r="E570" s="147" t="s">
        <v>3165</v>
      </c>
      <c r="F570" s="52" t="s">
        <v>3197</v>
      </c>
      <c r="G570" s="52" t="s">
        <v>135</v>
      </c>
      <c r="H570" s="140">
        <v>45489.0</v>
      </c>
      <c r="I570" s="409">
        <v>45636.0</v>
      </c>
      <c r="J570" s="55"/>
      <c r="K570" s="55"/>
      <c r="L570" s="52" t="s">
        <v>3147</v>
      </c>
      <c r="M570" s="52" t="s">
        <v>3148</v>
      </c>
      <c r="N570" s="355">
        <v>5.0</v>
      </c>
      <c r="O570" s="353" t="s">
        <v>3149</v>
      </c>
      <c r="P570" s="48" t="str">
        <f t="array" ref="P570">HYPERLINK(INDEX('File Links'!B:B, MATCH(O570, 'File Links'!C:C, 0)))
</f>
        <v>https://drive.google.com/file/d/1BtYypYyY-PzT4y8FLAgHXAyFQwMz4y2O/view?usp=drivesdk</v>
      </c>
      <c r="Q570" s="52" t="s">
        <v>3150</v>
      </c>
      <c r="R570" s="52" t="s">
        <v>3151</v>
      </c>
      <c r="S570" s="55"/>
      <c r="T570" s="646">
        <v>5.0</v>
      </c>
      <c r="U570" s="354" t="s">
        <v>3152</v>
      </c>
      <c r="V570" s="52" t="s">
        <v>202</v>
      </c>
      <c r="W570" s="50" t="str">
        <f t="array" ref="W570">HYPERLINK(INDEX('File Links'!B:B, MATCH(U570, 'File Links'!C:C, 0)))
</f>
        <v>https://drive.google.com/file/d/1vDgLj9eoT-VnSILsFHRQ12VvtSFTsWUV/view?usp=drivesdk</v>
      </c>
      <c r="X570" s="55"/>
      <c r="Y570" s="52" t="s">
        <v>139</v>
      </c>
      <c r="Z570" s="55" t="s">
        <v>3166</v>
      </c>
      <c r="AA570" s="55" t="s">
        <v>3154</v>
      </c>
      <c r="AB570" s="52" t="s">
        <v>3198</v>
      </c>
      <c r="AC570" s="52" t="s">
        <v>3199</v>
      </c>
      <c r="AD570" s="355">
        <v>8.0</v>
      </c>
      <c r="AE570" s="355">
        <v>24.0</v>
      </c>
      <c r="AF570" s="355">
        <v>55.6</v>
      </c>
      <c r="AG570" s="330" t="s">
        <v>1051</v>
      </c>
      <c r="AH570" s="55"/>
      <c r="AI570" s="355">
        <v>0.001</v>
      </c>
      <c r="AJ570" s="147" t="s">
        <v>127</v>
      </c>
      <c r="AK570" s="52" t="s">
        <v>211</v>
      </c>
      <c r="AL570" s="55" t="s">
        <v>129</v>
      </c>
      <c r="AM570" s="55"/>
      <c r="AN570" s="355">
        <v>24.0</v>
      </c>
      <c r="AO570" s="355">
        <v>124.61</v>
      </c>
      <c r="AP570" s="52" t="s">
        <v>1051</v>
      </c>
      <c r="AQ570" s="355">
        <v>7.0</v>
      </c>
      <c r="AR570" s="355">
        <v>0.001</v>
      </c>
      <c r="AS570" s="147" t="s">
        <v>127</v>
      </c>
      <c r="AT570" s="147" t="s">
        <v>179</v>
      </c>
      <c r="AU570" s="60" t="s">
        <v>129</v>
      </c>
      <c r="AV570" s="60"/>
      <c r="AW570" s="60" t="s">
        <v>134</v>
      </c>
      <c r="AX570" s="55"/>
    </row>
    <row r="571" ht="20.25" customHeight="1">
      <c r="A571" s="316" t="s">
        <v>520</v>
      </c>
      <c r="B571" s="316" t="s">
        <v>107</v>
      </c>
      <c r="C571" s="316" t="s">
        <v>1009</v>
      </c>
      <c r="D571" s="215"/>
      <c r="E571" s="147" t="s">
        <v>3165</v>
      </c>
      <c r="F571" s="52" t="s">
        <v>3200</v>
      </c>
      <c r="G571" s="52" t="s">
        <v>135</v>
      </c>
      <c r="H571" s="140">
        <v>45489.0</v>
      </c>
      <c r="I571" s="409">
        <v>45636.0</v>
      </c>
      <c r="J571" s="55"/>
      <c r="K571" s="55"/>
      <c r="L571" s="52" t="s">
        <v>3147</v>
      </c>
      <c r="M571" s="52" t="s">
        <v>3148</v>
      </c>
      <c r="N571" s="355">
        <v>5.0</v>
      </c>
      <c r="O571" s="353" t="s">
        <v>3149</v>
      </c>
      <c r="P571" s="48" t="str">
        <f t="array" ref="P571">HYPERLINK(INDEX('File Links'!B:B, MATCH(O571, 'File Links'!C:C, 0)))
</f>
        <v>https://drive.google.com/file/d/1BtYypYyY-PzT4y8FLAgHXAyFQwMz4y2O/view?usp=drivesdk</v>
      </c>
      <c r="Q571" s="52" t="s">
        <v>3150</v>
      </c>
      <c r="R571" s="52" t="s">
        <v>3151</v>
      </c>
      <c r="S571" s="55"/>
      <c r="T571" s="646">
        <v>5.0</v>
      </c>
      <c r="U571" s="354" t="s">
        <v>3152</v>
      </c>
      <c r="V571" s="52" t="s">
        <v>202</v>
      </c>
      <c r="W571" s="50" t="str">
        <f t="array" ref="W571">HYPERLINK(INDEX('File Links'!B:B, MATCH(U571, 'File Links'!C:C, 0)))
</f>
        <v>https://drive.google.com/file/d/1vDgLj9eoT-VnSILsFHRQ12VvtSFTsWUV/view?usp=drivesdk</v>
      </c>
      <c r="X571" s="55"/>
      <c r="Y571" s="52" t="s">
        <v>139</v>
      </c>
      <c r="Z571" s="55" t="s">
        <v>3166</v>
      </c>
      <c r="AA571" s="55" t="s">
        <v>3154</v>
      </c>
      <c r="AB571" s="52" t="s">
        <v>3201</v>
      </c>
      <c r="AC571" s="52" t="s">
        <v>3202</v>
      </c>
      <c r="AD571" s="355">
        <v>8.0</v>
      </c>
      <c r="AE571" s="355">
        <v>24.0</v>
      </c>
      <c r="AF571" s="355">
        <v>41.96</v>
      </c>
      <c r="AG571" s="330" t="s">
        <v>1051</v>
      </c>
      <c r="AH571" s="55"/>
      <c r="AI571" s="355">
        <v>0.001</v>
      </c>
      <c r="AJ571" s="147" t="s">
        <v>127</v>
      </c>
      <c r="AK571" s="52" t="s">
        <v>211</v>
      </c>
      <c r="AL571" s="55" t="s">
        <v>129</v>
      </c>
      <c r="AM571" s="55"/>
      <c r="AN571" s="355">
        <v>24.0</v>
      </c>
      <c r="AO571" s="355">
        <v>0.83</v>
      </c>
      <c r="AP571" s="52" t="s">
        <v>1051</v>
      </c>
      <c r="AQ571" s="355">
        <v>8.0</v>
      </c>
      <c r="AR571" s="355">
        <v>0.37</v>
      </c>
      <c r="AS571" s="147" t="s">
        <v>164</v>
      </c>
      <c r="AT571" s="147" t="s">
        <v>179</v>
      </c>
      <c r="AU571" s="60" t="s">
        <v>129</v>
      </c>
      <c r="AV571" s="60"/>
      <c r="AW571" s="60" t="s">
        <v>134</v>
      </c>
      <c r="AX571" s="55"/>
      <c r="AZ571" s="64"/>
      <c r="BA571" s="64"/>
      <c r="BB571" s="64"/>
      <c r="BC571" s="64"/>
      <c r="BD571" s="64"/>
      <c r="BE571" s="64"/>
      <c r="BF571" s="64"/>
      <c r="BG571" s="64"/>
      <c r="BH571" s="64"/>
      <c r="BI571" s="64"/>
      <c r="BJ571" s="64"/>
      <c r="BK571" s="64"/>
      <c r="BL571" s="64"/>
      <c r="BM571" s="64"/>
      <c r="BN571" s="64"/>
      <c r="BO571" s="64"/>
      <c r="BP571" s="64"/>
      <c r="BQ571" s="64"/>
      <c r="BR571" s="64"/>
      <c r="BS571" s="64"/>
      <c r="BT571" s="64"/>
      <c r="BU571" s="64"/>
      <c r="BV571" s="64"/>
      <c r="BW571" s="64"/>
      <c r="BX571" s="64"/>
      <c r="BY571" s="64"/>
      <c r="BZ571" s="64"/>
      <c r="CA571" s="64"/>
      <c r="CB571" s="64"/>
      <c r="CC571" s="64"/>
      <c r="CD571" s="64"/>
      <c r="CE571" s="64"/>
      <c r="CF571" s="64"/>
      <c r="CG571" s="64"/>
      <c r="CH571" s="64"/>
      <c r="CI571" s="64"/>
      <c r="CJ571" s="64"/>
      <c r="CK571" s="64"/>
      <c r="CL571" s="64"/>
      <c r="CM571" s="64"/>
      <c r="CN571" s="64"/>
      <c r="CO571" s="64"/>
      <c r="CP571" s="64"/>
      <c r="CQ571" s="64"/>
      <c r="CR571" s="64"/>
      <c r="CS571" s="64"/>
      <c r="CT571" s="64"/>
      <c r="CU571" s="64"/>
      <c r="CV571" s="64"/>
      <c r="CW571" s="64"/>
      <c r="CX571" s="64"/>
      <c r="CY571" s="64"/>
      <c r="CZ571" s="64"/>
      <c r="DA571" s="64"/>
      <c r="DB571" s="64"/>
      <c r="DC571" s="64"/>
      <c r="DD571" s="64"/>
      <c r="DE571" s="64"/>
      <c r="DF571" s="64"/>
      <c r="DG571" s="64"/>
    </row>
    <row r="572" ht="20.25" customHeight="1">
      <c r="A572" s="316" t="s">
        <v>520</v>
      </c>
      <c r="B572" s="316" t="s">
        <v>107</v>
      </c>
      <c r="C572" s="316" t="s">
        <v>1009</v>
      </c>
      <c r="D572" s="215"/>
      <c r="E572" s="147" t="s">
        <v>3165</v>
      </c>
      <c r="F572" s="52" t="s">
        <v>3203</v>
      </c>
      <c r="G572" s="52" t="s">
        <v>135</v>
      </c>
      <c r="H572" s="140">
        <v>45489.0</v>
      </c>
      <c r="I572" s="409">
        <v>45636.0</v>
      </c>
      <c r="J572" s="55"/>
      <c r="K572" s="55"/>
      <c r="L572" s="52" t="s">
        <v>3147</v>
      </c>
      <c r="M572" s="52" t="s">
        <v>3148</v>
      </c>
      <c r="N572" s="355">
        <v>5.0</v>
      </c>
      <c r="O572" s="353" t="s">
        <v>3149</v>
      </c>
      <c r="P572" s="48" t="str">
        <f t="array" ref="P572">HYPERLINK(INDEX('File Links'!B:B, MATCH(O572, 'File Links'!C:C, 0)))
</f>
        <v>https://drive.google.com/file/d/1BtYypYyY-PzT4y8FLAgHXAyFQwMz4y2O/view?usp=drivesdk</v>
      </c>
      <c r="Q572" s="52" t="s">
        <v>3150</v>
      </c>
      <c r="R572" s="52" t="s">
        <v>3151</v>
      </c>
      <c r="S572" s="55"/>
      <c r="T572" s="646">
        <v>5.0</v>
      </c>
      <c r="U572" s="354" t="s">
        <v>3152</v>
      </c>
      <c r="V572" s="52" t="s">
        <v>202</v>
      </c>
      <c r="W572" s="50" t="str">
        <f t="array" ref="W572">HYPERLINK(INDEX('File Links'!B:B, MATCH(U572, 'File Links'!C:C, 0)))
</f>
        <v>https://drive.google.com/file/d/1vDgLj9eoT-VnSILsFHRQ12VvtSFTsWUV/view?usp=drivesdk</v>
      </c>
      <c r="X572" s="55"/>
      <c r="Y572" s="52" t="s">
        <v>139</v>
      </c>
      <c r="Z572" s="55" t="s">
        <v>3166</v>
      </c>
      <c r="AA572" s="55" t="s">
        <v>3154</v>
      </c>
      <c r="AB572" s="52" t="s">
        <v>3204</v>
      </c>
      <c r="AC572" s="52" t="s">
        <v>3205</v>
      </c>
      <c r="AD572" s="355">
        <v>8.0</v>
      </c>
      <c r="AE572" s="355">
        <v>24.0</v>
      </c>
      <c r="AF572" s="355">
        <v>6.48</v>
      </c>
      <c r="AG572" s="330" t="s">
        <v>1051</v>
      </c>
      <c r="AH572" s="55"/>
      <c r="AI572" s="355">
        <v>0.02</v>
      </c>
      <c r="AJ572" s="147" t="s">
        <v>127</v>
      </c>
      <c r="AK572" s="52" t="s">
        <v>211</v>
      </c>
      <c r="AL572" s="55" t="s">
        <v>129</v>
      </c>
      <c r="AM572" s="55"/>
      <c r="AN572" s="355">
        <v>24.0</v>
      </c>
      <c r="AO572" s="355">
        <v>0.68</v>
      </c>
      <c r="AP572" s="52" t="s">
        <v>1051</v>
      </c>
      <c r="AQ572" s="355">
        <v>8.0</v>
      </c>
      <c r="AR572" s="355">
        <v>0.42</v>
      </c>
      <c r="AS572" s="147" t="s">
        <v>164</v>
      </c>
      <c r="AT572" s="147" t="s">
        <v>179</v>
      </c>
      <c r="AU572" s="60" t="s">
        <v>129</v>
      </c>
      <c r="AV572" s="60"/>
      <c r="AW572" s="60" t="s">
        <v>134</v>
      </c>
      <c r="AX572" s="55"/>
      <c r="AZ572" s="64"/>
      <c r="BA572" s="64"/>
      <c r="BB572" s="64"/>
      <c r="BC572" s="64"/>
      <c r="BD572" s="64"/>
      <c r="BE572" s="64"/>
      <c r="BF572" s="64"/>
      <c r="BG572" s="64"/>
      <c r="BH572" s="64"/>
      <c r="BI572" s="64"/>
      <c r="BJ572" s="64"/>
      <c r="BK572" s="64"/>
      <c r="BL572" s="64"/>
      <c r="BM572" s="64"/>
      <c r="BN572" s="64"/>
      <c r="BO572" s="64"/>
      <c r="BP572" s="64"/>
      <c r="BQ572" s="64"/>
      <c r="BR572" s="64"/>
      <c r="BS572" s="64"/>
      <c r="BT572" s="64"/>
      <c r="BU572" s="64"/>
      <c r="BV572" s="64"/>
      <c r="BW572" s="64"/>
      <c r="BX572" s="64"/>
      <c r="BY572" s="64"/>
      <c r="BZ572" s="64"/>
      <c r="CA572" s="64"/>
      <c r="CB572" s="64"/>
      <c r="CC572" s="64"/>
      <c r="CD572" s="64"/>
      <c r="CE572" s="64"/>
      <c r="CF572" s="64"/>
      <c r="CG572" s="64"/>
      <c r="CH572" s="64"/>
      <c r="CI572" s="64"/>
      <c r="CJ572" s="64"/>
      <c r="CK572" s="64"/>
      <c r="CL572" s="64"/>
      <c r="CM572" s="64"/>
      <c r="CN572" s="64"/>
      <c r="CO572" s="64"/>
      <c r="CP572" s="64"/>
      <c r="CQ572" s="64"/>
      <c r="CR572" s="64"/>
      <c r="CS572" s="64"/>
      <c r="CT572" s="64"/>
      <c r="CU572" s="64"/>
      <c r="CV572" s="64"/>
      <c r="CW572" s="64"/>
      <c r="CX572" s="64"/>
      <c r="CY572" s="64"/>
      <c r="CZ572" s="64"/>
      <c r="DA572" s="64"/>
      <c r="DB572" s="64"/>
      <c r="DC572" s="64"/>
      <c r="DD572" s="64"/>
      <c r="DE572" s="64"/>
      <c r="DF572" s="64"/>
      <c r="DG572" s="64"/>
    </row>
    <row r="573" ht="20.25" customHeight="1">
      <c r="A573" s="96" t="s">
        <v>520</v>
      </c>
      <c r="B573" s="96" t="s">
        <v>107</v>
      </c>
      <c r="C573" s="96" t="s">
        <v>2889</v>
      </c>
      <c r="D573" s="97"/>
      <c r="E573" s="136" t="s">
        <v>3206</v>
      </c>
      <c r="F573" s="96" t="s">
        <v>3207</v>
      </c>
      <c r="G573" s="96" t="s">
        <v>2892</v>
      </c>
      <c r="H573" s="131">
        <v>45489.0</v>
      </c>
      <c r="I573" s="131">
        <v>45635.0</v>
      </c>
      <c r="J573" s="96" t="s">
        <v>3208</v>
      </c>
      <c r="K573" s="97"/>
      <c r="L573" s="96" t="s">
        <v>3209</v>
      </c>
      <c r="M573" s="96" t="s">
        <v>3210</v>
      </c>
      <c r="N573" s="96">
        <v>1.0</v>
      </c>
      <c r="O573" s="96" t="s">
        <v>3211</v>
      </c>
      <c r="P573" s="48" t="str">
        <f t="array" ref="P573">HYPERLINK(INDEX('File Links'!B:B, MATCH(O573, 'File Links'!C:C, 0)))
</f>
        <v>https://drive.google.com/file/d/1UoK9lGyVfG2aSVu9UX62d1KXmmkZeMsj/view?usp=drivesdk</v>
      </c>
      <c r="Q573" s="96" t="s">
        <v>3212</v>
      </c>
      <c r="R573" s="96" t="s">
        <v>3213</v>
      </c>
      <c r="S573" s="97"/>
      <c r="T573" s="96">
        <v>1.0</v>
      </c>
      <c r="U573" s="96" t="s">
        <v>3214</v>
      </c>
      <c r="V573" s="96" t="s">
        <v>202</v>
      </c>
      <c r="W573" s="50" t="str">
        <f t="array" ref="W573">HYPERLINK(INDEX('File Links'!B:B, MATCH(U573, 'File Links'!C:C, 0)))
</f>
        <v>https://drive.google.com/file/d/1VIxHSn4IKzp_dw4xNX6RMxFlMFrB02Na/view?usp=drivesdk</v>
      </c>
      <c r="X573" s="97"/>
      <c r="Y573" s="96" t="s">
        <v>287</v>
      </c>
      <c r="Z573" s="96" t="s">
        <v>3215</v>
      </c>
      <c r="AA573" s="96" t="s">
        <v>3216</v>
      </c>
      <c r="AB573" s="96" t="s">
        <v>3217</v>
      </c>
      <c r="AC573" s="96" t="s">
        <v>3218</v>
      </c>
      <c r="AD573" s="96">
        <v>16.0</v>
      </c>
      <c r="AE573" s="96">
        <v>551.0</v>
      </c>
      <c r="AF573" s="96">
        <v>-3.22</v>
      </c>
      <c r="AG573" s="96" t="s">
        <v>357</v>
      </c>
      <c r="AH573" s="96" t="s">
        <v>175</v>
      </c>
      <c r="AI573" s="96">
        <v>0.001</v>
      </c>
      <c r="AJ573" s="136" t="s">
        <v>127</v>
      </c>
      <c r="AK573" s="96" t="s">
        <v>179</v>
      </c>
      <c r="AL573" s="96" t="s">
        <v>132</v>
      </c>
      <c r="AM573" s="97"/>
      <c r="AN573" s="96">
        <v>351.0</v>
      </c>
      <c r="AO573" s="96">
        <v>-0.15</v>
      </c>
      <c r="AP573" s="96" t="s">
        <v>357</v>
      </c>
      <c r="AQ573" s="96" t="s">
        <v>125</v>
      </c>
      <c r="AR573" s="96">
        <v>0.607</v>
      </c>
      <c r="AS573" s="136" t="s">
        <v>164</v>
      </c>
      <c r="AT573" s="136" t="s">
        <v>179</v>
      </c>
      <c r="AU573" s="134" t="s">
        <v>132</v>
      </c>
      <c r="AV573" s="64"/>
      <c r="AW573" s="136" t="s">
        <v>434</v>
      </c>
      <c r="AX573" s="97"/>
      <c r="AY573" s="64"/>
      <c r="AZ573" s="64"/>
      <c r="BA573" s="64"/>
      <c r="BB573" s="64"/>
      <c r="BC573" s="64"/>
      <c r="BD573" s="64"/>
      <c r="BE573" s="64"/>
      <c r="BF573" s="64"/>
      <c r="BG573" s="64"/>
      <c r="BH573" s="64"/>
      <c r="BI573" s="64"/>
      <c r="BJ573" s="64"/>
      <c r="BK573" s="64"/>
      <c r="BL573" s="64"/>
      <c r="BM573" s="64"/>
      <c r="BN573" s="64"/>
      <c r="BO573" s="64"/>
      <c r="BP573" s="64"/>
      <c r="BQ573" s="64"/>
      <c r="BR573" s="64"/>
      <c r="BS573" s="64"/>
      <c r="BT573" s="64"/>
      <c r="BU573" s="64"/>
      <c r="BV573" s="64"/>
      <c r="BW573" s="64"/>
      <c r="BX573" s="64"/>
      <c r="BY573" s="64"/>
      <c r="BZ573" s="64"/>
      <c r="CA573" s="64"/>
      <c r="CB573" s="64"/>
      <c r="CC573" s="64"/>
      <c r="CD573" s="64"/>
      <c r="CE573" s="64"/>
      <c r="CF573" s="64"/>
      <c r="CG573" s="64"/>
      <c r="CH573" s="64"/>
      <c r="CI573" s="64"/>
      <c r="CJ573" s="64"/>
      <c r="CK573" s="64"/>
      <c r="CL573" s="64"/>
      <c r="CM573" s="64"/>
      <c r="CN573" s="64"/>
      <c r="CO573" s="64"/>
      <c r="CP573" s="64"/>
      <c r="CQ573" s="64"/>
      <c r="CR573" s="64"/>
      <c r="CS573" s="64"/>
      <c r="CT573" s="64"/>
      <c r="CU573" s="64"/>
      <c r="CV573" s="64"/>
      <c r="CW573" s="64"/>
      <c r="CX573" s="64"/>
      <c r="CY573" s="64"/>
      <c r="CZ573" s="64"/>
      <c r="DA573" s="64"/>
      <c r="DB573" s="64"/>
      <c r="DC573" s="64"/>
      <c r="DD573" s="64"/>
      <c r="DE573" s="64"/>
      <c r="DF573" s="64"/>
      <c r="DG573" s="64"/>
    </row>
    <row r="574" ht="20.25" customHeight="1">
      <c r="A574" s="96" t="s">
        <v>520</v>
      </c>
      <c r="B574" s="96" t="s">
        <v>107</v>
      </c>
      <c r="C574" s="96" t="s">
        <v>2889</v>
      </c>
      <c r="D574" s="97"/>
      <c r="E574" s="136" t="s">
        <v>3206</v>
      </c>
      <c r="F574" s="96" t="s">
        <v>3219</v>
      </c>
      <c r="G574" s="96" t="s">
        <v>2892</v>
      </c>
      <c r="H574" s="131">
        <v>45489.0</v>
      </c>
      <c r="I574" s="131">
        <v>45635.0</v>
      </c>
      <c r="J574" s="96" t="s">
        <v>3220</v>
      </c>
      <c r="K574" s="97"/>
      <c r="L574" s="96" t="s">
        <v>3209</v>
      </c>
      <c r="M574" s="96" t="s">
        <v>3210</v>
      </c>
      <c r="N574" s="96">
        <v>1.0</v>
      </c>
      <c r="O574" s="96" t="s">
        <v>3211</v>
      </c>
      <c r="P574" s="48" t="str">
        <f t="array" ref="P574">HYPERLINK(INDEX('File Links'!B:B, MATCH(O574, 'File Links'!C:C, 0)))
</f>
        <v>https://drive.google.com/file/d/1UoK9lGyVfG2aSVu9UX62d1KXmmkZeMsj/view?usp=drivesdk</v>
      </c>
      <c r="Q574" s="96" t="s">
        <v>3221</v>
      </c>
      <c r="R574" s="96" t="s">
        <v>3213</v>
      </c>
      <c r="S574" s="97"/>
      <c r="T574" s="96">
        <v>1.0</v>
      </c>
      <c r="U574" s="96" t="s">
        <v>3214</v>
      </c>
      <c r="V574" s="96" t="s">
        <v>202</v>
      </c>
      <c r="W574" s="50" t="str">
        <f t="array" ref="W574">HYPERLINK(INDEX('File Links'!B:B, MATCH(U574, 'File Links'!C:C, 0)))
</f>
        <v>https://drive.google.com/file/d/1VIxHSn4IKzp_dw4xNX6RMxFlMFrB02Na/view?usp=drivesdk</v>
      </c>
      <c r="X574" s="97"/>
      <c r="Y574" s="96" t="s">
        <v>287</v>
      </c>
      <c r="Z574" s="96" t="s">
        <v>3215</v>
      </c>
      <c r="AA574" s="96" t="s">
        <v>3216</v>
      </c>
      <c r="AB574" s="96" t="s">
        <v>3222</v>
      </c>
      <c r="AC574" s="96" t="s">
        <v>3222</v>
      </c>
      <c r="AD574" s="96">
        <v>17.0</v>
      </c>
      <c r="AE574" s="96">
        <v>551.0</v>
      </c>
      <c r="AF574" s="96">
        <v>-0.99</v>
      </c>
      <c r="AG574" s="96" t="s">
        <v>357</v>
      </c>
      <c r="AH574" s="96" t="s">
        <v>175</v>
      </c>
      <c r="AI574" s="96">
        <v>0.001</v>
      </c>
      <c r="AJ574" s="136" t="s">
        <v>127</v>
      </c>
      <c r="AK574" s="96" t="s">
        <v>179</v>
      </c>
      <c r="AL574" s="96" t="s">
        <v>132</v>
      </c>
      <c r="AM574" s="97"/>
      <c r="AN574" s="96">
        <v>351.0</v>
      </c>
      <c r="AO574" s="96">
        <v>-1.01</v>
      </c>
      <c r="AP574" s="96" t="s">
        <v>357</v>
      </c>
      <c r="AQ574" s="96" t="s">
        <v>125</v>
      </c>
      <c r="AR574" s="96">
        <v>0.001</v>
      </c>
      <c r="AS574" s="136" t="s">
        <v>127</v>
      </c>
      <c r="AT574" s="136" t="s">
        <v>179</v>
      </c>
      <c r="AU574" s="134" t="s">
        <v>132</v>
      </c>
      <c r="AV574" s="64"/>
      <c r="AW574" s="136" t="s">
        <v>434</v>
      </c>
      <c r="AX574" s="97"/>
      <c r="AY574" s="64"/>
      <c r="AZ574" s="632"/>
      <c r="BA574" s="632"/>
      <c r="BB574" s="632"/>
      <c r="BC574" s="632"/>
      <c r="BD574" s="632"/>
      <c r="BE574" s="632"/>
      <c r="BF574" s="632"/>
      <c r="BG574" s="632"/>
      <c r="BH574" s="632"/>
      <c r="BI574" s="632"/>
      <c r="BJ574" s="632"/>
      <c r="BK574" s="632"/>
      <c r="BL574" s="632"/>
      <c r="BM574" s="632"/>
      <c r="BN574" s="632"/>
      <c r="BO574" s="632"/>
      <c r="BP574" s="632"/>
      <c r="BQ574" s="632"/>
      <c r="BR574" s="632"/>
      <c r="BS574" s="632"/>
      <c r="BT574" s="632"/>
      <c r="BU574" s="632"/>
      <c r="BV574" s="632"/>
      <c r="BW574" s="632"/>
      <c r="BX574" s="632"/>
      <c r="BY574" s="632"/>
      <c r="BZ574" s="632"/>
      <c r="CA574" s="632"/>
      <c r="CB574" s="632"/>
      <c r="CC574" s="632"/>
      <c r="CD574" s="632"/>
      <c r="CE574" s="632"/>
      <c r="CF574" s="632"/>
      <c r="CG574" s="632"/>
      <c r="CH574" s="632"/>
      <c r="CI574" s="632"/>
      <c r="CJ574" s="632"/>
      <c r="CK574" s="632"/>
      <c r="CL574" s="632"/>
      <c r="CM574" s="632"/>
      <c r="CN574" s="632"/>
      <c r="CO574" s="632"/>
      <c r="CP574" s="632"/>
      <c r="CQ574" s="632"/>
      <c r="CR574" s="632"/>
      <c r="CS574" s="632"/>
      <c r="CT574" s="632"/>
      <c r="CU574" s="632"/>
      <c r="CV574" s="632"/>
      <c r="CW574" s="632"/>
      <c r="CX574" s="632"/>
      <c r="CY574" s="632"/>
      <c r="CZ574" s="632"/>
      <c r="DA574" s="632"/>
      <c r="DB574" s="632"/>
      <c r="DC574" s="632"/>
      <c r="DD574" s="632"/>
      <c r="DE574" s="632"/>
      <c r="DF574" s="632"/>
      <c r="DG574" s="632"/>
    </row>
    <row r="575" ht="20.25" customHeight="1">
      <c r="A575" s="96" t="s">
        <v>520</v>
      </c>
      <c r="B575" s="96" t="s">
        <v>107</v>
      </c>
      <c r="C575" s="96" t="s">
        <v>2889</v>
      </c>
      <c r="D575" s="97"/>
      <c r="E575" s="136" t="s">
        <v>3206</v>
      </c>
      <c r="F575" s="96" t="s">
        <v>3223</v>
      </c>
      <c r="G575" s="96" t="s">
        <v>2892</v>
      </c>
      <c r="H575" s="131">
        <v>45489.0</v>
      </c>
      <c r="I575" s="131">
        <v>45635.0</v>
      </c>
      <c r="J575" s="96" t="s">
        <v>3224</v>
      </c>
      <c r="K575" s="97"/>
      <c r="L575" s="96" t="s">
        <v>3209</v>
      </c>
      <c r="M575" s="96" t="s">
        <v>3210</v>
      </c>
      <c r="N575" s="96">
        <v>1.0</v>
      </c>
      <c r="O575" s="96" t="s">
        <v>3211</v>
      </c>
      <c r="P575" s="48" t="str">
        <f t="array" ref="P575">HYPERLINK(INDEX('File Links'!B:B, MATCH(O575, 'File Links'!C:C, 0)))
</f>
        <v>https://drive.google.com/file/d/1UoK9lGyVfG2aSVu9UX62d1KXmmkZeMsj/view?usp=drivesdk</v>
      </c>
      <c r="Q575" s="96" t="s">
        <v>3225</v>
      </c>
      <c r="R575" s="96" t="s">
        <v>3213</v>
      </c>
      <c r="S575" s="97"/>
      <c r="T575" s="96">
        <v>1.0</v>
      </c>
      <c r="U575" s="96" t="s">
        <v>3214</v>
      </c>
      <c r="V575" s="96" t="s">
        <v>202</v>
      </c>
      <c r="W575" s="50" t="str">
        <f t="array" ref="W575">HYPERLINK(INDEX('File Links'!B:B, MATCH(U575, 'File Links'!C:C, 0)))
</f>
        <v>https://drive.google.com/file/d/1VIxHSn4IKzp_dw4xNX6RMxFlMFrB02Na/view?usp=drivesdk</v>
      </c>
      <c r="X575" s="97"/>
      <c r="Y575" s="96" t="s">
        <v>287</v>
      </c>
      <c r="Z575" s="96" t="s">
        <v>3215</v>
      </c>
      <c r="AA575" s="96" t="s">
        <v>3216</v>
      </c>
      <c r="AB575" s="96" t="s">
        <v>3226</v>
      </c>
      <c r="AC575" s="96" t="s">
        <v>3227</v>
      </c>
      <c r="AD575" s="96">
        <v>18.0</v>
      </c>
      <c r="AE575" s="96">
        <v>556.0</v>
      </c>
      <c r="AF575" s="96">
        <v>-3.56</v>
      </c>
      <c r="AG575" s="96" t="s">
        <v>357</v>
      </c>
      <c r="AH575" s="96" t="s">
        <v>1580</v>
      </c>
      <c r="AI575" s="96">
        <v>0.001</v>
      </c>
      <c r="AJ575" s="136" t="s">
        <v>127</v>
      </c>
      <c r="AK575" s="96" t="s">
        <v>179</v>
      </c>
      <c r="AL575" s="96" t="s">
        <v>132</v>
      </c>
      <c r="AM575" s="97"/>
      <c r="AN575" s="96">
        <v>351.0</v>
      </c>
      <c r="AO575" s="96">
        <v>1.2</v>
      </c>
      <c r="AP575" s="96" t="s">
        <v>357</v>
      </c>
      <c r="AQ575" s="96" t="s">
        <v>625</v>
      </c>
      <c r="AR575" s="96">
        <v>0.001</v>
      </c>
      <c r="AS575" s="136" t="s">
        <v>127</v>
      </c>
      <c r="AT575" s="136" t="s">
        <v>179</v>
      </c>
      <c r="AU575" s="134" t="s">
        <v>132</v>
      </c>
      <c r="AV575" s="64"/>
      <c r="AW575" s="136" t="s">
        <v>434</v>
      </c>
      <c r="AX575" s="97"/>
      <c r="AY575" s="64"/>
      <c r="AZ575" s="209"/>
      <c r="BA575" s="209"/>
      <c r="BB575" s="209"/>
      <c r="BC575" s="209"/>
      <c r="BD575" s="209"/>
      <c r="BE575" s="209"/>
      <c r="BF575" s="209"/>
      <c r="BG575" s="209"/>
      <c r="BH575" s="209"/>
      <c r="BI575" s="209"/>
      <c r="BJ575" s="209"/>
      <c r="BK575" s="209"/>
      <c r="BL575" s="209"/>
      <c r="BM575" s="209"/>
      <c r="BN575" s="209"/>
      <c r="BO575" s="209"/>
      <c r="BP575" s="209"/>
      <c r="BQ575" s="209"/>
      <c r="BR575" s="209"/>
      <c r="BS575" s="209"/>
      <c r="BT575" s="209"/>
      <c r="BU575" s="209"/>
      <c r="BV575" s="209"/>
      <c r="BW575" s="209"/>
      <c r="BX575" s="209"/>
      <c r="BY575" s="209"/>
      <c r="BZ575" s="209"/>
      <c r="CA575" s="209"/>
      <c r="CB575" s="209"/>
      <c r="CC575" s="209"/>
      <c r="CD575" s="209"/>
      <c r="CE575" s="209"/>
      <c r="CF575" s="209"/>
      <c r="CG575" s="209"/>
      <c r="CH575" s="209"/>
      <c r="CI575" s="209"/>
      <c r="CJ575" s="209"/>
      <c r="CK575" s="209"/>
      <c r="CL575" s="209"/>
      <c r="CM575" s="209"/>
      <c r="CN575" s="209"/>
      <c r="CO575" s="209"/>
      <c r="CP575" s="209"/>
      <c r="CQ575" s="209"/>
      <c r="CR575" s="209"/>
      <c r="CS575" s="209"/>
      <c r="CT575" s="209"/>
      <c r="CU575" s="209"/>
      <c r="CV575" s="209"/>
      <c r="CW575" s="209"/>
      <c r="CX575" s="209"/>
      <c r="CY575" s="209"/>
      <c r="CZ575" s="209"/>
      <c r="DA575" s="209"/>
      <c r="DB575" s="209"/>
      <c r="DC575" s="209"/>
      <c r="DD575" s="209"/>
      <c r="DE575" s="209"/>
      <c r="DF575" s="209"/>
      <c r="DG575" s="209"/>
    </row>
    <row r="576" ht="20.25" customHeight="1">
      <c r="A576" s="96" t="s">
        <v>520</v>
      </c>
      <c r="B576" s="96" t="s">
        <v>107</v>
      </c>
      <c r="C576" s="96" t="s">
        <v>2889</v>
      </c>
      <c r="D576" s="97"/>
      <c r="E576" s="136" t="s">
        <v>3206</v>
      </c>
      <c r="F576" s="96" t="s">
        <v>3228</v>
      </c>
      <c r="G576" s="96" t="s">
        <v>2892</v>
      </c>
      <c r="H576" s="131">
        <v>45489.0</v>
      </c>
      <c r="I576" s="131">
        <v>45635.0</v>
      </c>
      <c r="J576" s="96" t="s">
        <v>3220</v>
      </c>
      <c r="K576" s="97"/>
      <c r="L576" s="96" t="s">
        <v>3209</v>
      </c>
      <c r="M576" s="96" t="s">
        <v>3210</v>
      </c>
      <c r="N576" s="96">
        <v>1.0</v>
      </c>
      <c r="O576" s="96" t="s">
        <v>3211</v>
      </c>
      <c r="P576" s="48" t="str">
        <f t="array" ref="P576">HYPERLINK(INDEX('File Links'!B:B, MATCH(O576, 'File Links'!C:C, 0)))
</f>
        <v>https://drive.google.com/file/d/1UoK9lGyVfG2aSVu9UX62d1KXmmkZeMsj/view?usp=drivesdk</v>
      </c>
      <c r="Q576" s="96" t="s">
        <v>3225</v>
      </c>
      <c r="R576" s="96" t="s">
        <v>3213</v>
      </c>
      <c r="S576" s="97"/>
      <c r="T576" s="96">
        <v>1.0</v>
      </c>
      <c r="U576" s="96" t="s">
        <v>3214</v>
      </c>
      <c r="V576" s="96" t="s">
        <v>202</v>
      </c>
      <c r="W576" s="50" t="str">
        <f t="array" ref="W576">HYPERLINK(INDEX('File Links'!B:B, MATCH(U576, 'File Links'!C:C, 0)))
</f>
        <v>https://drive.google.com/file/d/1VIxHSn4IKzp_dw4xNX6RMxFlMFrB02Na/view?usp=drivesdk</v>
      </c>
      <c r="X576" s="97"/>
      <c r="Y576" s="96" t="s">
        <v>287</v>
      </c>
      <c r="Z576" s="96" t="s">
        <v>3215</v>
      </c>
      <c r="AA576" s="96" t="s">
        <v>3216</v>
      </c>
      <c r="AB576" s="96" t="s">
        <v>3229</v>
      </c>
      <c r="AC576" s="96" t="s">
        <v>3229</v>
      </c>
      <c r="AD576" s="96">
        <v>19.0</v>
      </c>
      <c r="AE576" s="96">
        <v>556.0</v>
      </c>
      <c r="AF576" s="96">
        <v>1.26</v>
      </c>
      <c r="AG576" s="96" t="s">
        <v>357</v>
      </c>
      <c r="AH576" s="96" t="s">
        <v>1580</v>
      </c>
      <c r="AI576" s="96">
        <v>0.001</v>
      </c>
      <c r="AJ576" s="136" t="s">
        <v>127</v>
      </c>
      <c r="AK576" s="96" t="s">
        <v>179</v>
      </c>
      <c r="AL576" s="96" t="s">
        <v>132</v>
      </c>
      <c r="AM576" s="97"/>
      <c r="AN576" s="96">
        <v>351.0</v>
      </c>
      <c r="AO576" s="96">
        <v>-0.66</v>
      </c>
      <c r="AP576" s="96" t="s">
        <v>357</v>
      </c>
      <c r="AQ576" s="96" t="s">
        <v>625</v>
      </c>
      <c r="AR576" s="96">
        <v>0.001</v>
      </c>
      <c r="AS576" s="136" t="s">
        <v>127</v>
      </c>
      <c r="AT576" s="136" t="s">
        <v>179</v>
      </c>
      <c r="AU576" s="134" t="s">
        <v>132</v>
      </c>
      <c r="AV576" s="64"/>
      <c r="AW576" s="136" t="s">
        <v>434</v>
      </c>
      <c r="AX576" s="97"/>
      <c r="AY576" s="64"/>
      <c r="AZ576" s="209"/>
      <c r="BA576" s="209"/>
      <c r="BB576" s="209"/>
      <c r="BC576" s="209"/>
      <c r="BD576" s="209"/>
      <c r="BE576" s="209"/>
      <c r="BF576" s="209"/>
      <c r="BG576" s="209"/>
      <c r="BH576" s="209"/>
      <c r="BI576" s="209"/>
      <c r="BJ576" s="209"/>
      <c r="BK576" s="209"/>
      <c r="BL576" s="209"/>
      <c r="BM576" s="209"/>
      <c r="BN576" s="209"/>
      <c r="BO576" s="209"/>
      <c r="BP576" s="209"/>
      <c r="BQ576" s="209"/>
      <c r="BR576" s="209"/>
      <c r="BS576" s="209"/>
      <c r="BT576" s="209"/>
      <c r="BU576" s="209"/>
      <c r="BV576" s="209"/>
      <c r="BW576" s="209"/>
      <c r="BX576" s="209"/>
      <c r="BY576" s="209"/>
      <c r="BZ576" s="209"/>
      <c r="CA576" s="209"/>
      <c r="CB576" s="209"/>
      <c r="CC576" s="209"/>
      <c r="CD576" s="209"/>
      <c r="CE576" s="209"/>
      <c r="CF576" s="209"/>
      <c r="CG576" s="209"/>
      <c r="CH576" s="209"/>
      <c r="CI576" s="209"/>
      <c r="CJ576" s="209"/>
      <c r="CK576" s="209"/>
      <c r="CL576" s="209"/>
      <c r="CM576" s="209"/>
      <c r="CN576" s="209"/>
      <c r="CO576" s="209"/>
      <c r="CP576" s="209"/>
      <c r="CQ576" s="209"/>
      <c r="CR576" s="209"/>
      <c r="CS576" s="209"/>
      <c r="CT576" s="209"/>
      <c r="CU576" s="209"/>
      <c r="CV576" s="209"/>
      <c r="CW576" s="209"/>
      <c r="CX576" s="209"/>
      <c r="CY576" s="209"/>
      <c r="CZ576" s="209"/>
      <c r="DA576" s="209"/>
      <c r="DB576" s="209"/>
      <c r="DC576" s="209"/>
      <c r="DD576" s="209"/>
      <c r="DE576" s="209"/>
      <c r="DF576" s="209"/>
      <c r="DG576" s="209"/>
    </row>
    <row r="577" ht="20.25" customHeight="1">
      <c r="A577" s="96" t="s">
        <v>520</v>
      </c>
      <c r="B577" s="96" t="s">
        <v>107</v>
      </c>
      <c r="C577" s="96" t="s">
        <v>2889</v>
      </c>
      <c r="D577" s="97"/>
      <c r="E577" s="136" t="s">
        <v>3206</v>
      </c>
      <c r="F577" s="96" t="s">
        <v>3230</v>
      </c>
      <c r="G577" s="96" t="s">
        <v>2892</v>
      </c>
      <c r="H577" s="131">
        <v>45489.0</v>
      </c>
      <c r="I577" s="131">
        <v>45635.0</v>
      </c>
      <c r="J577" s="96" t="s">
        <v>3231</v>
      </c>
      <c r="K577" s="97"/>
      <c r="L577" s="96" t="s">
        <v>3209</v>
      </c>
      <c r="M577" s="96" t="s">
        <v>3210</v>
      </c>
      <c r="N577" s="96">
        <v>1.0</v>
      </c>
      <c r="O577" s="96" t="s">
        <v>3211</v>
      </c>
      <c r="P577" s="48" t="str">
        <f t="array" ref="P577">HYPERLINK(INDEX('File Links'!B:B, MATCH(O577, 'File Links'!C:C, 0)))
</f>
        <v>https://drive.google.com/file/d/1UoK9lGyVfG2aSVu9UX62d1KXmmkZeMsj/view?usp=drivesdk</v>
      </c>
      <c r="Q577" s="96" t="s">
        <v>3225</v>
      </c>
      <c r="R577" s="96" t="s">
        <v>3213</v>
      </c>
      <c r="S577" s="97"/>
      <c r="T577" s="96">
        <v>1.0</v>
      </c>
      <c r="U577" s="96" t="s">
        <v>3214</v>
      </c>
      <c r="V577" s="96" t="s">
        <v>202</v>
      </c>
      <c r="W577" s="50" t="str">
        <f t="array" ref="W577">HYPERLINK(INDEX('File Links'!B:B, MATCH(U577, 'File Links'!C:C, 0)))
</f>
        <v>https://drive.google.com/file/d/1VIxHSn4IKzp_dw4xNX6RMxFlMFrB02Na/view?usp=drivesdk</v>
      </c>
      <c r="X577" s="97"/>
      <c r="Y577" s="96" t="s">
        <v>287</v>
      </c>
      <c r="Z577" s="96" t="s">
        <v>3215</v>
      </c>
      <c r="AA577" s="96" t="s">
        <v>3216</v>
      </c>
      <c r="AB577" s="96" t="s">
        <v>3232</v>
      </c>
      <c r="AC577" s="96" t="s">
        <v>3233</v>
      </c>
      <c r="AD577" s="96">
        <v>20.0</v>
      </c>
      <c r="AE577" s="96">
        <v>564.0</v>
      </c>
      <c r="AF577" s="96">
        <v>1.53</v>
      </c>
      <c r="AG577" s="96" t="s">
        <v>357</v>
      </c>
      <c r="AH577" s="96" t="s">
        <v>2416</v>
      </c>
      <c r="AI577" s="96">
        <v>0.006</v>
      </c>
      <c r="AJ577" s="136" t="s">
        <v>164</v>
      </c>
      <c r="AK577" s="96" t="s">
        <v>179</v>
      </c>
      <c r="AL577" s="96" t="s">
        <v>132</v>
      </c>
      <c r="AM577" s="97"/>
      <c r="AN577" s="96">
        <v>351.0</v>
      </c>
      <c r="AO577" s="96">
        <v>-0.43</v>
      </c>
      <c r="AP577" s="96" t="s">
        <v>357</v>
      </c>
      <c r="AQ577" s="96" t="s">
        <v>299</v>
      </c>
      <c r="AR577" s="96">
        <v>0.151</v>
      </c>
      <c r="AS577" s="136" t="s">
        <v>164</v>
      </c>
      <c r="AT577" s="136" t="s">
        <v>179</v>
      </c>
      <c r="AU577" s="134" t="s">
        <v>132</v>
      </c>
      <c r="AV577" s="64"/>
      <c r="AW577" s="136" t="s">
        <v>434</v>
      </c>
      <c r="AX577" s="97"/>
      <c r="AY577" s="64"/>
      <c r="AZ577" s="95"/>
      <c r="BA577" s="95"/>
      <c r="BB577" s="95"/>
      <c r="BC577" s="95"/>
      <c r="BD577" s="95"/>
      <c r="BE577" s="95"/>
      <c r="BF577" s="95"/>
      <c r="BG577" s="95"/>
      <c r="BH577" s="95"/>
      <c r="BI577" s="95"/>
      <c r="BJ577" s="95"/>
      <c r="BK577" s="95"/>
      <c r="BL577" s="95"/>
      <c r="BM577" s="95"/>
      <c r="BN577" s="95"/>
      <c r="BO577" s="95"/>
      <c r="BP577" s="95"/>
      <c r="BQ577" s="95"/>
      <c r="BR577" s="95"/>
      <c r="BS577" s="95"/>
      <c r="BT577" s="95"/>
      <c r="BU577" s="95"/>
      <c r="BV577" s="95"/>
      <c r="BW577" s="95"/>
      <c r="BX577" s="95"/>
      <c r="BY577" s="95"/>
      <c r="BZ577" s="95"/>
      <c r="CA577" s="95"/>
      <c r="CB577" s="95"/>
      <c r="CC577" s="95"/>
      <c r="CD577" s="95"/>
      <c r="CE577" s="95"/>
      <c r="CF577" s="95"/>
      <c r="CG577" s="95"/>
      <c r="CH577" s="95"/>
      <c r="CI577" s="95"/>
      <c r="CJ577" s="95"/>
      <c r="CK577" s="95"/>
      <c r="CL577" s="95"/>
      <c r="CM577" s="95"/>
      <c r="CN577" s="95"/>
      <c r="CO577" s="95"/>
      <c r="CP577" s="95"/>
      <c r="CQ577" s="95"/>
      <c r="CR577" s="95"/>
      <c r="CS577" s="95"/>
      <c r="CT577" s="95"/>
      <c r="CU577" s="95"/>
      <c r="CV577" s="95"/>
      <c r="CW577" s="95"/>
      <c r="CX577" s="95"/>
      <c r="CY577" s="95"/>
      <c r="CZ577" s="95"/>
      <c r="DA577" s="95"/>
      <c r="DB577" s="95"/>
      <c r="DC577" s="95"/>
      <c r="DD577" s="95"/>
      <c r="DE577" s="95"/>
      <c r="DF577" s="95"/>
      <c r="DG577" s="95"/>
    </row>
    <row r="578" ht="20.25" customHeight="1">
      <c r="A578" s="96" t="s">
        <v>520</v>
      </c>
      <c r="B578" s="96" t="s">
        <v>107</v>
      </c>
      <c r="C578" s="96" t="s">
        <v>2889</v>
      </c>
      <c r="D578" s="97"/>
      <c r="E578" s="136" t="s">
        <v>3206</v>
      </c>
      <c r="F578" s="96" t="s">
        <v>3234</v>
      </c>
      <c r="G578" s="96" t="s">
        <v>2892</v>
      </c>
      <c r="H578" s="131">
        <v>45489.0</v>
      </c>
      <c r="I578" s="131">
        <v>45635.0</v>
      </c>
      <c r="J578" s="96" t="s">
        <v>3220</v>
      </c>
      <c r="K578" s="97"/>
      <c r="L578" s="96" t="s">
        <v>3209</v>
      </c>
      <c r="M578" s="96" t="s">
        <v>3210</v>
      </c>
      <c r="N578" s="96">
        <v>1.0</v>
      </c>
      <c r="O578" s="96" t="s">
        <v>3211</v>
      </c>
      <c r="P578" s="48" t="str">
        <f t="array" ref="P578">HYPERLINK(INDEX('File Links'!B:B, MATCH(O578, 'File Links'!C:C, 0)))
</f>
        <v>https://drive.google.com/file/d/1UoK9lGyVfG2aSVu9UX62d1KXmmkZeMsj/view?usp=drivesdk</v>
      </c>
      <c r="Q578" s="96" t="s">
        <v>3225</v>
      </c>
      <c r="R578" s="96" t="s">
        <v>3213</v>
      </c>
      <c r="S578" s="97"/>
      <c r="T578" s="96">
        <v>1.0</v>
      </c>
      <c r="U578" s="96" t="s">
        <v>3214</v>
      </c>
      <c r="V578" s="96" t="s">
        <v>202</v>
      </c>
      <c r="W578" s="50" t="str">
        <f t="array" ref="W578">HYPERLINK(INDEX('File Links'!B:B, MATCH(U578, 'File Links'!C:C, 0)))
</f>
        <v>https://drive.google.com/file/d/1VIxHSn4IKzp_dw4xNX6RMxFlMFrB02Na/view?usp=drivesdk</v>
      </c>
      <c r="X578" s="97"/>
      <c r="Y578" s="96" t="s">
        <v>287</v>
      </c>
      <c r="Z578" s="96" t="s">
        <v>3215</v>
      </c>
      <c r="AA578" s="96" t="s">
        <v>3216</v>
      </c>
      <c r="AB578" s="96" t="s">
        <v>3235</v>
      </c>
      <c r="AC578" s="96" t="s">
        <v>3235</v>
      </c>
      <c r="AD578" s="96">
        <v>21.0</v>
      </c>
      <c r="AE578" s="96">
        <v>564.0</v>
      </c>
      <c r="AF578" s="96">
        <v>-0.84</v>
      </c>
      <c r="AG578" s="96" t="s">
        <v>357</v>
      </c>
      <c r="AH578" s="96" t="s">
        <v>2416</v>
      </c>
      <c r="AI578" s="96">
        <v>0.001</v>
      </c>
      <c r="AJ578" s="136" t="s">
        <v>127</v>
      </c>
      <c r="AK578" s="96" t="s">
        <v>179</v>
      </c>
      <c r="AL578" s="96" t="s">
        <v>132</v>
      </c>
      <c r="AM578" s="97"/>
      <c r="AN578" s="96">
        <v>351.0</v>
      </c>
      <c r="AO578" s="96">
        <v>0.02</v>
      </c>
      <c r="AP578" s="96" t="s">
        <v>357</v>
      </c>
      <c r="AQ578" s="96" t="s">
        <v>299</v>
      </c>
      <c r="AR578" s="96">
        <v>0.928</v>
      </c>
      <c r="AS578" s="136" t="s">
        <v>164</v>
      </c>
      <c r="AT578" s="136" t="s">
        <v>179</v>
      </c>
      <c r="AU578" s="134" t="s">
        <v>132</v>
      </c>
      <c r="AV578" s="64"/>
      <c r="AW578" s="136" t="s">
        <v>434</v>
      </c>
      <c r="AX578" s="97"/>
      <c r="AY578" s="64"/>
      <c r="AZ578" s="64"/>
      <c r="BA578" s="64"/>
      <c r="BB578" s="64"/>
      <c r="BC578" s="64"/>
      <c r="BD578" s="64"/>
      <c r="BE578" s="64"/>
      <c r="BF578" s="64"/>
      <c r="BG578" s="64"/>
      <c r="BH578" s="64"/>
      <c r="BI578" s="64"/>
      <c r="BJ578" s="64"/>
      <c r="BK578" s="64"/>
      <c r="BL578" s="64"/>
      <c r="BM578" s="64"/>
      <c r="BN578" s="64"/>
      <c r="BO578" s="64"/>
      <c r="BP578" s="64"/>
      <c r="BQ578" s="64"/>
      <c r="BR578" s="64"/>
      <c r="BS578" s="64"/>
      <c r="BT578" s="64"/>
      <c r="BU578" s="64"/>
      <c r="BV578" s="64"/>
      <c r="BW578" s="64"/>
      <c r="BX578" s="64"/>
      <c r="BY578" s="64"/>
      <c r="BZ578" s="64"/>
      <c r="CA578" s="64"/>
      <c r="CB578" s="64"/>
      <c r="CC578" s="64"/>
      <c r="CD578" s="64"/>
      <c r="CE578" s="64"/>
      <c r="CF578" s="64"/>
      <c r="CG578" s="64"/>
      <c r="CH578" s="64"/>
      <c r="CI578" s="64"/>
      <c r="CJ578" s="64"/>
      <c r="CK578" s="64"/>
      <c r="CL578" s="64"/>
      <c r="CM578" s="64"/>
      <c r="CN578" s="64"/>
      <c r="CO578" s="64"/>
      <c r="CP578" s="64"/>
      <c r="CQ578" s="64"/>
      <c r="CR578" s="64"/>
      <c r="CS578" s="64"/>
      <c r="CT578" s="64"/>
      <c r="CU578" s="64"/>
      <c r="CV578" s="64"/>
      <c r="CW578" s="64"/>
      <c r="CX578" s="64"/>
      <c r="CY578" s="64"/>
      <c r="CZ578" s="64"/>
      <c r="DA578" s="64"/>
      <c r="DB578" s="64"/>
      <c r="DC578" s="64"/>
      <c r="DD578" s="64"/>
      <c r="DE578" s="64"/>
      <c r="DF578" s="64"/>
      <c r="DG578" s="64"/>
    </row>
    <row r="579" ht="20.25" customHeight="1">
      <c r="A579" s="96" t="s">
        <v>520</v>
      </c>
      <c r="B579" s="136" t="s">
        <v>107</v>
      </c>
      <c r="C579" s="136" t="s">
        <v>2914</v>
      </c>
      <c r="D579" s="64"/>
      <c r="E579" s="98" t="s">
        <v>3236</v>
      </c>
      <c r="F579" s="612" t="s">
        <v>3237</v>
      </c>
      <c r="G579" s="699" t="s">
        <v>2917</v>
      </c>
      <c r="H579" s="841">
        <v>45489.0</v>
      </c>
      <c r="I579" s="841">
        <v>45660.0</v>
      </c>
      <c r="J579" s="108" t="s">
        <v>3238</v>
      </c>
      <c r="K579" s="98"/>
      <c r="L579" s="699" t="s">
        <v>3239</v>
      </c>
      <c r="M579" s="699" t="s">
        <v>3210</v>
      </c>
      <c r="N579" s="98"/>
      <c r="O579" s="699" t="s">
        <v>3211</v>
      </c>
      <c r="P579" s="48" t="str">
        <f t="array" ref="P579">HYPERLINK(INDEX('File Links'!B:B, MATCH(O579, 'File Links'!C:C, 0)))
</f>
        <v>https://drive.google.com/file/d/1UoK9lGyVfG2aSVu9UX62d1KXmmkZeMsj/view?usp=drivesdk</v>
      </c>
      <c r="Q579" s="699" t="s">
        <v>3212</v>
      </c>
      <c r="R579" s="699" t="s">
        <v>3213</v>
      </c>
      <c r="S579" s="98"/>
      <c r="T579" s="98"/>
      <c r="U579" s="699" t="s">
        <v>3214</v>
      </c>
      <c r="V579" s="699" t="s">
        <v>2919</v>
      </c>
      <c r="W579" s="50" t="str">
        <f t="array" ref="W579">HYPERLINK(INDEX('File Links'!B:B, MATCH(U579, 'File Links'!C:C, 0)))
</f>
        <v>https://drive.google.com/file/d/1VIxHSn4IKzp_dw4xNX6RMxFlMFrB02Na/view?usp=drivesdk</v>
      </c>
      <c r="X579" s="64"/>
      <c r="Y579" s="699" t="s">
        <v>287</v>
      </c>
      <c r="Z579" s="108" t="s">
        <v>3240</v>
      </c>
      <c r="AA579" s="108" t="s">
        <v>3241</v>
      </c>
      <c r="AB579" s="98"/>
      <c r="AC579" s="108" t="s">
        <v>3242</v>
      </c>
      <c r="AD579" s="108">
        <v>15.0</v>
      </c>
      <c r="AE579" s="482">
        <v>96.0</v>
      </c>
      <c r="AF579" s="108">
        <v>-3.22</v>
      </c>
      <c r="AG579" s="108" t="s">
        <v>162</v>
      </c>
      <c r="AH579" s="108" t="s">
        <v>3243</v>
      </c>
      <c r="AI579" s="107">
        <v>0.001</v>
      </c>
      <c r="AJ579" s="99" t="s">
        <v>127</v>
      </c>
      <c r="AK579" s="99" t="s">
        <v>179</v>
      </c>
      <c r="AL579" s="98" t="s">
        <v>129</v>
      </c>
      <c r="AM579" s="101"/>
      <c r="AN579" s="108">
        <v>60.0</v>
      </c>
      <c r="AO579" s="108">
        <v>-0.15</v>
      </c>
      <c r="AP579" s="108" t="s">
        <v>162</v>
      </c>
      <c r="AQ579" s="108" t="s">
        <v>3244</v>
      </c>
      <c r="AR579" s="482">
        <v>0.607</v>
      </c>
      <c r="AS579" s="108" t="s">
        <v>164</v>
      </c>
      <c r="AT579" s="108" t="s">
        <v>179</v>
      </c>
      <c r="AU579" s="98" t="s">
        <v>129</v>
      </c>
      <c r="AV579" s="98"/>
      <c r="AW579" s="98" t="s">
        <v>134</v>
      </c>
      <c r="AX579" s="64"/>
      <c r="AY579" s="64"/>
      <c r="AZ579" s="64"/>
      <c r="BA579" s="64"/>
      <c r="BB579" s="64"/>
      <c r="BC579" s="64"/>
      <c r="BD579" s="64"/>
      <c r="BE579" s="64"/>
      <c r="BF579" s="64"/>
      <c r="BG579" s="64"/>
      <c r="BH579" s="64"/>
      <c r="BI579" s="64"/>
      <c r="BJ579" s="64"/>
      <c r="BK579" s="64"/>
      <c r="BL579" s="64"/>
      <c r="BM579" s="64"/>
      <c r="BN579" s="64"/>
      <c r="BO579" s="64"/>
      <c r="BP579" s="64"/>
      <c r="BQ579" s="64"/>
      <c r="BR579" s="64"/>
      <c r="BS579" s="64"/>
      <c r="BT579" s="64"/>
      <c r="BU579" s="64"/>
      <c r="BV579" s="64"/>
      <c r="BW579" s="64"/>
      <c r="BX579" s="64"/>
      <c r="BY579" s="64"/>
      <c r="BZ579" s="64"/>
      <c r="CA579" s="64"/>
      <c r="CB579" s="64"/>
      <c r="CC579" s="64"/>
      <c r="CD579" s="64"/>
      <c r="CE579" s="64"/>
      <c r="CF579" s="64"/>
      <c r="CG579" s="64"/>
      <c r="CH579" s="64"/>
      <c r="CI579" s="64"/>
      <c r="CJ579" s="64"/>
      <c r="CK579" s="64"/>
      <c r="CL579" s="64"/>
      <c r="CM579" s="64"/>
      <c r="CN579" s="64"/>
      <c r="CO579" s="64"/>
      <c r="CP579" s="64"/>
      <c r="CQ579" s="64"/>
      <c r="CR579" s="64"/>
      <c r="CS579" s="64"/>
      <c r="CT579" s="64"/>
      <c r="CU579" s="64"/>
      <c r="CV579" s="64"/>
      <c r="CW579" s="64"/>
      <c r="CX579" s="64"/>
      <c r="CY579" s="64"/>
      <c r="CZ579" s="64"/>
      <c r="DA579" s="64"/>
      <c r="DB579" s="64"/>
      <c r="DC579" s="64"/>
      <c r="DD579" s="64"/>
      <c r="DE579" s="64"/>
      <c r="DF579" s="64"/>
      <c r="DG579" s="64"/>
    </row>
    <row r="580" ht="20.25" customHeight="1">
      <c r="A580" s="96" t="s">
        <v>520</v>
      </c>
      <c r="B580" s="136" t="s">
        <v>107</v>
      </c>
      <c r="C580" s="136" t="s">
        <v>2914</v>
      </c>
      <c r="D580" s="64"/>
      <c r="E580" s="98" t="s">
        <v>3245</v>
      </c>
      <c r="F580" s="612" t="s">
        <v>3237</v>
      </c>
      <c r="G580" s="699" t="s">
        <v>2917</v>
      </c>
      <c r="H580" s="841">
        <v>45489.0</v>
      </c>
      <c r="I580" s="841">
        <v>45660.0</v>
      </c>
      <c r="J580" s="108" t="s">
        <v>3238</v>
      </c>
      <c r="K580" s="98"/>
      <c r="L580" s="699" t="s">
        <v>3239</v>
      </c>
      <c r="M580" s="699" t="s">
        <v>3210</v>
      </c>
      <c r="N580" s="98"/>
      <c r="O580" s="699" t="s">
        <v>3211</v>
      </c>
      <c r="P580" s="48" t="str">
        <f t="array" ref="P580">HYPERLINK(INDEX('File Links'!B:B, MATCH(O580, 'File Links'!C:C, 0)))
</f>
        <v>https://drive.google.com/file/d/1UoK9lGyVfG2aSVu9UX62d1KXmmkZeMsj/view?usp=drivesdk</v>
      </c>
      <c r="Q580" s="699" t="s">
        <v>3212</v>
      </c>
      <c r="R580" s="699" t="s">
        <v>3213</v>
      </c>
      <c r="S580" s="98"/>
      <c r="T580" s="98"/>
      <c r="U580" s="699" t="s">
        <v>3214</v>
      </c>
      <c r="V580" s="699" t="s">
        <v>2919</v>
      </c>
      <c r="W580" s="50" t="str">
        <f t="array" ref="W580">HYPERLINK(INDEX('File Links'!B:B, MATCH(U580, 'File Links'!C:C, 0)))
</f>
        <v>https://drive.google.com/file/d/1VIxHSn4IKzp_dw4xNX6RMxFlMFrB02Na/view?usp=drivesdk</v>
      </c>
      <c r="X580" s="64"/>
      <c r="Y580" s="699" t="s">
        <v>287</v>
      </c>
      <c r="Z580" s="108" t="s">
        <v>3240</v>
      </c>
      <c r="AA580" s="108" t="s">
        <v>3241</v>
      </c>
      <c r="AB580" s="98"/>
      <c r="AC580" s="108" t="s">
        <v>3246</v>
      </c>
      <c r="AD580" s="108">
        <v>17.0</v>
      </c>
      <c r="AE580" s="108">
        <v>96.0</v>
      </c>
      <c r="AF580" s="108">
        <v>7.13</v>
      </c>
      <c r="AG580" s="108" t="s">
        <v>722</v>
      </c>
      <c r="AH580" s="108" t="s">
        <v>3243</v>
      </c>
      <c r="AI580" s="107">
        <v>0.001</v>
      </c>
      <c r="AJ580" s="99" t="s">
        <v>127</v>
      </c>
      <c r="AK580" s="99" t="s">
        <v>179</v>
      </c>
      <c r="AL580" s="98" t="s">
        <v>129</v>
      </c>
      <c r="AM580" s="101"/>
      <c r="AN580" s="108">
        <v>60.0</v>
      </c>
      <c r="AO580" s="98"/>
      <c r="AP580" s="98"/>
      <c r="AQ580" s="98"/>
      <c r="AR580" s="98"/>
      <c r="AS580" s="98"/>
      <c r="AT580" s="98"/>
      <c r="AU580" s="98"/>
      <c r="AV580" s="98"/>
      <c r="AW580" s="98" t="s">
        <v>134</v>
      </c>
      <c r="AX580" s="64"/>
      <c r="AY580" s="64"/>
      <c r="AZ580" s="215"/>
      <c r="BA580" s="215"/>
      <c r="BB580" s="215"/>
      <c r="BC580" s="215"/>
      <c r="BD580" s="215"/>
      <c r="BE580" s="215"/>
      <c r="BF580" s="215"/>
      <c r="BG580" s="215"/>
      <c r="BH580" s="215"/>
      <c r="BI580" s="215"/>
      <c r="BJ580" s="215"/>
      <c r="BK580" s="215"/>
      <c r="BL580" s="215"/>
      <c r="BM580" s="215"/>
      <c r="BN580" s="215"/>
      <c r="BO580" s="215"/>
      <c r="BP580" s="215"/>
      <c r="BQ580" s="215"/>
      <c r="BR580" s="215"/>
      <c r="BS580" s="215"/>
      <c r="BT580" s="215"/>
      <c r="BU580" s="215"/>
      <c r="BV580" s="215"/>
      <c r="BW580" s="215"/>
      <c r="BX580" s="215"/>
      <c r="BY580" s="215"/>
      <c r="BZ580" s="215"/>
      <c r="CA580" s="215"/>
      <c r="CB580" s="215"/>
      <c r="CC580" s="215"/>
      <c r="CD580" s="215"/>
      <c r="CE580" s="215"/>
      <c r="CF580" s="215"/>
      <c r="CG580" s="215"/>
      <c r="CH580" s="215"/>
      <c r="CI580" s="215"/>
      <c r="CJ580" s="215"/>
      <c r="CK580" s="215"/>
      <c r="CL580" s="215"/>
      <c r="CM580" s="215"/>
      <c r="CN580" s="215"/>
      <c r="CO580" s="215"/>
      <c r="CP580" s="215"/>
      <c r="CQ580" s="215"/>
      <c r="CR580" s="215"/>
      <c r="CS580" s="215"/>
      <c r="CT580" s="215"/>
      <c r="CU580" s="215"/>
      <c r="CV580" s="215"/>
      <c r="CW580" s="215"/>
      <c r="CX580" s="215"/>
      <c r="CY580" s="215"/>
      <c r="CZ580" s="215"/>
      <c r="DA580" s="215"/>
      <c r="DB580" s="215"/>
      <c r="DC580" s="215"/>
      <c r="DD580" s="215"/>
      <c r="DE580" s="215"/>
      <c r="DF580" s="215"/>
      <c r="DG580" s="215"/>
    </row>
    <row r="581" ht="20.25" customHeight="1">
      <c r="A581" s="96" t="s">
        <v>520</v>
      </c>
      <c r="B581" s="136" t="s">
        <v>107</v>
      </c>
      <c r="C581" s="136" t="s">
        <v>2914</v>
      </c>
      <c r="D581" s="64"/>
      <c r="E581" s="98" t="s">
        <v>3247</v>
      </c>
      <c r="F581" s="612" t="s">
        <v>3237</v>
      </c>
      <c r="G581" s="699" t="s">
        <v>2917</v>
      </c>
      <c r="H581" s="841">
        <v>45489.0</v>
      </c>
      <c r="I581" s="841">
        <v>45660.0</v>
      </c>
      <c r="J581" s="108" t="s">
        <v>3238</v>
      </c>
      <c r="K581" s="98"/>
      <c r="L581" s="699" t="s">
        <v>3239</v>
      </c>
      <c r="M581" s="699" t="s">
        <v>3210</v>
      </c>
      <c r="N581" s="98"/>
      <c r="O581" s="699" t="s">
        <v>3211</v>
      </c>
      <c r="P581" s="48" t="str">
        <f t="array" ref="P581">HYPERLINK(INDEX('File Links'!B:B, MATCH(O581, 'File Links'!C:C, 0)))
</f>
        <v>https://drive.google.com/file/d/1UoK9lGyVfG2aSVu9UX62d1KXmmkZeMsj/view?usp=drivesdk</v>
      </c>
      <c r="Q581" s="699" t="s">
        <v>3212</v>
      </c>
      <c r="R581" s="699" t="s">
        <v>3213</v>
      </c>
      <c r="S581" s="98"/>
      <c r="T581" s="98"/>
      <c r="U581" s="699" t="s">
        <v>3214</v>
      </c>
      <c r="V581" s="699" t="s">
        <v>2919</v>
      </c>
      <c r="W581" s="50" t="str">
        <f t="array" ref="W581">HYPERLINK(INDEX('File Links'!B:B, MATCH(U581, 'File Links'!C:C, 0)))
</f>
        <v>https://drive.google.com/file/d/1VIxHSn4IKzp_dw4xNX6RMxFlMFrB02Na/view?usp=drivesdk</v>
      </c>
      <c r="X581" s="64"/>
      <c r="Y581" s="699" t="s">
        <v>287</v>
      </c>
      <c r="Z581" s="108" t="s">
        <v>3240</v>
      </c>
      <c r="AA581" s="108" t="s">
        <v>3241</v>
      </c>
      <c r="AB581" s="98"/>
      <c r="AC581" s="108" t="s">
        <v>3248</v>
      </c>
      <c r="AD581" s="108">
        <v>17.0</v>
      </c>
      <c r="AE581" s="108">
        <v>96.0</v>
      </c>
      <c r="AF581" s="108">
        <v>1.14</v>
      </c>
      <c r="AG581" s="108" t="s">
        <v>722</v>
      </c>
      <c r="AH581" s="108" t="s">
        <v>3243</v>
      </c>
      <c r="AI581" s="107">
        <v>0.001</v>
      </c>
      <c r="AJ581" s="99" t="s">
        <v>127</v>
      </c>
      <c r="AK581" s="99" t="s">
        <v>179</v>
      </c>
      <c r="AL581" s="98" t="s">
        <v>129</v>
      </c>
      <c r="AM581" s="101"/>
      <c r="AN581" s="108">
        <v>60.0</v>
      </c>
      <c r="AO581" s="98"/>
      <c r="AP581" s="98"/>
      <c r="AQ581" s="98"/>
      <c r="AR581" s="98"/>
      <c r="AS581" s="98"/>
      <c r="AT581" s="98"/>
      <c r="AU581" s="98"/>
      <c r="AV581" s="98"/>
      <c r="AW581" s="98" t="s">
        <v>134</v>
      </c>
      <c r="AX581" s="64"/>
      <c r="AY581" s="64"/>
      <c r="AZ581" s="763"/>
      <c r="BA581" s="763"/>
      <c r="BB581" s="763"/>
      <c r="BC581" s="763"/>
      <c r="BD581" s="763"/>
      <c r="BE581" s="763"/>
      <c r="BF581" s="763"/>
      <c r="BG581" s="763"/>
      <c r="BH581" s="763"/>
      <c r="BI581" s="763"/>
      <c r="BJ581" s="763"/>
      <c r="BK581" s="763"/>
      <c r="BL581" s="763"/>
      <c r="BM581" s="763"/>
      <c r="BN581" s="763"/>
      <c r="BO581" s="763"/>
      <c r="BP581" s="763"/>
      <c r="BQ581" s="763"/>
      <c r="BR581" s="763"/>
      <c r="BS581" s="763"/>
      <c r="BT581" s="763"/>
      <c r="BU581" s="763"/>
      <c r="BV581" s="763"/>
      <c r="BW581" s="763"/>
      <c r="BX581" s="763"/>
      <c r="BY581" s="763"/>
      <c r="BZ581" s="763"/>
      <c r="CA581" s="763"/>
      <c r="CB581" s="763"/>
      <c r="CC581" s="763"/>
      <c r="CD581" s="763"/>
      <c r="CE581" s="763"/>
      <c r="CF581" s="763"/>
      <c r="CG581" s="763"/>
      <c r="CH581" s="763"/>
      <c r="CI581" s="763"/>
      <c r="CJ581" s="763"/>
      <c r="CK581" s="763"/>
      <c r="CL581" s="763"/>
      <c r="CM581" s="763"/>
      <c r="CN581" s="763"/>
      <c r="CO581" s="763"/>
      <c r="CP581" s="763"/>
      <c r="CQ581" s="763"/>
      <c r="CR581" s="763"/>
      <c r="CS581" s="763"/>
      <c r="CT581" s="763"/>
      <c r="CU581" s="763"/>
      <c r="CV581" s="763"/>
      <c r="CW581" s="763"/>
      <c r="CX581" s="763"/>
      <c r="CY581" s="763"/>
      <c r="CZ581" s="763"/>
      <c r="DA581" s="763"/>
      <c r="DB581" s="763"/>
      <c r="DC581" s="763"/>
      <c r="DD581" s="763"/>
      <c r="DE581" s="763"/>
      <c r="DF581" s="763"/>
      <c r="DG581" s="763"/>
    </row>
    <row r="582" ht="20.25" customHeight="1">
      <c r="A582" s="96" t="s">
        <v>520</v>
      </c>
      <c r="B582" s="136" t="s">
        <v>107</v>
      </c>
      <c r="C582" s="136" t="s">
        <v>2914</v>
      </c>
      <c r="D582" s="64"/>
      <c r="E582" s="98" t="s">
        <v>3249</v>
      </c>
      <c r="F582" s="612" t="s">
        <v>3237</v>
      </c>
      <c r="G582" s="699" t="s">
        <v>2917</v>
      </c>
      <c r="H582" s="841">
        <v>45489.0</v>
      </c>
      <c r="I582" s="841">
        <v>45660.0</v>
      </c>
      <c r="J582" s="108" t="s">
        <v>3238</v>
      </c>
      <c r="K582" s="98"/>
      <c r="L582" s="699" t="s">
        <v>3239</v>
      </c>
      <c r="M582" s="699" t="s">
        <v>3210</v>
      </c>
      <c r="N582" s="98"/>
      <c r="O582" s="699" t="s">
        <v>3211</v>
      </c>
      <c r="P582" s="48" t="str">
        <f t="array" ref="P582">HYPERLINK(INDEX('File Links'!B:B, MATCH(O582, 'File Links'!C:C, 0)))
</f>
        <v>https://drive.google.com/file/d/1UoK9lGyVfG2aSVu9UX62d1KXmmkZeMsj/view?usp=drivesdk</v>
      </c>
      <c r="Q582" s="699" t="s">
        <v>3212</v>
      </c>
      <c r="R582" s="699" t="s">
        <v>3213</v>
      </c>
      <c r="S582" s="98"/>
      <c r="T582" s="98"/>
      <c r="U582" s="699" t="s">
        <v>3214</v>
      </c>
      <c r="V582" s="699" t="s">
        <v>2919</v>
      </c>
      <c r="W582" s="50" t="str">
        <f t="array" ref="W582">HYPERLINK(INDEX('File Links'!B:B, MATCH(U582, 'File Links'!C:C, 0)))
</f>
        <v>https://drive.google.com/file/d/1VIxHSn4IKzp_dw4xNX6RMxFlMFrB02Na/view?usp=drivesdk</v>
      </c>
      <c r="X582" s="64"/>
      <c r="Y582" s="699" t="s">
        <v>287</v>
      </c>
      <c r="Z582" s="108" t="s">
        <v>3240</v>
      </c>
      <c r="AA582" s="108" t="s">
        <v>3241</v>
      </c>
      <c r="AB582" s="98"/>
      <c r="AC582" s="108" t="s">
        <v>3250</v>
      </c>
      <c r="AD582" s="108">
        <v>17.0</v>
      </c>
      <c r="AE582" s="108">
        <v>96.0</v>
      </c>
      <c r="AF582" s="108">
        <v>2.16</v>
      </c>
      <c r="AG582" s="108" t="s">
        <v>722</v>
      </c>
      <c r="AH582" s="108" t="s">
        <v>3243</v>
      </c>
      <c r="AI582" s="107">
        <v>0.001</v>
      </c>
      <c r="AJ582" s="99" t="s">
        <v>127</v>
      </c>
      <c r="AK582" s="99" t="s">
        <v>179</v>
      </c>
      <c r="AL582" s="98" t="s">
        <v>129</v>
      </c>
      <c r="AM582" s="101"/>
      <c r="AN582" s="108">
        <v>60.0</v>
      </c>
      <c r="AO582" s="108">
        <v>-9.91</v>
      </c>
      <c r="AP582" s="108" t="s">
        <v>3251</v>
      </c>
      <c r="AQ582" s="108" t="s">
        <v>3244</v>
      </c>
      <c r="AR582" s="482">
        <v>0.001</v>
      </c>
      <c r="AS582" s="108" t="s">
        <v>127</v>
      </c>
      <c r="AT582" s="108" t="s">
        <v>179</v>
      </c>
      <c r="AU582" s="98" t="s">
        <v>129</v>
      </c>
      <c r="AV582" s="98"/>
      <c r="AW582" s="98" t="s">
        <v>134</v>
      </c>
      <c r="AX582" s="64"/>
      <c r="AY582" s="64"/>
      <c r="AZ582" s="215"/>
      <c r="BA582" s="215"/>
      <c r="BB582" s="215"/>
      <c r="BC582" s="215"/>
      <c r="BD582" s="215"/>
      <c r="BE582" s="215"/>
      <c r="BF582" s="215"/>
      <c r="BG582" s="215"/>
      <c r="BH582" s="215"/>
      <c r="BI582" s="215"/>
      <c r="BJ582" s="215"/>
      <c r="BK582" s="215"/>
      <c r="BL582" s="215"/>
      <c r="BM582" s="215"/>
      <c r="BN582" s="215"/>
      <c r="BO582" s="215"/>
      <c r="BP582" s="215"/>
      <c r="BQ582" s="215"/>
      <c r="BR582" s="215"/>
      <c r="BS582" s="215"/>
      <c r="BT582" s="215"/>
      <c r="BU582" s="215"/>
      <c r="BV582" s="215"/>
      <c r="BW582" s="215"/>
      <c r="BX582" s="215"/>
      <c r="BY582" s="215"/>
      <c r="BZ582" s="215"/>
      <c r="CA582" s="215"/>
      <c r="CB582" s="215"/>
      <c r="CC582" s="215"/>
      <c r="CD582" s="215"/>
      <c r="CE582" s="215"/>
      <c r="CF582" s="215"/>
      <c r="CG582" s="215"/>
      <c r="CH582" s="215"/>
      <c r="CI582" s="215"/>
      <c r="CJ582" s="215"/>
      <c r="CK582" s="215"/>
      <c r="CL582" s="215"/>
      <c r="CM582" s="215"/>
      <c r="CN582" s="215"/>
      <c r="CO582" s="215"/>
      <c r="CP582" s="215"/>
      <c r="CQ582" s="215"/>
      <c r="CR582" s="215"/>
      <c r="CS582" s="215"/>
      <c r="CT582" s="215"/>
      <c r="CU582" s="215"/>
      <c r="CV582" s="215"/>
      <c r="CW582" s="215"/>
      <c r="CX582" s="215"/>
      <c r="CY582" s="215"/>
      <c r="CZ582" s="215"/>
      <c r="DA582" s="215"/>
      <c r="DB582" s="215"/>
      <c r="DC582" s="215"/>
      <c r="DD582" s="215"/>
      <c r="DE582" s="215"/>
      <c r="DF582" s="215"/>
      <c r="DG582" s="215"/>
    </row>
    <row r="583" ht="20.25" customHeight="1">
      <c r="A583" s="96" t="s">
        <v>520</v>
      </c>
      <c r="B583" s="136" t="s">
        <v>107</v>
      </c>
      <c r="C583" s="136" t="s">
        <v>2914</v>
      </c>
      <c r="D583" s="64"/>
      <c r="E583" s="98" t="s">
        <v>3252</v>
      </c>
      <c r="F583" s="612" t="s">
        <v>3237</v>
      </c>
      <c r="G583" s="699" t="s">
        <v>2917</v>
      </c>
      <c r="H583" s="841">
        <v>45489.0</v>
      </c>
      <c r="I583" s="841">
        <v>45660.0</v>
      </c>
      <c r="J583" s="108" t="s">
        <v>3238</v>
      </c>
      <c r="K583" s="98"/>
      <c r="L583" s="699" t="s">
        <v>3239</v>
      </c>
      <c r="M583" s="699" t="s">
        <v>3210</v>
      </c>
      <c r="N583" s="98"/>
      <c r="O583" s="699" t="s">
        <v>3211</v>
      </c>
      <c r="P583" s="48" t="str">
        <f t="array" ref="P583">HYPERLINK(INDEX('File Links'!B:B, MATCH(O583, 'File Links'!C:C, 0)))
</f>
        <v>https://drive.google.com/file/d/1UoK9lGyVfG2aSVu9UX62d1KXmmkZeMsj/view?usp=drivesdk</v>
      </c>
      <c r="Q583" s="699" t="s">
        <v>3212</v>
      </c>
      <c r="R583" s="699" t="s">
        <v>3213</v>
      </c>
      <c r="S583" s="98"/>
      <c r="T583" s="98"/>
      <c r="U583" s="699" t="s">
        <v>3214</v>
      </c>
      <c r="V583" s="699" t="s">
        <v>2919</v>
      </c>
      <c r="W583" s="50" t="str">
        <f t="array" ref="W583">HYPERLINK(INDEX('File Links'!B:B, MATCH(U583, 'File Links'!C:C, 0)))
</f>
        <v>https://drive.google.com/file/d/1VIxHSn4IKzp_dw4xNX6RMxFlMFrB02Na/view?usp=drivesdk</v>
      </c>
      <c r="X583" s="64"/>
      <c r="Y583" s="699" t="s">
        <v>287</v>
      </c>
      <c r="Z583" s="108" t="s">
        <v>3240</v>
      </c>
      <c r="AA583" s="108" t="s">
        <v>3241</v>
      </c>
      <c r="AB583" s="98"/>
      <c r="AC583" s="108" t="s">
        <v>3250</v>
      </c>
      <c r="AD583" s="108">
        <v>17.0</v>
      </c>
      <c r="AE583" s="108">
        <v>96.0</v>
      </c>
      <c r="AF583" s="108">
        <v>1.59</v>
      </c>
      <c r="AG583" s="108" t="s">
        <v>722</v>
      </c>
      <c r="AH583" s="108" t="s">
        <v>3243</v>
      </c>
      <c r="AI583" s="107">
        <v>0.001</v>
      </c>
      <c r="AJ583" s="99" t="s">
        <v>127</v>
      </c>
      <c r="AK583" s="99" t="s">
        <v>179</v>
      </c>
      <c r="AL583" s="98" t="s">
        <v>129</v>
      </c>
      <c r="AM583" s="101"/>
      <c r="AN583" s="108">
        <v>60.0</v>
      </c>
      <c r="AO583" s="98"/>
      <c r="AP583" s="98"/>
      <c r="AQ583" s="98"/>
      <c r="AR583" s="98"/>
      <c r="AS583" s="98"/>
      <c r="AT583" s="98"/>
      <c r="AU583" s="98"/>
      <c r="AV583" s="98"/>
      <c r="AW583" s="98" t="s">
        <v>134</v>
      </c>
      <c r="AX583" s="64"/>
      <c r="AY583" s="64"/>
      <c r="AZ583" s="763"/>
      <c r="BA583" s="763"/>
      <c r="BB583" s="763"/>
      <c r="BC583" s="763"/>
      <c r="BD583" s="763"/>
      <c r="BE583" s="763"/>
      <c r="BF583" s="763"/>
      <c r="BG583" s="763"/>
      <c r="BH583" s="763"/>
      <c r="BI583" s="763"/>
      <c r="BJ583" s="763"/>
      <c r="BK583" s="763"/>
      <c r="BL583" s="763"/>
      <c r="BM583" s="763"/>
      <c r="BN583" s="763"/>
      <c r="BO583" s="763"/>
      <c r="BP583" s="763"/>
      <c r="BQ583" s="763"/>
      <c r="BR583" s="763"/>
      <c r="BS583" s="763"/>
      <c r="BT583" s="763"/>
      <c r="BU583" s="763"/>
      <c r="BV583" s="763"/>
      <c r="BW583" s="763"/>
      <c r="BX583" s="763"/>
      <c r="BY583" s="763"/>
      <c r="BZ583" s="763"/>
      <c r="CA583" s="763"/>
      <c r="CB583" s="763"/>
      <c r="CC583" s="763"/>
      <c r="CD583" s="763"/>
      <c r="CE583" s="763"/>
      <c r="CF583" s="763"/>
      <c r="CG583" s="763"/>
      <c r="CH583" s="763"/>
      <c r="CI583" s="763"/>
      <c r="CJ583" s="763"/>
      <c r="CK583" s="763"/>
      <c r="CL583" s="763"/>
      <c r="CM583" s="763"/>
      <c r="CN583" s="763"/>
      <c r="CO583" s="763"/>
      <c r="CP583" s="763"/>
      <c r="CQ583" s="763"/>
      <c r="CR583" s="763"/>
      <c r="CS583" s="763"/>
      <c r="CT583" s="763"/>
      <c r="CU583" s="763"/>
      <c r="CV583" s="763"/>
      <c r="CW583" s="763"/>
      <c r="CX583" s="763"/>
      <c r="CY583" s="763"/>
      <c r="CZ583" s="763"/>
      <c r="DA583" s="763"/>
      <c r="DB583" s="763"/>
      <c r="DC583" s="763"/>
      <c r="DD583" s="763"/>
      <c r="DE583" s="763"/>
      <c r="DF583" s="763"/>
      <c r="DG583" s="763"/>
    </row>
    <row r="584" ht="20.25" customHeight="1">
      <c r="A584" s="40" t="s">
        <v>279</v>
      </c>
      <c r="B584" s="40" t="s">
        <v>107</v>
      </c>
      <c r="C584" s="40" t="s">
        <v>2889</v>
      </c>
      <c r="D584" s="58"/>
      <c r="E584" s="41" t="s">
        <v>3253</v>
      </c>
      <c r="F584" s="40" t="s">
        <v>3254</v>
      </c>
      <c r="G584" s="40" t="s">
        <v>2892</v>
      </c>
      <c r="H584" s="56">
        <v>45489.0</v>
      </c>
      <c r="I584" s="57">
        <v>45636.0</v>
      </c>
      <c r="J584" s="40" t="s">
        <v>3255</v>
      </c>
      <c r="K584" s="58"/>
      <c r="L584" s="40" t="s">
        <v>3256</v>
      </c>
      <c r="M584" s="40" t="s">
        <v>3257</v>
      </c>
      <c r="N584" s="58"/>
      <c r="O584" s="59" t="s">
        <v>3258</v>
      </c>
      <c r="P584" s="48" t="str">
        <f t="array" ref="P584">HYPERLINK(INDEX('File Links'!B:B, MATCH(O584, 'File Links'!C:C, 0)))
</f>
        <v>https://drive.google.com/file/d/19vVZNnZqbHViA7ik9IZlctpt3T8O8e-i/view?usp=drivesdk</v>
      </c>
      <c r="Q584" s="40" t="s">
        <v>3259</v>
      </c>
      <c r="R584" s="40" t="s">
        <v>3260</v>
      </c>
      <c r="S584" s="58"/>
      <c r="T584" s="40"/>
      <c r="U584" s="59" t="s">
        <v>3261</v>
      </c>
      <c r="V584" s="58"/>
      <c r="W584" s="50" t="str">
        <f t="array" ref="W584">HYPERLINK(INDEX('File Links'!B:B, MATCH(U584, 'File Links'!C:C, 0)))
</f>
        <v>https://drive.google.com/file/d/1lBAeCGIckBPanOLBGZwhA7XjuahS_0Dx/view?usp=drivesdk</v>
      </c>
      <c r="X584" s="58"/>
      <c r="Y584" s="58"/>
      <c r="Z584" s="58"/>
      <c r="AA584" s="58"/>
      <c r="AB584" s="58"/>
      <c r="AC584" s="58"/>
      <c r="AD584" s="58"/>
      <c r="AE584" s="58"/>
      <c r="AF584" s="58"/>
      <c r="AG584" s="40"/>
      <c r="AH584" s="58"/>
      <c r="AI584" s="58"/>
      <c r="AJ584" s="25"/>
      <c r="AK584" s="58"/>
      <c r="AL584" s="58"/>
      <c r="AM584" s="58"/>
      <c r="AN584" s="58"/>
      <c r="AO584" s="58"/>
      <c r="AP584" s="58"/>
      <c r="AQ584" s="58"/>
      <c r="AR584" s="58"/>
      <c r="AS584" s="25"/>
      <c r="AT584" s="25"/>
      <c r="AU584" s="60"/>
      <c r="AW584" s="25"/>
      <c r="AX584" s="58"/>
      <c r="AZ584" s="763"/>
      <c r="BA584" s="763"/>
      <c r="BB584" s="763"/>
      <c r="BC584" s="763"/>
      <c r="BD584" s="763"/>
      <c r="BE584" s="763"/>
      <c r="BF584" s="763"/>
      <c r="BG584" s="763"/>
      <c r="BH584" s="763"/>
      <c r="BI584" s="763"/>
      <c r="BJ584" s="763"/>
      <c r="BK584" s="763"/>
      <c r="BL584" s="763"/>
      <c r="BM584" s="763"/>
      <c r="BN584" s="763"/>
      <c r="BO584" s="763"/>
      <c r="BP584" s="763"/>
      <c r="BQ584" s="763"/>
      <c r="BR584" s="763"/>
      <c r="BS584" s="763"/>
      <c r="BT584" s="763"/>
      <c r="BU584" s="763"/>
      <c r="BV584" s="763"/>
      <c r="BW584" s="763"/>
      <c r="BX584" s="763"/>
      <c r="BY584" s="763"/>
      <c r="BZ584" s="763"/>
      <c r="CA584" s="763"/>
      <c r="CB584" s="763"/>
      <c r="CC584" s="763"/>
      <c r="CD584" s="763"/>
      <c r="CE584" s="763"/>
      <c r="CF584" s="763"/>
      <c r="CG584" s="763"/>
      <c r="CH584" s="763"/>
      <c r="CI584" s="763"/>
      <c r="CJ584" s="763"/>
      <c r="CK584" s="763"/>
      <c r="CL584" s="763"/>
      <c r="CM584" s="763"/>
      <c r="CN584" s="763"/>
      <c r="CO584" s="763"/>
      <c r="CP584" s="763"/>
      <c r="CQ584" s="763"/>
      <c r="CR584" s="763"/>
      <c r="CS584" s="763"/>
      <c r="CT584" s="763"/>
      <c r="CU584" s="763"/>
      <c r="CV584" s="763"/>
      <c r="CW584" s="763"/>
      <c r="CX584" s="763"/>
      <c r="CY584" s="763"/>
      <c r="CZ584" s="763"/>
      <c r="DA584" s="763"/>
      <c r="DB584" s="763"/>
      <c r="DC584" s="763"/>
      <c r="DD584" s="763"/>
      <c r="DE584" s="763"/>
      <c r="DF584" s="763"/>
      <c r="DG584" s="763"/>
    </row>
    <row r="585" ht="20.25" customHeight="1">
      <c r="A585" s="136" t="s">
        <v>520</v>
      </c>
      <c r="B585" s="136" t="s">
        <v>107</v>
      </c>
      <c r="C585" s="136" t="s">
        <v>1009</v>
      </c>
      <c r="D585" s="64"/>
      <c r="E585" s="147" t="s">
        <v>3262</v>
      </c>
      <c r="F585" s="52" t="s">
        <v>3263</v>
      </c>
      <c r="G585" s="52" t="s">
        <v>135</v>
      </c>
      <c r="H585" s="140">
        <v>45489.0</v>
      </c>
      <c r="I585" s="409">
        <v>45636.0</v>
      </c>
      <c r="J585" s="55"/>
      <c r="K585" s="55"/>
      <c r="L585" s="52" t="s">
        <v>3264</v>
      </c>
      <c r="M585" s="52" t="s">
        <v>3265</v>
      </c>
      <c r="N585" s="355">
        <v>1.0</v>
      </c>
      <c r="O585" s="353" t="s">
        <v>3266</v>
      </c>
      <c r="P585" s="48" t="str">
        <f t="array" ref="P585">HYPERLINK(INDEX('File Links'!B:B, MATCH(O585, 'File Links'!C:C, 0)))
</f>
        <v>https://drive.google.com/file/d/1-cST4Xer2glOXMG5eTrJVkRfofzfqFTW/view?usp=drivesdk</v>
      </c>
      <c r="Q585" s="52" t="s">
        <v>3267</v>
      </c>
      <c r="R585" s="52" t="s">
        <v>3268</v>
      </c>
      <c r="S585" s="55"/>
      <c r="T585" s="646">
        <v>1.0</v>
      </c>
      <c r="U585" s="354" t="s">
        <v>3269</v>
      </c>
      <c r="V585" s="52" t="s">
        <v>202</v>
      </c>
      <c r="W585" s="50" t="str">
        <f t="array" ref="W585">HYPERLINK(INDEX('File Links'!B:B, MATCH(U585, 'File Links'!C:C, 0)))
</f>
        <v>https://drive.google.com/file/d/1JQppLKOXxrmIyxFhDZtY85ZoIv_TVdh_/view?usp=drivesdk</v>
      </c>
      <c r="X585" s="55"/>
      <c r="Y585" s="52" t="s">
        <v>139</v>
      </c>
      <c r="Z585" s="52" t="s">
        <v>3270</v>
      </c>
      <c r="AA585" s="52" t="s">
        <v>3271</v>
      </c>
      <c r="AB585" s="52" t="s">
        <v>3272</v>
      </c>
      <c r="AC585" s="52" t="s">
        <v>3273</v>
      </c>
      <c r="AD585" s="355">
        <v>3.0</v>
      </c>
      <c r="AE585" s="355">
        <v>41.0</v>
      </c>
      <c r="AF585" s="355">
        <v>0.6</v>
      </c>
      <c r="AG585" s="330" t="s">
        <v>3274</v>
      </c>
      <c r="AH585" s="55"/>
      <c r="AI585" s="55"/>
      <c r="AJ585" s="60"/>
      <c r="AK585" s="55"/>
      <c r="AL585" s="55"/>
      <c r="AM585" s="55"/>
      <c r="AN585" s="355">
        <v>182.0</v>
      </c>
      <c r="AO585" s="355">
        <v>0.45</v>
      </c>
      <c r="AP585" s="52" t="s">
        <v>3274</v>
      </c>
      <c r="AQ585" s="355">
        <v>19.0</v>
      </c>
      <c r="AR585" s="55"/>
      <c r="AS585" s="60"/>
      <c r="AT585" s="147" t="s">
        <v>179</v>
      </c>
      <c r="AU585" s="60" t="s">
        <v>129</v>
      </c>
      <c r="AV585" s="453" t="s">
        <v>3275</v>
      </c>
      <c r="AW585" s="531" t="s">
        <v>134</v>
      </c>
      <c r="AX585" s="55"/>
    </row>
    <row r="586" ht="20.25" customHeight="1">
      <c r="A586" s="136" t="s">
        <v>520</v>
      </c>
      <c r="B586" s="136" t="s">
        <v>107</v>
      </c>
      <c r="C586" s="136" t="s">
        <v>1009</v>
      </c>
      <c r="D586" s="64"/>
      <c r="E586" s="147" t="s">
        <v>3262</v>
      </c>
      <c r="F586" s="52" t="s">
        <v>3276</v>
      </c>
      <c r="G586" s="52" t="s">
        <v>135</v>
      </c>
      <c r="H586" s="140">
        <v>45489.0</v>
      </c>
      <c r="I586" s="409">
        <v>45636.0</v>
      </c>
      <c r="J586" s="55"/>
      <c r="K586" s="55"/>
      <c r="L586" s="52" t="s">
        <v>3264</v>
      </c>
      <c r="M586" s="52" t="s">
        <v>3265</v>
      </c>
      <c r="N586" s="355">
        <v>1.0</v>
      </c>
      <c r="O586" s="353" t="s">
        <v>3266</v>
      </c>
      <c r="P586" s="48" t="str">
        <f t="array" ref="P586">HYPERLINK(INDEX('File Links'!B:B, MATCH(O586, 'File Links'!C:C, 0)))
</f>
        <v>https://drive.google.com/file/d/1-cST4Xer2glOXMG5eTrJVkRfofzfqFTW/view?usp=drivesdk</v>
      </c>
      <c r="Q586" s="52" t="s">
        <v>3267</v>
      </c>
      <c r="R586" s="52" t="s">
        <v>3268</v>
      </c>
      <c r="S586" s="55"/>
      <c r="T586" s="329"/>
      <c r="U586" s="354" t="s">
        <v>3269</v>
      </c>
      <c r="V586" s="52" t="s">
        <v>202</v>
      </c>
      <c r="W586" s="50" t="str">
        <f t="array" ref="W586">HYPERLINK(INDEX('File Links'!B:B, MATCH(U586, 'File Links'!C:C, 0)))
</f>
        <v>https://drive.google.com/file/d/1JQppLKOXxrmIyxFhDZtY85ZoIv_TVdh_/view?usp=drivesdk</v>
      </c>
      <c r="X586" s="55"/>
      <c r="Y586" s="52" t="s">
        <v>139</v>
      </c>
      <c r="Z586" s="52" t="s">
        <v>3270</v>
      </c>
      <c r="AA586" s="52" t="s">
        <v>3271</v>
      </c>
      <c r="AB586" s="52" t="s">
        <v>3277</v>
      </c>
      <c r="AC586" s="52" t="s">
        <v>3278</v>
      </c>
      <c r="AD586" s="355">
        <v>3.0</v>
      </c>
      <c r="AE586" s="355">
        <v>40.0</v>
      </c>
      <c r="AF586" s="355">
        <v>0.5</v>
      </c>
      <c r="AG586" s="330" t="s">
        <v>3274</v>
      </c>
      <c r="AH586" s="55"/>
      <c r="AI586" s="55"/>
      <c r="AJ586" s="60"/>
      <c r="AK586" s="55"/>
      <c r="AL586" s="55"/>
      <c r="AM586" s="55"/>
      <c r="AN586" s="355">
        <v>182.0</v>
      </c>
      <c r="AO586" s="355">
        <v>0.61</v>
      </c>
      <c r="AP586" s="52" t="s">
        <v>3274</v>
      </c>
      <c r="AQ586" s="355">
        <v>19.0</v>
      </c>
      <c r="AR586" s="55"/>
      <c r="AS586" s="60"/>
      <c r="AT586" s="147" t="s">
        <v>179</v>
      </c>
      <c r="AU586" s="60" t="s">
        <v>129</v>
      </c>
      <c r="AV586" s="453" t="s">
        <v>3275</v>
      </c>
      <c r="AW586" s="531" t="s">
        <v>134</v>
      </c>
      <c r="AX586" s="55"/>
    </row>
    <row r="587" ht="20.25" customHeight="1">
      <c r="A587" s="136" t="s">
        <v>520</v>
      </c>
      <c r="B587" s="136" t="s">
        <v>107</v>
      </c>
      <c r="C587" s="136" t="s">
        <v>1009</v>
      </c>
      <c r="D587" s="64"/>
      <c r="E587" s="147" t="s">
        <v>3262</v>
      </c>
      <c r="F587" s="52" t="s">
        <v>3279</v>
      </c>
      <c r="G587" s="52" t="s">
        <v>135</v>
      </c>
      <c r="H587" s="140">
        <v>45489.0</v>
      </c>
      <c r="I587" s="409">
        <v>45636.0</v>
      </c>
      <c r="J587" s="55"/>
      <c r="K587" s="55"/>
      <c r="L587" s="52" t="s">
        <v>3264</v>
      </c>
      <c r="M587" s="52" t="s">
        <v>3265</v>
      </c>
      <c r="N587" s="355">
        <v>1.0</v>
      </c>
      <c r="O587" s="353" t="s">
        <v>3266</v>
      </c>
      <c r="P587" s="48" t="str">
        <f t="array" ref="P587">HYPERLINK(INDEX('File Links'!B:B, MATCH(O587, 'File Links'!C:C, 0)))
</f>
        <v>https://drive.google.com/file/d/1-cST4Xer2glOXMG5eTrJVkRfofzfqFTW/view?usp=drivesdk</v>
      </c>
      <c r="Q587" s="52" t="s">
        <v>3267</v>
      </c>
      <c r="R587" s="52" t="s">
        <v>3268</v>
      </c>
      <c r="S587" s="55"/>
      <c r="T587" s="646">
        <v>1.0</v>
      </c>
      <c r="U587" s="354" t="s">
        <v>3269</v>
      </c>
      <c r="V587" s="52" t="s">
        <v>202</v>
      </c>
      <c r="W587" s="50" t="str">
        <f t="array" ref="W587">HYPERLINK(INDEX('File Links'!B:B, MATCH(U587, 'File Links'!C:C, 0)))
</f>
        <v>https://drive.google.com/file/d/1JQppLKOXxrmIyxFhDZtY85ZoIv_TVdh_/view?usp=drivesdk</v>
      </c>
      <c r="X587" s="55"/>
      <c r="Y587" s="52" t="s">
        <v>139</v>
      </c>
      <c r="Z587" s="52" t="s">
        <v>3270</v>
      </c>
      <c r="AA587" s="52" t="s">
        <v>3271</v>
      </c>
      <c r="AB587" s="52" t="s">
        <v>3280</v>
      </c>
      <c r="AC587" s="52" t="s">
        <v>3281</v>
      </c>
      <c r="AD587" s="355">
        <v>3.0</v>
      </c>
      <c r="AE587" s="355">
        <v>40.0</v>
      </c>
      <c r="AF587" s="355">
        <v>0.6</v>
      </c>
      <c r="AG587" s="330" t="s">
        <v>3274</v>
      </c>
      <c r="AH587" s="55"/>
      <c r="AI587" s="55"/>
      <c r="AJ587" s="60"/>
      <c r="AK587" s="55"/>
      <c r="AL587" s="55"/>
      <c r="AM587" s="55"/>
      <c r="AN587" s="355">
        <v>182.0</v>
      </c>
      <c r="AO587" s="355">
        <v>0.61</v>
      </c>
      <c r="AP587" s="52" t="s">
        <v>3274</v>
      </c>
      <c r="AQ587" s="355">
        <v>19.0</v>
      </c>
      <c r="AR587" s="55"/>
      <c r="AS587" s="60"/>
      <c r="AT587" s="147" t="s">
        <v>179</v>
      </c>
      <c r="AU587" s="60" t="s">
        <v>129</v>
      </c>
      <c r="AV587" s="453" t="s">
        <v>3275</v>
      </c>
      <c r="AW587" s="531" t="s">
        <v>134</v>
      </c>
      <c r="AX587" s="55"/>
    </row>
    <row r="588" ht="20.25" customHeight="1">
      <c r="A588" s="136" t="s">
        <v>520</v>
      </c>
      <c r="B588" s="136" t="s">
        <v>107</v>
      </c>
      <c r="C588" s="136" t="s">
        <v>1009</v>
      </c>
      <c r="D588" s="64"/>
      <c r="E588" s="147" t="s">
        <v>3262</v>
      </c>
      <c r="F588" s="52" t="s">
        <v>3282</v>
      </c>
      <c r="G588" s="52" t="s">
        <v>135</v>
      </c>
      <c r="H588" s="140">
        <v>45489.0</v>
      </c>
      <c r="I588" s="409">
        <v>45637.0</v>
      </c>
      <c r="J588" s="55"/>
      <c r="K588" s="55"/>
      <c r="L588" s="52" t="s">
        <v>3264</v>
      </c>
      <c r="M588" s="52" t="s">
        <v>3265</v>
      </c>
      <c r="N588" s="355">
        <v>1.0</v>
      </c>
      <c r="O588" s="353" t="s">
        <v>3266</v>
      </c>
      <c r="P588" s="48" t="str">
        <f t="array" ref="P588">HYPERLINK(INDEX('File Links'!B:B, MATCH(O588, 'File Links'!C:C, 0)))
</f>
        <v>https://drive.google.com/file/d/1-cST4Xer2glOXMG5eTrJVkRfofzfqFTW/view?usp=drivesdk</v>
      </c>
      <c r="Q588" s="52" t="s">
        <v>3267</v>
      </c>
      <c r="R588" s="52" t="s">
        <v>3268</v>
      </c>
      <c r="S588" s="55"/>
      <c r="T588" s="646">
        <v>1.0</v>
      </c>
      <c r="U588" s="354" t="s">
        <v>3269</v>
      </c>
      <c r="V588" s="52" t="s">
        <v>202</v>
      </c>
      <c r="W588" s="50" t="str">
        <f t="array" ref="W588">HYPERLINK(INDEX('File Links'!B:B, MATCH(U588, 'File Links'!C:C, 0)))
</f>
        <v>https://drive.google.com/file/d/1JQppLKOXxrmIyxFhDZtY85ZoIv_TVdh_/view?usp=drivesdk</v>
      </c>
      <c r="X588" s="55"/>
      <c r="Y588" s="52" t="s">
        <v>139</v>
      </c>
      <c r="Z588" s="52" t="s">
        <v>3270</v>
      </c>
      <c r="AA588" s="52" t="s">
        <v>3271</v>
      </c>
      <c r="AB588" s="52" t="s">
        <v>3272</v>
      </c>
      <c r="AC588" s="52" t="s">
        <v>3273</v>
      </c>
      <c r="AD588" s="355">
        <v>3.0</v>
      </c>
      <c r="AE588" s="355">
        <v>41.0</v>
      </c>
      <c r="AF588" s="355">
        <v>0.6</v>
      </c>
      <c r="AG588" s="330" t="s">
        <v>3274</v>
      </c>
      <c r="AH588" s="55"/>
      <c r="AI588" s="55"/>
      <c r="AJ588" s="60"/>
      <c r="AK588" s="55"/>
      <c r="AL588" s="55"/>
      <c r="AM588" s="55"/>
      <c r="AN588" s="355">
        <v>182.0</v>
      </c>
      <c r="AO588" s="355">
        <v>0.43</v>
      </c>
      <c r="AP588" s="55" t="s">
        <v>3283</v>
      </c>
      <c r="AQ588" s="355">
        <v>20.0</v>
      </c>
      <c r="AR588" s="55"/>
      <c r="AS588" s="60"/>
      <c r="AT588" s="147" t="s">
        <v>179</v>
      </c>
      <c r="AU588" s="60" t="s">
        <v>129</v>
      </c>
      <c r="AV588" s="453" t="s">
        <v>3275</v>
      </c>
      <c r="AW588" s="531" t="s">
        <v>142</v>
      </c>
      <c r="AX588" s="55"/>
    </row>
    <row r="589" ht="20.25" customHeight="1">
      <c r="A589" s="136" t="s">
        <v>520</v>
      </c>
      <c r="B589" s="136" t="s">
        <v>107</v>
      </c>
      <c r="C589" s="136" t="s">
        <v>1009</v>
      </c>
      <c r="D589" s="64"/>
      <c r="E589" s="147" t="s">
        <v>3262</v>
      </c>
      <c r="F589" s="52" t="s">
        <v>3284</v>
      </c>
      <c r="G589" s="52" t="s">
        <v>135</v>
      </c>
      <c r="H589" s="140">
        <v>45489.0</v>
      </c>
      <c r="I589" s="409">
        <v>45637.0</v>
      </c>
      <c r="J589" s="55"/>
      <c r="K589" s="55"/>
      <c r="L589" s="52" t="s">
        <v>3264</v>
      </c>
      <c r="M589" s="52" t="s">
        <v>3265</v>
      </c>
      <c r="N589" s="355">
        <v>1.0</v>
      </c>
      <c r="O589" s="353" t="s">
        <v>3266</v>
      </c>
      <c r="P589" s="48" t="str">
        <f t="array" ref="P589">HYPERLINK(INDEX('File Links'!B:B, MATCH(O589, 'File Links'!C:C, 0)))
</f>
        <v>https://drive.google.com/file/d/1-cST4Xer2glOXMG5eTrJVkRfofzfqFTW/view?usp=drivesdk</v>
      </c>
      <c r="Q589" s="52" t="s">
        <v>3267</v>
      </c>
      <c r="R589" s="52" t="s">
        <v>3268</v>
      </c>
      <c r="S589" s="55"/>
      <c r="T589" s="646">
        <v>1.0</v>
      </c>
      <c r="U589" s="354" t="s">
        <v>3269</v>
      </c>
      <c r="V589" s="52" t="s">
        <v>202</v>
      </c>
      <c r="W589" s="50" t="str">
        <f t="array" ref="W589">HYPERLINK(INDEX('File Links'!B:B, MATCH(U589, 'File Links'!C:C, 0)))
</f>
        <v>https://drive.google.com/file/d/1JQppLKOXxrmIyxFhDZtY85ZoIv_TVdh_/view?usp=drivesdk</v>
      </c>
      <c r="X589" s="55"/>
      <c r="Y589" s="52" t="s">
        <v>139</v>
      </c>
      <c r="Z589" s="52" t="s">
        <v>3270</v>
      </c>
      <c r="AA589" s="52" t="s">
        <v>3271</v>
      </c>
      <c r="AB589" s="52" t="s">
        <v>3277</v>
      </c>
      <c r="AC589" s="52" t="s">
        <v>3278</v>
      </c>
      <c r="AD589" s="355">
        <v>3.0</v>
      </c>
      <c r="AE589" s="355">
        <v>40.0</v>
      </c>
      <c r="AF589" s="355">
        <v>0.5</v>
      </c>
      <c r="AG589" s="330" t="s">
        <v>3274</v>
      </c>
      <c r="AH589" s="55"/>
      <c r="AI589" s="55"/>
      <c r="AJ589" s="60"/>
      <c r="AK589" s="55"/>
      <c r="AL589" s="55"/>
      <c r="AM589" s="55"/>
      <c r="AN589" s="355">
        <v>182.0</v>
      </c>
      <c r="AO589" s="355">
        <v>0.64</v>
      </c>
      <c r="AP589" s="55" t="s">
        <v>3283</v>
      </c>
      <c r="AQ589" s="355">
        <v>20.0</v>
      </c>
      <c r="AR589" s="55"/>
      <c r="AS589" s="60"/>
      <c r="AT589" s="147" t="s">
        <v>179</v>
      </c>
      <c r="AU589" s="60" t="s">
        <v>129</v>
      </c>
      <c r="AV589" s="453" t="s">
        <v>3275</v>
      </c>
      <c r="AW589" s="531" t="s">
        <v>142</v>
      </c>
      <c r="AX589" s="55"/>
    </row>
    <row r="590" ht="20.25" customHeight="1">
      <c r="A590" s="136" t="s">
        <v>520</v>
      </c>
      <c r="B590" s="136" t="s">
        <v>107</v>
      </c>
      <c r="C590" s="136" t="s">
        <v>1009</v>
      </c>
      <c r="D590" s="64"/>
      <c r="E590" s="147" t="s">
        <v>3262</v>
      </c>
      <c r="F590" s="52" t="s">
        <v>3285</v>
      </c>
      <c r="G590" s="52" t="s">
        <v>135</v>
      </c>
      <c r="H590" s="140">
        <v>45489.0</v>
      </c>
      <c r="I590" s="409">
        <v>45637.0</v>
      </c>
      <c r="J590" s="55"/>
      <c r="K590" s="55"/>
      <c r="L590" s="52" t="s">
        <v>3264</v>
      </c>
      <c r="M590" s="52" t="s">
        <v>3265</v>
      </c>
      <c r="N590" s="355">
        <v>1.0</v>
      </c>
      <c r="O590" s="353" t="s">
        <v>3266</v>
      </c>
      <c r="P590" s="48" t="str">
        <f t="array" ref="P590">HYPERLINK(INDEX('File Links'!B:B, MATCH(O590, 'File Links'!C:C, 0)))
</f>
        <v>https://drive.google.com/file/d/1-cST4Xer2glOXMG5eTrJVkRfofzfqFTW/view?usp=drivesdk</v>
      </c>
      <c r="Q590" s="52" t="s">
        <v>3267</v>
      </c>
      <c r="R590" s="52" t="s">
        <v>3268</v>
      </c>
      <c r="S590" s="55"/>
      <c r="T590" s="646">
        <v>1.0</v>
      </c>
      <c r="U590" s="354" t="s">
        <v>3269</v>
      </c>
      <c r="V590" s="52" t="s">
        <v>202</v>
      </c>
      <c r="W590" s="50" t="str">
        <f t="array" ref="W590">HYPERLINK(INDEX('File Links'!B:B, MATCH(U590, 'File Links'!C:C, 0)))
</f>
        <v>https://drive.google.com/file/d/1JQppLKOXxrmIyxFhDZtY85ZoIv_TVdh_/view?usp=drivesdk</v>
      </c>
      <c r="X590" s="55"/>
      <c r="Y590" s="52" t="s">
        <v>139</v>
      </c>
      <c r="Z590" s="52" t="s">
        <v>3270</v>
      </c>
      <c r="AA590" s="52" t="s">
        <v>3271</v>
      </c>
      <c r="AB590" s="52" t="s">
        <v>3280</v>
      </c>
      <c r="AC590" s="52" t="s">
        <v>3281</v>
      </c>
      <c r="AD590" s="355">
        <v>3.0</v>
      </c>
      <c r="AE590" s="355">
        <v>40.0</v>
      </c>
      <c r="AF590" s="355">
        <v>0.6</v>
      </c>
      <c r="AG590" s="330" t="s">
        <v>3274</v>
      </c>
      <c r="AH590" s="55"/>
      <c r="AI590" s="55"/>
      <c r="AJ590" s="60"/>
      <c r="AK590" s="55"/>
      <c r="AL590" s="55"/>
      <c r="AM590" s="55"/>
      <c r="AN590" s="355">
        <v>182.0</v>
      </c>
      <c r="AO590" s="355">
        <v>0.61</v>
      </c>
      <c r="AP590" s="55" t="s">
        <v>3283</v>
      </c>
      <c r="AQ590" s="355">
        <v>20.0</v>
      </c>
      <c r="AR590" s="55"/>
      <c r="AS590" s="60"/>
      <c r="AT590" s="147" t="s">
        <v>179</v>
      </c>
      <c r="AU590" s="60" t="s">
        <v>129</v>
      </c>
      <c r="AV590" s="453" t="s">
        <v>3275</v>
      </c>
      <c r="AW590" s="531" t="s">
        <v>142</v>
      </c>
      <c r="AX590" s="55"/>
    </row>
    <row r="591" ht="20.25" customHeight="1">
      <c r="A591" s="136" t="s">
        <v>520</v>
      </c>
      <c r="B591" s="136" t="s">
        <v>107</v>
      </c>
      <c r="C591" s="136" t="s">
        <v>214</v>
      </c>
      <c r="D591" s="64"/>
      <c r="E591" s="255" t="s">
        <v>3262</v>
      </c>
      <c r="F591" s="52" t="s">
        <v>3263</v>
      </c>
      <c r="G591" s="147" t="s">
        <v>214</v>
      </c>
      <c r="H591" s="140">
        <v>45684.0</v>
      </c>
      <c r="I591" s="140">
        <v>45684.0</v>
      </c>
      <c r="J591" s="147" t="s">
        <v>1116</v>
      </c>
      <c r="K591" s="60"/>
      <c r="L591" s="147" t="s">
        <v>3264</v>
      </c>
      <c r="M591" s="147" t="s">
        <v>3265</v>
      </c>
      <c r="N591" s="60"/>
      <c r="O591" s="145" t="s">
        <v>3266</v>
      </c>
      <c r="P591" s="48" t="str">
        <f t="array" ref="P591">HYPERLINK(INDEX('File Links'!B:B, MATCH(O591, 'File Links'!C:C, 0)))
</f>
        <v>https://drive.google.com/file/d/1-cST4Xer2glOXMG5eTrJVkRfofzfqFTW/view?usp=drivesdk</v>
      </c>
      <c r="Q591" s="147" t="s">
        <v>3267</v>
      </c>
      <c r="R591" s="147" t="s">
        <v>3268</v>
      </c>
      <c r="S591" s="60"/>
      <c r="T591" s="60"/>
      <c r="U591" s="145" t="s">
        <v>3269</v>
      </c>
      <c r="V591" s="147" t="s">
        <v>676</v>
      </c>
      <c r="W591" s="50" t="str">
        <f t="array" ref="W591">HYPERLINK(INDEX('File Links'!B:B, MATCH(U591, 'File Links'!C:C, 0)))
</f>
        <v>https://drive.google.com/file/d/1JQppLKOXxrmIyxFhDZtY85ZoIv_TVdh_/view?usp=drivesdk</v>
      </c>
      <c r="X591" s="60"/>
      <c r="Y591" s="147" t="s">
        <v>139</v>
      </c>
      <c r="Z591" s="147" t="s">
        <v>3286</v>
      </c>
      <c r="AA591" s="147" t="s">
        <v>3271</v>
      </c>
      <c r="AB591" s="147" t="s">
        <v>3287</v>
      </c>
      <c r="AC591" s="147" t="s">
        <v>3288</v>
      </c>
      <c r="AD591" s="144">
        <v>1223.0</v>
      </c>
      <c r="AE591" s="144">
        <v>43.0</v>
      </c>
      <c r="AF591" s="144">
        <v>0.74</v>
      </c>
      <c r="AG591" s="147" t="s">
        <v>166</v>
      </c>
      <c r="AH591" s="147" t="s">
        <v>3289</v>
      </c>
      <c r="AI591" s="646">
        <v>0.84</v>
      </c>
      <c r="AJ591" s="52" t="s">
        <v>164</v>
      </c>
      <c r="AK591" s="52" t="s">
        <v>128</v>
      </c>
      <c r="AL591" s="147" t="s">
        <v>129</v>
      </c>
      <c r="AM591" s="52" t="s">
        <v>165</v>
      </c>
      <c r="AN591" s="144">
        <v>182.0</v>
      </c>
      <c r="AO591" s="144">
        <v>0.32</v>
      </c>
      <c r="AP591" s="147" t="s">
        <v>166</v>
      </c>
      <c r="AQ591" s="147" t="s">
        <v>3290</v>
      </c>
      <c r="AR591" s="147" t="s">
        <v>165</v>
      </c>
      <c r="AS591" s="60"/>
      <c r="AT591" s="147" t="s">
        <v>128</v>
      </c>
      <c r="AU591" s="147" t="s">
        <v>129</v>
      </c>
      <c r="AV591" s="303" t="s">
        <v>3291</v>
      </c>
      <c r="AW591" s="453" t="s">
        <v>134</v>
      </c>
    </row>
    <row r="592" ht="20.25" customHeight="1">
      <c r="A592" s="136" t="s">
        <v>520</v>
      </c>
      <c r="B592" s="136" t="s">
        <v>107</v>
      </c>
      <c r="C592" s="136" t="s">
        <v>214</v>
      </c>
      <c r="D592" s="64"/>
      <c r="E592" s="255" t="s">
        <v>3262</v>
      </c>
      <c r="F592" s="52" t="s">
        <v>3276</v>
      </c>
      <c r="G592" s="147" t="s">
        <v>214</v>
      </c>
      <c r="H592" s="140">
        <v>45684.0</v>
      </c>
      <c r="I592" s="140">
        <v>45684.0</v>
      </c>
      <c r="J592" s="147" t="s">
        <v>1116</v>
      </c>
      <c r="K592" s="60"/>
      <c r="L592" s="147" t="s">
        <v>3264</v>
      </c>
      <c r="M592" s="147" t="s">
        <v>3265</v>
      </c>
      <c r="N592" s="60"/>
      <c r="O592" s="145" t="s">
        <v>3266</v>
      </c>
      <c r="P592" s="48" t="str">
        <f t="array" ref="P592">HYPERLINK(INDEX('File Links'!B:B, MATCH(O592, 'File Links'!C:C, 0)))
</f>
        <v>https://drive.google.com/file/d/1-cST4Xer2glOXMG5eTrJVkRfofzfqFTW/view?usp=drivesdk</v>
      </c>
      <c r="Q592" s="147" t="s">
        <v>3267</v>
      </c>
      <c r="R592" s="147" t="s">
        <v>3268</v>
      </c>
      <c r="S592" s="60"/>
      <c r="T592" s="60"/>
      <c r="U592" s="145" t="s">
        <v>3269</v>
      </c>
      <c r="V592" s="147" t="s">
        <v>676</v>
      </c>
      <c r="W592" s="50" t="str">
        <f t="array" ref="W592">HYPERLINK(INDEX('File Links'!B:B, MATCH(U592, 'File Links'!C:C, 0)))
</f>
        <v>https://drive.google.com/file/d/1JQppLKOXxrmIyxFhDZtY85ZoIv_TVdh_/view?usp=drivesdk</v>
      </c>
      <c r="X592" s="60"/>
      <c r="Y592" s="147" t="s">
        <v>139</v>
      </c>
      <c r="Z592" s="147" t="s">
        <v>3286</v>
      </c>
      <c r="AA592" s="147" t="s">
        <v>3271</v>
      </c>
      <c r="AB592" s="147" t="s">
        <v>3292</v>
      </c>
      <c r="AC592" s="147" t="s">
        <v>3293</v>
      </c>
      <c r="AD592" s="144">
        <v>1223.0</v>
      </c>
      <c r="AE592" s="144">
        <v>43.0</v>
      </c>
      <c r="AF592" s="144">
        <v>0.34</v>
      </c>
      <c r="AG592" s="147" t="s">
        <v>166</v>
      </c>
      <c r="AH592" s="147" t="s">
        <v>3289</v>
      </c>
      <c r="AI592" s="646">
        <v>0.01</v>
      </c>
      <c r="AJ592" s="52" t="s">
        <v>127</v>
      </c>
      <c r="AK592" s="52" t="s">
        <v>128</v>
      </c>
      <c r="AL592" s="147" t="s">
        <v>129</v>
      </c>
      <c r="AM592" s="52" t="s">
        <v>165</v>
      </c>
      <c r="AN592" s="144">
        <v>182.0</v>
      </c>
      <c r="AO592" s="144">
        <v>0.21</v>
      </c>
      <c r="AP592" s="147" t="s">
        <v>166</v>
      </c>
      <c r="AQ592" s="147" t="s">
        <v>3290</v>
      </c>
      <c r="AR592" s="147" t="s">
        <v>165</v>
      </c>
      <c r="AS592" s="60"/>
      <c r="AT592" s="147" t="s">
        <v>128</v>
      </c>
      <c r="AU592" s="147" t="s">
        <v>129</v>
      </c>
      <c r="AV592" s="303" t="s">
        <v>3291</v>
      </c>
      <c r="AW592" s="453" t="s">
        <v>134</v>
      </c>
    </row>
    <row r="593" ht="20.25" customHeight="1">
      <c r="A593" s="136" t="s">
        <v>520</v>
      </c>
      <c r="B593" s="136" t="s">
        <v>107</v>
      </c>
      <c r="C593" s="136" t="s">
        <v>214</v>
      </c>
      <c r="D593" s="64"/>
      <c r="E593" s="255" t="s">
        <v>3262</v>
      </c>
      <c r="F593" s="52" t="s">
        <v>3279</v>
      </c>
      <c r="G593" s="147" t="s">
        <v>214</v>
      </c>
      <c r="H593" s="140">
        <v>45684.0</v>
      </c>
      <c r="I593" s="140">
        <v>45684.0</v>
      </c>
      <c r="J593" s="147" t="s">
        <v>1116</v>
      </c>
      <c r="K593" s="60"/>
      <c r="L593" s="147" t="s">
        <v>3264</v>
      </c>
      <c r="M593" s="147" t="s">
        <v>3265</v>
      </c>
      <c r="N593" s="60"/>
      <c r="O593" s="145" t="s">
        <v>3266</v>
      </c>
      <c r="P593" s="48" t="str">
        <f t="array" ref="P593">HYPERLINK(INDEX('File Links'!B:B, MATCH(O593, 'File Links'!C:C, 0)))
</f>
        <v>https://drive.google.com/file/d/1-cST4Xer2glOXMG5eTrJVkRfofzfqFTW/view?usp=drivesdk</v>
      </c>
      <c r="Q593" s="147" t="s">
        <v>3267</v>
      </c>
      <c r="R593" s="147" t="s">
        <v>3268</v>
      </c>
      <c r="S593" s="60"/>
      <c r="T593" s="60"/>
      <c r="U593" s="145" t="s">
        <v>3269</v>
      </c>
      <c r="V593" s="147" t="s">
        <v>676</v>
      </c>
      <c r="W593" s="50" t="str">
        <f t="array" ref="W593">HYPERLINK(INDEX('File Links'!B:B, MATCH(U593, 'File Links'!C:C, 0)))
</f>
        <v>https://drive.google.com/file/d/1JQppLKOXxrmIyxFhDZtY85ZoIv_TVdh_/view?usp=drivesdk</v>
      </c>
      <c r="X593" s="60"/>
      <c r="Y593" s="147" t="s">
        <v>139</v>
      </c>
      <c r="Z593" s="147" t="s">
        <v>3286</v>
      </c>
      <c r="AA593" s="147" t="s">
        <v>3271</v>
      </c>
      <c r="AB593" s="147" t="s">
        <v>3294</v>
      </c>
      <c r="AC593" s="147" t="s">
        <v>3295</v>
      </c>
      <c r="AD593" s="144">
        <v>1223.0</v>
      </c>
      <c r="AE593" s="144">
        <v>43.0</v>
      </c>
      <c r="AF593" s="144">
        <v>0.31</v>
      </c>
      <c r="AG593" s="147" t="s">
        <v>166</v>
      </c>
      <c r="AH593" s="147" t="s">
        <v>3289</v>
      </c>
      <c r="AI593" s="646">
        <v>0.46</v>
      </c>
      <c r="AJ593" s="52" t="s">
        <v>164</v>
      </c>
      <c r="AK593" s="52" t="s">
        <v>128</v>
      </c>
      <c r="AL593" s="147" t="s">
        <v>129</v>
      </c>
      <c r="AM593" s="52" t="s">
        <v>165</v>
      </c>
      <c r="AN593" s="144">
        <v>182.0</v>
      </c>
      <c r="AO593" s="144">
        <v>-0.13</v>
      </c>
      <c r="AP593" s="147" t="s">
        <v>166</v>
      </c>
      <c r="AQ593" s="147" t="s">
        <v>3290</v>
      </c>
      <c r="AR593" s="147" t="s">
        <v>165</v>
      </c>
      <c r="AS593" s="60"/>
      <c r="AT593" s="147" t="s">
        <v>128</v>
      </c>
      <c r="AU593" s="147" t="s">
        <v>129</v>
      </c>
      <c r="AV593" s="303" t="s">
        <v>3291</v>
      </c>
      <c r="AW593" s="453" t="s">
        <v>134</v>
      </c>
    </row>
    <row r="594" ht="20.25" customHeight="1">
      <c r="A594" s="41" t="s">
        <v>279</v>
      </c>
      <c r="B594" s="41" t="s">
        <v>107</v>
      </c>
      <c r="C594" s="41" t="s">
        <v>1009</v>
      </c>
      <c r="E594" s="60" t="s">
        <v>3296</v>
      </c>
      <c r="F594" s="52" t="s">
        <v>3297</v>
      </c>
      <c r="G594" s="52" t="s">
        <v>135</v>
      </c>
      <c r="H594" s="140">
        <v>45489.0</v>
      </c>
      <c r="I594" s="409">
        <v>45637.0</v>
      </c>
      <c r="J594" s="52" t="s">
        <v>3298</v>
      </c>
      <c r="K594" s="55"/>
      <c r="L594" s="52" t="s">
        <v>3299</v>
      </c>
      <c r="M594" s="52" t="s">
        <v>3300</v>
      </c>
      <c r="N594" s="55"/>
      <c r="O594" s="353" t="s">
        <v>3301</v>
      </c>
      <c r="P594" s="48" t="str">
        <f t="array" ref="P594">HYPERLINK(INDEX('File Links'!B:B, MATCH(O594, 'File Links'!C:C, 0)))
</f>
        <v>https://drive.google.com/file/d/1QkWM8jiVqpN5vc_zuD8HexJx-ED2mGF0/view?usp=drivesdk</v>
      </c>
      <c r="Q594" s="52" t="s">
        <v>3302</v>
      </c>
      <c r="R594" s="52" t="s">
        <v>3303</v>
      </c>
      <c r="S594" s="55"/>
      <c r="T594" s="329"/>
      <c r="U594" s="354" t="s">
        <v>3304</v>
      </c>
      <c r="V594" s="55"/>
      <c r="W594" s="50" t="str">
        <f t="array" ref="W594">HYPERLINK(INDEX('File Links'!B:B, MATCH(U594, 'File Links'!C:C, 0)))
</f>
        <v>https://drive.google.com/file/d/1H6X8VsyVixAViuUZ-S2dfj2OJm-VwYrl/view?usp=drivesdk</v>
      </c>
      <c r="X594" s="55"/>
      <c r="Y594" s="55"/>
      <c r="Z594" s="55"/>
      <c r="AA594" s="55"/>
      <c r="AB594" s="55"/>
      <c r="AC594" s="55"/>
      <c r="AD594" s="55"/>
      <c r="AE594" s="55"/>
      <c r="AF594" s="55"/>
      <c r="AG594" s="329"/>
      <c r="AH594" s="55"/>
      <c r="AI594" s="55"/>
      <c r="AJ594" s="60"/>
      <c r="AK594" s="55"/>
      <c r="AL594" s="55"/>
      <c r="AM594" s="55"/>
      <c r="AN594" s="55"/>
      <c r="AO594" s="55"/>
      <c r="AP594" s="55"/>
      <c r="AQ594" s="55"/>
      <c r="AR594" s="55"/>
      <c r="AS594" s="60"/>
      <c r="AT594" s="147" t="s">
        <v>179</v>
      </c>
      <c r="AU594" s="60" t="s">
        <v>129</v>
      </c>
      <c r="AV594" s="60"/>
      <c r="AW594" s="60"/>
      <c r="AX594" s="55"/>
    </row>
    <row r="595" ht="20.25" hidden="1" customHeight="1">
      <c r="A595" s="41" t="s">
        <v>279</v>
      </c>
      <c r="B595" s="41" t="s">
        <v>107</v>
      </c>
      <c r="C595" s="41" t="s">
        <v>214</v>
      </c>
      <c r="E595" s="255" t="s">
        <v>3296</v>
      </c>
      <c r="F595" s="43" t="s">
        <v>3297</v>
      </c>
      <c r="G595" s="356" t="s">
        <v>214</v>
      </c>
      <c r="H595" s="357">
        <v>45684.0</v>
      </c>
      <c r="I595" s="357">
        <v>45684.0</v>
      </c>
      <c r="J595" s="356" t="s">
        <v>3305</v>
      </c>
      <c r="K595" s="42"/>
      <c r="L595" s="356" t="s">
        <v>3299</v>
      </c>
      <c r="M595" s="356" t="s">
        <v>3300</v>
      </c>
      <c r="N595" s="42"/>
      <c r="O595" s="356" t="s">
        <v>3301</v>
      </c>
      <c r="P595" s="48" t="str">
        <f t="array" ref="P595">HYPERLINK(INDEX('File Links'!B:B, MATCH(O595, 'File Links'!C:C, 0)))
</f>
        <v>https://drive.google.com/file/d/1QkWM8jiVqpN5vc_zuD8HexJx-ED2mGF0/view?usp=drivesdk</v>
      </c>
      <c r="Q595" s="533" t="s">
        <v>3306</v>
      </c>
      <c r="R595" s="356" t="s">
        <v>3303</v>
      </c>
      <c r="S595" s="42"/>
      <c r="T595" s="42"/>
      <c r="U595" s="356" t="s">
        <v>3304</v>
      </c>
      <c r="V595" s="356" t="s">
        <v>3307</v>
      </c>
      <c r="W595" s="50" t="str">
        <f t="array" ref="W595">HYPERLINK(INDEX('File Links'!B:B, MATCH(U595, 'File Links'!C:C, 0)))
</f>
        <v>https://drive.google.com/file/d/1H6X8VsyVixAViuUZ-S2dfj2OJm-VwYrl/view?usp=drivesdk</v>
      </c>
      <c r="X595" s="642" t="s">
        <v>3305</v>
      </c>
      <c r="Y595" s="356" t="s">
        <v>1689</v>
      </c>
      <c r="Z595" s="356" t="s">
        <v>3308</v>
      </c>
      <c r="AA595" s="356" t="s">
        <v>3309</v>
      </c>
      <c r="AB595" s="42"/>
      <c r="AC595" s="42"/>
      <c r="AD595" s="42"/>
      <c r="AE595" s="42"/>
      <c r="AF595" s="42"/>
      <c r="AG595" s="42"/>
      <c r="AH595" s="42"/>
      <c r="AI595" s="51"/>
      <c r="AJ595" s="45"/>
      <c r="AK595" s="45"/>
      <c r="AL595" s="42"/>
      <c r="AM595" s="45"/>
      <c r="AN595" s="42"/>
      <c r="AO595" s="42"/>
      <c r="AP595" s="42"/>
      <c r="AQ595" s="42"/>
      <c r="AR595" s="42"/>
      <c r="AS595" s="42"/>
      <c r="AT595" s="42"/>
      <c r="AU595" s="42"/>
      <c r="AV595" s="42"/>
      <c r="AW595" s="42"/>
    </row>
    <row r="596" ht="20.25" hidden="1" customHeight="1">
      <c r="A596" s="40" t="s">
        <v>279</v>
      </c>
      <c r="B596" s="40" t="s">
        <v>107</v>
      </c>
      <c r="C596" s="40" t="s">
        <v>243</v>
      </c>
      <c r="D596" s="58"/>
      <c r="E596" s="41" t="s">
        <v>3310</v>
      </c>
      <c r="F596" s="40" t="s">
        <v>3311</v>
      </c>
      <c r="G596" s="40" t="s">
        <v>244</v>
      </c>
      <c r="H596" s="56">
        <v>45427.0</v>
      </c>
      <c r="I596" s="57">
        <v>45625.0</v>
      </c>
      <c r="J596" s="40" t="s">
        <v>3312</v>
      </c>
      <c r="K596" s="58"/>
      <c r="L596" s="40" t="s">
        <v>3313</v>
      </c>
      <c r="M596" s="40" t="s">
        <v>3314</v>
      </c>
      <c r="N596" s="58"/>
      <c r="O596" s="105" t="str">
        <f> hyperlink(vlookup(lower(M596),'File Links'!A:B, 2, FALSE), SUBSTITUTE(lower(M596), "/", "--") &amp;  ".pdf")</f>
        <v>10.1177--2167702614545216.pdf</v>
      </c>
      <c r="P596" s="48" t="str">
        <f t="array" ref="P596">HYPERLINK(INDEX('File Links'!B:B, MATCH(O596, 'File Links'!C:C, 0)))
</f>
        <v>https://drive.google.com/file/d/1lp6r_eHvrdDz_Jcksbt_MrMZQFC3hwy0/view?usp=drivesdk</v>
      </c>
      <c r="Q596" s="40" t="s">
        <v>3315</v>
      </c>
      <c r="R596" s="40" t="s">
        <v>3316</v>
      </c>
      <c r="S596" s="58"/>
      <c r="T596" s="58"/>
      <c r="U596" s="59" t="str">
        <f> hyperlink(vlookup(lower(R596),'File Links'!E:F, 2, FALSE), SUBSTITUTE(lower(R596), "/", "--") &amp;  ".pdf")</f>
        <v>10.1080--13506285.2024.2343157.pdf</v>
      </c>
      <c r="V596" s="58"/>
      <c r="W596" s="45" t="str">
        <f t="array" ref="W596">HYPERLINK(INDEX('File Links'!B:B, MATCH(U596, 'File Links'!C:C, 0)))
</f>
        <v>#N/A</v>
      </c>
      <c r="X596" s="40" t="s">
        <v>3317</v>
      </c>
      <c r="Y596" s="40" t="s">
        <v>960</v>
      </c>
      <c r="Z596" s="58"/>
      <c r="AA596" s="40" t="s">
        <v>3318</v>
      </c>
      <c r="AB596" s="40" t="s">
        <v>3319</v>
      </c>
      <c r="AC596" s="40" t="s">
        <v>3320</v>
      </c>
      <c r="AD596" s="40">
        <v>6.0</v>
      </c>
      <c r="AE596" s="40">
        <v>14.0</v>
      </c>
      <c r="AF596" s="40">
        <v>5.68</v>
      </c>
      <c r="AG596" s="40" t="s">
        <v>1051</v>
      </c>
      <c r="AH596" s="58"/>
      <c r="AI596" s="40" t="s">
        <v>240</v>
      </c>
      <c r="AJ596" s="40" t="s">
        <v>127</v>
      </c>
      <c r="AK596" s="40" t="s">
        <v>179</v>
      </c>
      <c r="AL596" s="25"/>
      <c r="AM596" s="58"/>
      <c r="AN596" s="40">
        <v>63.0</v>
      </c>
      <c r="AO596" s="40">
        <v>0.02</v>
      </c>
      <c r="AP596" s="40" t="s">
        <v>1051</v>
      </c>
      <c r="AQ596" s="58"/>
      <c r="AR596" s="40" t="s">
        <v>2587</v>
      </c>
      <c r="AS596" s="40" t="s">
        <v>329</v>
      </c>
      <c r="AT596" s="40" t="s">
        <v>179</v>
      </c>
      <c r="AU596" s="25"/>
      <c r="AW596" s="60"/>
      <c r="AX596" s="58"/>
    </row>
    <row r="597" ht="20.25" hidden="1" customHeight="1">
      <c r="A597" s="40" t="s">
        <v>279</v>
      </c>
      <c r="B597" s="40" t="s">
        <v>107</v>
      </c>
      <c r="C597" s="40" t="s">
        <v>243</v>
      </c>
      <c r="D597" s="58"/>
      <c r="E597" s="41" t="s">
        <v>3310</v>
      </c>
      <c r="F597" s="40" t="s">
        <v>3321</v>
      </c>
      <c r="G597" s="40" t="s">
        <v>244</v>
      </c>
      <c r="H597" s="56">
        <v>45427.0</v>
      </c>
      <c r="I597" s="57">
        <v>45625.0</v>
      </c>
      <c r="J597" s="40" t="s">
        <v>3322</v>
      </c>
      <c r="K597" s="58"/>
      <c r="L597" s="40" t="s">
        <v>3313</v>
      </c>
      <c r="M597" s="40" t="s">
        <v>3314</v>
      </c>
      <c r="N597" s="58"/>
      <c r="O597" s="105" t="str">
        <f> hyperlink(vlookup(lower(M597),'File Links'!A:B, 2, FALSE), SUBSTITUTE(lower(M597), "/", "--") &amp;  ".pdf")</f>
        <v>10.1177--2167702614545216.pdf</v>
      </c>
      <c r="P597" s="48" t="str">
        <f t="array" ref="P597">HYPERLINK(INDEX('File Links'!B:B, MATCH(O597, 'File Links'!C:C, 0)))
</f>
        <v>https://drive.google.com/file/d/1lp6r_eHvrdDz_Jcksbt_MrMZQFC3hwy0/view?usp=drivesdk</v>
      </c>
      <c r="Q597" s="40" t="s">
        <v>3315</v>
      </c>
      <c r="R597" s="40" t="s">
        <v>3316</v>
      </c>
      <c r="S597" s="58"/>
      <c r="T597" s="58"/>
      <c r="U597" s="59" t="str">
        <f> hyperlink(vlookup(lower(R597),'File Links'!E:F, 2, FALSE), SUBSTITUTE(lower(R597), "/", "--") &amp;  ".pdf")</f>
        <v>10.1080--13506285.2024.2343157.pdf</v>
      </c>
      <c r="V597" s="58"/>
      <c r="W597" s="45" t="str">
        <f t="array" ref="W597">HYPERLINK(INDEX('File Links'!B:B, MATCH(U597, 'File Links'!C:C, 0)))
</f>
        <v>#N/A</v>
      </c>
      <c r="X597" s="40" t="s">
        <v>3317</v>
      </c>
      <c r="Y597" s="40" t="s">
        <v>960</v>
      </c>
      <c r="Z597" s="58"/>
      <c r="AA597" s="40" t="s">
        <v>3323</v>
      </c>
      <c r="AB597" s="40" t="s">
        <v>3319</v>
      </c>
      <c r="AC597" s="40" t="s">
        <v>3324</v>
      </c>
      <c r="AD597" s="40">
        <v>6.0</v>
      </c>
      <c r="AE597" s="40">
        <v>14.0</v>
      </c>
      <c r="AF597" s="40">
        <v>1.49</v>
      </c>
      <c r="AG597" s="40" t="s">
        <v>1051</v>
      </c>
      <c r="AH597" s="58"/>
      <c r="AI597" s="40" t="s">
        <v>3325</v>
      </c>
      <c r="AJ597" s="40" t="s">
        <v>164</v>
      </c>
      <c r="AK597" s="40" t="s">
        <v>179</v>
      </c>
      <c r="AL597" s="25"/>
      <c r="AM597" s="58"/>
      <c r="AN597" s="40">
        <v>41.0</v>
      </c>
      <c r="AO597" s="388">
        <v>92.0</v>
      </c>
      <c r="AP597" s="40" t="s">
        <v>1051</v>
      </c>
      <c r="AQ597" s="40" t="s">
        <v>3326</v>
      </c>
      <c r="AR597" s="40" t="s">
        <v>2587</v>
      </c>
      <c r="AS597" s="40" t="s">
        <v>329</v>
      </c>
      <c r="AT597" s="40" t="s">
        <v>179</v>
      </c>
      <c r="AU597" s="25"/>
      <c r="AW597" s="60"/>
      <c r="AX597" s="58"/>
      <c r="AZ597" s="64"/>
      <c r="BA597" s="64"/>
      <c r="BB597" s="64"/>
      <c r="BC597" s="64"/>
      <c r="BD597" s="64"/>
      <c r="BE597" s="64"/>
      <c r="BF597" s="64"/>
      <c r="BG597" s="64"/>
      <c r="BH597" s="64"/>
      <c r="BI597" s="64"/>
      <c r="BJ597" s="64"/>
      <c r="BK597" s="64"/>
      <c r="BL597" s="64"/>
      <c r="BM597" s="64"/>
      <c r="BN597" s="64"/>
      <c r="BO597" s="64"/>
      <c r="BP597" s="64"/>
      <c r="BQ597" s="64"/>
      <c r="BR597" s="64"/>
      <c r="BS597" s="64"/>
      <c r="BT597" s="64"/>
      <c r="BU597" s="64"/>
      <c r="BV597" s="64"/>
      <c r="BW597" s="64"/>
      <c r="BX597" s="64"/>
      <c r="BY597" s="64"/>
      <c r="BZ597" s="64"/>
      <c r="CA597" s="64"/>
      <c r="CB597" s="64"/>
      <c r="CC597" s="64"/>
      <c r="CD597" s="64"/>
      <c r="CE597" s="64"/>
      <c r="CF597" s="64"/>
      <c r="CG597" s="64"/>
      <c r="CH597" s="64"/>
      <c r="CI597" s="64"/>
      <c r="CJ597" s="64"/>
      <c r="CK597" s="64"/>
      <c r="CL597" s="64"/>
      <c r="CM597" s="64"/>
      <c r="CN597" s="64"/>
      <c r="CO597" s="64"/>
      <c r="CP597" s="64"/>
      <c r="CQ597" s="64"/>
      <c r="CR597" s="64"/>
      <c r="CS597" s="64"/>
      <c r="CT597" s="64"/>
      <c r="CU597" s="64"/>
      <c r="CV597" s="64"/>
      <c r="CW597" s="64"/>
      <c r="CX597" s="64"/>
      <c r="CY597" s="64"/>
      <c r="CZ597" s="64"/>
      <c r="DA597" s="64"/>
      <c r="DB597" s="64"/>
      <c r="DC597" s="64"/>
      <c r="DD597" s="64"/>
      <c r="DE597" s="64"/>
      <c r="DF597" s="64"/>
      <c r="DG597" s="64"/>
    </row>
    <row r="598" ht="20.25" hidden="1" customHeight="1">
      <c r="A598" s="40" t="s">
        <v>279</v>
      </c>
      <c r="B598" s="40" t="s">
        <v>107</v>
      </c>
      <c r="C598" s="40" t="s">
        <v>243</v>
      </c>
      <c r="D598" s="58"/>
      <c r="E598" s="41" t="s">
        <v>3310</v>
      </c>
      <c r="F598" s="40" t="s">
        <v>3327</v>
      </c>
      <c r="G598" s="40" t="s">
        <v>244</v>
      </c>
      <c r="H598" s="56">
        <v>45427.0</v>
      </c>
      <c r="I598" s="57">
        <v>45625.0</v>
      </c>
      <c r="J598" s="40" t="s">
        <v>3322</v>
      </c>
      <c r="K598" s="58"/>
      <c r="L598" s="40" t="s">
        <v>3313</v>
      </c>
      <c r="M598" s="40" t="s">
        <v>3314</v>
      </c>
      <c r="N598" s="58"/>
      <c r="O598" s="105" t="str">
        <f> hyperlink(vlookup(lower(M598),'File Links'!A:B, 2, FALSE), SUBSTITUTE(lower(M598), "/", "--") &amp;  ".pdf")</f>
        <v>10.1177--2167702614545216.pdf</v>
      </c>
      <c r="P598" s="48" t="str">
        <f t="array" ref="P598">HYPERLINK(INDEX('File Links'!B:B, MATCH(O598, 'File Links'!C:C, 0)))
</f>
        <v>https://drive.google.com/file/d/1lp6r_eHvrdDz_Jcksbt_MrMZQFC3hwy0/view?usp=drivesdk</v>
      </c>
      <c r="Q598" s="40" t="s">
        <v>3315</v>
      </c>
      <c r="R598" s="40" t="s">
        <v>3316</v>
      </c>
      <c r="S598" s="58"/>
      <c r="T598" s="58"/>
      <c r="U598" s="59" t="str">
        <f> hyperlink(vlookup(lower(R598),'File Links'!E:F, 2, FALSE), SUBSTITUTE(lower(R598), "/", "--") &amp;  ".pdf")</f>
        <v>10.1080--13506285.2024.2343157.pdf</v>
      </c>
      <c r="V598" s="58"/>
      <c r="W598" s="45" t="str">
        <f t="array" ref="W598">HYPERLINK(INDEX('File Links'!B:B, MATCH(U598, 'File Links'!C:C, 0)))
</f>
        <v>#N/A</v>
      </c>
      <c r="X598" s="40" t="s">
        <v>3317</v>
      </c>
      <c r="Y598" s="40" t="s">
        <v>960</v>
      </c>
      <c r="Z598" s="58"/>
      <c r="AA598" s="40" t="s">
        <v>3328</v>
      </c>
      <c r="AB598" s="40" t="s">
        <v>3319</v>
      </c>
      <c r="AC598" s="40" t="s">
        <v>3329</v>
      </c>
      <c r="AD598" s="40">
        <v>6.0</v>
      </c>
      <c r="AE598" s="40">
        <v>14.0</v>
      </c>
      <c r="AF598" s="40">
        <v>1.72</v>
      </c>
      <c r="AG598" s="40" t="s">
        <v>1051</v>
      </c>
      <c r="AH598" s="58"/>
      <c r="AI598" s="40" t="s">
        <v>723</v>
      </c>
      <c r="AJ598" s="40" t="s">
        <v>164</v>
      </c>
      <c r="AK598" s="40" t="s">
        <v>179</v>
      </c>
      <c r="AL598" s="25"/>
      <c r="AM598" s="58"/>
      <c r="AN598" s="40">
        <v>29.0</v>
      </c>
      <c r="AO598" s="388">
        <v>92.0</v>
      </c>
      <c r="AP598" s="40" t="s">
        <v>1051</v>
      </c>
      <c r="AQ598" s="40" t="s">
        <v>3326</v>
      </c>
      <c r="AR598" s="40" t="s">
        <v>2587</v>
      </c>
      <c r="AS598" s="40" t="s">
        <v>329</v>
      </c>
      <c r="AT598" s="40" t="s">
        <v>179</v>
      </c>
      <c r="AU598" s="25"/>
      <c r="AW598" s="60"/>
      <c r="AX598" s="58"/>
      <c r="AZ598" s="95"/>
      <c r="BA598" s="95"/>
      <c r="BB598" s="95"/>
      <c r="BC598" s="95"/>
      <c r="BD598" s="95"/>
      <c r="BE598" s="95"/>
      <c r="BF598" s="95"/>
      <c r="BG598" s="95"/>
      <c r="BH598" s="95"/>
      <c r="BI598" s="95"/>
      <c r="BJ598" s="95"/>
      <c r="BK598" s="95"/>
      <c r="BL598" s="95"/>
      <c r="BM598" s="95"/>
      <c r="BN598" s="95"/>
      <c r="BO598" s="95"/>
      <c r="BP598" s="95"/>
      <c r="BQ598" s="95"/>
      <c r="BR598" s="95"/>
      <c r="BS598" s="95"/>
      <c r="BT598" s="95"/>
      <c r="BU598" s="95"/>
      <c r="BV598" s="95"/>
      <c r="BW598" s="95"/>
      <c r="BX598" s="95"/>
      <c r="BY598" s="95"/>
      <c r="BZ598" s="95"/>
      <c r="CA598" s="95"/>
      <c r="CB598" s="95"/>
      <c r="CC598" s="95"/>
      <c r="CD598" s="95"/>
      <c r="CE598" s="95"/>
      <c r="CF598" s="95"/>
      <c r="CG598" s="95"/>
      <c r="CH598" s="95"/>
      <c r="CI598" s="95"/>
      <c r="CJ598" s="95"/>
      <c r="CK598" s="95"/>
      <c r="CL598" s="95"/>
      <c r="CM598" s="95"/>
      <c r="CN598" s="95"/>
      <c r="CO598" s="95"/>
      <c r="CP598" s="95"/>
      <c r="CQ598" s="95"/>
      <c r="CR598" s="95"/>
      <c r="CS598" s="95"/>
      <c r="CT598" s="95"/>
      <c r="CU598" s="95"/>
      <c r="CV598" s="95"/>
      <c r="CW598" s="95"/>
      <c r="CX598" s="95"/>
      <c r="CY598" s="95"/>
      <c r="CZ598" s="95"/>
      <c r="DA598" s="95"/>
      <c r="DB598" s="95"/>
      <c r="DC598" s="95"/>
      <c r="DD598" s="95"/>
      <c r="DE598" s="95"/>
      <c r="DF598" s="95"/>
      <c r="DG598" s="95"/>
    </row>
    <row r="599" ht="20.25" customHeight="1">
      <c r="A599" s="316" t="s">
        <v>520</v>
      </c>
      <c r="B599" s="316" t="s">
        <v>107</v>
      </c>
      <c r="C599" s="316" t="s">
        <v>1009</v>
      </c>
      <c r="D599" s="215"/>
      <c r="E599" s="60" t="s">
        <v>3330</v>
      </c>
      <c r="F599" s="613" t="s">
        <v>3331</v>
      </c>
      <c r="G599" s="52" t="s">
        <v>135</v>
      </c>
      <c r="H599" s="140">
        <v>45489.0</v>
      </c>
      <c r="I599" s="409">
        <v>45638.0</v>
      </c>
      <c r="J599" s="55"/>
      <c r="K599" s="55"/>
      <c r="L599" s="52" t="s">
        <v>3332</v>
      </c>
      <c r="M599" s="52" t="s">
        <v>3333</v>
      </c>
      <c r="N599" s="355">
        <v>1.0</v>
      </c>
      <c r="O599" s="353" t="s">
        <v>3334</v>
      </c>
      <c r="P599" s="48" t="str">
        <f t="array" ref="P599">HYPERLINK(INDEX('File Links'!B:B, MATCH(O599, 'File Links'!C:C, 0)))
</f>
        <v>https://drive.google.com/file/d/13vglHZTPgv6z9W5xPGWG5OyE_h91M3UK/view?usp=drivesdk</v>
      </c>
      <c r="Q599" s="52" t="s">
        <v>3335</v>
      </c>
      <c r="R599" s="52" t="s">
        <v>3336</v>
      </c>
      <c r="S599" s="55"/>
      <c r="T599" s="646">
        <v>1.0</v>
      </c>
      <c r="U599" s="354" t="s">
        <v>3337</v>
      </c>
      <c r="V599" s="52" t="s">
        <v>202</v>
      </c>
      <c r="W599" s="50" t="str">
        <f t="array" ref="W599">HYPERLINK(INDEX('File Links'!B:B, MATCH(U599, 'File Links'!C:C, 0)))
</f>
        <v>https://drive.google.com/file/d/17sgB6ScmXf8Wli1_dKWf0wpvxkNJRZtC/view?usp=drivesdk</v>
      </c>
      <c r="X599" s="55"/>
      <c r="Y599" s="52" t="s">
        <v>139</v>
      </c>
      <c r="Z599" s="55" t="s">
        <v>3338</v>
      </c>
      <c r="AA599" s="55" t="s">
        <v>3339</v>
      </c>
      <c r="AB599" s="52" t="s">
        <v>3340</v>
      </c>
      <c r="AC599" s="55"/>
      <c r="AD599" s="355">
        <v>5.0</v>
      </c>
      <c r="AE599" s="355">
        <v>27.0</v>
      </c>
      <c r="AF599" s="355">
        <v>5.93</v>
      </c>
      <c r="AG599" s="330" t="s">
        <v>162</v>
      </c>
      <c r="AH599" s="55"/>
      <c r="AI599" s="355">
        <v>0.022</v>
      </c>
      <c r="AJ599" s="147" t="s">
        <v>164</v>
      </c>
      <c r="AK599" s="52" t="s">
        <v>179</v>
      </c>
      <c r="AL599" s="55" t="s">
        <v>129</v>
      </c>
      <c r="AM599" s="55"/>
      <c r="AN599" s="355">
        <v>32.0</v>
      </c>
      <c r="AO599" s="355">
        <v>1.78</v>
      </c>
      <c r="AP599" s="52" t="s">
        <v>162</v>
      </c>
      <c r="AQ599" s="355">
        <v>9.0</v>
      </c>
      <c r="AR599" s="355">
        <v>0.156</v>
      </c>
      <c r="AS599" s="147" t="s">
        <v>164</v>
      </c>
      <c r="AT599" s="147" t="s">
        <v>179</v>
      </c>
      <c r="AU599" s="60" t="s">
        <v>129</v>
      </c>
      <c r="AV599" s="60"/>
      <c r="AW599" s="60" t="s">
        <v>134</v>
      </c>
      <c r="AX599" s="55"/>
      <c r="AZ599" s="64"/>
      <c r="BA599" s="64"/>
      <c r="BB599" s="64"/>
      <c r="BC599" s="64"/>
      <c r="BD599" s="64"/>
      <c r="BE599" s="64"/>
      <c r="BF599" s="64"/>
      <c r="BG599" s="64"/>
      <c r="BH599" s="64"/>
      <c r="BI599" s="64"/>
      <c r="BJ599" s="64"/>
      <c r="BK599" s="64"/>
      <c r="BL599" s="64"/>
      <c r="BM599" s="64"/>
      <c r="BN599" s="64"/>
      <c r="BO599" s="64"/>
      <c r="BP599" s="64"/>
      <c r="BQ599" s="64"/>
      <c r="BR599" s="64"/>
      <c r="BS599" s="64"/>
      <c r="BT599" s="64"/>
      <c r="BU599" s="64"/>
      <c r="BV599" s="64"/>
      <c r="BW599" s="64"/>
      <c r="BX599" s="64"/>
      <c r="BY599" s="64"/>
      <c r="BZ599" s="64"/>
      <c r="CA599" s="64"/>
      <c r="CB599" s="64"/>
      <c r="CC599" s="64"/>
      <c r="CD599" s="64"/>
      <c r="CE599" s="64"/>
      <c r="CF599" s="64"/>
      <c r="CG599" s="64"/>
      <c r="CH599" s="64"/>
      <c r="CI599" s="64"/>
      <c r="CJ599" s="64"/>
      <c r="CK599" s="64"/>
      <c r="CL599" s="64"/>
      <c r="CM599" s="64"/>
      <c r="CN599" s="64"/>
      <c r="CO599" s="64"/>
      <c r="CP599" s="64"/>
      <c r="CQ599" s="64"/>
      <c r="CR599" s="64"/>
      <c r="CS599" s="64"/>
      <c r="CT599" s="64"/>
      <c r="CU599" s="64"/>
      <c r="CV599" s="64"/>
      <c r="CW599" s="64"/>
      <c r="CX599" s="64"/>
      <c r="CY599" s="64"/>
      <c r="CZ599" s="64"/>
      <c r="DA599" s="64"/>
      <c r="DB599" s="64"/>
      <c r="DC599" s="64"/>
      <c r="DD599" s="64"/>
      <c r="DE599" s="64"/>
      <c r="DF599" s="64"/>
      <c r="DG599" s="64"/>
    </row>
    <row r="600" ht="20.25" customHeight="1">
      <c r="A600" s="316" t="s">
        <v>520</v>
      </c>
      <c r="B600" s="316" t="s">
        <v>107</v>
      </c>
      <c r="C600" s="316" t="s">
        <v>1009</v>
      </c>
      <c r="D600" s="215"/>
      <c r="E600" s="60" t="s">
        <v>3330</v>
      </c>
      <c r="F600" s="613" t="s">
        <v>3341</v>
      </c>
      <c r="G600" s="147" t="s">
        <v>135</v>
      </c>
      <c r="H600" s="140">
        <v>45489.0</v>
      </c>
      <c r="I600" s="409">
        <v>45638.0</v>
      </c>
      <c r="J600" s="60"/>
      <c r="K600" s="60"/>
      <c r="L600" s="147" t="s">
        <v>3332</v>
      </c>
      <c r="M600" s="147" t="s">
        <v>3333</v>
      </c>
      <c r="N600" s="144">
        <v>1.0</v>
      </c>
      <c r="O600" s="145" t="s">
        <v>3334</v>
      </c>
      <c r="P600" s="48" t="str">
        <f t="array" ref="P600">HYPERLINK(INDEX('File Links'!B:B, MATCH(O600, 'File Links'!C:C, 0)))
</f>
        <v>https://drive.google.com/file/d/13vglHZTPgv6z9W5xPGWG5OyE_h91M3UK/view?usp=drivesdk</v>
      </c>
      <c r="Q600" s="147" t="s">
        <v>3335</v>
      </c>
      <c r="R600" s="147" t="s">
        <v>3336</v>
      </c>
      <c r="S600" s="60"/>
      <c r="T600" s="144">
        <v>1.0</v>
      </c>
      <c r="U600" s="145" t="s">
        <v>3337</v>
      </c>
      <c r="V600" s="147" t="s">
        <v>202</v>
      </c>
      <c r="W600" s="50" t="str">
        <f t="array" ref="W600">HYPERLINK(INDEX('File Links'!B:B, MATCH(U600, 'File Links'!C:C, 0)))
</f>
        <v>https://drive.google.com/file/d/17sgB6ScmXf8Wli1_dKWf0wpvxkNJRZtC/view?usp=drivesdk</v>
      </c>
      <c r="X600" s="60"/>
      <c r="Y600" s="147" t="s">
        <v>139</v>
      </c>
      <c r="Z600" s="60" t="s">
        <v>3338</v>
      </c>
      <c r="AA600" s="60" t="s">
        <v>3339</v>
      </c>
      <c r="AB600" s="147" t="s">
        <v>3342</v>
      </c>
      <c r="AC600" s="60"/>
      <c r="AD600" s="144">
        <v>5.0</v>
      </c>
      <c r="AE600" s="144">
        <v>27.0</v>
      </c>
      <c r="AF600" s="144">
        <v>4.0</v>
      </c>
      <c r="AG600" s="330" t="s">
        <v>162</v>
      </c>
      <c r="AH600" s="55"/>
      <c r="AI600" s="355">
        <v>0.056</v>
      </c>
      <c r="AJ600" s="147" t="s">
        <v>164</v>
      </c>
      <c r="AK600" s="52" t="s">
        <v>179</v>
      </c>
      <c r="AL600" s="60" t="s">
        <v>129</v>
      </c>
      <c r="AM600" s="60"/>
      <c r="AN600" s="144">
        <v>32.0</v>
      </c>
      <c r="AO600" s="144">
        <v>37.31</v>
      </c>
      <c r="AP600" s="147" t="s">
        <v>162</v>
      </c>
      <c r="AQ600" s="144">
        <v>9.0</v>
      </c>
      <c r="AR600" s="144">
        <v>0.001</v>
      </c>
      <c r="AS600" s="147" t="s">
        <v>127</v>
      </c>
      <c r="AT600" s="147" t="s">
        <v>179</v>
      </c>
      <c r="AU600" s="60" t="s">
        <v>129</v>
      </c>
      <c r="AV600" s="60"/>
      <c r="AW600" s="60" t="s">
        <v>134</v>
      </c>
      <c r="AX600" s="60"/>
      <c r="AZ600" s="95"/>
      <c r="BA600" s="95"/>
      <c r="BB600" s="95"/>
      <c r="BC600" s="95"/>
      <c r="BD600" s="95"/>
      <c r="BE600" s="95"/>
      <c r="BF600" s="95"/>
      <c r="BG600" s="95"/>
      <c r="BH600" s="95"/>
      <c r="BI600" s="95"/>
      <c r="BJ600" s="95"/>
      <c r="BK600" s="95"/>
      <c r="BL600" s="95"/>
      <c r="BM600" s="95"/>
      <c r="BN600" s="95"/>
      <c r="BO600" s="95"/>
      <c r="BP600" s="95"/>
      <c r="BQ600" s="95"/>
      <c r="BR600" s="95"/>
      <c r="BS600" s="95"/>
      <c r="BT600" s="95"/>
      <c r="BU600" s="95"/>
      <c r="BV600" s="95"/>
      <c r="BW600" s="95"/>
      <c r="BX600" s="95"/>
      <c r="BY600" s="95"/>
      <c r="BZ600" s="95"/>
      <c r="CA600" s="95"/>
      <c r="CB600" s="95"/>
      <c r="CC600" s="95"/>
      <c r="CD600" s="95"/>
      <c r="CE600" s="95"/>
      <c r="CF600" s="95"/>
      <c r="CG600" s="95"/>
      <c r="CH600" s="95"/>
      <c r="CI600" s="95"/>
      <c r="CJ600" s="95"/>
      <c r="CK600" s="95"/>
      <c r="CL600" s="95"/>
      <c r="CM600" s="95"/>
      <c r="CN600" s="95"/>
      <c r="CO600" s="95"/>
      <c r="CP600" s="95"/>
      <c r="CQ600" s="95"/>
      <c r="CR600" s="95"/>
      <c r="CS600" s="95"/>
      <c r="CT600" s="95"/>
      <c r="CU600" s="95"/>
      <c r="CV600" s="95"/>
      <c r="CW600" s="95"/>
      <c r="CX600" s="95"/>
      <c r="CY600" s="95"/>
      <c r="CZ600" s="95"/>
      <c r="DA600" s="95"/>
      <c r="DB600" s="95"/>
      <c r="DC600" s="95"/>
      <c r="DD600" s="95"/>
      <c r="DE600" s="95"/>
      <c r="DF600" s="95"/>
      <c r="DG600" s="95"/>
    </row>
    <row r="601" ht="20.25" customHeight="1">
      <c r="A601" s="316" t="s">
        <v>520</v>
      </c>
      <c r="B601" s="316" t="s">
        <v>107</v>
      </c>
      <c r="C601" s="316" t="s">
        <v>1009</v>
      </c>
      <c r="D601" s="215"/>
      <c r="E601" s="60" t="s">
        <v>3330</v>
      </c>
      <c r="F601" s="613" t="s">
        <v>3343</v>
      </c>
      <c r="G601" s="52" t="s">
        <v>135</v>
      </c>
      <c r="H601" s="140">
        <v>45489.0</v>
      </c>
      <c r="I601" s="409">
        <v>45638.0</v>
      </c>
      <c r="J601" s="55"/>
      <c r="K601" s="55"/>
      <c r="L601" s="52" t="s">
        <v>3332</v>
      </c>
      <c r="M601" s="52" t="s">
        <v>3333</v>
      </c>
      <c r="N601" s="355">
        <v>1.0</v>
      </c>
      <c r="O601" s="353" t="s">
        <v>3334</v>
      </c>
      <c r="P601" s="48" t="str">
        <f t="array" ref="P601">HYPERLINK(INDEX('File Links'!B:B, MATCH(O601, 'File Links'!C:C, 0)))
</f>
        <v>https://drive.google.com/file/d/13vglHZTPgv6z9W5xPGWG5OyE_h91M3UK/view?usp=drivesdk</v>
      </c>
      <c r="Q601" s="52" t="s">
        <v>3335</v>
      </c>
      <c r="R601" s="52" t="s">
        <v>3336</v>
      </c>
      <c r="S601" s="55"/>
      <c r="T601" s="646">
        <v>1.0</v>
      </c>
      <c r="U601" s="354" t="s">
        <v>3337</v>
      </c>
      <c r="V601" s="52" t="s">
        <v>202</v>
      </c>
      <c r="W601" s="50" t="str">
        <f t="array" ref="W601">HYPERLINK(INDEX('File Links'!B:B, MATCH(U601, 'File Links'!C:C, 0)))
</f>
        <v>https://drive.google.com/file/d/17sgB6ScmXf8Wli1_dKWf0wpvxkNJRZtC/view?usp=drivesdk</v>
      </c>
      <c r="X601" s="55"/>
      <c r="Y601" s="52" t="s">
        <v>139</v>
      </c>
      <c r="Z601" s="55" t="s">
        <v>3338</v>
      </c>
      <c r="AA601" s="55" t="s">
        <v>3339</v>
      </c>
      <c r="AB601" s="52" t="s">
        <v>3344</v>
      </c>
      <c r="AC601" s="55"/>
      <c r="AD601" s="355">
        <v>5.0</v>
      </c>
      <c r="AE601" s="355">
        <v>27.0</v>
      </c>
      <c r="AF601" s="355">
        <v>6.12</v>
      </c>
      <c r="AG601" s="330" t="s">
        <v>162</v>
      </c>
      <c r="AH601" s="55"/>
      <c r="AI601" s="355">
        <v>0.02</v>
      </c>
      <c r="AJ601" s="147" t="s">
        <v>164</v>
      </c>
      <c r="AK601" s="52" t="s">
        <v>179</v>
      </c>
      <c r="AL601" s="55" t="s">
        <v>129</v>
      </c>
      <c r="AM601" s="55"/>
      <c r="AN601" s="355">
        <v>32.0</v>
      </c>
      <c r="AO601" s="355">
        <v>1.12</v>
      </c>
      <c r="AP601" s="52" t="s">
        <v>162</v>
      </c>
      <c r="AQ601" s="355">
        <v>9.0</v>
      </c>
      <c r="AR601" s="355">
        <v>0.332</v>
      </c>
      <c r="AS601" s="147" t="s">
        <v>164</v>
      </c>
      <c r="AT601" s="147" t="s">
        <v>179</v>
      </c>
      <c r="AU601" s="60" t="s">
        <v>129</v>
      </c>
      <c r="AV601" s="60"/>
      <c r="AW601" s="60" t="s">
        <v>134</v>
      </c>
      <c r="AX601" s="55"/>
      <c r="AZ601" s="84"/>
      <c r="BA601" s="84"/>
      <c r="BB601" s="84"/>
      <c r="BC601" s="84"/>
      <c r="BD601" s="84"/>
      <c r="BE601" s="84"/>
      <c r="BF601" s="84"/>
      <c r="BG601" s="84"/>
      <c r="BH601" s="84"/>
      <c r="BI601" s="84"/>
      <c r="BJ601" s="84"/>
      <c r="BK601" s="84"/>
      <c r="BL601" s="84"/>
      <c r="BM601" s="84"/>
      <c r="BN601" s="84"/>
      <c r="BO601" s="84"/>
      <c r="BP601" s="84"/>
      <c r="BQ601" s="84"/>
      <c r="BR601" s="84"/>
      <c r="BS601" s="84"/>
      <c r="BT601" s="84"/>
      <c r="BU601" s="84"/>
      <c r="BV601" s="84"/>
      <c r="BW601" s="84"/>
      <c r="BX601" s="84"/>
      <c r="BY601" s="84"/>
      <c r="BZ601" s="84"/>
      <c r="CA601" s="84"/>
      <c r="CB601" s="84"/>
      <c r="CC601" s="84"/>
      <c r="CD601" s="84"/>
      <c r="CE601" s="84"/>
      <c r="CF601" s="84"/>
      <c r="CG601" s="84"/>
      <c r="CH601" s="84"/>
      <c r="CI601" s="84"/>
      <c r="CJ601" s="84"/>
      <c r="CK601" s="84"/>
      <c r="CL601" s="84"/>
      <c r="CM601" s="84"/>
      <c r="CN601" s="84"/>
      <c r="CO601" s="84"/>
      <c r="CP601" s="84"/>
      <c r="CQ601" s="84"/>
      <c r="CR601" s="84"/>
      <c r="CS601" s="84"/>
      <c r="CT601" s="84"/>
      <c r="CU601" s="84"/>
      <c r="CV601" s="84"/>
      <c r="CW601" s="84"/>
      <c r="CX601" s="84"/>
      <c r="CY601" s="84"/>
      <c r="CZ601" s="84"/>
      <c r="DA601" s="84"/>
      <c r="DB601" s="84"/>
      <c r="DC601" s="84"/>
      <c r="DD601" s="84"/>
      <c r="DE601" s="84"/>
      <c r="DF601" s="84"/>
      <c r="DG601" s="84"/>
    </row>
    <row r="602" ht="20.25" customHeight="1">
      <c r="A602" s="316" t="s">
        <v>520</v>
      </c>
      <c r="B602" s="316" t="s">
        <v>107</v>
      </c>
      <c r="C602" s="316" t="s">
        <v>1009</v>
      </c>
      <c r="D602" s="215"/>
      <c r="E602" s="60" t="s">
        <v>3330</v>
      </c>
      <c r="F602" s="613" t="s">
        <v>3345</v>
      </c>
      <c r="G602" s="147" t="s">
        <v>135</v>
      </c>
      <c r="H602" s="140">
        <v>45489.0</v>
      </c>
      <c r="I602" s="409">
        <v>45638.0</v>
      </c>
      <c r="J602" s="60"/>
      <c r="K602" s="60"/>
      <c r="L602" s="147" t="s">
        <v>3332</v>
      </c>
      <c r="M602" s="147" t="s">
        <v>3333</v>
      </c>
      <c r="N602" s="144">
        <v>1.0</v>
      </c>
      <c r="O602" s="145" t="s">
        <v>3334</v>
      </c>
      <c r="P602" s="48" t="str">
        <f t="array" ref="P602">HYPERLINK(INDEX('File Links'!B:B, MATCH(O602, 'File Links'!C:C, 0)))
</f>
        <v>https://drive.google.com/file/d/13vglHZTPgv6z9W5xPGWG5OyE_h91M3UK/view?usp=drivesdk</v>
      </c>
      <c r="Q602" s="147" t="s">
        <v>3335</v>
      </c>
      <c r="R602" s="147" t="s">
        <v>3336</v>
      </c>
      <c r="S602" s="60"/>
      <c r="T602" s="144">
        <v>1.0</v>
      </c>
      <c r="U602" s="145" t="s">
        <v>3337</v>
      </c>
      <c r="V602" s="147" t="s">
        <v>202</v>
      </c>
      <c r="W602" s="50" t="str">
        <f t="array" ref="W602">HYPERLINK(INDEX('File Links'!B:B, MATCH(U602, 'File Links'!C:C, 0)))
</f>
        <v>https://drive.google.com/file/d/17sgB6ScmXf8Wli1_dKWf0wpvxkNJRZtC/view?usp=drivesdk</v>
      </c>
      <c r="X602" s="60"/>
      <c r="Y602" s="147" t="s">
        <v>139</v>
      </c>
      <c r="Z602" s="60" t="s">
        <v>3338</v>
      </c>
      <c r="AA602" s="60" t="s">
        <v>3339</v>
      </c>
      <c r="AB602" s="147" t="s">
        <v>3346</v>
      </c>
      <c r="AC602" s="60"/>
      <c r="AD602" s="144">
        <v>5.0</v>
      </c>
      <c r="AE602" s="144">
        <v>27.0</v>
      </c>
      <c r="AF602" s="144">
        <v>7.17</v>
      </c>
      <c r="AG602" s="330" t="s">
        <v>162</v>
      </c>
      <c r="AH602" s="55"/>
      <c r="AI602" s="355">
        <v>0.013</v>
      </c>
      <c r="AJ602" s="147" t="s">
        <v>164</v>
      </c>
      <c r="AK602" s="52" t="s">
        <v>179</v>
      </c>
      <c r="AL602" s="60" t="s">
        <v>129</v>
      </c>
      <c r="AM602" s="60"/>
      <c r="AN602" s="144">
        <v>32.0</v>
      </c>
      <c r="AO602" s="144">
        <v>31.02</v>
      </c>
      <c r="AP602" s="147" t="s">
        <v>162</v>
      </c>
      <c r="AQ602" s="144">
        <v>9.0</v>
      </c>
      <c r="AR602" s="144">
        <v>0.001</v>
      </c>
      <c r="AS602" s="147" t="s">
        <v>127</v>
      </c>
      <c r="AT602" s="147" t="s">
        <v>179</v>
      </c>
      <c r="AU602" s="60" t="s">
        <v>129</v>
      </c>
      <c r="AV602" s="60"/>
      <c r="AW602" s="60" t="s">
        <v>134</v>
      </c>
      <c r="AX602" s="60"/>
      <c r="AZ602" s="691"/>
      <c r="BA602" s="691"/>
      <c r="BB602" s="691"/>
      <c r="BC602" s="691"/>
      <c r="BD602" s="691"/>
      <c r="BE602" s="691"/>
      <c r="BF602" s="691"/>
      <c r="BG602" s="691"/>
      <c r="BH602" s="691"/>
      <c r="BI602" s="691"/>
      <c r="BJ602" s="691"/>
      <c r="BK602" s="691"/>
      <c r="BL602" s="691"/>
      <c r="BM602" s="691"/>
      <c r="BN602" s="691"/>
      <c r="BO602" s="691"/>
      <c r="BP602" s="691"/>
      <c r="BQ602" s="691"/>
      <c r="BR602" s="691"/>
      <c r="BS602" s="691"/>
      <c r="BT602" s="691"/>
      <c r="BU602" s="691"/>
      <c r="BV602" s="691"/>
      <c r="BW602" s="691"/>
      <c r="BX602" s="691"/>
      <c r="BY602" s="691"/>
      <c r="BZ602" s="691"/>
      <c r="CA602" s="691"/>
      <c r="CB602" s="691"/>
      <c r="CC602" s="691"/>
      <c r="CD602" s="691"/>
      <c r="CE602" s="691"/>
      <c r="CF602" s="691"/>
      <c r="CG602" s="691"/>
      <c r="CH602" s="691"/>
      <c r="CI602" s="691"/>
      <c r="CJ602" s="691"/>
      <c r="CK602" s="691"/>
      <c r="CL602" s="691"/>
      <c r="CM602" s="691"/>
      <c r="CN602" s="691"/>
      <c r="CO602" s="691"/>
      <c r="CP602" s="691"/>
      <c r="CQ602" s="691"/>
      <c r="CR602" s="691"/>
      <c r="CS602" s="691"/>
      <c r="CT602" s="691"/>
      <c r="CU602" s="691"/>
      <c r="CV602" s="691"/>
      <c r="CW602" s="691"/>
      <c r="CX602" s="691"/>
      <c r="CY602" s="691"/>
      <c r="CZ602" s="691"/>
      <c r="DA602" s="691"/>
      <c r="DB602" s="691"/>
      <c r="DC602" s="691"/>
      <c r="DD602" s="691"/>
      <c r="DE602" s="691"/>
      <c r="DF602" s="691"/>
      <c r="DG602" s="691"/>
    </row>
    <row r="603" ht="20.25" customHeight="1">
      <c r="A603" s="316" t="s">
        <v>520</v>
      </c>
      <c r="B603" s="316" t="s">
        <v>107</v>
      </c>
      <c r="C603" s="316" t="s">
        <v>1009</v>
      </c>
      <c r="D603" s="215"/>
      <c r="E603" s="60" t="s">
        <v>3330</v>
      </c>
      <c r="F603" s="613" t="s">
        <v>3347</v>
      </c>
      <c r="G603" s="52" t="s">
        <v>135</v>
      </c>
      <c r="H603" s="140">
        <v>45489.0</v>
      </c>
      <c r="I603" s="409">
        <v>45638.0</v>
      </c>
      <c r="J603" s="55"/>
      <c r="K603" s="55"/>
      <c r="L603" s="52" t="s">
        <v>3332</v>
      </c>
      <c r="M603" s="52" t="s">
        <v>3333</v>
      </c>
      <c r="N603" s="355">
        <v>1.0</v>
      </c>
      <c r="O603" s="353" t="s">
        <v>3334</v>
      </c>
      <c r="P603" s="48" t="str">
        <f t="array" ref="P603">HYPERLINK(INDEX('File Links'!B:B, MATCH(O603, 'File Links'!C:C, 0)))
</f>
        <v>https://drive.google.com/file/d/13vglHZTPgv6z9W5xPGWG5OyE_h91M3UK/view?usp=drivesdk</v>
      </c>
      <c r="Q603" s="52" t="s">
        <v>3335</v>
      </c>
      <c r="R603" s="52" t="s">
        <v>3336</v>
      </c>
      <c r="S603" s="55"/>
      <c r="T603" s="646">
        <v>1.0</v>
      </c>
      <c r="U603" s="354" t="s">
        <v>3337</v>
      </c>
      <c r="V603" s="52" t="s">
        <v>202</v>
      </c>
      <c r="W603" s="50" t="str">
        <f t="array" ref="W603">HYPERLINK(INDEX('File Links'!B:B, MATCH(U603, 'File Links'!C:C, 0)))
</f>
        <v>https://drive.google.com/file/d/17sgB6ScmXf8Wli1_dKWf0wpvxkNJRZtC/view?usp=drivesdk</v>
      </c>
      <c r="X603" s="55"/>
      <c r="Y603" s="52" t="s">
        <v>139</v>
      </c>
      <c r="Z603" s="55" t="s">
        <v>3338</v>
      </c>
      <c r="AA603" s="55" t="s">
        <v>3339</v>
      </c>
      <c r="AB603" s="52" t="s">
        <v>3348</v>
      </c>
      <c r="AC603" s="55"/>
      <c r="AD603" s="355">
        <v>5.0</v>
      </c>
      <c r="AE603" s="355">
        <v>27.0</v>
      </c>
      <c r="AF603" s="355">
        <v>5.16</v>
      </c>
      <c r="AG603" s="330" t="s">
        <v>162</v>
      </c>
      <c r="AH603" s="55"/>
      <c r="AI603" s="355">
        <v>0.032</v>
      </c>
      <c r="AJ603" s="147" t="s">
        <v>164</v>
      </c>
      <c r="AK603" s="52" t="s">
        <v>179</v>
      </c>
      <c r="AL603" s="55" t="s">
        <v>129</v>
      </c>
      <c r="AM603" s="55"/>
      <c r="AN603" s="355">
        <v>32.0</v>
      </c>
      <c r="AO603" s="355">
        <v>1.04</v>
      </c>
      <c r="AP603" s="52" t="s">
        <v>162</v>
      </c>
      <c r="AQ603" s="355">
        <v>9.0</v>
      </c>
      <c r="AR603" s="355">
        <v>0.315</v>
      </c>
      <c r="AS603" s="147" t="s">
        <v>164</v>
      </c>
      <c r="AT603" s="147" t="s">
        <v>179</v>
      </c>
      <c r="AU603" s="60" t="s">
        <v>129</v>
      </c>
      <c r="AV603" s="60"/>
      <c r="AW603" s="60" t="s">
        <v>134</v>
      </c>
      <c r="AX603" s="55"/>
      <c r="AZ603" s="84"/>
      <c r="BA603" s="84"/>
      <c r="BB603" s="84"/>
      <c r="BC603" s="84"/>
      <c r="BD603" s="84"/>
      <c r="BE603" s="84"/>
      <c r="BF603" s="84"/>
      <c r="BG603" s="84"/>
      <c r="BH603" s="84"/>
      <c r="BI603" s="84"/>
      <c r="BJ603" s="84"/>
      <c r="BK603" s="84"/>
      <c r="BL603" s="84"/>
      <c r="BM603" s="84"/>
      <c r="BN603" s="84"/>
      <c r="BO603" s="84"/>
      <c r="BP603" s="84"/>
      <c r="BQ603" s="84"/>
      <c r="BR603" s="84"/>
      <c r="BS603" s="84"/>
      <c r="BT603" s="84"/>
      <c r="BU603" s="84"/>
      <c r="BV603" s="84"/>
      <c r="BW603" s="84"/>
      <c r="BX603" s="84"/>
      <c r="BY603" s="84"/>
      <c r="BZ603" s="84"/>
      <c r="CA603" s="84"/>
      <c r="CB603" s="84"/>
      <c r="CC603" s="84"/>
      <c r="CD603" s="84"/>
      <c r="CE603" s="84"/>
      <c r="CF603" s="84"/>
      <c r="CG603" s="84"/>
      <c r="CH603" s="84"/>
      <c r="CI603" s="84"/>
      <c r="CJ603" s="84"/>
      <c r="CK603" s="84"/>
      <c r="CL603" s="84"/>
      <c r="CM603" s="84"/>
      <c r="CN603" s="84"/>
      <c r="CO603" s="84"/>
      <c r="CP603" s="84"/>
      <c r="CQ603" s="84"/>
      <c r="CR603" s="84"/>
      <c r="CS603" s="84"/>
      <c r="CT603" s="84"/>
      <c r="CU603" s="84"/>
      <c r="CV603" s="84"/>
      <c r="CW603" s="84"/>
      <c r="CX603" s="84"/>
      <c r="CY603" s="84"/>
      <c r="CZ603" s="84"/>
      <c r="DA603" s="84"/>
      <c r="DB603" s="84"/>
      <c r="DC603" s="84"/>
      <c r="DD603" s="84"/>
      <c r="DE603" s="84"/>
      <c r="DF603" s="84"/>
      <c r="DG603" s="84"/>
    </row>
    <row r="604" ht="20.25" customHeight="1">
      <c r="A604" s="316" t="s">
        <v>520</v>
      </c>
      <c r="B604" s="316" t="s">
        <v>107</v>
      </c>
      <c r="C604" s="316" t="s">
        <v>1009</v>
      </c>
      <c r="D604" s="215"/>
      <c r="E604" s="60" t="s">
        <v>3330</v>
      </c>
      <c r="F604" s="613" t="s">
        <v>3349</v>
      </c>
      <c r="G604" s="147" t="s">
        <v>135</v>
      </c>
      <c r="H604" s="140">
        <v>45489.0</v>
      </c>
      <c r="I604" s="409">
        <v>45638.0</v>
      </c>
      <c r="J604" s="60"/>
      <c r="K604" s="60"/>
      <c r="L604" s="147" t="s">
        <v>3332</v>
      </c>
      <c r="M604" s="147" t="s">
        <v>3333</v>
      </c>
      <c r="N604" s="144">
        <v>1.0</v>
      </c>
      <c r="O604" s="145" t="s">
        <v>3334</v>
      </c>
      <c r="P604" s="48" t="str">
        <f t="array" ref="P604">HYPERLINK(INDEX('File Links'!B:B, MATCH(O604, 'File Links'!C:C, 0)))
</f>
        <v>https://drive.google.com/file/d/13vglHZTPgv6z9W5xPGWG5OyE_h91M3UK/view?usp=drivesdk</v>
      </c>
      <c r="Q604" s="147" t="s">
        <v>3335</v>
      </c>
      <c r="R604" s="147" t="s">
        <v>3336</v>
      </c>
      <c r="S604" s="60"/>
      <c r="T604" s="144">
        <v>1.0</v>
      </c>
      <c r="U604" s="145" t="s">
        <v>3337</v>
      </c>
      <c r="V604" s="147" t="s">
        <v>202</v>
      </c>
      <c r="W604" s="50" t="str">
        <f t="array" ref="W604">HYPERLINK(INDEX('File Links'!B:B, MATCH(U604, 'File Links'!C:C, 0)))
</f>
        <v>https://drive.google.com/file/d/17sgB6ScmXf8Wli1_dKWf0wpvxkNJRZtC/view?usp=drivesdk</v>
      </c>
      <c r="X604" s="60"/>
      <c r="Y604" s="147" t="s">
        <v>139</v>
      </c>
      <c r="Z604" s="60" t="s">
        <v>3338</v>
      </c>
      <c r="AA604" s="60" t="s">
        <v>3339</v>
      </c>
      <c r="AB604" s="147" t="s">
        <v>3350</v>
      </c>
      <c r="AC604" s="60"/>
      <c r="AD604" s="144">
        <v>5.0</v>
      </c>
      <c r="AE604" s="144">
        <v>27.0</v>
      </c>
      <c r="AF604" s="60"/>
      <c r="AG604" s="330" t="s">
        <v>162</v>
      </c>
      <c r="AH604" s="55"/>
      <c r="AI604" s="355">
        <v>0.001</v>
      </c>
      <c r="AJ604" s="147" t="s">
        <v>127</v>
      </c>
      <c r="AK604" s="52" t="s">
        <v>179</v>
      </c>
      <c r="AL604" s="60" t="s">
        <v>129</v>
      </c>
      <c r="AM604" s="60"/>
      <c r="AN604" s="144">
        <v>32.0</v>
      </c>
      <c r="AO604" s="60"/>
      <c r="AP604" s="147" t="s">
        <v>162</v>
      </c>
      <c r="AQ604" s="144">
        <v>9.0</v>
      </c>
      <c r="AR604" s="144">
        <v>0.001</v>
      </c>
      <c r="AS604" s="147" t="s">
        <v>127</v>
      </c>
      <c r="AT604" s="147" t="s">
        <v>179</v>
      </c>
      <c r="AU604" s="60" t="s">
        <v>129</v>
      </c>
      <c r="AV604" s="60"/>
      <c r="AW604" s="60" t="s">
        <v>134</v>
      </c>
      <c r="AX604" s="60"/>
    </row>
    <row r="605" ht="20.25" customHeight="1">
      <c r="A605" s="316" t="s">
        <v>520</v>
      </c>
      <c r="B605" s="316" t="s">
        <v>107</v>
      </c>
      <c r="C605" s="316" t="s">
        <v>1009</v>
      </c>
      <c r="D605" s="215"/>
      <c r="E605" s="60" t="s">
        <v>3330</v>
      </c>
      <c r="F605" s="613" t="s">
        <v>3351</v>
      </c>
      <c r="G605" s="52" t="s">
        <v>135</v>
      </c>
      <c r="H605" s="140">
        <v>45489.0</v>
      </c>
      <c r="I605" s="409">
        <v>45638.0</v>
      </c>
      <c r="J605" s="55"/>
      <c r="K605" s="55"/>
      <c r="L605" s="52" t="s">
        <v>3332</v>
      </c>
      <c r="M605" s="52" t="s">
        <v>3333</v>
      </c>
      <c r="N605" s="355">
        <v>1.0</v>
      </c>
      <c r="O605" s="353" t="s">
        <v>3334</v>
      </c>
      <c r="P605" s="48" t="str">
        <f t="array" ref="P605">HYPERLINK(INDEX('File Links'!B:B, MATCH(O605, 'File Links'!C:C, 0)))
</f>
        <v>https://drive.google.com/file/d/13vglHZTPgv6z9W5xPGWG5OyE_h91M3UK/view?usp=drivesdk</v>
      </c>
      <c r="Q605" s="52" t="s">
        <v>3335</v>
      </c>
      <c r="R605" s="52" t="s">
        <v>3336</v>
      </c>
      <c r="S605" s="55"/>
      <c r="T605" s="646">
        <v>1.0</v>
      </c>
      <c r="U605" s="354" t="s">
        <v>3337</v>
      </c>
      <c r="V605" s="52" t="s">
        <v>202</v>
      </c>
      <c r="W605" s="50" t="str">
        <f t="array" ref="W605">HYPERLINK(INDEX('File Links'!B:B, MATCH(U605, 'File Links'!C:C, 0)))
</f>
        <v>https://drive.google.com/file/d/17sgB6ScmXf8Wli1_dKWf0wpvxkNJRZtC/view?usp=drivesdk</v>
      </c>
      <c r="X605" s="55"/>
      <c r="Y605" s="52" t="s">
        <v>139</v>
      </c>
      <c r="Z605" s="55" t="s">
        <v>3338</v>
      </c>
      <c r="AA605" s="55" t="s">
        <v>3339</v>
      </c>
      <c r="AB605" s="52" t="s">
        <v>3352</v>
      </c>
      <c r="AC605" s="55"/>
      <c r="AD605" s="355">
        <v>5.0</v>
      </c>
      <c r="AE605" s="355">
        <v>27.0</v>
      </c>
      <c r="AF605" s="55"/>
      <c r="AG605" s="330" t="s">
        <v>162</v>
      </c>
      <c r="AH605" s="55"/>
      <c r="AI605" s="355">
        <v>0.001</v>
      </c>
      <c r="AJ605" s="147" t="s">
        <v>127</v>
      </c>
      <c r="AK605" s="52" t="s">
        <v>179</v>
      </c>
      <c r="AL605" s="55" t="s">
        <v>129</v>
      </c>
      <c r="AM605" s="55"/>
      <c r="AN605" s="355">
        <v>32.0</v>
      </c>
      <c r="AO605" s="55"/>
      <c r="AP605" s="52" t="s">
        <v>162</v>
      </c>
      <c r="AQ605" s="355">
        <v>9.0</v>
      </c>
      <c r="AR605" s="355">
        <v>0.133</v>
      </c>
      <c r="AS605" s="147" t="s">
        <v>164</v>
      </c>
      <c r="AT605" s="147" t="s">
        <v>179</v>
      </c>
      <c r="AU605" s="60" t="s">
        <v>129</v>
      </c>
      <c r="AV605" s="60"/>
      <c r="AW605" s="60" t="s">
        <v>134</v>
      </c>
      <c r="AX605" s="55"/>
    </row>
    <row r="606" ht="20.25" customHeight="1">
      <c r="A606" s="316" t="s">
        <v>520</v>
      </c>
      <c r="B606" s="316" t="s">
        <v>107</v>
      </c>
      <c r="C606" s="316" t="s">
        <v>1009</v>
      </c>
      <c r="D606" s="215"/>
      <c r="E606" s="60" t="s">
        <v>3330</v>
      </c>
      <c r="F606" s="613" t="s">
        <v>3353</v>
      </c>
      <c r="G606" s="147" t="s">
        <v>135</v>
      </c>
      <c r="H606" s="140">
        <v>45489.0</v>
      </c>
      <c r="I606" s="409">
        <v>45638.0</v>
      </c>
      <c r="J606" s="60"/>
      <c r="K606" s="60"/>
      <c r="L606" s="147" t="s">
        <v>3332</v>
      </c>
      <c r="M606" s="147" t="s">
        <v>3333</v>
      </c>
      <c r="N606" s="144">
        <v>1.0</v>
      </c>
      <c r="O606" s="145" t="s">
        <v>3334</v>
      </c>
      <c r="P606" s="48" t="str">
        <f t="array" ref="P606">HYPERLINK(INDEX('File Links'!B:B, MATCH(O606, 'File Links'!C:C, 0)))
</f>
        <v>https://drive.google.com/file/d/13vglHZTPgv6z9W5xPGWG5OyE_h91M3UK/view?usp=drivesdk</v>
      </c>
      <c r="Q606" s="147" t="s">
        <v>3335</v>
      </c>
      <c r="R606" s="147" t="s">
        <v>3336</v>
      </c>
      <c r="S606" s="60"/>
      <c r="T606" s="144">
        <v>1.0</v>
      </c>
      <c r="U606" s="145" t="s">
        <v>3337</v>
      </c>
      <c r="V606" s="147" t="s">
        <v>202</v>
      </c>
      <c r="W606" s="50" t="str">
        <f t="array" ref="W606">HYPERLINK(INDEX('File Links'!B:B, MATCH(U606, 'File Links'!C:C, 0)))
</f>
        <v>https://drive.google.com/file/d/17sgB6ScmXf8Wli1_dKWf0wpvxkNJRZtC/view?usp=drivesdk</v>
      </c>
      <c r="X606" s="60"/>
      <c r="Y606" s="147" t="s">
        <v>139</v>
      </c>
      <c r="Z606" s="60" t="s">
        <v>3338</v>
      </c>
      <c r="AA606" s="60" t="s">
        <v>3339</v>
      </c>
      <c r="AB606" s="147" t="s">
        <v>3354</v>
      </c>
      <c r="AC606" s="60"/>
      <c r="AD606" s="144">
        <v>5.0</v>
      </c>
      <c r="AE606" s="144">
        <v>27.0</v>
      </c>
      <c r="AF606" s="144">
        <v>16.69</v>
      </c>
      <c r="AG606" s="330" t="s">
        <v>162</v>
      </c>
      <c r="AH606" s="55"/>
      <c r="AI606" s="355">
        <v>0.001</v>
      </c>
      <c r="AJ606" s="147" t="s">
        <v>127</v>
      </c>
      <c r="AK606" s="52" t="s">
        <v>179</v>
      </c>
      <c r="AL606" s="60" t="s">
        <v>129</v>
      </c>
      <c r="AM606" s="60"/>
      <c r="AN606" s="144">
        <v>32.0</v>
      </c>
      <c r="AO606" s="144">
        <v>3.64</v>
      </c>
      <c r="AP606" s="147" t="s">
        <v>162</v>
      </c>
      <c r="AQ606" s="144">
        <v>9.0</v>
      </c>
      <c r="AR606" s="144">
        <v>0.015</v>
      </c>
      <c r="AS606" s="147" t="s">
        <v>164</v>
      </c>
      <c r="AT606" s="147" t="s">
        <v>179</v>
      </c>
      <c r="AU606" s="60" t="s">
        <v>129</v>
      </c>
      <c r="AV606" s="60"/>
      <c r="AW606" s="60" t="s">
        <v>134</v>
      </c>
      <c r="AX606" s="60"/>
    </row>
    <row r="607" ht="20.25" customHeight="1">
      <c r="A607" s="316" t="s">
        <v>520</v>
      </c>
      <c r="B607" s="316" t="s">
        <v>107</v>
      </c>
      <c r="C607" s="316" t="s">
        <v>1009</v>
      </c>
      <c r="D607" s="215"/>
      <c r="E607" s="60" t="s">
        <v>3330</v>
      </c>
      <c r="F607" s="613" t="s">
        <v>3355</v>
      </c>
      <c r="G607" s="52" t="s">
        <v>135</v>
      </c>
      <c r="H607" s="140">
        <v>45489.0</v>
      </c>
      <c r="I607" s="409">
        <v>45638.0</v>
      </c>
      <c r="J607" s="55"/>
      <c r="K607" s="55"/>
      <c r="L607" s="52" t="s">
        <v>3332</v>
      </c>
      <c r="M607" s="52" t="s">
        <v>3333</v>
      </c>
      <c r="N607" s="355">
        <v>1.0</v>
      </c>
      <c r="O607" s="353" t="s">
        <v>3334</v>
      </c>
      <c r="P607" s="48" t="str">
        <f t="array" ref="P607">HYPERLINK(INDEX('File Links'!B:B, MATCH(O607, 'File Links'!C:C, 0)))
</f>
        <v>https://drive.google.com/file/d/13vglHZTPgv6z9W5xPGWG5OyE_h91M3UK/view?usp=drivesdk</v>
      </c>
      <c r="Q607" s="52" t="s">
        <v>3335</v>
      </c>
      <c r="R607" s="52" t="s">
        <v>3336</v>
      </c>
      <c r="S607" s="55"/>
      <c r="T607" s="646">
        <v>1.0</v>
      </c>
      <c r="U607" s="354" t="s">
        <v>3337</v>
      </c>
      <c r="V607" s="52" t="s">
        <v>202</v>
      </c>
      <c r="W607" s="50" t="str">
        <f t="array" ref="W607">HYPERLINK(INDEX('File Links'!B:B, MATCH(U607, 'File Links'!C:C, 0)))
</f>
        <v>https://drive.google.com/file/d/17sgB6ScmXf8Wli1_dKWf0wpvxkNJRZtC/view?usp=drivesdk</v>
      </c>
      <c r="X607" s="55"/>
      <c r="Y607" s="52" t="s">
        <v>139</v>
      </c>
      <c r="Z607" s="55" t="s">
        <v>3338</v>
      </c>
      <c r="AA607" s="55" t="s">
        <v>3339</v>
      </c>
      <c r="AB607" s="52" t="s">
        <v>3356</v>
      </c>
      <c r="AC607" s="55"/>
      <c r="AD607" s="355">
        <v>5.0</v>
      </c>
      <c r="AE607" s="355">
        <v>27.0</v>
      </c>
      <c r="AF607" s="355">
        <v>2.34</v>
      </c>
      <c r="AG607" s="330" t="s">
        <v>162</v>
      </c>
      <c r="AH607" s="55"/>
      <c r="AI607" s="355">
        <v>0.139</v>
      </c>
      <c r="AJ607" s="147" t="s">
        <v>164</v>
      </c>
      <c r="AK607" s="52" t="s">
        <v>179</v>
      </c>
      <c r="AL607" s="55" t="s">
        <v>129</v>
      </c>
      <c r="AM607" s="55"/>
      <c r="AN607" s="355">
        <v>32.0</v>
      </c>
      <c r="AO607" s="355">
        <v>0.68</v>
      </c>
      <c r="AP607" s="52" t="s">
        <v>162</v>
      </c>
      <c r="AQ607" s="355">
        <v>9.0</v>
      </c>
      <c r="AR607" s="355">
        <v>0.564</v>
      </c>
      <c r="AS607" s="147" t="s">
        <v>164</v>
      </c>
      <c r="AT607" s="147" t="s">
        <v>179</v>
      </c>
      <c r="AU607" s="60" t="s">
        <v>129</v>
      </c>
      <c r="AV607" s="60"/>
      <c r="AW607" s="60" t="s">
        <v>134</v>
      </c>
      <c r="AX607" s="55"/>
      <c r="AZ607" s="215"/>
      <c r="BA607" s="215"/>
      <c r="BB607" s="215"/>
      <c r="BC607" s="215"/>
      <c r="BD607" s="215"/>
      <c r="BE607" s="215"/>
      <c r="BF607" s="215"/>
      <c r="BG607" s="215"/>
      <c r="BH607" s="215"/>
      <c r="BI607" s="215"/>
      <c r="BJ607" s="215"/>
      <c r="BK607" s="215"/>
      <c r="BL607" s="215"/>
      <c r="BM607" s="215"/>
      <c r="BN607" s="215"/>
      <c r="BO607" s="215"/>
      <c r="BP607" s="215"/>
      <c r="BQ607" s="215"/>
      <c r="BR607" s="215"/>
      <c r="BS607" s="215"/>
      <c r="BT607" s="215"/>
      <c r="BU607" s="215"/>
      <c r="BV607" s="215"/>
      <c r="BW607" s="215"/>
      <c r="BX607" s="215"/>
      <c r="BY607" s="215"/>
      <c r="BZ607" s="215"/>
      <c r="CA607" s="215"/>
      <c r="CB607" s="215"/>
      <c r="CC607" s="215"/>
      <c r="CD607" s="215"/>
      <c r="CE607" s="215"/>
      <c r="CF607" s="215"/>
      <c r="CG607" s="215"/>
      <c r="CH607" s="215"/>
      <c r="CI607" s="215"/>
      <c r="CJ607" s="215"/>
      <c r="CK607" s="215"/>
      <c r="CL607" s="215"/>
      <c r="CM607" s="215"/>
      <c r="CN607" s="215"/>
      <c r="CO607" s="215"/>
      <c r="CP607" s="215"/>
      <c r="CQ607" s="215"/>
      <c r="CR607" s="215"/>
      <c r="CS607" s="215"/>
      <c r="CT607" s="215"/>
      <c r="CU607" s="215"/>
      <c r="CV607" s="215"/>
      <c r="CW607" s="215"/>
      <c r="CX607" s="215"/>
      <c r="CY607" s="215"/>
      <c r="CZ607" s="215"/>
      <c r="DA607" s="215"/>
      <c r="DB607" s="215"/>
      <c r="DC607" s="215"/>
      <c r="DD607" s="215"/>
      <c r="DE607" s="215"/>
      <c r="DF607" s="215"/>
      <c r="DG607" s="215"/>
    </row>
    <row r="608" ht="20.25" customHeight="1">
      <c r="A608" s="316" t="s">
        <v>520</v>
      </c>
      <c r="B608" s="316" t="s">
        <v>107</v>
      </c>
      <c r="C608" s="316" t="s">
        <v>1009</v>
      </c>
      <c r="D608" s="215"/>
      <c r="E608" s="60" t="s">
        <v>3330</v>
      </c>
      <c r="F608" s="613" t="s">
        <v>3357</v>
      </c>
      <c r="G608" s="147" t="s">
        <v>135</v>
      </c>
      <c r="H608" s="140">
        <v>45489.0</v>
      </c>
      <c r="I608" s="409">
        <v>45638.0</v>
      </c>
      <c r="J608" s="60"/>
      <c r="K608" s="60"/>
      <c r="L608" s="147" t="s">
        <v>3332</v>
      </c>
      <c r="M608" s="147" t="s">
        <v>3333</v>
      </c>
      <c r="N608" s="144">
        <v>1.0</v>
      </c>
      <c r="O608" s="145" t="s">
        <v>3334</v>
      </c>
      <c r="P608" s="48" t="str">
        <f t="array" ref="P608">HYPERLINK(INDEX('File Links'!B:B, MATCH(O608, 'File Links'!C:C, 0)))
</f>
        <v>https://drive.google.com/file/d/13vglHZTPgv6z9W5xPGWG5OyE_h91M3UK/view?usp=drivesdk</v>
      </c>
      <c r="Q608" s="147" t="s">
        <v>3335</v>
      </c>
      <c r="R608" s="147" t="s">
        <v>3336</v>
      </c>
      <c r="S608" s="60"/>
      <c r="T608" s="144">
        <v>1.0</v>
      </c>
      <c r="U608" s="145" t="s">
        <v>3337</v>
      </c>
      <c r="V608" s="147" t="s">
        <v>202</v>
      </c>
      <c r="W608" s="50" t="str">
        <f t="array" ref="W608">HYPERLINK(INDEX('File Links'!B:B, MATCH(U608, 'File Links'!C:C, 0)))
</f>
        <v>https://drive.google.com/file/d/17sgB6ScmXf8Wli1_dKWf0wpvxkNJRZtC/view?usp=drivesdk</v>
      </c>
      <c r="X608" s="60"/>
      <c r="Y608" s="147" t="s">
        <v>139</v>
      </c>
      <c r="Z608" s="60" t="s">
        <v>3338</v>
      </c>
      <c r="AA608" s="60" t="s">
        <v>3339</v>
      </c>
      <c r="AB608" s="147" t="s">
        <v>3358</v>
      </c>
      <c r="AC608" s="60"/>
      <c r="AD608" s="144">
        <v>5.0</v>
      </c>
      <c r="AE608" s="144">
        <v>27.0</v>
      </c>
      <c r="AF608" s="144">
        <v>27.5</v>
      </c>
      <c r="AG608" s="330" t="s">
        <v>162</v>
      </c>
      <c r="AH608" s="55"/>
      <c r="AI608" s="355">
        <v>0.001</v>
      </c>
      <c r="AJ608" s="147" t="s">
        <v>127</v>
      </c>
      <c r="AK608" s="52" t="s">
        <v>179</v>
      </c>
      <c r="AL608" s="60" t="s">
        <v>129</v>
      </c>
      <c r="AM608" s="60"/>
      <c r="AN608" s="144">
        <v>32.0</v>
      </c>
      <c r="AO608" s="144">
        <v>4.35</v>
      </c>
      <c r="AP608" s="147" t="s">
        <v>162</v>
      </c>
      <c r="AQ608" s="144">
        <v>9.0</v>
      </c>
      <c r="AR608" s="144">
        <v>0.017</v>
      </c>
      <c r="AS608" s="147" t="s">
        <v>164</v>
      </c>
      <c r="AT608" s="147" t="s">
        <v>179</v>
      </c>
      <c r="AU608" s="60" t="s">
        <v>129</v>
      </c>
      <c r="AV608" s="60"/>
      <c r="AW608" s="60" t="s">
        <v>134</v>
      </c>
      <c r="AX608" s="60"/>
      <c r="AZ608" s="763"/>
      <c r="BA608" s="763"/>
      <c r="BB608" s="763"/>
      <c r="BC608" s="763"/>
      <c r="BD608" s="763"/>
      <c r="BE608" s="763"/>
      <c r="BF608" s="763"/>
      <c r="BG608" s="763"/>
      <c r="BH608" s="763"/>
      <c r="BI608" s="763"/>
      <c r="BJ608" s="763"/>
      <c r="BK608" s="763"/>
      <c r="BL608" s="763"/>
      <c r="BM608" s="763"/>
      <c r="BN608" s="763"/>
      <c r="BO608" s="763"/>
      <c r="BP608" s="763"/>
      <c r="BQ608" s="763"/>
      <c r="BR608" s="763"/>
      <c r="BS608" s="763"/>
      <c r="BT608" s="763"/>
      <c r="BU608" s="763"/>
      <c r="BV608" s="763"/>
      <c r="BW608" s="763"/>
      <c r="BX608" s="763"/>
      <c r="BY608" s="763"/>
      <c r="BZ608" s="763"/>
      <c r="CA608" s="763"/>
      <c r="CB608" s="763"/>
      <c r="CC608" s="763"/>
      <c r="CD608" s="763"/>
      <c r="CE608" s="763"/>
      <c r="CF608" s="763"/>
      <c r="CG608" s="763"/>
      <c r="CH608" s="763"/>
      <c r="CI608" s="763"/>
      <c r="CJ608" s="763"/>
      <c r="CK608" s="763"/>
      <c r="CL608" s="763"/>
      <c r="CM608" s="763"/>
      <c r="CN608" s="763"/>
      <c r="CO608" s="763"/>
      <c r="CP608" s="763"/>
      <c r="CQ608" s="763"/>
      <c r="CR608" s="763"/>
      <c r="CS608" s="763"/>
      <c r="CT608" s="763"/>
      <c r="CU608" s="763"/>
      <c r="CV608" s="763"/>
      <c r="CW608" s="763"/>
      <c r="CX608" s="763"/>
      <c r="CY608" s="763"/>
      <c r="CZ608" s="763"/>
      <c r="DA608" s="763"/>
      <c r="DB608" s="763"/>
      <c r="DC608" s="763"/>
      <c r="DD608" s="763"/>
      <c r="DE608" s="763"/>
      <c r="DF608" s="763"/>
      <c r="DG608" s="763"/>
    </row>
    <row r="609" ht="20.25" customHeight="1">
      <c r="A609" s="316" t="s">
        <v>520</v>
      </c>
      <c r="B609" s="316" t="s">
        <v>107</v>
      </c>
      <c r="C609" s="316" t="s">
        <v>1009</v>
      </c>
      <c r="D609" s="215"/>
      <c r="E609" s="60" t="s">
        <v>3330</v>
      </c>
      <c r="F609" s="613" t="s">
        <v>3359</v>
      </c>
      <c r="G609" s="52" t="s">
        <v>135</v>
      </c>
      <c r="H609" s="140">
        <v>45489.0</v>
      </c>
      <c r="I609" s="409">
        <v>45638.0</v>
      </c>
      <c r="J609" s="55"/>
      <c r="K609" s="55"/>
      <c r="L609" s="52" t="s">
        <v>3332</v>
      </c>
      <c r="M609" s="52" t="s">
        <v>3333</v>
      </c>
      <c r="N609" s="355">
        <v>1.0</v>
      </c>
      <c r="O609" s="353" t="s">
        <v>3334</v>
      </c>
      <c r="P609" s="48" t="str">
        <f t="array" ref="P609">HYPERLINK(INDEX('File Links'!B:B, MATCH(O609, 'File Links'!C:C, 0)))
</f>
        <v>https://drive.google.com/file/d/13vglHZTPgv6z9W5xPGWG5OyE_h91M3UK/view?usp=drivesdk</v>
      </c>
      <c r="Q609" s="52" t="s">
        <v>3335</v>
      </c>
      <c r="R609" s="52" t="s">
        <v>3336</v>
      </c>
      <c r="S609" s="55"/>
      <c r="T609" s="646">
        <v>1.0</v>
      </c>
      <c r="U609" s="354" t="s">
        <v>3337</v>
      </c>
      <c r="V609" s="52" t="s">
        <v>202</v>
      </c>
      <c r="W609" s="50" t="str">
        <f t="array" ref="W609">HYPERLINK(INDEX('File Links'!B:B, MATCH(U609, 'File Links'!C:C, 0)))
</f>
        <v>https://drive.google.com/file/d/17sgB6ScmXf8Wli1_dKWf0wpvxkNJRZtC/view?usp=drivesdk</v>
      </c>
      <c r="X609" s="55"/>
      <c r="Y609" s="52" t="s">
        <v>139</v>
      </c>
      <c r="Z609" s="55" t="s">
        <v>3338</v>
      </c>
      <c r="AA609" s="55" t="s">
        <v>3339</v>
      </c>
      <c r="AB609" s="52" t="s">
        <v>3360</v>
      </c>
      <c r="AC609" s="55"/>
      <c r="AD609" s="355">
        <v>5.0</v>
      </c>
      <c r="AE609" s="355">
        <v>27.0</v>
      </c>
      <c r="AF609" s="355">
        <v>9.26</v>
      </c>
      <c r="AG609" s="330" t="s">
        <v>162</v>
      </c>
      <c r="AH609" s="55"/>
      <c r="AI609" s="355">
        <v>0.005</v>
      </c>
      <c r="AJ609" s="147" t="s">
        <v>164</v>
      </c>
      <c r="AK609" s="52" t="s">
        <v>179</v>
      </c>
      <c r="AL609" s="55" t="s">
        <v>129</v>
      </c>
      <c r="AM609" s="55"/>
      <c r="AN609" s="355">
        <v>32.0</v>
      </c>
      <c r="AO609" s="355">
        <v>3.88</v>
      </c>
      <c r="AP609" s="52" t="s">
        <v>162</v>
      </c>
      <c r="AQ609" s="355">
        <v>9.0</v>
      </c>
      <c r="AR609" s="355">
        <v>0.026</v>
      </c>
      <c r="AS609" s="147" t="s">
        <v>164</v>
      </c>
      <c r="AT609" s="147" t="s">
        <v>179</v>
      </c>
      <c r="AU609" s="60" t="s">
        <v>129</v>
      </c>
      <c r="AV609" s="60"/>
      <c r="AW609" s="60" t="s">
        <v>134</v>
      </c>
      <c r="AX609" s="55"/>
      <c r="AZ609" s="763"/>
      <c r="BA609" s="763"/>
      <c r="BB609" s="763"/>
      <c r="BC609" s="763"/>
      <c r="BD609" s="763"/>
      <c r="BE609" s="763"/>
      <c r="BF609" s="763"/>
      <c r="BG609" s="763"/>
      <c r="BH609" s="763"/>
      <c r="BI609" s="763"/>
      <c r="BJ609" s="763"/>
      <c r="BK609" s="763"/>
      <c r="BL609" s="763"/>
      <c r="BM609" s="763"/>
      <c r="BN609" s="763"/>
      <c r="BO609" s="763"/>
      <c r="BP609" s="763"/>
      <c r="BQ609" s="763"/>
      <c r="BR609" s="763"/>
      <c r="BS609" s="763"/>
      <c r="BT609" s="763"/>
      <c r="BU609" s="763"/>
      <c r="BV609" s="763"/>
      <c r="BW609" s="763"/>
      <c r="BX609" s="763"/>
      <c r="BY609" s="763"/>
      <c r="BZ609" s="763"/>
      <c r="CA609" s="763"/>
      <c r="CB609" s="763"/>
      <c r="CC609" s="763"/>
      <c r="CD609" s="763"/>
      <c r="CE609" s="763"/>
      <c r="CF609" s="763"/>
      <c r="CG609" s="763"/>
      <c r="CH609" s="763"/>
      <c r="CI609" s="763"/>
      <c r="CJ609" s="763"/>
      <c r="CK609" s="763"/>
      <c r="CL609" s="763"/>
      <c r="CM609" s="763"/>
      <c r="CN609" s="763"/>
      <c r="CO609" s="763"/>
      <c r="CP609" s="763"/>
      <c r="CQ609" s="763"/>
      <c r="CR609" s="763"/>
      <c r="CS609" s="763"/>
      <c r="CT609" s="763"/>
      <c r="CU609" s="763"/>
      <c r="CV609" s="763"/>
      <c r="CW609" s="763"/>
      <c r="CX609" s="763"/>
      <c r="CY609" s="763"/>
      <c r="CZ609" s="763"/>
      <c r="DA609" s="763"/>
      <c r="DB609" s="763"/>
      <c r="DC609" s="763"/>
      <c r="DD609" s="763"/>
      <c r="DE609" s="763"/>
      <c r="DF609" s="763"/>
      <c r="DG609" s="763"/>
    </row>
    <row r="610" ht="20.25" customHeight="1">
      <c r="A610" s="316" t="s">
        <v>520</v>
      </c>
      <c r="B610" s="316" t="s">
        <v>107</v>
      </c>
      <c r="C610" s="316" t="s">
        <v>1009</v>
      </c>
      <c r="D610" s="215"/>
      <c r="E610" s="60" t="s">
        <v>3330</v>
      </c>
      <c r="F610" s="613" t="s">
        <v>3361</v>
      </c>
      <c r="G610" s="147" t="s">
        <v>135</v>
      </c>
      <c r="H610" s="140">
        <v>45489.0</v>
      </c>
      <c r="I610" s="409">
        <v>45638.0</v>
      </c>
      <c r="J610" s="60"/>
      <c r="K610" s="60"/>
      <c r="L610" s="147" t="s">
        <v>3332</v>
      </c>
      <c r="M610" s="147" t="s">
        <v>3333</v>
      </c>
      <c r="N610" s="144">
        <v>1.0</v>
      </c>
      <c r="O610" s="145" t="s">
        <v>3334</v>
      </c>
      <c r="P610" s="48" t="str">
        <f t="array" ref="P610">HYPERLINK(INDEX('File Links'!B:B, MATCH(O610, 'File Links'!C:C, 0)))
</f>
        <v>https://drive.google.com/file/d/13vglHZTPgv6z9W5xPGWG5OyE_h91M3UK/view?usp=drivesdk</v>
      </c>
      <c r="Q610" s="147" t="s">
        <v>3335</v>
      </c>
      <c r="R610" s="147" t="s">
        <v>3336</v>
      </c>
      <c r="S610" s="60"/>
      <c r="T610" s="144">
        <v>1.0</v>
      </c>
      <c r="U610" s="145" t="s">
        <v>3337</v>
      </c>
      <c r="V610" s="147" t="s">
        <v>202</v>
      </c>
      <c r="W610" s="50" t="str">
        <f t="array" ref="W610">HYPERLINK(INDEX('File Links'!B:B, MATCH(U610, 'File Links'!C:C, 0)))
</f>
        <v>https://drive.google.com/file/d/17sgB6ScmXf8Wli1_dKWf0wpvxkNJRZtC/view?usp=drivesdk</v>
      </c>
      <c r="X610" s="60"/>
      <c r="Y610" s="147" t="s">
        <v>139</v>
      </c>
      <c r="Z610" s="60" t="s">
        <v>3338</v>
      </c>
      <c r="AA610" s="60" t="s">
        <v>3339</v>
      </c>
      <c r="AB610" s="147" t="s">
        <v>3362</v>
      </c>
      <c r="AC610" s="60"/>
      <c r="AD610" s="144">
        <v>5.0</v>
      </c>
      <c r="AE610" s="144">
        <v>27.0</v>
      </c>
      <c r="AF610" s="144">
        <v>20.47</v>
      </c>
      <c r="AG610" s="330" t="s">
        <v>162</v>
      </c>
      <c r="AH610" s="55"/>
      <c r="AI610" s="355">
        <v>0.001</v>
      </c>
      <c r="AJ610" s="147" t="s">
        <v>127</v>
      </c>
      <c r="AK610" s="52" t="s">
        <v>179</v>
      </c>
      <c r="AL610" s="60" t="s">
        <v>129</v>
      </c>
      <c r="AM610" s="60"/>
      <c r="AN610" s="144">
        <v>32.0</v>
      </c>
      <c r="AO610" s="144">
        <v>7.29</v>
      </c>
      <c r="AP610" s="147" t="s">
        <v>162</v>
      </c>
      <c r="AQ610" s="144">
        <v>9.0</v>
      </c>
      <c r="AR610" s="144">
        <v>0.011</v>
      </c>
      <c r="AS610" s="147" t="s">
        <v>164</v>
      </c>
      <c r="AT610" s="147" t="s">
        <v>179</v>
      </c>
      <c r="AU610" s="60" t="s">
        <v>129</v>
      </c>
      <c r="AV610" s="60"/>
      <c r="AW610" s="60" t="s">
        <v>134</v>
      </c>
      <c r="AX610" s="60"/>
      <c r="AZ610" s="763"/>
      <c r="BA610" s="763"/>
      <c r="BB610" s="763"/>
      <c r="BC610" s="763"/>
      <c r="BD610" s="763"/>
      <c r="BE610" s="763"/>
      <c r="BF610" s="763"/>
      <c r="BG610" s="763"/>
      <c r="BH610" s="763"/>
      <c r="BI610" s="763"/>
      <c r="BJ610" s="763"/>
      <c r="BK610" s="763"/>
      <c r="BL610" s="763"/>
      <c r="BM610" s="763"/>
      <c r="BN610" s="763"/>
      <c r="BO610" s="763"/>
      <c r="BP610" s="763"/>
      <c r="BQ610" s="763"/>
      <c r="BR610" s="763"/>
      <c r="BS610" s="763"/>
      <c r="BT610" s="763"/>
      <c r="BU610" s="763"/>
      <c r="BV610" s="763"/>
      <c r="BW610" s="763"/>
      <c r="BX610" s="763"/>
      <c r="BY610" s="763"/>
      <c r="BZ610" s="763"/>
      <c r="CA610" s="763"/>
      <c r="CB610" s="763"/>
      <c r="CC610" s="763"/>
      <c r="CD610" s="763"/>
      <c r="CE610" s="763"/>
      <c r="CF610" s="763"/>
      <c r="CG610" s="763"/>
      <c r="CH610" s="763"/>
      <c r="CI610" s="763"/>
      <c r="CJ610" s="763"/>
      <c r="CK610" s="763"/>
      <c r="CL610" s="763"/>
      <c r="CM610" s="763"/>
      <c r="CN610" s="763"/>
      <c r="CO610" s="763"/>
      <c r="CP610" s="763"/>
      <c r="CQ610" s="763"/>
      <c r="CR610" s="763"/>
      <c r="CS610" s="763"/>
      <c r="CT610" s="763"/>
      <c r="CU610" s="763"/>
      <c r="CV610" s="763"/>
      <c r="CW610" s="763"/>
      <c r="CX610" s="763"/>
      <c r="CY610" s="763"/>
      <c r="CZ610" s="763"/>
      <c r="DA610" s="763"/>
      <c r="DB610" s="763"/>
      <c r="DC610" s="763"/>
      <c r="DD610" s="763"/>
      <c r="DE610" s="763"/>
      <c r="DF610" s="763"/>
      <c r="DG610" s="763"/>
    </row>
    <row r="611" ht="20.25" customHeight="1">
      <c r="A611" s="316" t="s">
        <v>520</v>
      </c>
      <c r="B611" s="316" t="s">
        <v>107</v>
      </c>
      <c r="C611" s="316" t="s">
        <v>1009</v>
      </c>
      <c r="D611" s="215"/>
      <c r="E611" s="60" t="s">
        <v>3330</v>
      </c>
      <c r="F611" s="613" t="s">
        <v>3363</v>
      </c>
      <c r="G611" s="52" t="s">
        <v>135</v>
      </c>
      <c r="H611" s="140">
        <v>45489.0</v>
      </c>
      <c r="I611" s="409">
        <v>45638.0</v>
      </c>
      <c r="J611" s="55"/>
      <c r="K611" s="55"/>
      <c r="L611" s="52" t="s">
        <v>3332</v>
      </c>
      <c r="M611" s="52" t="s">
        <v>3333</v>
      </c>
      <c r="N611" s="355">
        <v>1.0</v>
      </c>
      <c r="O611" s="353" t="s">
        <v>3334</v>
      </c>
      <c r="P611" s="48" t="str">
        <f t="array" ref="P611">HYPERLINK(INDEX('File Links'!B:B, MATCH(O611, 'File Links'!C:C, 0)))
</f>
        <v>https://drive.google.com/file/d/13vglHZTPgv6z9W5xPGWG5OyE_h91M3UK/view?usp=drivesdk</v>
      </c>
      <c r="Q611" s="52" t="s">
        <v>3335</v>
      </c>
      <c r="R611" s="52" t="s">
        <v>3336</v>
      </c>
      <c r="S611" s="55"/>
      <c r="T611" s="646">
        <v>1.0</v>
      </c>
      <c r="U611" s="354" t="s">
        <v>3337</v>
      </c>
      <c r="V611" s="52" t="s">
        <v>202</v>
      </c>
      <c r="W611" s="50" t="str">
        <f t="array" ref="W611">HYPERLINK(INDEX('File Links'!B:B, MATCH(U611, 'File Links'!C:C, 0)))
</f>
        <v>https://drive.google.com/file/d/17sgB6ScmXf8Wli1_dKWf0wpvxkNJRZtC/view?usp=drivesdk</v>
      </c>
      <c r="X611" s="55"/>
      <c r="Y611" s="52" t="s">
        <v>139</v>
      </c>
      <c r="Z611" s="55" t="s">
        <v>3338</v>
      </c>
      <c r="AA611" s="55" t="s">
        <v>3339</v>
      </c>
      <c r="AB611" s="52" t="s">
        <v>3364</v>
      </c>
      <c r="AC611" s="55"/>
      <c r="AD611" s="355">
        <v>5.0</v>
      </c>
      <c r="AE611" s="355">
        <v>27.0</v>
      </c>
      <c r="AF611" s="355">
        <v>3.97</v>
      </c>
      <c r="AG611" s="330" t="s">
        <v>162</v>
      </c>
      <c r="AH611" s="55"/>
      <c r="AI611" s="355">
        <v>0.057</v>
      </c>
      <c r="AJ611" s="147" t="s">
        <v>164</v>
      </c>
      <c r="AK611" s="52" t="s">
        <v>179</v>
      </c>
      <c r="AL611" s="55" t="s">
        <v>129</v>
      </c>
      <c r="AM611" s="55"/>
      <c r="AN611" s="355">
        <v>32.0</v>
      </c>
      <c r="AO611" s="355">
        <v>0.07</v>
      </c>
      <c r="AP611" s="52" t="s">
        <v>162</v>
      </c>
      <c r="AQ611" s="355">
        <v>9.0</v>
      </c>
      <c r="AR611" s="355">
        <v>0.792</v>
      </c>
      <c r="AS611" s="147" t="s">
        <v>164</v>
      </c>
      <c r="AT611" s="147" t="s">
        <v>179</v>
      </c>
      <c r="AU611" s="60" t="s">
        <v>129</v>
      </c>
      <c r="AV611" s="60"/>
      <c r="AW611" s="60" t="s">
        <v>134</v>
      </c>
      <c r="AX611" s="55"/>
      <c r="AZ611" s="215"/>
      <c r="BA611" s="215"/>
      <c r="BB611" s="215"/>
      <c r="BC611" s="215"/>
      <c r="BD611" s="215"/>
      <c r="BE611" s="215"/>
      <c r="BF611" s="215"/>
      <c r="BG611" s="215"/>
      <c r="BH611" s="215"/>
      <c r="BI611" s="215"/>
      <c r="BJ611" s="215"/>
      <c r="BK611" s="215"/>
      <c r="BL611" s="215"/>
      <c r="BM611" s="215"/>
      <c r="BN611" s="215"/>
      <c r="BO611" s="215"/>
      <c r="BP611" s="215"/>
      <c r="BQ611" s="215"/>
      <c r="BR611" s="215"/>
      <c r="BS611" s="215"/>
      <c r="BT611" s="215"/>
      <c r="BU611" s="215"/>
      <c r="BV611" s="215"/>
      <c r="BW611" s="215"/>
      <c r="BX611" s="215"/>
      <c r="BY611" s="215"/>
      <c r="BZ611" s="215"/>
      <c r="CA611" s="215"/>
      <c r="CB611" s="215"/>
      <c r="CC611" s="215"/>
      <c r="CD611" s="215"/>
      <c r="CE611" s="215"/>
      <c r="CF611" s="215"/>
      <c r="CG611" s="215"/>
      <c r="CH611" s="215"/>
      <c r="CI611" s="215"/>
      <c r="CJ611" s="215"/>
      <c r="CK611" s="215"/>
      <c r="CL611" s="215"/>
      <c r="CM611" s="215"/>
      <c r="CN611" s="215"/>
      <c r="CO611" s="215"/>
      <c r="CP611" s="215"/>
      <c r="CQ611" s="215"/>
      <c r="CR611" s="215"/>
      <c r="CS611" s="215"/>
      <c r="CT611" s="215"/>
      <c r="CU611" s="215"/>
      <c r="CV611" s="215"/>
      <c r="CW611" s="215"/>
      <c r="CX611" s="215"/>
      <c r="CY611" s="215"/>
      <c r="CZ611" s="215"/>
      <c r="DA611" s="215"/>
      <c r="DB611" s="215"/>
      <c r="DC611" s="215"/>
      <c r="DD611" s="215"/>
      <c r="DE611" s="215"/>
      <c r="DF611" s="215"/>
      <c r="DG611" s="215"/>
    </row>
    <row r="612" ht="20.25" customHeight="1">
      <c r="A612" s="316" t="s">
        <v>520</v>
      </c>
      <c r="B612" s="316" t="s">
        <v>107</v>
      </c>
      <c r="C612" s="316" t="s">
        <v>1009</v>
      </c>
      <c r="D612" s="215"/>
      <c r="E612" s="60" t="s">
        <v>3330</v>
      </c>
      <c r="F612" s="613" t="s">
        <v>3365</v>
      </c>
      <c r="G612" s="147" t="s">
        <v>135</v>
      </c>
      <c r="H612" s="140">
        <v>45489.0</v>
      </c>
      <c r="I612" s="409">
        <v>45638.0</v>
      </c>
      <c r="J612" s="60"/>
      <c r="K612" s="60"/>
      <c r="L612" s="147" t="s">
        <v>3332</v>
      </c>
      <c r="M612" s="147" t="s">
        <v>3333</v>
      </c>
      <c r="N612" s="144">
        <v>1.0</v>
      </c>
      <c r="O612" s="145" t="s">
        <v>3334</v>
      </c>
      <c r="P612" s="48" t="str">
        <f t="array" ref="P612">HYPERLINK(INDEX('File Links'!B:B, MATCH(O612, 'File Links'!C:C, 0)))
</f>
        <v>https://drive.google.com/file/d/13vglHZTPgv6z9W5xPGWG5OyE_h91M3UK/view?usp=drivesdk</v>
      </c>
      <c r="Q612" s="147" t="s">
        <v>3335</v>
      </c>
      <c r="R612" s="147" t="s">
        <v>3336</v>
      </c>
      <c r="S612" s="60"/>
      <c r="T612" s="144">
        <v>1.0</v>
      </c>
      <c r="U612" s="145" t="s">
        <v>3337</v>
      </c>
      <c r="V612" s="147" t="s">
        <v>202</v>
      </c>
      <c r="W612" s="50" t="str">
        <f t="array" ref="W612">HYPERLINK(INDEX('File Links'!B:B, MATCH(U612, 'File Links'!C:C, 0)))
</f>
        <v>https://drive.google.com/file/d/17sgB6ScmXf8Wli1_dKWf0wpvxkNJRZtC/view?usp=drivesdk</v>
      </c>
      <c r="X612" s="60"/>
      <c r="Y612" s="147" t="s">
        <v>139</v>
      </c>
      <c r="Z612" s="60" t="s">
        <v>3338</v>
      </c>
      <c r="AA612" s="60" t="s">
        <v>3339</v>
      </c>
      <c r="AB612" s="147" t="s">
        <v>3366</v>
      </c>
      <c r="AC612" s="60"/>
      <c r="AD612" s="60"/>
      <c r="AE612" s="60"/>
      <c r="AF612" s="60"/>
      <c r="AG612" s="330" t="s">
        <v>162</v>
      </c>
      <c r="AH612" s="55"/>
      <c r="AI612" s="355">
        <v>0.001</v>
      </c>
      <c r="AJ612" s="147" t="s">
        <v>127</v>
      </c>
      <c r="AK612" s="52" t="s">
        <v>179</v>
      </c>
      <c r="AL612" s="60" t="s">
        <v>129</v>
      </c>
      <c r="AM612" s="60"/>
      <c r="AN612" s="144">
        <v>32.0</v>
      </c>
      <c r="AO612" s="60"/>
      <c r="AP612" s="147" t="s">
        <v>162</v>
      </c>
      <c r="AQ612" s="144">
        <v>9.0</v>
      </c>
      <c r="AR612" s="144">
        <v>0.001</v>
      </c>
      <c r="AS612" s="147" t="s">
        <v>127</v>
      </c>
      <c r="AT612" s="147" t="s">
        <v>179</v>
      </c>
      <c r="AU612" s="60" t="s">
        <v>129</v>
      </c>
      <c r="AV612" s="60"/>
      <c r="AW612" s="60" t="s">
        <v>134</v>
      </c>
      <c r="AX612" s="60"/>
      <c r="AZ612" s="95"/>
      <c r="BA612" s="95"/>
      <c r="BB612" s="95"/>
      <c r="BC612" s="95"/>
      <c r="BD612" s="95"/>
      <c r="BE612" s="95"/>
      <c r="BF612" s="95"/>
      <c r="BG612" s="95"/>
      <c r="BH612" s="95"/>
      <c r="BI612" s="95"/>
      <c r="BJ612" s="95"/>
      <c r="BK612" s="95"/>
      <c r="BL612" s="95"/>
      <c r="BM612" s="95"/>
      <c r="BN612" s="95"/>
      <c r="BO612" s="95"/>
      <c r="BP612" s="95"/>
      <c r="BQ612" s="95"/>
      <c r="BR612" s="95"/>
      <c r="BS612" s="95"/>
      <c r="BT612" s="95"/>
      <c r="BU612" s="95"/>
      <c r="BV612" s="95"/>
      <c r="BW612" s="95"/>
      <c r="BX612" s="95"/>
      <c r="BY612" s="95"/>
      <c r="BZ612" s="95"/>
      <c r="CA612" s="95"/>
      <c r="CB612" s="95"/>
      <c r="CC612" s="95"/>
      <c r="CD612" s="95"/>
      <c r="CE612" s="95"/>
      <c r="CF612" s="95"/>
      <c r="CG612" s="95"/>
      <c r="CH612" s="95"/>
      <c r="CI612" s="95"/>
      <c r="CJ612" s="95"/>
      <c r="CK612" s="95"/>
      <c r="CL612" s="95"/>
      <c r="CM612" s="95"/>
      <c r="CN612" s="95"/>
      <c r="CO612" s="95"/>
      <c r="CP612" s="95"/>
      <c r="CQ612" s="95"/>
      <c r="CR612" s="95"/>
      <c r="CS612" s="95"/>
      <c r="CT612" s="95"/>
      <c r="CU612" s="95"/>
      <c r="CV612" s="95"/>
      <c r="CW612" s="95"/>
      <c r="CX612" s="95"/>
      <c r="CY612" s="95"/>
      <c r="CZ612" s="95"/>
      <c r="DA612" s="95"/>
      <c r="DB612" s="95"/>
      <c r="DC612" s="95"/>
      <c r="DD612" s="95"/>
      <c r="DE612" s="95"/>
      <c r="DF612" s="95"/>
      <c r="DG612" s="95"/>
    </row>
    <row r="613" ht="20.25" customHeight="1">
      <c r="A613" s="316" t="s">
        <v>520</v>
      </c>
      <c r="B613" s="316" t="s">
        <v>107</v>
      </c>
      <c r="C613" s="316" t="s">
        <v>1009</v>
      </c>
      <c r="D613" s="215"/>
      <c r="E613" s="60" t="s">
        <v>3330</v>
      </c>
      <c r="F613" s="613" t="s">
        <v>3367</v>
      </c>
      <c r="G613" s="52" t="s">
        <v>135</v>
      </c>
      <c r="H613" s="140">
        <v>45489.0</v>
      </c>
      <c r="I613" s="409">
        <v>45638.0</v>
      </c>
      <c r="J613" s="55"/>
      <c r="K613" s="55"/>
      <c r="L613" s="52" t="s">
        <v>3332</v>
      </c>
      <c r="M613" s="52" t="s">
        <v>3333</v>
      </c>
      <c r="N613" s="355">
        <v>1.0</v>
      </c>
      <c r="O613" s="353" t="s">
        <v>3334</v>
      </c>
      <c r="P613" s="48" t="str">
        <f t="array" ref="P613">HYPERLINK(INDEX('File Links'!B:B, MATCH(O613, 'File Links'!C:C, 0)))
</f>
        <v>https://drive.google.com/file/d/13vglHZTPgv6z9W5xPGWG5OyE_h91M3UK/view?usp=drivesdk</v>
      </c>
      <c r="Q613" s="52" t="s">
        <v>3335</v>
      </c>
      <c r="R613" s="52" t="s">
        <v>3336</v>
      </c>
      <c r="S613" s="55"/>
      <c r="T613" s="646">
        <v>1.0</v>
      </c>
      <c r="U613" s="354" t="s">
        <v>3337</v>
      </c>
      <c r="V613" s="52" t="s">
        <v>202</v>
      </c>
      <c r="W613" s="50" t="str">
        <f t="array" ref="W613">HYPERLINK(INDEX('File Links'!B:B, MATCH(U613, 'File Links'!C:C, 0)))
</f>
        <v>https://drive.google.com/file/d/17sgB6ScmXf8Wli1_dKWf0wpvxkNJRZtC/view?usp=drivesdk</v>
      </c>
      <c r="X613" s="55"/>
      <c r="Y613" s="52" t="s">
        <v>139</v>
      </c>
      <c r="Z613" s="55" t="s">
        <v>3338</v>
      </c>
      <c r="AA613" s="55" t="s">
        <v>3339</v>
      </c>
      <c r="AB613" s="52" t="s">
        <v>3368</v>
      </c>
      <c r="AC613" s="55"/>
      <c r="AD613" s="355">
        <v>5.0</v>
      </c>
      <c r="AE613" s="355">
        <v>27.0</v>
      </c>
      <c r="AF613" s="55"/>
      <c r="AG613" s="330" t="s">
        <v>162</v>
      </c>
      <c r="AH613" s="55"/>
      <c r="AI613" s="355">
        <v>0.001</v>
      </c>
      <c r="AJ613" s="147" t="s">
        <v>127</v>
      </c>
      <c r="AK613" s="52" t="s">
        <v>179</v>
      </c>
      <c r="AL613" s="55" t="s">
        <v>129</v>
      </c>
      <c r="AM613" s="55"/>
      <c r="AN613" s="355">
        <v>32.0</v>
      </c>
      <c r="AO613" s="55"/>
      <c r="AP613" s="52" t="s">
        <v>162</v>
      </c>
      <c r="AQ613" s="355">
        <v>9.0</v>
      </c>
      <c r="AR613" s="355">
        <v>0.287</v>
      </c>
      <c r="AS613" s="147" t="s">
        <v>164</v>
      </c>
      <c r="AT613" s="147" t="s">
        <v>179</v>
      </c>
      <c r="AU613" s="60" t="s">
        <v>129</v>
      </c>
      <c r="AV613" s="60"/>
      <c r="AW613" s="60" t="s">
        <v>134</v>
      </c>
      <c r="AX613" s="55"/>
      <c r="AZ613" s="64"/>
      <c r="BA613" s="64"/>
      <c r="BB613" s="64"/>
      <c r="BC613" s="64"/>
      <c r="BD613" s="64"/>
      <c r="BE613" s="64"/>
      <c r="BF613" s="64"/>
      <c r="BG613" s="64"/>
      <c r="BH613" s="64"/>
      <c r="BI613" s="64"/>
      <c r="BJ613" s="64"/>
      <c r="BK613" s="64"/>
      <c r="BL613" s="64"/>
      <c r="BM613" s="64"/>
      <c r="BN613" s="64"/>
      <c r="BO613" s="64"/>
      <c r="BP613" s="64"/>
      <c r="BQ613" s="64"/>
      <c r="BR613" s="64"/>
      <c r="BS613" s="64"/>
      <c r="BT613" s="64"/>
      <c r="BU613" s="64"/>
      <c r="BV613" s="64"/>
      <c r="BW613" s="64"/>
      <c r="BX613" s="64"/>
      <c r="BY613" s="64"/>
      <c r="BZ613" s="64"/>
      <c r="CA613" s="64"/>
      <c r="CB613" s="64"/>
      <c r="CC613" s="64"/>
      <c r="CD613" s="64"/>
      <c r="CE613" s="64"/>
      <c r="CF613" s="64"/>
      <c r="CG613" s="64"/>
      <c r="CH613" s="64"/>
      <c r="CI613" s="64"/>
      <c r="CJ613" s="64"/>
      <c r="CK613" s="64"/>
      <c r="CL613" s="64"/>
      <c r="CM613" s="64"/>
      <c r="CN613" s="64"/>
      <c r="CO613" s="64"/>
      <c r="CP613" s="64"/>
      <c r="CQ613" s="64"/>
      <c r="CR613" s="64"/>
      <c r="CS613" s="64"/>
      <c r="CT613" s="64"/>
      <c r="CU613" s="64"/>
      <c r="CV613" s="64"/>
      <c r="CW613" s="64"/>
      <c r="CX613" s="64"/>
      <c r="CY613" s="64"/>
      <c r="CZ613" s="64"/>
      <c r="DA613" s="64"/>
      <c r="DB613" s="64"/>
      <c r="DC613" s="64"/>
      <c r="DD613" s="64"/>
      <c r="DE613" s="64"/>
      <c r="DF613" s="64"/>
      <c r="DG613" s="64"/>
    </row>
    <row r="614" ht="20.25" customHeight="1">
      <c r="A614" s="316" t="s">
        <v>520</v>
      </c>
      <c r="B614" s="316" t="s">
        <v>107</v>
      </c>
      <c r="C614" s="316" t="s">
        <v>1009</v>
      </c>
      <c r="D614" s="215"/>
      <c r="E614" s="60" t="s">
        <v>3330</v>
      </c>
      <c r="F614" s="613" t="s">
        <v>3369</v>
      </c>
      <c r="G614" s="52" t="s">
        <v>135</v>
      </c>
      <c r="H614" s="140">
        <v>45489.0</v>
      </c>
      <c r="I614" s="409">
        <v>45638.0</v>
      </c>
      <c r="J614" s="55"/>
      <c r="K614" s="55"/>
      <c r="L614" s="52" t="s">
        <v>3332</v>
      </c>
      <c r="M614" s="52" t="s">
        <v>3333</v>
      </c>
      <c r="N614" s="355">
        <v>1.0</v>
      </c>
      <c r="O614" s="353" t="s">
        <v>3334</v>
      </c>
      <c r="P614" s="48" t="str">
        <f t="array" ref="P614">HYPERLINK(INDEX('File Links'!B:B, MATCH(O614, 'File Links'!C:C, 0)))
</f>
        <v>https://drive.google.com/file/d/13vglHZTPgv6z9W5xPGWG5OyE_h91M3UK/view?usp=drivesdk</v>
      </c>
      <c r="Q614" s="52" t="s">
        <v>3335</v>
      </c>
      <c r="R614" s="52" t="s">
        <v>3336</v>
      </c>
      <c r="S614" s="55"/>
      <c r="T614" s="646">
        <v>1.0</v>
      </c>
      <c r="U614" s="354" t="s">
        <v>3337</v>
      </c>
      <c r="V614" s="52" t="s">
        <v>202</v>
      </c>
      <c r="W614" s="50" t="str">
        <f t="array" ref="W614">HYPERLINK(INDEX('File Links'!B:B, MATCH(U614, 'File Links'!C:C, 0)))
</f>
        <v>https://drive.google.com/file/d/17sgB6ScmXf8Wli1_dKWf0wpvxkNJRZtC/view?usp=drivesdk</v>
      </c>
      <c r="X614" s="55"/>
      <c r="Y614" s="52" t="s">
        <v>139</v>
      </c>
      <c r="Z614" s="55" t="s">
        <v>3338</v>
      </c>
      <c r="AA614" s="55" t="s">
        <v>3339</v>
      </c>
      <c r="AB614" s="52" t="s">
        <v>3370</v>
      </c>
      <c r="AC614" s="55"/>
      <c r="AD614" s="355">
        <v>5.0</v>
      </c>
      <c r="AE614" s="355">
        <v>27.0</v>
      </c>
      <c r="AF614" s="355">
        <v>9.4</v>
      </c>
      <c r="AG614" s="330" t="s">
        <v>162</v>
      </c>
      <c r="AH614" s="55"/>
      <c r="AI614" s="355">
        <v>0.005</v>
      </c>
      <c r="AJ614" s="147" t="s">
        <v>164</v>
      </c>
      <c r="AK614" s="52" t="s">
        <v>179</v>
      </c>
      <c r="AL614" s="55" t="s">
        <v>129</v>
      </c>
      <c r="AM614" s="55"/>
      <c r="AN614" s="355">
        <v>32.0</v>
      </c>
      <c r="AO614" s="355">
        <v>24.42</v>
      </c>
      <c r="AP614" s="52" t="s">
        <v>162</v>
      </c>
      <c r="AQ614" s="355">
        <v>9.0</v>
      </c>
      <c r="AR614" s="355">
        <v>0.001</v>
      </c>
      <c r="AS614" s="147" t="s">
        <v>127</v>
      </c>
      <c r="AT614" s="147" t="s">
        <v>179</v>
      </c>
      <c r="AU614" s="60" t="s">
        <v>129</v>
      </c>
      <c r="AV614" s="60"/>
      <c r="AW614" s="60" t="s">
        <v>134</v>
      </c>
      <c r="AX614" s="55"/>
      <c r="AZ614" s="64"/>
      <c r="BA614" s="64"/>
      <c r="BB614" s="64"/>
      <c r="BC614" s="64"/>
      <c r="BD614" s="64"/>
      <c r="BE614" s="64"/>
      <c r="BF614" s="64"/>
      <c r="BG614" s="64"/>
      <c r="BH614" s="64"/>
      <c r="BI614" s="64"/>
      <c r="BJ614" s="64"/>
      <c r="BK614" s="64"/>
      <c r="BL614" s="64"/>
      <c r="BM614" s="64"/>
      <c r="BN614" s="64"/>
      <c r="BO614" s="64"/>
      <c r="BP614" s="64"/>
      <c r="BQ614" s="64"/>
      <c r="BR614" s="64"/>
      <c r="BS614" s="64"/>
      <c r="BT614" s="64"/>
      <c r="BU614" s="64"/>
      <c r="BV614" s="64"/>
      <c r="BW614" s="64"/>
      <c r="BX614" s="64"/>
      <c r="BY614" s="64"/>
      <c r="BZ614" s="64"/>
      <c r="CA614" s="64"/>
      <c r="CB614" s="64"/>
      <c r="CC614" s="64"/>
      <c r="CD614" s="64"/>
      <c r="CE614" s="64"/>
      <c r="CF614" s="64"/>
      <c r="CG614" s="64"/>
      <c r="CH614" s="64"/>
      <c r="CI614" s="64"/>
      <c r="CJ614" s="64"/>
      <c r="CK614" s="64"/>
      <c r="CL614" s="64"/>
      <c r="CM614" s="64"/>
      <c r="CN614" s="64"/>
      <c r="CO614" s="64"/>
      <c r="CP614" s="64"/>
      <c r="CQ614" s="64"/>
      <c r="CR614" s="64"/>
      <c r="CS614" s="64"/>
      <c r="CT614" s="64"/>
      <c r="CU614" s="64"/>
      <c r="CV614" s="64"/>
      <c r="CW614" s="64"/>
      <c r="CX614" s="64"/>
      <c r="CY614" s="64"/>
      <c r="CZ614" s="64"/>
      <c r="DA614" s="64"/>
      <c r="DB614" s="64"/>
      <c r="DC614" s="64"/>
      <c r="DD614" s="64"/>
      <c r="DE614" s="64"/>
      <c r="DF614" s="64"/>
      <c r="DG614" s="64"/>
    </row>
    <row r="615" ht="20.25" customHeight="1">
      <c r="A615" s="316" t="s">
        <v>520</v>
      </c>
      <c r="B615" s="316" t="s">
        <v>107</v>
      </c>
      <c r="C615" s="316" t="s">
        <v>1009</v>
      </c>
      <c r="D615" s="215"/>
      <c r="E615" s="60" t="s">
        <v>3330</v>
      </c>
      <c r="F615" s="613" t="s">
        <v>3371</v>
      </c>
      <c r="G615" s="52" t="s">
        <v>135</v>
      </c>
      <c r="H615" s="140">
        <v>45489.0</v>
      </c>
      <c r="I615" s="409">
        <v>45638.0</v>
      </c>
      <c r="J615" s="55"/>
      <c r="K615" s="55"/>
      <c r="L615" s="52" t="s">
        <v>3332</v>
      </c>
      <c r="M615" s="52" t="s">
        <v>3333</v>
      </c>
      <c r="N615" s="355">
        <v>1.0</v>
      </c>
      <c r="O615" s="353" t="s">
        <v>3334</v>
      </c>
      <c r="P615" s="48" t="str">
        <f t="array" ref="P615">HYPERLINK(INDEX('File Links'!B:B, MATCH(O615, 'File Links'!C:C, 0)))
</f>
        <v>https://drive.google.com/file/d/13vglHZTPgv6z9W5xPGWG5OyE_h91M3UK/view?usp=drivesdk</v>
      </c>
      <c r="Q615" s="52" t="s">
        <v>3335</v>
      </c>
      <c r="R615" s="52" t="s">
        <v>3336</v>
      </c>
      <c r="S615" s="55"/>
      <c r="T615" s="646">
        <v>1.0</v>
      </c>
      <c r="U615" s="354" t="s">
        <v>3337</v>
      </c>
      <c r="V615" s="52" t="s">
        <v>202</v>
      </c>
      <c r="W615" s="50" t="str">
        <f t="array" ref="W615">HYPERLINK(INDEX('File Links'!B:B, MATCH(U615, 'File Links'!C:C, 0)))
</f>
        <v>https://drive.google.com/file/d/17sgB6ScmXf8Wli1_dKWf0wpvxkNJRZtC/view?usp=drivesdk</v>
      </c>
      <c r="X615" s="55"/>
      <c r="Y615" s="52" t="s">
        <v>139</v>
      </c>
      <c r="Z615" s="55" t="s">
        <v>3338</v>
      </c>
      <c r="AA615" s="55" t="s">
        <v>3339</v>
      </c>
      <c r="AB615" s="52" t="s">
        <v>3372</v>
      </c>
      <c r="AC615" s="55"/>
      <c r="AD615" s="355">
        <v>5.0</v>
      </c>
      <c r="AE615" s="355">
        <v>27.0</v>
      </c>
      <c r="AF615" s="355">
        <v>24.91</v>
      </c>
      <c r="AG615" s="330" t="s">
        <v>162</v>
      </c>
      <c r="AH615" s="55"/>
      <c r="AI615" s="355">
        <v>0.001</v>
      </c>
      <c r="AJ615" s="147" t="s">
        <v>127</v>
      </c>
      <c r="AK615" s="52" t="s">
        <v>179</v>
      </c>
      <c r="AL615" s="55" t="s">
        <v>129</v>
      </c>
      <c r="AM615" s="55"/>
      <c r="AN615" s="355">
        <v>32.0</v>
      </c>
      <c r="AO615" s="355">
        <v>49.99</v>
      </c>
      <c r="AP615" s="52" t="s">
        <v>162</v>
      </c>
      <c r="AQ615" s="355">
        <v>9.0</v>
      </c>
      <c r="AR615" s="355">
        <v>0.001</v>
      </c>
      <c r="AS615" s="147" t="s">
        <v>127</v>
      </c>
      <c r="AT615" s="147" t="s">
        <v>179</v>
      </c>
      <c r="AU615" s="60" t="s">
        <v>129</v>
      </c>
      <c r="AV615" s="60"/>
      <c r="AW615" s="60" t="s">
        <v>134</v>
      </c>
      <c r="AX615" s="55"/>
      <c r="AZ615" s="64"/>
      <c r="BA615" s="64"/>
      <c r="BB615" s="64"/>
      <c r="BC615" s="64"/>
      <c r="BD615" s="64"/>
      <c r="BE615" s="64"/>
      <c r="BF615" s="64"/>
      <c r="BG615" s="64"/>
      <c r="BH615" s="64"/>
      <c r="BI615" s="64"/>
      <c r="BJ615" s="64"/>
      <c r="BK615" s="64"/>
      <c r="BL615" s="64"/>
      <c r="BM615" s="64"/>
      <c r="BN615" s="64"/>
      <c r="BO615" s="64"/>
      <c r="BP615" s="64"/>
      <c r="BQ615" s="64"/>
      <c r="BR615" s="64"/>
      <c r="BS615" s="64"/>
      <c r="BT615" s="64"/>
      <c r="BU615" s="64"/>
      <c r="BV615" s="64"/>
      <c r="BW615" s="64"/>
      <c r="BX615" s="64"/>
      <c r="BY615" s="64"/>
      <c r="BZ615" s="64"/>
      <c r="CA615" s="64"/>
      <c r="CB615" s="64"/>
      <c r="CC615" s="64"/>
      <c r="CD615" s="64"/>
      <c r="CE615" s="64"/>
      <c r="CF615" s="64"/>
      <c r="CG615" s="64"/>
      <c r="CH615" s="64"/>
      <c r="CI615" s="64"/>
      <c r="CJ615" s="64"/>
      <c r="CK615" s="64"/>
      <c r="CL615" s="64"/>
      <c r="CM615" s="64"/>
      <c r="CN615" s="64"/>
      <c r="CO615" s="64"/>
      <c r="CP615" s="64"/>
      <c r="CQ615" s="64"/>
      <c r="CR615" s="64"/>
      <c r="CS615" s="64"/>
      <c r="CT615" s="64"/>
      <c r="CU615" s="64"/>
      <c r="CV615" s="64"/>
      <c r="CW615" s="64"/>
      <c r="CX615" s="64"/>
      <c r="CY615" s="64"/>
      <c r="CZ615" s="64"/>
      <c r="DA615" s="64"/>
      <c r="DB615" s="64"/>
      <c r="DC615" s="64"/>
      <c r="DD615" s="64"/>
      <c r="DE615" s="64"/>
      <c r="DF615" s="64"/>
      <c r="DG615" s="64"/>
    </row>
    <row r="616" ht="20.25" customHeight="1">
      <c r="A616" s="316" t="s">
        <v>520</v>
      </c>
      <c r="B616" s="316" t="s">
        <v>107</v>
      </c>
      <c r="C616" s="316" t="s">
        <v>1009</v>
      </c>
      <c r="D616" s="215"/>
      <c r="E616" s="60" t="s">
        <v>3330</v>
      </c>
      <c r="F616" s="613" t="s">
        <v>3373</v>
      </c>
      <c r="G616" s="52" t="s">
        <v>135</v>
      </c>
      <c r="H616" s="140">
        <v>45489.0</v>
      </c>
      <c r="I616" s="409">
        <v>45638.0</v>
      </c>
      <c r="J616" s="55"/>
      <c r="K616" s="55"/>
      <c r="L616" s="52" t="s">
        <v>3332</v>
      </c>
      <c r="M616" s="52" t="s">
        <v>3333</v>
      </c>
      <c r="N616" s="355">
        <v>1.0</v>
      </c>
      <c r="O616" s="353" t="s">
        <v>3334</v>
      </c>
      <c r="P616" s="48" t="str">
        <f t="array" ref="P616">HYPERLINK(INDEX('File Links'!B:B, MATCH(O616, 'File Links'!C:C, 0)))
</f>
        <v>https://drive.google.com/file/d/13vglHZTPgv6z9W5xPGWG5OyE_h91M3UK/view?usp=drivesdk</v>
      </c>
      <c r="Q616" s="52" t="s">
        <v>3335</v>
      </c>
      <c r="R616" s="52" t="s">
        <v>3336</v>
      </c>
      <c r="S616" s="55"/>
      <c r="T616" s="646">
        <v>1.0</v>
      </c>
      <c r="U616" s="354" t="s">
        <v>3337</v>
      </c>
      <c r="V616" s="52" t="s">
        <v>202</v>
      </c>
      <c r="W616" s="50" t="str">
        <f t="array" ref="W616">HYPERLINK(INDEX('File Links'!B:B, MATCH(U616, 'File Links'!C:C, 0)))
</f>
        <v>https://drive.google.com/file/d/17sgB6ScmXf8Wli1_dKWf0wpvxkNJRZtC/view?usp=drivesdk</v>
      </c>
      <c r="X616" s="55"/>
      <c r="Y616" s="52" t="s">
        <v>139</v>
      </c>
      <c r="Z616" s="55" t="s">
        <v>3338</v>
      </c>
      <c r="AA616" s="55" t="s">
        <v>3339</v>
      </c>
      <c r="AB616" s="52" t="s">
        <v>3374</v>
      </c>
      <c r="AC616" s="55"/>
      <c r="AD616" s="355">
        <v>5.0</v>
      </c>
      <c r="AE616" s="355">
        <v>27.0</v>
      </c>
      <c r="AF616" s="355">
        <v>51.07</v>
      </c>
      <c r="AG616" s="330" t="s">
        <v>162</v>
      </c>
      <c r="AH616" s="55"/>
      <c r="AI616" s="355">
        <v>0.001</v>
      </c>
      <c r="AJ616" s="147" t="s">
        <v>127</v>
      </c>
      <c r="AK616" s="52" t="s">
        <v>179</v>
      </c>
      <c r="AL616" s="55" t="s">
        <v>129</v>
      </c>
      <c r="AM616" s="55"/>
      <c r="AN616" s="355">
        <v>32.0</v>
      </c>
      <c r="AO616" s="355">
        <v>53.18</v>
      </c>
      <c r="AP616" s="52" t="s">
        <v>162</v>
      </c>
      <c r="AQ616" s="355">
        <v>9.0</v>
      </c>
      <c r="AR616" s="355">
        <v>0.001</v>
      </c>
      <c r="AS616" s="147" t="s">
        <v>127</v>
      </c>
      <c r="AT616" s="147" t="s">
        <v>179</v>
      </c>
      <c r="AU616" s="60" t="s">
        <v>129</v>
      </c>
      <c r="AV616" s="60"/>
      <c r="AW616" s="60" t="s">
        <v>134</v>
      </c>
      <c r="AX616" s="55"/>
      <c r="AZ616" s="632"/>
      <c r="BA616" s="632"/>
      <c r="BB616" s="632"/>
      <c r="BC616" s="632"/>
      <c r="BD616" s="632"/>
      <c r="BE616" s="632"/>
      <c r="BF616" s="632"/>
      <c r="BG616" s="632"/>
      <c r="BH616" s="632"/>
      <c r="BI616" s="632"/>
      <c r="BJ616" s="632"/>
      <c r="BK616" s="632"/>
      <c r="BL616" s="632"/>
      <c r="BM616" s="632"/>
      <c r="BN616" s="632"/>
      <c r="BO616" s="632"/>
      <c r="BP616" s="632"/>
      <c r="BQ616" s="632"/>
      <c r="BR616" s="632"/>
      <c r="BS616" s="632"/>
      <c r="BT616" s="632"/>
      <c r="BU616" s="632"/>
      <c r="BV616" s="632"/>
      <c r="BW616" s="632"/>
      <c r="BX616" s="632"/>
      <c r="BY616" s="632"/>
      <c r="BZ616" s="632"/>
      <c r="CA616" s="632"/>
      <c r="CB616" s="632"/>
      <c r="CC616" s="632"/>
      <c r="CD616" s="632"/>
      <c r="CE616" s="632"/>
      <c r="CF616" s="632"/>
      <c r="CG616" s="632"/>
      <c r="CH616" s="632"/>
      <c r="CI616" s="632"/>
      <c r="CJ616" s="632"/>
      <c r="CK616" s="632"/>
      <c r="CL616" s="632"/>
      <c r="CM616" s="632"/>
      <c r="CN616" s="632"/>
      <c r="CO616" s="632"/>
      <c r="CP616" s="632"/>
      <c r="CQ616" s="632"/>
      <c r="CR616" s="632"/>
      <c r="CS616" s="632"/>
      <c r="CT616" s="632"/>
      <c r="CU616" s="632"/>
      <c r="CV616" s="632"/>
      <c r="CW616" s="632"/>
      <c r="CX616" s="632"/>
      <c r="CY616" s="632"/>
      <c r="CZ616" s="632"/>
      <c r="DA616" s="632"/>
      <c r="DB616" s="632"/>
      <c r="DC616" s="632"/>
      <c r="DD616" s="632"/>
      <c r="DE616" s="632"/>
      <c r="DF616" s="632"/>
      <c r="DG616" s="632"/>
    </row>
    <row r="617" ht="20.25" customHeight="1">
      <c r="A617" s="316" t="s">
        <v>520</v>
      </c>
      <c r="B617" s="316" t="s">
        <v>107</v>
      </c>
      <c r="C617" s="316" t="s">
        <v>1009</v>
      </c>
      <c r="D617" s="215"/>
      <c r="E617" s="60" t="s">
        <v>3330</v>
      </c>
      <c r="F617" s="613" t="s">
        <v>3375</v>
      </c>
      <c r="G617" s="52" t="s">
        <v>135</v>
      </c>
      <c r="H617" s="140">
        <v>45489.0</v>
      </c>
      <c r="I617" s="409">
        <v>45638.0</v>
      </c>
      <c r="J617" s="55"/>
      <c r="K617" s="55"/>
      <c r="L617" s="52" t="s">
        <v>3332</v>
      </c>
      <c r="M617" s="52" t="s">
        <v>3333</v>
      </c>
      <c r="N617" s="355">
        <v>1.0</v>
      </c>
      <c r="O617" s="353" t="s">
        <v>3334</v>
      </c>
      <c r="P617" s="48" t="str">
        <f t="array" ref="P617">HYPERLINK(INDEX('File Links'!B:B, MATCH(O617, 'File Links'!C:C, 0)))
</f>
        <v>https://drive.google.com/file/d/13vglHZTPgv6z9W5xPGWG5OyE_h91M3UK/view?usp=drivesdk</v>
      </c>
      <c r="Q617" s="52" t="s">
        <v>3335</v>
      </c>
      <c r="R617" s="52" t="s">
        <v>3336</v>
      </c>
      <c r="S617" s="55"/>
      <c r="T617" s="646">
        <v>1.0</v>
      </c>
      <c r="U617" s="354" t="s">
        <v>3337</v>
      </c>
      <c r="V617" s="52" t="s">
        <v>202</v>
      </c>
      <c r="W617" s="50" t="str">
        <f t="array" ref="W617">HYPERLINK(INDEX('File Links'!B:B, MATCH(U617, 'File Links'!C:C, 0)))
</f>
        <v>https://drive.google.com/file/d/17sgB6ScmXf8Wli1_dKWf0wpvxkNJRZtC/view?usp=drivesdk</v>
      </c>
      <c r="X617" s="55"/>
      <c r="Y617" s="52" t="s">
        <v>139</v>
      </c>
      <c r="Z617" s="55" t="s">
        <v>3338</v>
      </c>
      <c r="AA617" s="55" t="s">
        <v>3339</v>
      </c>
      <c r="AB617" s="52" t="s">
        <v>3376</v>
      </c>
      <c r="AC617" s="55"/>
      <c r="AD617" s="355">
        <v>5.0</v>
      </c>
      <c r="AE617" s="355">
        <v>27.0</v>
      </c>
      <c r="AF617" s="55"/>
      <c r="AG617" s="330" t="s">
        <v>162</v>
      </c>
      <c r="AH617" s="55"/>
      <c r="AI617" s="355">
        <v>0.001</v>
      </c>
      <c r="AJ617" s="147" t="s">
        <v>127</v>
      </c>
      <c r="AK617" s="52" t="s">
        <v>179</v>
      </c>
      <c r="AL617" s="55" t="s">
        <v>129</v>
      </c>
      <c r="AM617" s="55"/>
      <c r="AN617" s="355">
        <v>32.0</v>
      </c>
      <c r="AO617" s="55"/>
      <c r="AP617" s="52" t="s">
        <v>162</v>
      </c>
      <c r="AQ617" s="355">
        <v>9.0</v>
      </c>
      <c r="AR617" s="355">
        <v>0.001</v>
      </c>
      <c r="AS617" s="147" t="s">
        <v>127</v>
      </c>
      <c r="AT617" s="147" t="s">
        <v>179</v>
      </c>
      <c r="AU617" s="60" t="s">
        <v>129</v>
      </c>
      <c r="AV617" s="60"/>
      <c r="AW617" s="60" t="s">
        <v>134</v>
      </c>
      <c r="AX617" s="55"/>
      <c r="AZ617" s="84"/>
      <c r="BA617" s="84"/>
      <c r="BB617" s="84"/>
      <c r="BC617" s="84"/>
      <c r="BD617" s="84"/>
      <c r="BE617" s="84"/>
      <c r="BF617" s="84"/>
      <c r="BG617" s="84"/>
      <c r="BH617" s="84"/>
      <c r="BI617" s="84"/>
      <c r="BJ617" s="84"/>
      <c r="BK617" s="84"/>
      <c r="BL617" s="84"/>
      <c r="BM617" s="84"/>
      <c r="BN617" s="84"/>
      <c r="BO617" s="84"/>
      <c r="BP617" s="84"/>
      <c r="BQ617" s="84"/>
      <c r="BR617" s="84"/>
      <c r="BS617" s="84"/>
      <c r="BT617" s="84"/>
      <c r="BU617" s="84"/>
      <c r="BV617" s="84"/>
      <c r="BW617" s="84"/>
      <c r="BX617" s="84"/>
      <c r="BY617" s="84"/>
      <c r="BZ617" s="84"/>
      <c r="CA617" s="84"/>
      <c r="CB617" s="84"/>
      <c r="CC617" s="84"/>
      <c r="CD617" s="84"/>
      <c r="CE617" s="84"/>
      <c r="CF617" s="84"/>
      <c r="CG617" s="84"/>
      <c r="CH617" s="84"/>
      <c r="CI617" s="84"/>
      <c r="CJ617" s="84"/>
      <c r="CK617" s="84"/>
      <c r="CL617" s="84"/>
      <c r="CM617" s="84"/>
      <c r="CN617" s="84"/>
      <c r="CO617" s="84"/>
      <c r="CP617" s="84"/>
      <c r="CQ617" s="84"/>
      <c r="CR617" s="84"/>
      <c r="CS617" s="84"/>
      <c r="CT617" s="84"/>
      <c r="CU617" s="84"/>
      <c r="CV617" s="84"/>
      <c r="CW617" s="84"/>
      <c r="CX617" s="84"/>
      <c r="CY617" s="84"/>
      <c r="CZ617" s="84"/>
      <c r="DA617" s="84"/>
      <c r="DB617" s="84"/>
      <c r="DC617" s="84"/>
      <c r="DD617" s="84"/>
      <c r="DE617" s="84"/>
      <c r="DF617" s="84"/>
      <c r="DG617" s="84"/>
    </row>
    <row r="618" ht="20.25" customHeight="1">
      <c r="A618" s="316" t="s">
        <v>520</v>
      </c>
      <c r="B618" s="316" t="s">
        <v>107</v>
      </c>
      <c r="C618" s="316" t="s">
        <v>1009</v>
      </c>
      <c r="D618" s="215"/>
      <c r="E618" s="60" t="s">
        <v>3330</v>
      </c>
      <c r="F618" s="613" t="s">
        <v>3377</v>
      </c>
      <c r="G618" s="52" t="s">
        <v>135</v>
      </c>
      <c r="H618" s="140">
        <v>45489.0</v>
      </c>
      <c r="I618" s="409">
        <v>45638.0</v>
      </c>
      <c r="J618" s="55"/>
      <c r="K618" s="55"/>
      <c r="L618" s="52" t="s">
        <v>3332</v>
      </c>
      <c r="M618" s="52" t="s">
        <v>3333</v>
      </c>
      <c r="N618" s="355">
        <v>1.0</v>
      </c>
      <c r="O618" s="353" t="s">
        <v>3334</v>
      </c>
      <c r="P618" s="48" t="str">
        <f t="array" ref="P618">HYPERLINK(INDEX('File Links'!B:B, MATCH(O618, 'File Links'!C:C, 0)))
</f>
        <v>https://drive.google.com/file/d/13vglHZTPgv6z9W5xPGWG5OyE_h91M3UK/view?usp=drivesdk</v>
      </c>
      <c r="Q618" s="52" t="s">
        <v>3335</v>
      </c>
      <c r="R618" s="52" t="s">
        <v>3336</v>
      </c>
      <c r="S618" s="55"/>
      <c r="T618" s="646">
        <v>1.0</v>
      </c>
      <c r="U618" s="354" t="s">
        <v>3337</v>
      </c>
      <c r="V618" s="52" t="s">
        <v>202</v>
      </c>
      <c r="W618" s="50" t="str">
        <f t="array" ref="W618">HYPERLINK(INDEX('File Links'!B:B, MATCH(U618, 'File Links'!C:C, 0)))
</f>
        <v>https://drive.google.com/file/d/17sgB6ScmXf8Wli1_dKWf0wpvxkNJRZtC/view?usp=drivesdk</v>
      </c>
      <c r="X618" s="55"/>
      <c r="Y618" s="52" t="s">
        <v>139</v>
      </c>
      <c r="Z618" s="55" t="s">
        <v>3338</v>
      </c>
      <c r="AA618" s="55" t="s">
        <v>3339</v>
      </c>
      <c r="AB618" s="52" t="s">
        <v>3378</v>
      </c>
      <c r="AC618" s="55"/>
      <c r="AD618" s="355">
        <v>5.0</v>
      </c>
      <c r="AE618" s="355">
        <v>27.0</v>
      </c>
      <c r="AF618" s="355">
        <v>9.2</v>
      </c>
      <c r="AG618" s="330" t="s">
        <v>162</v>
      </c>
      <c r="AH618" s="55"/>
      <c r="AI618" s="355">
        <v>0.005</v>
      </c>
      <c r="AJ618" s="147" t="s">
        <v>164</v>
      </c>
      <c r="AK618" s="52" t="s">
        <v>179</v>
      </c>
      <c r="AL618" s="55" t="s">
        <v>129</v>
      </c>
      <c r="AM618" s="55"/>
      <c r="AN618" s="355">
        <v>32.0</v>
      </c>
      <c r="AO618" s="355">
        <v>9.46</v>
      </c>
      <c r="AP618" s="52" t="s">
        <v>162</v>
      </c>
      <c r="AQ618" s="355">
        <v>9.0</v>
      </c>
      <c r="AR618" s="355">
        <v>0.001</v>
      </c>
      <c r="AS618" s="147" t="s">
        <v>127</v>
      </c>
      <c r="AT618" s="147" t="s">
        <v>179</v>
      </c>
      <c r="AU618" s="60" t="s">
        <v>129</v>
      </c>
      <c r="AV618" s="60"/>
      <c r="AW618" s="60" t="s">
        <v>134</v>
      </c>
      <c r="AX618" s="55"/>
      <c r="AZ618" s="84"/>
      <c r="BA618" s="84"/>
      <c r="BB618" s="84"/>
      <c r="BC618" s="84"/>
      <c r="BD618" s="84"/>
      <c r="BE618" s="84"/>
      <c r="BF618" s="84"/>
      <c r="BG618" s="84"/>
      <c r="BH618" s="84"/>
      <c r="BI618" s="84"/>
      <c r="BJ618" s="84"/>
      <c r="BK618" s="84"/>
      <c r="BL618" s="84"/>
      <c r="BM618" s="84"/>
      <c r="BN618" s="84"/>
      <c r="BO618" s="84"/>
      <c r="BP618" s="84"/>
      <c r="BQ618" s="84"/>
      <c r="BR618" s="84"/>
      <c r="BS618" s="84"/>
      <c r="BT618" s="84"/>
      <c r="BU618" s="84"/>
      <c r="BV618" s="84"/>
      <c r="BW618" s="84"/>
      <c r="BX618" s="84"/>
      <c r="BY618" s="84"/>
      <c r="BZ618" s="84"/>
      <c r="CA618" s="84"/>
      <c r="CB618" s="84"/>
      <c r="CC618" s="84"/>
      <c r="CD618" s="84"/>
      <c r="CE618" s="84"/>
      <c r="CF618" s="84"/>
      <c r="CG618" s="84"/>
      <c r="CH618" s="84"/>
      <c r="CI618" s="84"/>
      <c r="CJ618" s="84"/>
      <c r="CK618" s="84"/>
      <c r="CL618" s="84"/>
      <c r="CM618" s="84"/>
      <c r="CN618" s="84"/>
      <c r="CO618" s="84"/>
      <c r="CP618" s="84"/>
      <c r="CQ618" s="84"/>
      <c r="CR618" s="84"/>
      <c r="CS618" s="84"/>
      <c r="CT618" s="84"/>
      <c r="CU618" s="84"/>
      <c r="CV618" s="84"/>
      <c r="CW618" s="84"/>
      <c r="CX618" s="84"/>
      <c r="CY618" s="84"/>
      <c r="CZ618" s="84"/>
      <c r="DA618" s="84"/>
      <c r="DB618" s="84"/>
      <c r="DC618" s="84"/>
      <c r="DD618" s="84"/>
      <c r="DE618" s="84"/>
      <c r="DF618" s="84"/>
      <c r="DG618" s="84"/>
    </row>
    <row r="619" ht="20.25" customHeight="1">
      <c r="A619" s="316" t="s">
        <v>520</v>
      </c>
      <c r="B619" s="316" t="s">
        <v>107</v>
      </c>
      <c r="C619" s="316" t="s">
        <v>1009</v>
      </c>
      <c r="D619" s="215"/>
      <c r="E619" s="60" t="s">
        <v>3330</v>
      </c>
      <c r="F619" s="613" t="s">
        <v>3379</v>
      </c>
      <c r="G619" s="52" t="s">
        <v>135</v>
      </c>
      <c r="H619" s="140">
        <v>45489.0</v>
      </c>
      <c r="I619" s="409">
        <v>45638.0</v>
      </c>
      <c r="J619" s="55"/>
      <c r="K619" s="55"/>
      <c r="L619" s="52" t="s">
        <v>3332</v>
      </c>
      <c r="M619" s="52" t="s">
        <v>3333</v>
      </c>
      <c r="N619" s="355">
        <v>1.0</v>
      </c>
      <c r="O619" s="353" t="s">
        <v>3334</v>
      </c>
      <c r="P619" s="48" t="str">
        <f t="array" ref="P619">HYPERLINK(INDEX('File Links'!B:B, MATCH(O619, 'File Links'!C:C, 0)))
</f>
        <v>https://drive.google.com/file/d/13vglHZTPgv6z9W5xPGWG5OyE_h91M3UK/view?usp=drivesdk</v>
      </c>
      <c r="Q619" s="52" t="s">
        <v>3335</v>
      </c>
      <c r="R619" s="52" t="s">
        <v>3336</v>
      </c>
      <c r="S619" s="55"/>
      <c r="T619" s="646">
        <v>1.0</v>
      </c>
      <c r="U619" s="354" t="s">
        <v>3337</v>
      </c>
      <c r="V619" s="52" t="s">
        <v>202</v>
      </c>
      <c r="W619" s="50" t="str">
        <f t="array" ref="W619">HYPERLINK(INDEX('File Links'!B:B, MATCH(U619, 'File Links'!C:C, 0)))
</f>
        <v>https://drive.google.com/file/d/17sgB6ScmXf8Wli1_dKWf0wpvxkNJRZtC/view?usp=drivesdk</v>
      </c>
      <c r="X619" s="55"/>
      <c r="Y619" s="52" t="s">
        <v>139</v>
      </c>
      <c r="Z619" s="55" t="s">
        <v>3338</v>
      </c>
      <c r="AA619" s="55" t="s">
        <v>3339</v>
      </c>
      <c r="AB619" s="52" t="s">
        <v>3380</v>
      </c>
      <c r="AC619" s="55"/>
      <c r="AD619" s="355">
        <v>5.0</v>
      </c>
      <c r="AE619" s="355">
        <v>27.0</v>
      </c>
      <c r="AF619" s="355">
        <v>10.35</v>
      </c>
      <c r="AG619" s="330" t="s">
        <v>162</v>
      </c>
      <c r="AH619" s="55"/>
      <c r="AI619" s="355">
        <v>0.003</v>
      </c>
      <c r="AJ619" s="147" t="s">
        <v>164</v>
      </c>
      <c r="AK619" s="52" t="s">
        <v>179</v>
      </c>
      <c r="AL619" s="55" t="s">
        <v>129</v>
      </c>
      <c r="AM619" s="55"/>
      <c r="AN619" s="355">
        <v>32.0</v>
      </c>
      <c r="AO619" s="355">
        <v>2.63</v>
      </c>
      <c r="AP619" s="52" t="s">
        <v>162</v>
      </c>
      <c r="AQ619" s="355">
        <v>9.0</v>
      </c>
      <c r="AR619" s="355">
        <v>0.08</v>
      </c>
      <c r="AS619" s="147" t="s">
        <v>164</v>
      </c>
      <c r="AT619" s="147" t="s">
        <v>179</v>
      </c>
      <c r="AU619" s="60" t="s">
        <v>129</v>
      </c>
      <c r="AV619" s="60"/>
      <c r="AW619" s="60" t="s">
        <v>134</v>
      </c>
      <c r="AX619" s="55"/>
      <c r="AZ619" s="84"/>
      <c r="BA619" s="84"/>
      <c r="BB619" s="84"/>
      <c r="BC619" s="84"/>
      <c r="BD619" s="84"/>
      <c r="BE619" s="84"/>
      <c r="BF619" s="84"/>
      <c r="BG619" s="84"/>
      <c r="BH619" s="84"/>
      <c r="BI619" s="84"/>
      <c r="BJ619" s="84"/>
      <c r="BK619" s="84"/>
      <c r="BL619" s="84"/>
      <c r="BM619" s="84"/>
      <c r="BN619" s="84"/>
      <c r="BO619" s="84"/>
      <c r="BP619" s="84"/>
      <c r="BQ619" s="84"/>
      <c r="BR619" s="84"/>
      <c r="BS619" s="84"/>
      <c r="BT619" s="84"/>
      <c r="BU619" s="84"/>
      <c r="BV619" s="84"/>
      <c r="BW619" s="84"/>
      <c r="BX619" s="84"/>
      <c r="BY619" s="84"/>
      <c r="BZ619" s="84"/>
      <c r="CA619" s="84"/>
      <c r="CB619" s="84"/>
      <c r="CC619" s="84"/>
      <c r="CD619" s="84"/>
      <c r="CE619" s="84"/>
      <c r="CF619" s="84"/>
      <c r="CG619" s="84"/>
      <c r="CH619" s="84"/>
      <c r="CI619" s="84"/>
      <c r="CJ619" s="84"/>
      <c r="CK619" s="84"/>
      <c r="CL619" s="84"/>
      <c r="CM619" s="84"/>
      <c r="CN619" s="84"/>
      <c r="CO619" s="84"/>
      <c r="CP619" s="84"/>
      <c r="CQ619" s="84"/>
      <c r="CR619" s="84"/>
      <c r="CS619" s="84"/>
      <c r="CT619" s="84"/>
      <c r="CU619" s="84"/>
      <c r="CV619" s="84"/>
      <c r="CW619" s="84"/>
      <c r="CX619" s="84"/>
      <c r="CY619" s="84"/>
      <c r="CZ619" s="84"/>
      <c r="DA619" s="84"/>
      <c r="DB619" s="84"/>
      <c r="DC619" s="84"/>
      <c r="DD619" s="84"/>
      <c r="DE619" s="84"/>
      <c r="DF619" s="84"/>
      <c r="DG619" s="84"/>
    </row>
    <row r="620" ht="20.25" customHeight="1">
      <c r="A620" s="316" t="s">
        <v>520</v>
      </c>
      <c r="B620" s="316" t="s">
        <v>107</v>
      </c>
      <c r="C620" s="316" t="s">
        <v>1009</v>
      </c>
      <c r="D620" s="215"/>
      <c r="E620" s="60" t="s">
        <v>3330</v>
      </c>
      <c r="F620" s="613" t="s">
        <v>3381</v>
      </c>
      <c r="G620" s="52" t="s">
        <v>135</v>
      </c>
      <c r="H620" s="140">
        <v>45489.0</v>
      </c>
      <c r="I620" s="409">
        <v>45638.0</v>
      </c>
      <c r="J620" s="55"/>
      <c r="K620" s="55"/>
      <c r="L620" s="52" t="s">
        <v>3332</v>
      </c>
      <c r="M620" s="52" t="s">
        <v>3333</v>
      </c>
      <c r="N620" s="355">
        <v>1.0</v>
      </c>
      <c r="O620" s="353" t="s">
        <v>3334</v>
      </c>
      <c r="P620" s="48" t="str">
        <f t="array" ref="P620">HYPERLINK(INDEX('File Links'!B:B, MATCH(O620, 'File Links'!C:C, 0)))
</f>
        <v>https://drive.google.com/file/d/13vglHZTPgv6z9W5xPGWG5OyE_h91M3UK/view?usp=drivesdk</v>
      </c>
      <c r="Q620" s="52" t="s">
        <v>3335</v>
      </c>
      <c r="R620" s="52" t="s">
        <v>3336</v>
      </c>
      <c r="S620" s="55"/>
      <c r="T620" s="646">
        <v>1.0</v>
      </c>
      <c r="U620" s="354" t="s">
        <v>3337</v>
      </c>
      <c r="V620" s="52" t="s">
        <v>202</v>
      </c>
      <c r="W620" s="50" t="str">
        <f t="array" ref="W620">HYPERLINK(INDEX('File Links'!B:B, MATCH(U620, 'File Links'!C:C, 0)))
</f>
        <v>https://drive.google.com/file/d/17sgB6ScmXf8Wli1_dKWf0wpvxkNJRZtC/view?usp=drivesdk</v>
      </c>
      <c r="X620" s="55"/>
      <c r="Y620" s="52" t="s">
        <v>139</v>
      </c>
      <c r="Z620" s="55" t="s">
        <v>3338</v>
      </c>
      <c r="AA620" s="55" t="s">
        <v>3339</v>
      </c>
      <c r="AB620" s="52" t="s">
        <v>3382</v>
      </c>
      <c r="AC620" s="55"/>
      <c r="AD620" s="355">
        <v>5.0</v>
      </c>
      <c r="AE620" s="355">
        <v>27.0</v>
      </c>
      <c r="AF620" s="355">
        <v>1.56</v>
      </c>
      <c r="AG620" s="330" t="s">
        <v>162</v>
      </c>
      <c r="AH620" s="55"/>
      <c r="AI620" s="355">
        <v>0.223</v>
      </c>
      <c r="AJ620" s="147" t="s">
        <v>164</v>
      </c>
      <c r="AK620" s="52" t="s">
        <v>179</v>
      </c>
      <c r="AL620" s="55" t="s">
        <v>129</v>
      </c>
      <c r="AM620" s="55"/>
      <c r="AN620" s="355">
        <v>32.0</v>
      </c>
      <c r="AO620" s="355">
        <v>0.42</v>
      </c>
      <c r="AP620" s="52" t="s">
        <v>162</v>
      </c>
      <c r="AQ620" s="355">
        <v>9.0</v>
      </c>
      <c r="AR620" s="355">
        <v>0.523</v>
      </c>
      <c r="AS620" s="147" t="s">
        <v>164</v>
      </c>
      <c r="AT620" s="147" t="s">
        <v>179</v>
      </c>
      <c r="AU620" s="60" t="s">
        <v>129</v>
      </c>
      <c r="AV620" s="60"/>
      <c r="AW620" s="60" t="s">
        <v>134</v>
      </c>
      <c r="AX620" s="55"/>
      <c r="AZ620" s="632"/>
      <c r="BA620" s="632"/>
      <c r="BB620" s="632"/>
      <c r="BC620" s="632"/>
      <c r="BD620" s="632"/>
      <c r="BE620" s="632"/>
      <c r="BF620" s="632"/>
      <c r="BG620" s="632"/>
      <c r="BH620" s="632"/>
      <c r="BI620" s="632"/>
      <c r="BJ620" s="632"/>
      <c r="BK620" s="632"/>
      <c r="BL620" s="632"/>
      <c r="BM620" s="632"/>
      <c r="BN620" s="632"/>
      <c r="BO620" s="632"/>
      <c r="BP620" s="632"/>
      <c r="BQ620" s="632"/>
      <c r="BR620" s="632"/>
      <c r="BS620" s="632"/>
      <c r="BT620" s="632"/>
      <c r="BU620" s="632"/>
      <c r="BV620" s="632"/>
      <c r="BW620" s="632"/>
      <c r="BX620" s="632"/>
      <c r="BY620" s="632"/>
      <c r="BZ620" s="632"/>
      <c r="CA620" s="632"/>
      <c r="CB620" s="632"/>
      <c r="CC620" s="632"/>
      <c r="CD620" s="632"/>
      <c r="CE620" s="632"/>
      <c r="CF620" s="632"/>
      <c r="CG620" s="632"/>
      <c r="CH620" s="632"/>
      <c r="CI620" s="632"/>
      <c r="CJ620" s="632"/>
      <c r="CK620" s="632"/>
      <c r="CL620" s="632"/>
      <c r="CM620" s="632"/>
      <c r="CN620" s="632"/>
      <c r="CO620" s="632"/>
      <c r="CP620" s="632"/>
      <c r="CQ620" s="632"/>
      <c r="CR620" s="632"/>
      <c r="CS620" s="632"/>
      <c r="CT620" s="632"/>
      <c r="CU620" s="632"/>
      <c r="CV620" s="632"/>
      <c r="CW620" s="632"/>
      <c r="CX620" s="632"/>
      <c r="CY620" s="632"/>
      <c r="CZ620" s="632"/>
      <c r="DA620" s="632"/>
      <c r="DB620" s="632"/>
      <c r="DC620" s="632"/>
      <c r="DD620" s="632"/>
      <c r="DE620" s="632"/>
      <c r="DF620" s="632"/>
      <c r="DG620" s="632"/>
    </row>
    <row r="621" ht="20.25" customHeight="1">
      <c r="A621" s="316" t="s">
        <v>520</v>
      </c>
      <c r="B621" s="316" t="s">
        <v>107</v>
      </c>
      <c r="C621" s="316" t="s">
        <v>1009</v>
      </c>
      <c r="D621" s="215"/>
      <c r="E621" s="60" t="s">
        <v>3330</v>
      </c>
      <c r="F621" s="613" t="s">
        <v>3383</v>
      </c>
      <c r="G621" s="52" t="s">
        <v>135</v>
      </c>
      <c r="H621" s="140">
        <v>45489.0</v>
      </c>
      <c r="I621" s="409">
        <v>45638.0</v>
      </c>
      <c r="J621" s="55"/>
      <c r="K621" s="55"/>
      <c r="L621" s="52" t="s">
        <v>3332</v>
      </c>
      <c r="M621" s="52" t="s">
        <v>3333</v>
      </c>
      <c r="N621" s="355">
        <v>1.0</v>
      </c>
      <c r="O621" s="353" t="s">
        <v>3334</v>
      </c>
      <c r="P621" s="48" t="str">
        <f t="array" ref="P621">HYPERLINK(INDEX('File Links'!B:B, MATCH(O621, 'File Links'!C:C, 0)))
</f>
        <v>https://drive.google.com/file/d/13vglHZTPgv6z9W5xPGWG5OyE_h91M3UK/view?usp=drivesdk</v>
      </c>
      <c r="Q621" s="52" t="s">
        <v>3335</v>
      </c>
      <c r="R621" s="52" t="s">
        <v>3336</v>
      </c>
      <c r="S621" s="55"/>
      <c r="T621" s="646">
        <v>1.0</v>
      </c>
      <c r="U621" s="354" t="s">
        <v>3337</v>
      </c>
      <c r="V621" s="52" t="s">
        <v>202</v>
      </c>
      <c r="W621" s="50" t="str">
        <f t="array" ref="W621">HYPERLINK(INDEX('File Links'!B:B, MATCH(U621, 'File Links'!C:C, 0)))
</f>
        <v>https://drive.google.com/file/d/17sgB6ScmXf8Wli1_dKWf0wpvxkNJRZtC/view?usp=drivesdk</v>
      </c>
      <c r="X621" s="55"/>
      <c r="Y621" s="52" t="s">
        <v>139</v>
      </c>
      <c r="Z621" s="55" t="s">
        <v>3338</v>
      </c>
      <c r="AA621" s="55" t="s">
        <v>3339</v>
      </c>
      <c r="AB621" s="52" t="s">
        <v>3384</v>
      </c>
      <c r="AC621" s="55"/>
      <c r="AD621" s="355">
        <v>5.0</v>
      </c>
      <c r="AE621" s="355">
        <v>27.0</v>
      </c>
      <c r="AF621" s="55"/>
      <c r="AG621" s="330" t="s">
        <v>162</v>
      </c>
      <c r="AH621" s="55"/>
      <c r="AI621" s="355">
        <v>0.001</v>
      </c>
      <c r="AJ621" s="147" t="s">
        <v>127</v>
      </c>
      <c r="AK621" s="52" t="s">
        <v>179</v>
      </c>
      <c r="AL621" s="55" t="s">
        <v>129</v>
      </c>
      <c r="AM621" s="55"/>
      <c r="AN621" s="355">
        <v>32.0</v>
      </c>
      <c r="AO621" s="55"/>
      <c r="AP621" s="52" t="s">
        <v>162</v>
      </c>
      <c r="AQ621" s="355">
        <v>9.0</v>
      </c>
      <c r="AR621" s="355">
        <v>0.001</v>
      </c>
      <c r="AS621" s="147" t="s">
        <v>127</v>
      </c>
      <c r="AT621" s="147" t="s">
        <v>179</v>
      </c>
      <c r="AU621" s="60" t="s">
        <v>129</v>
      </c>
      <c r="AV621" s="60"/>
      <c r="AW621" s="60" t="s">
        <v>134</v>
      </c>
      <c r="AX621" s="55"/>
      <c r="AZ621" s="632"/>
      <c r="BA621" s="632"/>
      <c r="BB621" s="632"/>
      <c r="BC621" s="632"/>
      <c r="BD621" s="632"/>
      <c r="BE621" s="632"/>
      <c r="BF621" s="632"/>
      <c r="BG621" s="632"/>
      <c r="BH621" s="632"/>
      <c r="BI621" s="632"/>
      <c r="BJ621" s="632"/>
      <c r="BK621" s="632"/>
      <c r="BL621" s="632"/>
      <c r="BM621" s="632"/>
      <c r="BN621" s="632"/>
      <c r="BO621" s="632"/>
      <c r="BP621" s="632"/>
      <c r="BQ621" s="632"/>
      <c r="BR621" s="632"/>
      <c r="BS621" s="632"/>
      <c r="BT621" s="632"/>
      <c r="BU621" s="632"/>
      <c r="BV621" s="632"/>
      <c r="BW621" s="632"/>
      <c r="BX621" s="632"/>
      <c r="BY621" s="632"/>
      <c r="BZ621" s="632"/>
      <c r="CA621" s="632"/>
      <c r="CB621" s="632"/>
      <c r="CC621" s="632"/>
      <c r="CD621" s="632"/>
      <c r="CE621" s="632"/>
      <c r="CF621" s="632"/>
      <c r="CG621" s="632"/>
      <c r="CH621" s="632"/>
      <c r="CI621" s="632"/>
      <c r="CJ621" s="632"/>
      <c r="CK621" s="632"/>
      <c r="CL621" s="632"/>
      <c r="CM621" s="632"/>
      <c r="CN621" s="632"/>
      <c r="CO621" s="632"/>
      <c r="CP621" s="632"/>
      <c r="CQ621" s="632"/>
      <c r="CR621" s="632"/>
      <c r="CS621" s="632"/>
      <c r="CT621" s="632"/>
      <c r="CU621" s="632"/>
      <c r="CV621" s="632"/>
      <c r="CW621" s="632"/>
      <c r="CX621" s="632"/>
      <c r="CY621" s="632"/>
      <c r="CZ621" s="632"/>
      <c r="DA621" s="632"/>
      <c r="DB621" s="632"/>
      <c r="DC621" s="632"/>
      <c r="DD621" s="632"/>
      <c r="DE621" s="632"/>
      <c r="DF621" s="632"/>
      <c r="DG621" s="632"/>
    </row>
    <row r="622" ht="20.25" customHeight="1">
      <c r="A622" s="316" t="s">
        <v>520</v>
      </c>
      <c r="B622" s="316" t="s">
        <v>107</v>
      </c>
      <c r="C622" s="316" t="s">
        <v>1009</v>
      </c>
      <c r="D622" s="215"/>
      <c r="E622" s="60" t="s">
        <v>3330</v>
      </c>
      <c r="F622" s="613" t="s">
        <v>3385</v>
      </c>
      <c r="G622" s="52" t="s">
        <v>135</v>
      </c>
      <c r="H622" s="140">
        <v>45489.0</v>
      </c>
      <c r="I622" s="409">
        <v>45638.0</v>
      </c>
      <c r="J622" s="55"/>
      <c r="K622" s="55"/>
      <c r="L622" s="52" t="s">
        <v>3332</v>
      </c>
      <c r="M622" s="52" t="s">
        <v>3333</v>
      </c>
      <c r="N622" s="355">
        <v>1.0</v>
      </c>
      <c r="O622" s="353" t="s">
        <v>3334</v>
      </c>
      <c r="P622" s="48" t="str">
        <f t="array" ref="P622">HYPERLINK(INDEX('File Links'!B:B, MATCH(O622, 'File Links'!C:C, 0)))
</f>
        <v>https://drive.google.com/file/d/13vglHZTPgv6z9W5xPGWG5OyE_h91M3UK/view?usp=drivesdk</v>
      </c>
      <c r="Q622" s="52" t="s">
        <v>3335</v>
      </c>
      <c r="R622" s="52" t="s">
        <v>3336</v>
      </c>
      <c r="S622" s="55"/>
      <c r="T622" s="646">
        <v>1.0</v>
      </c>
      <c r="U622" s="354" t="s">
        <v>3337</v>
      </c>
      <c r="V622" s="52" t="s">
        <v>202</v>
      </c>
      <c r="W622" s="50" t="str">
        <f t="array" ref="W622">HYPERLINK(INDEX('File Links'!B:B, MATCH(U622, 'File Links'!C:C, 0)))
</f>
        <v>https://drive.google.com/file/d/17sgB6ScmXf8Wli1_dKWf0wpvxkNJRZtC/view?usp=drivesdk</v>
      </c>
      <c r="X622" s="55"/>
      <c r="Y622" s="52" t="s">
        <v>139</v>
      </c>
      <c r="Z622" s="55" t="s">
        <v>3338</v>
      </c>
      <c r="AA622" s="55" t="s">
        <v>3339</v>
      </c>
      <c r="AB622" s="52" t="s">
        <v>3386</v>
      </c>
      <c r="AC622" s="55"/>
      <c r="AD622" s="355">
        <v>5.0</v>
      </c>
      <c r="AE622" s="355">
        <v>27.0</v>
      </c>
      <c r="AF622" s="355">
        <v>3.85</v>
      </c>
      <c r="AG622" s="330" t="s">
        <v>162</v>
      </c>
      <c r="AH622" s="55"/>
      <c r="AI622" s="355">
        <v>0.051</v>
      </c>
      <c r="AJ622" s="147" t="s">
        <v>164</v>
      </c>
      <c r="AK622" s="52" t="s">
        <v>179</v>
      </c>
      <c r="AL622" s="55" t="s">
        <v>129</v>
      </c>
      <c r="AM622" s="55"/>
      <c r="AN622" s="355">
        <v>32.0</v>
      </c>
      <c r="AO622" s="355">
        <v>10.15</v>
      </c>
      <c r="AP622" s="52" t="s">
        <v>162</v>
      </c>
      <c r="AQ622" s="355">
        <v>9.0</v>
      </c>
      <c r="AR622" s="355">
        <v>0.001</v>
      </c>
      <c r="AS622" s="147" t="s">
        <v>127</v>
      </c>
      <c r="AT622" s="147" t="s">
        <v>179</v>
      </c>
      <c r="AU622" s="60" t="s">
        <v>129</v>
      </c>
      <c r="AV622" s="60"/>
      <c r="AW622" s="60" t="s">
        <v>134</v>
      </c>
      <c r="AX622" s="55"/>
    </row>
    <row r="623" ht="20.25" customHeight="1">
      <c r="A623" s="316" t="s">
        <v>520</v>
      </c>
      <c r="B623" s="316" t="s">
        <v>107</v>
      </c>
      <c r="C623" s="316" t="s">
        <v>1009</v>
      </c>
      <c r="D623" s="215"/>
      <c r="E623" s="60" t="s">
        <v>3330</v>
      </c>
      <c r="F623" s="613" t="s">
        <v>3387</v>
      </c>
      <c r="G623" s="147" t="s">
        <v>135</v>
      </c>
      <c r="H623" s="140">
        <v>45489.0</v>
      </c>
      <c r="I623" s="409">
        <v>45638.0</v>
      </c>
      <c r="J623" s="60"/>
      <c r="K623" s="60"/>
      <c r="L623" s="147" t="s">
        <v>3332</v>
      </c>
      <c r="M623" s="147" t="s">
        <v>3333</v>
      </c>
      <c r="N623" s="144">
        <v>1.0</v>
      </c>
      <c r="O623" s="145" t="s">
        <v>3334</v>
      </c>
      <c r="P623" s="48" t="str">
        <f t="array" ref="P623">HYPERLINK(INDEX('File Links'!B:B, MATCH(O623, 'File Links'!C:C, 0)))
</f>
        <v>https://drive.google.com/file/d/13vglHZTPgv6z9W5xPGWG5OyE_h91M3UK/view?usp=drivesdk</v>
      </c>
      <c r="Q623" s="147" t="s">
        <v>3335</v>
      </c>
      <c r="R623" s="147" t="s">
        <v>3336</v>
      </c>
      <c r="S623" s="60"/>
      <c r="T623" s="144">
        <v>1.0</v>
      </c>
      <c r="U623" s="145" t="s">
        <v>3337</v>
      </c>
      <c r="V623" s="147" t="s">
        <v>202</v>
      </c>
      <c r="W623" s="50" t="str">
        <f t="array" ref="W623">HYPERLINK(INDEX('File Links'!B:B, MATCH(U623, 'File Links'!C:C, 0)))
</f>
        <v>https://drive.google.com/file/d/17sgB6ScmXf8Wli1_dKWf0wpvxkNJRZtC/view?usp=drivesdk</v>
      </c>
      <c r="X623" s="60"/>
      <c r="Y623" s="147" t="s">
        <v>139</v>
      </c>
      <c r="Z623" s="60" t="s">
        <v>3338</v>
      </c>
      <c r="AA623" s="60" t="s">
        <v>3339</v>
      </c>
      <c r="AB623" s="147" t="s">
        <v>3388</v>
      </c>
      <c r="AC623" s="60"/>
      <c r="AD623" s="144">
        <v>5.0</v>
      </c>
      <c r="AE623" s="144">
        <v>27.0</v>
      </c>
      <c r="AF623" s="144">
        <v>0.37</v>
      </c>
      <c r="AG623" s="330" t="s">
        <v>162</v>
      </c>
      <c r="AH623" s="55"/>
      <c r="AI623" s="355">
        <v>0.592</v>
      </c>
      <c r="AJ623" s="147" t="s">
        <v>164</v>
      </c>
      <c r="AK623" s="52" t="s">
        <v>179</v>
      </c>
      <c r="AL623" s="60" t="s">
        <v>129</v>
      </c>
      <c r="AM623" s="60"/>
      <c r="AN623" s="144">
        <v>32.0</v>
      </c>
      <c r="AO623" s="144">
        <v>14.69</v>
      </c>
      <c r="AP623" s="147" t="s">
        <v>162</v>
      </c>
      <c r="AQ623" s="144">
        <v>9.0</v>
      </c>
      <c r="AR623" s="144">
        <v>0.001</v>
      </c>
      <c r="AS623" s="147" t="s">
        <v>127</v>
      </c>
      <c r="AT623" s="147" t="s">
        <v>179</v>
      </c>
      <c r="AU623" s="60" t="s">
        <v>129</v>
      </c>
      <c r="AV623" s="60"/>
      <c r="AW623" s="60" t="s">
        <v>134</v>
      </c>
      <c r="AX623" s="60"/>
    </row>
    <row r="624" ht="20.25" customHeight="1">
      <c r="A624" s="316" t="s">
        <v>520</v>
      </c>
      <c r="B624" s="316" t="s">
        <v>107</v>
      </c>
      <c r="C624" s="316" t="s">
        <v>1009</v>
      </c>
      <c r="D624" s="215"/>
      <c r="E624" s="60" t="s">
        <v>3330</v>
      </c>
      <c r="F624" s="613" t="s">
        <v>3389</v>
      </c>
      <c r="G624" s="147" t="s">
        <v>135</v>
      </c>
      <c r="H624" s="140">
        <v>45489.0</v>
      </c>
      <c r="I624" s="409">
        <v>45638.0</v>
      </c>
      <c r="J624" s="60"/>
      <c r="K624" s="60"/>
      <c r="L624" s="147" t="s">
        <v>3332</v>
      </c>
      <c r="M624" s="147" t="s">
        <v>3333</v>
      </c>
      <c r="N624" s="144">
        <v>1.0</v>
      </c>
      <c r="O624" s="145" t="s">
        <v>3334</v>
      </c>
      <c r="P624" s="48" t="str">
        <f t="array" ref="P624">HYPERLINK(INDEX('File Links'!B:B, MATCH(O624, 'File Links'!C:C, 0)))
</f>
        <v>https://drive.google.com/file/d/13vglHZTPgv6z9W5xPGWG5OyE_h91M3UK/view?usp=drivesdk</v>
      </c>
      <c r="Q624" s="147" t="s">
        <v>3335</v>
      </c>
      <c r="R624" s="147" t="s">
        <v>3336</v>
      </c>
      <c r="S624" s="60"/>
      <c r="T624" s="144">
        <v>1.0</v>
      </c>
      <c r="U624" s="145" t="s">
        <v>3337</v>
      </c>
      <c r="V624" s="147" t="s">
        <v>202</v>
      </c>
      <c r="W624" s="50" t="str">
        <f t="array" ref="W624">HYPERLINK(INDEX('File Links'!B:B, MATCH(U624, 'File Links'!C:C, 0)))
</f>
        <v>https://drive.google.com/file/d/17sgB6ScmXf8Wli1_dKWf0wpvxkNJRZtC/view?usp=drivesdk</v>
      </c>
      <c r="X624" s="60"/>
      <c r="Y624" s="147" t="s">
        <v>139</v>
      </c>
      <c r="Z624" s="60" t="s">
        <v>3338</v>
      </c>
      <c r="AA624" s="60" t="s">
        <v>3339</v>
      </c>
      <c r="AB624" s="147" t="s">
        <v>3390</v>
      </c>
      <c r="AC624" s="60"/>
      <c r="AD624" s="144">
        <v>5.0</v>
      </c>
      <c r="AE624" s="144">
        <v>27.0</v>
      </c>
      <c r="AF624" s="144">
        <v>0.15</v>
      </c>
      <c r="AG624" s="330" t="s">
        <v>162</v>
      </c>
      <c r="AH624" s="55"/>
      <c r="AI624" s="355">
        <v>0.886</v>
      </c>
      <c r="AJ624" s="147" t="s">
        <v>164</v>
      </c>
      <c r="AK624" s="52" t="s">
        <v>179</v>
      </c>
      <c r="AL624" s="60" t="s">
        <v>129</v>
      </c>
      <c r="AM624" s="60"/>
      <c r="AN624" s="144">
        <v>32.0</v>
      </c>
      <c r="AO624" s="144">
        <v>57.29</v>
      </c>
      <c r="AP624" s="147" t="s">
        <v>162</v>
      </c>
      <c r="AQ624" s="144">
        <v>9.0</v>
      </c>
      <c r="AR624" s="144">
        <v>0.001</v>
      </c>
      <c r="AS624" s="147" t="s">
        <v>127</v>
      </c>
      <c r="AT624" s="147" t="s">
        <v>179</v>
      </c>
      <c r="AU624" s="60" t="s">
        <v>129</v>
      </c>
      <c r="AV624" s="60"/>
      <c r="AW624" s="60" t="s">
        <v>134</v>
      </c>
      <c r="AX624" s="60"/>
    </row>
    <row r="625" ht="20.25" customHeight="1">
      <c r="A625" s="316" t="s">
        <v>520</v>
      </c>
      <c r="B625" s="316" t="s">
        <v>107</v>
      </c>
      <c r="C625" s="316" t="s">
        <v>1009</v>
      </c>
      <c r="D625" s="215"/>
      <c r="E625" s="60" t="s">
        <v>3330</v>
      </c>
      <c r="F625" s="613" t="s">
        <v>3391</v>
      </c>
      <c r="G625" s="147" t="s">
        <v>135</v>
      </c>
      <c r="H625" s="140">
        <v>45489.0</v>
      </c>
      <c r="I625" s="409">
        <v>45638.0</v>
      </c>
      <c r="J625" s="60"/>
      <c r="K625" s="60"/>
      <c r="L625" s="147" t="s">
        <v>3332</v>
      </c>
      <c r="M625" s="147" t="s">
        <v>3333</v>
      </c>
      <c r="N625" s="144">
        <v>1.0</v>
      </c>
      <c r="O625" s="145" t="s">
        <v>3334</v>
      </c>
      <c r="P625" s="48" t="str">
        <f t="array" ref="P625">HYPERLINK(INDEX('File Links'!B:B, MATCH(O625, 'File Links'!C:C, 0)))
</f>
        <v>https://drive.google.com/file/d/13vglHZTPgv6z9W5xPGWG5OyE_h91M3UK/view?usp=drivesdk</v>
      </c>
      <c r="Q625" s="147" t="s">
        <v>3335</v>
      </c>
      <c r="R625" s="147" t="s">
        <v>3336</v>
      </c>
      <c r="S625" s="60"/>
      <c r="T625" s="144">
        <v>1.0</v>
      </c>
      <c r="U625" s="145" t="s">
        <v>3337</v>
      </c>
      <c r="V625" s="147" t="s">
        <v>202</v>
      </c>
      <c r="W625" s="50" t="str">
        <f t="array" ref="W625">HYPERLINK(INDEX('File Links'!B:B, MATCH(U625, 'File Links'!C:C, 0)))
</f>
        <v>https://drive.google.com/file/d/17sgB6ScmXf8Wli1_dKWf0wpvxkNJRZtC/view?usp=drivesdk</v>
      </c>
      <c r="X625" s="60"/>
      <c r="Y625" s="147" t="s">
        <v>139</v>
      </c>
      <c r="Z625" s="60" t="s">
        <v>3338</v>
      </c>
      <c r="AA625" s="60" t="s">
        <v>3339</v>
      </c>
      <c r="AB625" s="147" t="s">
        <v>3392</v>
      </c>
      <c r="AC625" s="60"/>
      <c r="AD625" s="144">
        <v>5.0</v>
      </c>
      <c r="AE625" s="144">
        <v>27.0</v>
      </c>
      <c r="AF625" s="60"/>
      <c r="AG625" s="330" t="s">
        <v>162</v>
      </c>
      <c r="AH625" s="55"/>
      <c r="AI625" s="355">
        <v>0.455</v>
      </c>
      <c r="AJ625" s="147" t="s">
        <v>164</v>
      </c>
      <c r="AK625" s="52" t="s">
        <v>179</v>
      </c>
      <c r="AL625" s="60" t="s">
        <v>129</v>
      </c>
      <c r="AM625" s="60"/>
      <c r="AN625" s="144">
        <v>32.0</v>
      </c>
      <c r="AO625" s="60"/>
      <c r="AP625" s="147" t="s">
        <v>162</v>
      </c>
      <c r="AQ625" s="144">
        <v>9.0</v>
      </c>
      <c r="AR625" s="144">
        <v>0.001</v>
      </c>
      <c r="AS625" s="147" t="s">
        <v>127</v>
      </c>
      <c r="AT625" s="147" t="s">
        <v>179</v>
      </c>
      <c r="AU625" s="60" t="s">
        <v>129</v>
      </c>
      <c r="AV625" s="60"/>
      <c r="AW625" s="60" t="s">
        <v>134</v>
      </c>
      <c r="AX625" s="60"/>
    </row>
    <row r="626" ht="20.25" customHeight="1">
      <c r="A626" s="316" t="s">
        <v>520</v>
      </c>
      <c r="B626" s="316" t="s">
        <v>107</v>
      </c>
      <c r="C626" s="316" t="s">
        <v>1009</v>
      </c>
      <c r="D626" s="215"/>
      <c r="E626" s="60" t="s">
        <v>3330</v>
      </c>
      <c r="F626" s="613" t="s">
        <v>3393</v>
      </c>
      <c r="G626" s="147" t="s">
        <v>135</v>
      </c>
      <c r="H626" s="140">
        <v>45489.0</v>
      </c>
      <c r="I626" s="409">
        <v>45638.0</v>
      </c>
      <c r="J626" s="60"/>
      <c r="K626" s="60"/>
      <c r="L626" s="147" t="s">
        <v>3332</v>
      </c>
      <c r="M626" s="147" t="s">
        <v>3333</v>
      </c>
      <c r="N626" s="144">
        <v>1.0</v>
      </c>
      <c r="O626" s="145" t="s">
        <v>3334</v>
      </c>
      <c r="P626" s="48" t="str">
        <f t="array" ref="P626">HYPERLINK(INDEX('File Links'!B:B, MATCH(O626, 'File Links'!C:C, 0)))
</f>
        <v>https://drive.google.com/file/d/13vglHZTPgv6z9W5xPGWG5OyE_h91M3UK/view?usp=drivesdk</v>
      </c>
      <c r="Q626" s="147" t="s">
        <v>3335</v>
      </c>
      <c r="R626" s="147" t="s">
        <v>3336</v>
      </c>
      <c r="S626" s="60"/>
      <c r="T626" s="144">
        <v>1.0</v>
      </c>
      <c r="U626" s="145" t="s">
        <v>3337</v>
      </c>
      <c r="V626" s="147" t="s">
        <v>202</v>
      </c>
      <c r="W626" s="50" t="str">
        <f t="array" ref="W626">HYPERLINK(INDEX('File Links'!B:B, MATCH(U626, 'File Links'!C:C, 0)))
</f>
        <v>https://drive.google.com/file/d/17sgB6ScmXf8Wli1_dKWf0wpvxkNJRZtC/view?usp=drivesdk</v>
      </c>
      <c r="X626" s="60"/>
      <c r="Y626" s="147" t="s">
        <v>139</v>
      </c>
      <c r="Z626" s="60" t="s">
        <v>3338</v>
      </c>
      <c r="AA626" s="60" t="s">
        <v>3339</v>
      </c>
      <c r="AB626" s="147" t="s">
        <v>3394</v>
      </c>
      <c r="AC626" s="60"/>
      <c r="AD626" s="144">
        <v>5.0</v>
      </c>
      <c r="AE626" s="144">
        <v>27.0</v>
      </c>
      <c r="AF626" s="144">
        <v>2.87</v>
      </c>
      <c r="AG626" s="330" t="s">
        <v>162</v>
      </c>
      <c r="AH626" s="55"/>
      <c r="AI626" s="355">
        <v>0.072</v>
      </c>
      <c r="AJ626" s="147" t="s">
        <v>164</v>
      </c>
      <c r="AK626" s="52" t="s">
        <v>179</v>
      </c>
      <c r="AL626" s="60" t="s">
        <v>129</v>
      </c>
      <c r="AM626" s="60"/>
      <c r="AN626" s="144">
        <v>32.0</v>
      </c>
      <c r="AO626" s="144">
        <v>5.39</v>
      </c>
      <c r="AP626" s="147" t="s">
        <v>162</v>
      </c>
      <c r="AQ626" s="144">
        <v>9.0</v>
      </c>
      <c r="AR626" s="144">
        <v>0.001</v>
      </c>
      <c r="AS626" s="147" t="s">
        <v>127</v>
      </c>
      <c r="AT626" s="147" t="s">
        <v>179</v>
      </c>
      <c r="AU626" s="60" t="s">
        <v>129</v>
      </c>
      <c r="AV626" s="60"/>
      <c r="AW626" s="60" t="s">
        <v>134</v>
      </c>
      <c r="AX626" s="60"/>
    </row>
    <row r="627" ht="20.25" customHeight="1">
      <c r="A627" s="316" t="s">
        <v>520</v>
      </c>
      <c r="B627" s="316" t="s">
        <v>107</v>
      </c>
      <c r="C627" s="316" t="s">
        <v>1009</v>
      </c>
      <c r="D627" s="215"/>
      <c r="E627" s="60" t="s">
        <v>3330</v>
      </c>
      <c r="F627" s="613" t="s">
        <v>3395</v>
      </c>
      <c r="G627" s="147" t="s">
        <v>135</v>
      </c>
      <c r="H627" s="140">
        <v>45489.0</v>
      </c>
      <c r="I627" s="409">
        <v>45638.0</v>
      </c>
      <c r="J627" s="60"/>
      <c r="K627" s="60"/>
      <c r="L627" s="147" t="s">
        <v>3332</v>
      </c>
      <c r="M627" s="147" t="s">
        <v>3333</v>
      </c>
      <c r="N627" s="144">
        <v>1.0</v>
      </c>
      <c r="O627" s="145" t="s">
        <v>3334</v>
      </c>
      <c r="P627" s="48" t="str">
        <f t="array" ref="P627">HYPERLINK(INDEX('File Links'!B:B, MATCH(O627, 'File Links'!C:C, 0)))
</f>
        <v>https://drive.google.com/file/d/13vglHZTPgv6z9W5xPGWG5OyE_h91M3UK/view?usp=drivesdk</v>
      </c>
      <c r="Q627" s="147" t="s">
        <v>3335</v>
      </c>
      <c r="R627" s="147" t="s">
        <v>3336</v>
      </c>
      <c r="S627" s="60"/>
      <c r="T627" s="144">
        <v>1.0</v>
      </c>
      <c r="U627" s="145" t="s">
        <v>3337</v>
      </c>
      <c r="V627" s="147" t="s">
        <v>202</v>
      </c>
      <c r="W627" s="50" t="str">
        <f t="array" ref="W627">HYPERLINK(INDEX('File Links'!B:B, MATCH(U627, 'File Links'!C:C, 0)))
</f>
        <v>https://drive.google.com/file/d/17sgB6ScmXf8Wli1_dKWf0wpvxkNJRZtC/view?usp=drivesdk</v>
      </c>
      <c r="X627" s="60"/>
      <c r="Y627" s="147" t="s">
        <v>139</v>
      </c>
      <c r="Z627" s="60" t="s">
        <v>3338</v>
      </c>
      <c r="AA627" s="60" t="s">
        <v>3339</v>
      </c>
      <c r="AB627" s="147" t="s">
        <v>3396</v>
      </c>
      <c r="AC627" s="60"/>
      <c r="AD627" s="144">
        <v>5.0</v>
      </c>
      <c r="AE627" s="144">
        <v>27.0</v>
      </c>
      <c r="AF627" s="144">
        <v>0.811</v>
      </c>
      <c r="AG627" s="330" t="s">
        <v>162</v>
      </c>
      <c r="AH627" s="55"/>
      <c r="AI627" s="355">
        <v>0.421</v>
      </c>
      <c r="AJ627" s="147" t="s">
        <v>164</v>
      </c>
      <c r="AK627" s="52" t="s">
        <v>179</v>
      </c>
      <c r="AL627" s="60" t="s">
        <v>129</v>
      </c>
      <c r="AM627" s="60"/>
      <c r="AN627" s="144">
        <v>32.0</v>
      </c>
      <c r="AO627" s="144">
        <v>1.33</v>
      </c>
      <c r="AP627" s="147" t="s">
        <v>162</v>
      </c>
      <c r="AQ627" s="144">
        <v>9.0</v>
      </c>
      <c r="AR627" s="144">
        <v>0.272</v>
      </c>
      <c r="AS627" s="147" t="s">
        <v>164</v>
      </c>
      <c r="AT627" s="147" t="s">
        <v>179</v>
      </c>
      <c r="AU627" s="60" t="s">
        <v>129</v>
      </c>
      <c r="AV627" s="60"/>
      <c r="AW627" s="60" t="s">
        <v>134</v>
      </c>
      <c r="AX627" s="60"/>
    </row>
    <row r="628" ht="20.25" customHeight="1">
      <c r="A628" s="316" t="s">
        <v>520</v>
      </c>
      <c r="B628" s="316" t="s">
        <v>107</v>
      </c>
      <c r="C628" s="316" t="s">
        <v>1009</v>
      </c>
      <c r="D628" s="215"/>
      <c r="E628" s="60" t="s">
        <v>3330</v>
      </c>
      <c r="F628" s="613" t="s">
        <v>3397</v>
      </c>
      <c r="G628" s="147" t="s">
        <v>135</v>
      </c>
      <c r="H628" s="140">
        <v>45489.0</v>
      </c>
      <c r="I628" s="409">
        <v>45638.0</v>
      </c>
      <c r="J628" s="60"/>
      <c r="K628" s="60"/>
      <c r="L628" s="147" t="s">
        <v>3332</v>
      </c>
      <c r="M628" s="147" t="s">
        <v>3333</v>
      </c>
      <c r="N628" s="144">
        <v>1.0</v>
      </c>
      <c r="O628" s="145" t="s">
        <v>3334</v>
      </c>
      <c r="P628" s="48" t="str">
        <f t="array" ref="P628">HYPERLINK(INDEX('File Links'!B:B, MATCH(O628, 'File Links'!C:C, 0)))
</f>
        <v>https://drive.google.com/file/d/13vglHZTPgv6z9W5xPGWG5OyE_h91M3UK/view?usp=drivesdk</v>
      </c>
      <c r="Q628" s="147" t="s">
        <v>3335</v>
      </c>
      <c r="R628" s="147" t="s">
        <v>3336</v>
      </c>
      <c r="S628" s="60"/>
      <c r="T628" s="144">
        <v>1.0</v>
      </c>
      <c r="U628" s="145" t="s">
        <v>3337</v>
      </c>
      <c r="V628" s="147" t="s">
        <v>202</v>
      </c>
      <c r="W628" s="50" t="str">
        <f t="array" ref="W628">HYPERLINK(INDEX('File Links'!B:B, MATCH(U628, 'File Links'!C:C, 0)))
</f>
        <v>https://drive.google.com/file/d/17sgB6ScmXf8Wli1_dKWf0wpvxkNJRZtC/view?usp=drivesdk</v>
      </c>
      <c r="X628" s="60"/>
      <c r="Y628" s="147" t="s">
        <v>139</v>
      </c>
      <c r="Z628" s="60" t="s">
        <v>3338</v>
      </c>
      <c r="AA628" s="60" t="s">
        <v>3339</v>
      </c>
      <c r="AB628" s="147" t="s">
        <v>3398</v>
      </c>
      <c r="AC628" s="60"/>
      <c r="AD628" s="144">
        <v>5.0</v>
      </c>
      <c r="AE628" s="144">
        <v>27.0</v>
      </c>
      <c r="AF628" s="144">
        <v>0.47</v>
      </c>
      <c r="AG628" s="330" t="s">
        <v>162</v>
      </c>
      <c r="AH628" s="55"/>
      <c r="AI628" s="355">
        <v>0.644</v>
      </c>
      <c r="AJ628" s="147" t="s">
        <v>164</v>
      </c>
      <c r="AK628" s="52" t="s">
        <v>179</v>
      </c>
      <c r="AL628" s="60" t="s">
        <v>129</v>
      </c>
      <c r="AM628" s="60"/>
      <c r="AN628" s="144">
        <v>32.0</v>
      </c>
      <c r="AO628" s="144">
        <v>0.01</v>
      </c>
      <c r="AP628" s="147" t="s">
        <v>162</v>
      </c>
      <c r="AQ628" s="144">
        <v>9.0</v>
      </c>
      <c r="AR628" s="144">
        <v>0.999</v>
      </c>
      <c r="AS628" s="147" t="s">
        <v>329</v>
      </c>
      <c r="AT628" s="147" t="s">
        <v>179</v>
      </c>
      <c r="AU628" s="60" t="s">
        <v>129</v>
      </c>
      <c r="AV628" s="60"/>
      <c r="AW628" s="60" t="s">
        <v>134</v>
      </c>
      <c r="AX628" s="60"/>
    </row>
    <row r="629" ht="20.25" customHeight="1">
      <c r="A629" s="316" t="s">
        <v>520</v>
      </c>
      <c r="B629" s="316" t="s">
        <v>107</v>
      </c>
      <c r="C629" s="316" t="s">
        <v>1009</v>
      </c>
      <c r="D629" s="215"/>
      <c r="E629" s="60" t="s">
        <v>3330</v>
      </c>
      <c r="F629" s="613" t="s">
        <v>3399</v>
      </c>
      <c r="G629" s="147" t="s">
        <v>135</v>
      </c>
      <c r="H629" s="140">
        <v>45489.0</v>
      </c>
      <c r="I629" s="409">
        <v>45638.0</v>
      </c>
      <c r="J629" s="60"/>
      <c r="K629" s="60"/>
      <c r="L629" s="147" t="s">
        <v>3332</v>
      </c>
      <c r="M629" s="147" t="s">
        <v>3333</v>
      </c>
      <c r="N629" s="144">
        <v>1.0</v>
      </c>
      <c r="O629" s="145" t="s">
        <v>3334</v>
      </c>
      <c r="P629" s="48" t="str">
        <f t="array" ref="P629">HYPERLINK(INDEX('File Links'!B:B, MATCH(O629, 'File Links'!C:C, 0)))
</f>
        <v>https://drive.google.com/file/d/13vglHZTPgv6z9W5xPGWG5OyE_h91M3UK/view?usp=drivesdk</v>
      </c>
      <c r="Q629" s="147" t="s">
        <v>3335</v>
      </c>
      <c r="R629" s="147" t="s">
        <v>3336</v>
      </c>
      <c r="S629" s="60"/>
      <c r="T629" s="144">
        <v>1.0</v>
      </c>
      <c r="U629" s="145" t="s">
        <v>3337</v>
      </c>
      <c r="V629" s="147" t="s">
        <v>202</v>
      </c>
      <c r="W629" s="50" t="str">
        <f t="array" ref="W629">HYPERLINK(INDEX('File Links'!B:B, MATCH(U629, 'File Links'!C:C, 0)))
</f>
        <v>https://drive.google.com/file/d/17sgB6ScmXf8Wli1_dKWf0wpvxkNJRZtC/view?usp=drivesdk</v>
      </c>
      <c r="X629" s="60"/>
      <c r="Y629" s="147" t="s">
        <v>139</v>
      </c>
      <c r="Z629" s="60" t="s">
        <v>3338</v>
      </c>
      <c r="AA629" s="60" t="s">
        <v>3339</v>
      </c>
      <c r="AB629" s="147" t="s">
        <v>3400</v>
      </c>
      <c r="AC629" s="60"/>
      <c r="AD629" s="144">
        <v>5.0</v>
      </c>
      <c r="AE629" s="144">
        <v>27.0</v>
      </c>
      <c r="AF629" s="60"/>
      <c r="AG629" s="330" t="s">
        <v>162</v>
      </c>
      <c r="AH629" s="55"/>
      <c r="AI629" s="355">
        <v>0.227</v>
      </c>
      <c r="AJ629" s="147" t="s">
        <v>164</v>
      </c>
      <c r="AK629" s="52" t="s">
        <v>179</v>
      </c>
      <c r="AL629" s="60" t="s">
        <v>129</v>
      </c>
      <c r="AM629" s="60"/>
      <c r="AN629" s="144">
        <v>32.0</v>
      </c>
      <c r="AO629" s="60"/>
      <c r="AP629" s="147" t="s">
        <v>162</v>
      </c>
      <c r="AQ629" s="144">
        <v>9.0</v>
      </c>
      <c r="AR629" s="144">
        <v>0.993</v>
      </c>
      <c r="AS629" s="147" t="s">
        <v>164</v>
      </c>
      <c r="AT629" s="147" t="s">
        <v>179</v>
      </c>
      <c r="AU629" s="60" t="s">
        <v>129</v>
      </c>
      <c r="AV629" s="60"/>
      <c r="AW629" s="60" t="s">
        <v>134</v>
      </c>
      <c r="AX629" s="60"/>
    </row>
    <row r="630" ht="20.25" customHeight="1">
      <c r="A630" s="316" t="s">
        <v>520</v>
      </c>
      <c r="B630" s="316" t="s">
        <v>107</v>
      </c>
      <c r="C630" s="316" t="s">
        <v>1009</v>
      </c>
      <c r="D630" s="215"/>
      <c r="E630" s="60" t="s">
        <v>3330</v>
      </c>
      <c r="F630" s="613" t="s">
        <v>3401</v>
      </c>
      <c r="G630" s="147" t="s">
        <v>135</v>
      </c>
      <c r="H630" s="140">
        <v>45489.0</v>
      </c>
      <c r="I630" s="409">
        <v>45638.0</v>
      </c>
      <c r="J630" s="60"/>
      <c r="K630" s="60"/>
      <c r="L630" s="147" t="s">
        <v>3332</v>
      </c>
      <c r="M630" s="147" t="s">
        <v>3333</v>
      </c>
      <c r="N630" s="144">
        <v>1.0</v>
      </c>
      <c r="O630" s="145" t="s">
        <v>3334</v>
      </c>
      <c r="P630" s="48" t="str">
        <f t="array" ref="P630">HYPERLINK(INDEX('File Links'!B:B, MATCH(O630, 'File Links'!C:C, 0)))
</f>
        <v>https://drive.google.com/file/d/13vglHZTPgv6z9W5xPGWG5OyE_h91M3UK/view?usp=drivesdk</v>
      </c>
      <c r="Q630" s="147" t="s">
        <v>3335</v>
      </c>
      <c r="R630" s="147" t="s">
        <v>3336</v>
      </c>
      <c r="S630" s="60"/>
      <c r="T630" s="144">
        <v>1.0</v>
      </c>
      <c r="U630" s="145" t="s">
        <v>3337</v>
      </c>
      <c r="V630" s="147" t="s">
        <v>202</v>
      </c>
      <c r="W630" s="50" t="str">
        <f t="array" ref="W630">HYPERLINK(INDEX('File Links'!B:B, MATCH(U630, 'File Links'!C:C, 0)))
</f>
        <v>https://drive.google.com/file/d/17sgB6ScmXf8Wli1_dKWf0wpvxkNJRZtC/view?usp=drivesdk</v>
      </c>
      <c r="X630" s="60"/>
      <c r="Y630" s="147" t="s">
        <v>139</v>
      </c>
      <c r="Z630" s="60" t="s">
        <v>3338</v>
      </c>
      <c r="AA630" s="60" t="s">
        <v>3339</v>
      </c>
      <c r="AB630" s="147" t="s">
        <v>3402</v>
      </c>
      <c r="AC630" s="60"/>
      <c r="AD630" s="144">
        <v>5.0</v>
      </c>
      <c r="AE630" s="144">
        <v>27.0</v>
      </c>
      <c r="AF630" s="144">
        <v>10.76</v>
      </c>
      <c r="AG630" s="330" t="s">
        <v>162</v>
      </c>
      <c r="AH630" s="55"/>
      <c r="AI630" s="355">
        <v>0.003</v>
      </c>
      <c r="AJ630" s="147" t="s">
        <v>164</v>
      </c>
      <c r="AK630" s="52" t="s">
        <v>179</v>
      </c>
      <c r="AL630" s="60" t="s">
        <v>129</v>
      </c>
      <c r="AM630" s="60"/>
      <c r="AN630" s="144">
        <v>32.0</v>
      </c>
      <c r="AO630" s="144">
        <v>27.62</v>
      </c>
      <c r="AP630" s="147" t="s">
        <v>162</v>
      </c>
      <c r="AQ630" s="144">
        <v>9.0</v>
      </c>
      <c r="AR630" s="144">
        <v>0.001</v>
      </c>
      <c r="AS630" s="147" t="s">
        <v>127</v>
      </c>
      <c r="AT630" s="147" t="s">
        <v>179</v>
      </c>
      <c r="AU630" s="60" t="s">
        <v>129</v>
      </c>
      <c r="AV630" s="60"/>
      <c r="AW630" s="60" t="s">
        <v>134</v>
      </c>
      <c r="AX630" s="60"/>
    </row>
    <row r="631" ht="20.25" customHeight="1">
      <c r="A631" s="316" t="s">
        <v>520</v>
      </c>
      <c r="B631" s="316" t="s">
        <v>107</v>
      </c>
      <c r="C631" s="316" t="s">
        <v>214</v>
      </c>
      <c r="D631" s="215"/>
      <c r="E631" s="255" t="s">
        <v>3330</v>
      </c>
      <c r="F631" s="43" t="s">
        <v>3403</v>
      </c>
      <c r="G631" s="356" t="s">
        <v>214</v>
      </c>
      <c r="H631" s="357">
        <v>45684.0</v>
      </c>
      <c r="I631" s="357">
        <v>45684.0</v>
      </c>
      <c r="J631" s="356" t="s">
        <v>3404</v>
      </c>
      <c r="K631" s="42"/>
      <c r="L631" s="356" t="s">
        <v>3332</v>
      </c>
      <c r="M631" s="356" t="s">
        <v>3333</v>
      </c>
      <c r="N631" s="42"/>
      <c r="O631" s="356" t="s">
        <v>3334</v>
      </c>
      <c r="P631" s="48" t="str">
        <f t="array" ref="P631">HYPERLINK(INDEX('File Links'!B:B, MATCH(O631, 'File Links'!C:C, 0)))
</f>
        <v>https://drive.google.com/file/d/13vglHZTPgv6z9W5xPGWG5OyE_h91M3UK/view?usp=drivesdk</v>
      </c>
      <c r="Q631" s="356" t="s">
        <v>3335</v>
      </c>
      <c r="R631" s="356" t="s">
        <v>3336</v>
      </c>
      <c r="S631" s="42"/>
      <c r="T631" s="42"/>
      <c r="U631" s="356" t="s">
        <v>3337</v>
      </c>
      <c r="V631" s="356" t="s">
        <v>3405</v>
      </c>
      <c r="W631" s="50" t="str">
        <f t="array" ref="W631">HYPERLINK(INDEX('File Links'!B:B, MATCH(U631, 'File Links'!C:C, 0)))
</f>
        <v>https://drive.google.com/file/d/17sgB6ScmXf8Wli1_dKWf0wpvxkNJRZtC/view?usp=drivesdk</v>
      </c>
      <c r="X631" s="42"/>
      <c r="Y631" s="356" t="s">
        <v>849</v>
      </c>
      <c r="Z631" s="356" t="s">
        <v>3406</v>
      </c>
      <c r="AA631" s="356" t="s">
        <v>3339</v>
      </c>
      <c r="AB631" s="356" t="s">
        <v>3407</v>
      </c>
      <c r="AC631" s="42" t="s">
        <v>3408</v>
      </c>
      <c r="AD631" s="360">
        <v>165.0</v>
      </c>
      <c r="AE631" s="360">
        <v>68.0</v>
      </c>
      <c r="AF631" s="42"/>
      <c r="AG631" s="42"/>
      <c r="AH631" s="42"/>
      <c r="AI631" s="359">
        <v>0.05</v>
      </c>
      <c r="AJ631" s="43" t="s">
        <v>127</v>
      </c>
      <c r="AK631" s="43" t="s">
        <v>128</v>
      </c>
      <c r="AL631" s="356" t="s">
        <v>132</v>
      </c>
      <c r="AM631" s="43" t="s">
        <v>165</v>
      </c>
      <c r="AN631" s="360">
        <v>32.0</v>
      </c>
      <c r="AO631" s="360">
        <v>0.5</v>
      </c>
      <c r="AP631" s="356" t="s">
        <v>166</v>
      </c>
      <c r="AQ631" s="356" t="s">
        <v>1591</v>
      </c>
      <c r="AR631" s="360">
        <v>0.001</v>
      </c>
      <c r="AS631" s="356" t="s">
        <v>127</v>
      </c>
      <c r="AT631" s="356" t="s">
        <v>128</v>
      </c>
      <c r="AU631" s="356" t="s">
        <v>132</v>
      </c>
      <c r="AV631" s="356" t="s">
        <v>165</v>
      </c>
      <c r="AW631" s="356" t="s">
        <v>134</v>
      </c>
    </row>
    <row r="632" ht="20.25" customHeight="1">
      <c r="A632" s="40" t="s">
        <v>279</v>
      </c>
      <c r="B632" s="40" t="s">
        <v>107</v>
      </c>
      <c r="C632" s="40" t="s">
        <v>2889</v>
      </c>
      <c r="D632" s="58"/>
      <c r="E632" s="41" t="s">
        <v>3409</v>
      </c>
      <c r="F632" s="40" t="s">
        <v>3410</v>
      </c>
      <c r="G632" s="40" t="s">
        <v>2892</v>
      </c>
      <c r="H632" s="56">
        <v>45489.0</v>
      </c>
      <c r="I632" s="57">
        <v>45636.0</v>
      </c>
      <c r="J632" s="40" t="s">
        <v>3411</v>
      </c>
      <c r="K632" s="58"/>
      <c r="L632" s="40" t="s">
        <v>3412</v>
      </c>
      <c r="M632" s="40" t="s">
        <v>3413</v>
      </c>
      <c r="N632" s="40">
        <v>1.0</v>
      </c>
      <c r="O632" s="463" t="s">
        <v>3414</v>
      </c>
      <c r="P632" s="48" t="str">
        <f t="array" ref="P632">HYPERLINK(INDEX('File Links'!B:B, MATCH(O632, 'File Links'!C:C, 0)))
</f>
        <v>https://drive.google.com/file/d/11B6RDsDdpDnOGVv1Bafc4t3LGTugpLfW/view?usp=drivesdk</v>
      </c>
      <c r="Q632" s="40" t="s">
        <v>3415</v>
      </c>
      <c r="R632" s="58"/>
      <c r="S632" s="58"/>
      <c r="T632" s="40">
        <v>1.0</v>
      </c>
      <c r="U632" s="463" t="s">
        <v>351</v>
      </c>
      <c r="V632" s="40" t="s">
        <v>202</v>
      </c>
      <c r="W632" s="45" t="str">
        <f t="array" ref="W632">HYPERLINK(INDEX('File Links'!B:B, MATCH(U632, 'File Links'!C:C, 0)))
</f>
        <v>#N/A</v>
      </c>
      <c r="X632" s="58"/>
      <c r="Y632" s="40" t="s">
        <v>220</v>
      </c>
      <c r="Z632" s="58"/>
      <c r="AA632" s="40" t="s">
        <v>3416</v>
      </c>
      <c r="AB632" s="40" t="s">
        <v>3417</v>
      </c>
      <c r="AC632" s="40" t="s">
        <v>3418</v>
      </c>
      <c r="AD632" s="40">
        <v>15.0</v>
      </c>
      <c r="AE632" s="40">
        <v>304.0</v>
      </c>
      <c r="AF632" s="40">
        <v>0.241</v>
      </c>
      <c r="AG632" s="40" t="s">
        <v>357</v>
      </c>
      <c r="AH632" s="40" t="s">
        <v>624</v>
      </c>
      <c r="AI632" s="40">
        <v>0.05</v>
      </c>
      <c r="AJ632" s="41" t="s">
        <v>127</v>
      </c>
      <c r="AK632" s="40" t="s">
        <v>179</v>
      </c>
      <c r="AL632" s="40" t="s">
        <v>129</v>
      </c>
      <c r="AM632" s="58"/>
      <c r="AN632" s="40">
        <v>149.0</v>
      </c>
      <c r="AO632" s="40">
        <v>-0.41</v>
      </c>
      <c r="AP632" s="40" t="s">
        <v>357</v>
      </c>
      <c r="AQ632" s="40" t="s">
        <v>3419</v>
      </c>
      <c r="AR632" s="40">
        <v>0.05</v>
      </c>
      <c r="AS632" s="41" t="s">
        <v>127</v>
      </c>
      <c r="AT632" s="41" t="s">
        <v>179</v>
      </c>
      <c r="AU632" s="115" t="s">
        <v>129</v>
      </c>
      <c r="AW632" s="41" t="s">
        <v>142</v>
      </c>
      <c r="AX632" s="58"/>
    </row>
    <row r="633" ht="20.25" customHeight="1">
      <c r="A633" s="40" t="s">
        <v>279</v>
      </c>
      <c r="B633" s="40" t="s">
        <v>107</v>
      </c>
      <c r="C633" s="40" t="s">
        <v>2889</v>
      </c>
      <c r="D633" s="58"/>
      <c r="E633" s="147" t="s">
        <v>3420</v>
      </c>
      <c r="F633" s="52" t="s">
        <v>3421</v>
      </c>
      <c r="G633" s="52" t="s">
        <v>2892</v>
      </c>
      <c r="H633" s="140">
        <v>45489.0</v>
      </c>
      <c r="I633" s="140">
        <v>45634.0</v>
      </c>
      <c r="J633" s="52" t="s">
        <v>3422</v>
      </c>
      <c r="K633" s="55"/>
      <c r="L633" s="52" t="s">
        <v>3423</v>
      </c>
      <c r="M633" s="52" t="s">
        <v>3424</v>
      </c>
      <c r="N633" s="355">
        <v>1.0</v>
      </c>
      <c r="O633" s="842" t="s">
        <v>3425</v>
      </c>
      <c r="P633" s="48" t="str">
        <f t="array" ref="P633">HYPERLINK(INDEX('File Links'!B:B, MATCH(O633, 'File Links'!C:C, 0)))
</f>
        <v>https://drive.google.com/file/d/1MFrh4TN71i6T_XH6VvEuarZ-bkTQmkjp/view?usp=drivesdk</v>
      </c>
      <c r="Q633" s="52" t="s">
        <v>3426</v>
      </c>
      <c r="R633" s="52" t="s">
        <v>3427</v>
      </c>
      <c r="S633" s="55"/>
      <c r="T633" s="646">
        <v>1.0</v>
      </c>
      <c r="U633" s="843" t="s">
        <v>3428</v>
      </c>
      <c r="V633" s="52" t="s">
        <v>202</v>
      </c>
      <c r="W633" s="50" t="str">
        <f t="array" ref="W633">HYPERLINK(INDEX('File Links'!B:B, MATCH(U633, 'File Links'!C:C, 0)))
</f>
        <v>https://drive.google.com/file/d/1LvmKgU-0Swex9jXhSh89rVHkVzeNMucB/view?usp=drivesdk</v>
      </c>
      <c r="X633" s="55"/>
      <c r="Y633" s="52" t="s">
        <v>1820</v>
      </c>
      <c r="Z633" s="55"/>
      <c r="AA633" s="52" t="s">
        <v>3429</v>
      </c>
      <c r="AB633" s="52" t="s">
        <v>3430</v>
      </c>
      <c r="AC633" s="52" t="s">
        <v>3431</v>
      </c>
      <c r="AD633" s="355">
        <v>24.0</v>
      </c>
      <c r="AE633" s="55"/>
      <c r="AF633" s="55"/>
      <c r="AG633" s="329"/>
      <c r="AH633" s="55"/>
      <c r="AI633" s="55"/>
      <c r="AJ633" s="60"/>
      <c r="AK633" s="55"/>
      <c r="AL633" s="55"/>
      <c r="AM633" s="55"/>
      <c r="AN633" s="55"/>
      <c r="AO633" s="55"/>
      <c r="AP633" s="55"/>
      <c r="AQ633" s="55"/>
      <c r="AR633" s="55"/>
      <c r="AS633" s="60"/>
      <c r="AT633" s="60"/>
      <c r="AU633" s="60"/>
      <c r="AV633" s="60"/>
      <c r="AW633" s="60"/>
      <c r="AX633" s="55"/>
    </row>
    <row r="634" ht="20.25" customHeight="1">
      <c r="A634" s="136" t="s">
        <v>520</v>
      </c>
      <c r="B634" s="136" t="s">
        <v>107</v>
      </c>
      <c r="C634" s="136" t="s">
        <v>1009</v>
      </c>
      <c r="D634" s="64"/>
      <c r="E634" s="60" t="s">
        <v>3432</v>
      </c>
      <c r="F634" s="844" t="s">
        <v>3433</v>
      </c>
      <c r="G634" s="147" t="s">
        <v>135</v>
      </c>
      <c r="H634" s="140">
        <v>45489.0</v>
      </c>
      <c r="I634" s="409">
        <v>45639.0</v>
      </c>
      <c r="J634" s="60"/>
      <c r="K634" s="60"/>
      <c r="L634" s="147" t="s">
        <v>3434</v>
      </c>
      <c r="M634" s="147" t="s">
        <v>3435</v>
      </c>
      <c r="N634" s="144">
        <v>1.0</v>
      </c>
      <c r="O634" s="459" t="s">
        <v>3436</v>
      </c>
      <c r="P634" s="48" t="str">
        <f t="array" ref="P634">HYPERLINK(INDEX('File Links'!B:B, MATCH(O634, 'File Links'!C:C, 0)))
</f>
        <v>https://drive.google.com/file/d/14JiPB9PULLRpSMDZtQ3_0LhPcWDH6OCz/view?usp=drivesdk</v>
      </c>
      <c r="Q634" s="147" t="s">
        <v>3437</v>
      </c>
      <c r="R634" s="147" t="s">
        <v>3438</v>
      </c>
      <c r="S634" s="60"/>
      <c r="T634" s="144">
        <v>1.0</v>
      </c>
      <c r="U634" s="459" t="s">
        <v>832</v>
      </c>
      <c r="V634" s="147" t="s">
        <v>202</v>
      </c>
      <c r="W634" s="45" t="str">
        <f t="array" ref="W634">HYPERLINK(INDEX('File Links'!B:B, MATCH(U634, 'File Links'!C:C, 0)))
</f>
        <v>#N/A</v>
      </c>
      <c r="X634" s="60"/>
      <c r="Y634" s="147" t="s">
        <v>2052</v>
      </c>
      <c r="Z634" s="147" t="s">
        <v>3439</v>
      </c>
      <c r="AA634" s="60" t="s">
        <v>3440</v>
      </c>
      <c r="AB634" s="147" t="s">
        <v>3441</v>
      </c>
      <c r="AC634" s="147" t="s">
        <v>3442</v>
      </c>
      <c r="AD634" s="144">
        <v>2.0</v>
      </c>
      <c r="AE634" s="144">
        <v>102.0</v>
      </c>
      <c r="AF634" s="144">
        <v>8.0</v>
      </c>
      <c r="AG634" s="330" t="s">
        <v>162</v>
      </c>
      <c r="AH634" s="355">
        <v>2.0</v>
      </c>
      <c r="AI634" s="355">
        <v>0.018</v>
      </c>
      <c r="AJ634" s="147" t="s">
        <v>164</v>
      </c>
      <c r="AK634" s="52" t="s">
        <v>179</v>
      </c>
      <c r="AL634" s="60" t="s">
        <v>129</v>
      </c>
      <c r="AM634" s="60"/>
      <c r="AN634" s="144">
        <v>600.0</v>
      </c>
      <c r="AO634" s="144">
        <v>0.04</v>
      </c>
      <c r="AP634" s="147" t="s">
        <v>2782</v>
      </c>
      <c r="AQ634" s="144">
        <v>34.0</v>
      </c>
      <c r="AR634" s="144">
        <v>0.658</v>
      </c>
      <c r="AS634" s="147" t="s">
        <v>164</v>
      </c>
      <c r="AT634" s="147" t="s">
        <v>179</v>
      </c>
      <c r="AU634" s="60" t="s">
        <v>129</v>
      </c>
      <c r="AV634" s="60"/>
      <c r="AW634" s="60" t="s">
        <v>134</v>
      </c>
      <c r="AX634" s="60"/>
    </row>
    <row r="635" ht="20.25" customHeight="1">
      <c r="A635" s="136" t="s">
        <v>520</v>
      </c>
      <c r="B635" s="136" t="s">
        <v>107</v>
      </c>
      <c r="C635" s="136" t="s">
        <v>1009</v>
      </c>
      <c r="D635" s="64"/>
      <c r="E635" s="60" t="s">
        <v>3432</v>
      </c>
      <c r="F635" s="844" t="s">
        <v>3443</v>
      </c>
      <c r="G635" s="147" t="s">
        <v>135</v>
      </c>
      <c r="H635" s="140">
        <v>45489.0</v>
      </c>
      <c r="I635" s="409">
        <v>45639.0</v>
      </c>
      <c r="J635" s="60"/>
      <c r="K635" s="60"/>
      <c r="L635" s="147" t="s">
        <v>3434</v>
      </c>
      <c r="M635" s="147" t="s">
        <v>3435</v>
      </c>
      <c r="N635" s="144">
        <v>1.0</v>
      </c>
      <c r="O635" s="459" t="s">
        <v>3436</v>
      </c>
      <c r="P635" s="48" t="str">
        <f t="array" ref="P635">HYPERLINK(INDEX('File Links'!B:B, MATCH(O635, 'File Links'!C:C, 0)))
</f>
        <v>https://drive.google.com/file/d/14JiPB9PULLRpSMDZtQ3_0LhPcWDH6OCz/view?usp=drivesdk</v>
      </c>
      <c r="Q635" s="147" t="s">
        <v>3437</v>
      </c>
      <c r="R635" s="147" t="s">
        <v>3438</v>
      </c>
      <c r="S635" s="60"/>
      <c r="T635" s="144">
        <v>1.0</v>
      </c>
      <c r="U635" s="459" t="s">
        <v>832</v>
      </c>
      <c r="V635" s="147" t="s">
        <v>202</v>
      </c>
      <c r="W635" s="45" t="str">
        <f t="array" ref="W635">HYPERLINK(INDEX('File Links'!B:B, MATCH(U635, 'File Links'!C:C, 0)))
</f>
        <v>#N/A</v>
      </c>
      <c r="X635" s="60"/>
      <c r="Y635" s="147" t="s">
        <v>2052</v>
      </c>
      <c r="Z635" s="147" t="s">
        <v>3439</v>
      </c>
      <c r="AA635" s="60" t="s">
        <v>3440</v>
      </c>
      <c r="AB635" s="147" t="s">
        <v>3444</v>
      </c>
      <c r="AC635" s="147" t="s">
        <v>3445</v>
      </c>
      <c r="AD635" s="144">
        <v>2.0</v>
      </c>
      <c r="AE635" s="144">
        <v>102.0</v>
      </c>
      <c r="AF635" s="144">
        <v>9.6</v>
      </c>
      <c r="AG635" s="330" t="s">
        <v>162</v>
      </c>
      <c r="AH635" s="355">
        <v>2.0</v>
      </c>
      <c r="AI635" s="355">
        <v>0.003</v>
      </c>
      <c r="AJ635" s="147" t="s">
        <v>164</v>
      </c>
      <c r="AK635" s="52" t="s">
        <v>179</v>
      </c>
      <c r="AL635" s="60" t="s">
        <v>129</v>
      </c>
      <c r="AM635" s="60"/>
      <c r="AN635" s="144">
        <v>600.0</v>
      </c>
      <c r="AO635" s="144">
        <v>0.07</v>
      </c>
      <c r="AP635" s="147" t="s">
        <v>2782</v>
      </c>
      <c r="AQ635" s="144">
        <v>34.0</v>
      </c>
      <c r="AR635" s="144">
        <v>0.217</v>
      </c>
      <c r="AS635" s="147" t="s">
        <v>164</v>
      </c>
      <c r="AT635" s="147" t="s">
        <v>179</v>
      </c>
      <c r="AU635" s="60" t="s">
        <v>129</v>
      </c>
      <c r="AV635" s="60"/>
      <c r="AW635" s="60" t="s">
        <v>134</v>
      </c>
      <c r="AX635" s="60"/>
    </row>
    <row r="636" ht="20.25" customHeight="1">
      <c r="A636" s="136" t="s">
        <v>520</v>
      </c>
      <c r="B636" s="136" t="s">
        <v>107</v>
      </c>
      <c r="C636" s="136" t="s">
        <v>1009</v>
      </c>
      <c r="D636" s="64"/>
      <c r="E636" s="60" t="s">
        <v>3432</v>
      </c>
      <c r="F636" s="844" t="s">
        <v>3446</v>
      </c>
      <c r="G636" s="147" t="s">
        <v>135</v>
      </c>
      <c r="H636" s="140">
        <v>45489.0</v>
      </c>
      <c r="I636" s="409">
        <v>45639.0</v>
      </c>
      <c r="J636" s="60"/>
      <c r="K636" s="60"/>
      <c r="L636" s="147" t="s">
        <v>3434</v>
      </c>
      <c r="M636" s="147" t="s">
        <v>3435</v>
      </c>
      <c r="N636" s="144">
        <v>2.0</v>
      </c>
      <c r="O636" s="459" t="s">
        <v>3436</v>
      </c>
      <c r="P636" s="48" t="str">
        <f t="array" ref="P636">HYPERLINK(INDEX('File Links'!B:B, MATCH(O636, 'File Links'!C:C, 0)))
</f>
        <v>https://drive.google.com/file/d/14JiPB9PULLRpSMDZtQ3_0LhPcWDH6OCz/view?usp=drivesdk</v>
      </c>
      <c r="Q636" s="147" t="s">
        <v>3437</v>
      </c>
      <c r="R636" s="147" t="s">
        <v>3438</v>
      </c>
      <c r="S636" s="60"/>
      <c r="T636" s="144">
        <v>2.0</v>
      </c>
      <c r="U636" s="459" t="s">
        <v>832</v>
      </c>
      <c r="V636" s="147" t="s">
        <v>202</v>
      </c>
      <c r="W636" s="45" t="str">
        <f t="array" ref="W636">HYPERLINK(INDEX('File Links'!B:B, MATCH(U636, 'File Links'!C:C, 0)))
</f>
        <v>#N/A</v>
      </c>
      <c r="X636" s="60"/>
      <c r="Y636" s="147" t="s">
        <v>2052</v>
      </c>
      <c r="Z636" s="147" t="s">
        <v>3439</v>
      </c>
      <c r="AA636" s="60" t="s">
        <v>3440</v>
      </c>
      <c r="AB636" s="147" t="s">
        <v>3447</v>
      </c>
      <c r="AC636" s="147" t="s">
        <v>3448</v>
      </c>
      <c r="AD636" s="144">
        <v>3.0</v>
      </c>
      <c r="AE636" s="144">
        <v>103.0</v>
      </c>
      <c r="AF636" s="144">
        <v>51.4</v>
      </c>
      <c r="AG636" s="330" t="s">
        <v>162</v>
      </c>
      <c r="AH636" s="355">
        <v>3.0</v>
      </c>
      <c r="AI636" s="355">
        <v>0.001</v>
      </c>
      <c r="AJ636" s="147" t="s">
        <v>127</v>
      </c>
      <c r="AK636" s="52" t="s">
        <v>179</v>
      </c>
      <c r="AL636" s="60" t="s">
        <v>129</v>
      </c>
      <c r="AM636" s="60"/>
      <c r="AN636" s="144">
        <v>600.0</v>
      </c>
      <c r="AO636" s="144">
        <v>0.07</v>
      </c>
      <c r="AP636" s="147" t="s">
        <v>2782</v>
      </c>
      <c r="AQ636" s="144">
        <v>34.0</v>
      </c>
      <c r="AR636" s="144">
        <v>0.247</v>
      </c>
      <c r="AS636" s="147" t="s">
        <v>164</v>
      </c>
      <c r="AT636" s="147" t="s">
        <v>179</v>
      </c>
      <c r="AU636" s="60" t="s">
        <v>129</v>
      </c>
      <c r="AV636" s="60"/>
      <c r="AW636" s="60" t="s">
        <v>134</v>
      </c>
      <c r="AX636" s="60"/>
    </row>
    <row r="637" ht="20.25" customHeight="1">
      <c r="A637" s="136" t="s">
        <v>520</v>
      </c>
      <c r="B637" s="136" t="s">
        <v>107</v>
      </c>
      <c r="C637" s="136" t="s">
        <v>1009</v>
      </c>
      <c r="D637" s="64"/>
      <c r="E637" s="470" t="s">
        <v>3432</v>
      </c>
      <c r="F637" s="845" t="s">
        <v>3449</v>
      </c>
      <c r="G637" s="147" t="s">
        <v>135</v>
      </c>
      <c r="H637" s="487">
        <v>45489.0</v>
      </c>
      <c r="I637" s="846">
        <v>45639.0</v>
      </c>
      <c r="J637" s="470"/>
      <c r="K637" s="470"/>
      <c r="L637" s="847" t="s">
        <v>3434</v>
      </c>
      <c r="M637" s="847" t="s">
        <v>3435</v>
      </c>
      <c r="N637" s="490">
        <v>2.0</v>
      </c>
      <c r="O637" s="459" t="s">
        <v>3436</v>
      </c>
      <c r="P637" s="48" t="str">
        <f t="array" ref="P637">HYPERLINK(INDEX('File Links'!B:B, MATCH(O637, 'File Links'!C:C, 0)))
</f>
        <v>https://drive.google.com/file/d/14JiPB9PULLRpSMDZtQ3_0LhPcWDH6OCz/view?usp=drivesdk</v>
      </c>
      <c r="Q637" s="847" t="s">
        <v>3437</v>
      </c>
      <c r="R637" s="847" t="s">
        <v>3438</v>
      </c>
      <c r="S637" s="470"/>
      <c r="T637" s="490">
        <v>2.0</v>
      </c>
      <c r="U637" s="459" t="s">
        <v>832</v>
      </c>
      <c r="V637" s="147" t="s">
        <v>202</v>
      </c>
      <c r="W637" s="45" t="str">
        <f t="array" ref="W637">HYPERLINK(INDEX('File Links'!B:B, MATCH(U637, 'File Links'!C:C, 0)))
</f>
        <v>#N/A</v>
      </c>
      <c r="X637" s="470"/>
      <c r="Y637" s="847" t="s">
        <v>2052</v>
      </c>
      <c r="Z637" s="847" t="s">
        <v>3439</v>
      </c>
      <c r="AA637" s="470" t="s">
        <v>3440</v>
      </c>
      <c r="AB637" s="147" t="s">
        <v>3450</v>
      </c>
      <c r="AC637" s="847" t="s">
        <v>3451</v>
      </c>
      <c r="AD637" s="490">
        <v>3.0</v>
      </c>
      <c r="AE637" s="490">
        <v>103.0</v>
      </c>
      <c r="AF637" s="490">
        <v>62.2</v>
      </c>
      <c r="AG637" s="848" t="s">
        <v>162</v>
      </c>
      <c r="AH637" s="849">
        <v>3.0</v>
      </c>
      <c r="AI637" s="849">
        <v>0.001</v>
      </c>
      <c r="AJ637" s="847" t="s">
        <v>127</v>
      </c>
      <c r="AK637" s="850" t="s">
        <v>179</v>
      </c>
      <c r="AL637" s="470" t="s">
        <v>129</v>
      </c>
      <c r="AM637" s="470"/>
      <c r="AN637" s="490">
        <v>600.0</v>
      </c>
      <c r="AO637" s="490">
        <v>0.0</v>
      </c>
      <c r="AP637" s="847" t="s">
        <v>2782</v>
      </c>
      <c r="AQ637" s="490">
        <v>34.0</v>
      </c>
      <c r="AR637" s="490">
        <v>0.995</v>
      </c>
      <c r="AS637" s="847" t="s">
        <v>164</v>
      </c>
      <c r="AT637" s="847" t="s">
        <v>179</v>
      </c>
      <c r="AU637" s="470" t="s">
        <v>129</v>
      </c>
      <c r="AV637" s="470"/>
      <c r="AW637" s="470" t="s">
        <v>134</v>
      </c>
      <c r="AX637" s="60"/>
    </row>
    <row r="638" ht="20.25" customHeight="1">
      <c r="A638" s="136" t="s">
        <v>520</v>
      </c>
      <c r="B638" s="136" t="s">
        <v>107</v>
      </c>
      <c r="C638" s="136" t="s">
        <v>1009</v>
      </c>
      <c r="D638" s="64"/>
      <c r="E638" s="60" t="s">
        <v>3432</v>
      </c>
      <c r="F638" s="844" t="s">
        <v>3452</v>
      </c>
      <c r="G638" s="147" t="s">
        <v>135</v>
      </c>
      <c r="H638" s="140">
        <v>45489.0</v>
      </c>
      <c r="I638" s="409">
        <v>45639.0</v>
      </c>
      <c r="J638" s="147" t="s">
        <v>3453</v>
      </c>
      <c r="K638" s="60"/>
      <c r="L638" s="147" t="s">
        <v>3434</v>
      </c>
      <c r="M638" s="147" t="s">
        <v>3435</v>
      </c>
      <c r="N638" s="144">
        <v>3.0</v>
      </c>
      <c r="O638" s="459" t="s">
        <v>3436</v>
      </c>
      <c r="P638" s="48" t="str">
        <f t="array" ref="P638">HYPERLINK(INDEX('File Links'!B:B, MATCH(O638, 'File Links'!C:C, 0)))
</f>
        <v>https://drive.google.com/file/d/14JiPB9PULLRpSMDZtQ3_0LhPcWDH6OCz/view?usp=drivesdk</v>
      </c>
      <c r="Q638" s="147" t="s">
        <v>3437</v>
      </c>
      <c r="R638" s="147" t="s">
        <v>3438</v>
      </c>
      <c r="S638" s="60"/>
      <c r="T638" s="144">
        <v>3.0</v>
      </c>
      <c r="U638" s="459" t="s">
        <v>832</v>
      </c>
      <c r="V638" s="147" t="s">
        <v>202</v>
      </c>
      <c r="W638" s="45" t="str">
        <f t="array" ref="W638">HYPERLINK(INDEX('File Links'!B:B, MATCH(U638, 'File Links'!C:C, 0)))
</f>
        <v>#N/A</v>
      </c>
      <c r="X638" s="60"/>
      <c r="Y638" s="147" t="s">
        <v>2052</v>
      </c>
      <c r="Z638" s="147" t="s">
        <v>3439</v>
      </c>
      <c r="AA638" s="60" t="s">
        <v>3440</v>
      </c>
      <c r="AB638" s="147" t="s">
        <v>3454</v>
      </c>
      <c r="AC638" s="60"/>
      <c r="AD638" s="144">
        <v>4.0</v>
      </c>
      <c r="AE638" s="144">
        <v>70.0</v>
      </c>
      <c r="AF638" s="144">
        <v>6.0</v>
      </c>
      <c r="AG638" s="330" t="s">
        <v>162</v>
      </c>
      <c r="AH638" s="355">
        <v>4.0</v>
      </c>
      <c r="AI638" s="355">
        <v>0.05</v>
      </c>
      <c r="AJ638" s="147" t="s">
        <v>127</v>
      </c>
      <c r="AK638" s="52" t="s">
        <v>179</v>
      </c>
      <c r="AL638" s="60" t="s">
        <v>129</v>
      </c>
      <c r="AM638" s="60"/>
      <c r="AN638" s="144">
        <v>600.0</v>
      </c>
      <c r="AO638" s="144">
        <v>0.08</v>
      </c>
      <c r="AP638" s="147" t="s">
        <v>2782</v>
      </c>
      <c r="AQ638" s="144">
        <v>34.0</v>
      </c>
      <c r="AR638" s="144">
        <v>0.3</v>
      </c>
      <c r="AS638" s="147" t="s">
        <v>164</v>
      </c>
      <c r="AT638" s="147" t="s">
        <v>179</v>
      </c>
      <c r="AU638" s="60" t="s">
        <v>129</v>
      </c>
      <c r="AV638" s="60"/>
      <c r="AW638" s="60" t="s">
        <v>134</v>
      </c>
      <c r="AX638" s="60"/>
    </row>
    <row r="639" ht="20.25" customHeight="1">
      <c r="A639" s="136" t="s">
        <v>520</v>
      </c>
      <c r="B639" s="136" t="s">
        <v>107</v>
      </c>
      <c r="C639" s="136" t="s">
        <v>1009</v>
      </c>
      <c r="D639" s="64"/>
      <c r="E639" s="60" t="s">
        <v>3432</v>
      </c>
      <c r="F639" s="844" t="s">
        <v>3455</v>
      </c>
      <c r="G639" s="147" t="s">
        <v>135</v>
      </c>
      <c r="H639" s="140">
        <v>45489.0</v>
      </c>
      <c r="I639" s="409">
        <v>45639.0</v>
      </c>
      <c r="J639" s="147" t="s">
        <v>3453</v>
      </c>
      <c r="K639" s="60"/>
      <c r="L639" s="147" t="s">
        <v>3434</v>
      </c>
      <c r="M639" s="147" t="s">
        <v>3435</v>
      </c>
      <c r="N639" s="144">
        <v>3.0</v>
      </c>
      <c r="O639" s="459" t="s">
        <v>3436</v>
      </c>
      <c r="P639" s="48" t="str">
        <f t="array" ref="P639">HYPERLINK(INDEX('File Links'!B:B, MATCH(O639, 'File Links'!C:C, 0)))
</f>
        <v>https://drive.google.com/file/d/14JiPB9PULLRpSMDZtQ3_0LhPcWDH6OCz/view?usp=drivesdk</v>
      </c>
      <c r="Q639" s="147" t="s">
        <v>3437</v>
      </c>
      <c r="R639" s="147" t="s">
        <v>3438</v>
      </c>
      <c r="S639" s="60"/>
      <c r="T639" s="144">
        <v>3.0</v>
      </c>
      <c r="U639" s="459" t="s">
        <v>832</v>
      </c>
      <c r="V639" s="147" t="s">
        <v>202</v>
      </c>
      <c r="W639" s="45" t="str">
        <f t="array" ref="W639">HYPERLINK(INDEX('File Links'!B:B, MATCH(U639, 'File Links'!C:C, 0)))
</f>
        <v>#N/A</v>
      </c>
      <c r="X639" s="60"/>
      <c r="Y639" s="147" t="s">
        <v>2052</v>
      </c>
      <c r="Z639" s="147" t="s">
        <v>3439</v>
      </c>
      <c r="AA639" s="60" t="s">
        <v>3440</v>
      </c>
      <c r="AB639" s="147" t="s">
        <v>3456</v>
      </c>
      <c r="AC639" s="60"/>
      <c r="AD639" s="144">
        <v>4.0</v>
      </c>
      <c r="AE639" s="144">
        <v>70.0</v>
      </c>
      <c r="AF639" s="144">
        <v>6.0</v>
      </c>
      <c r="AG639" s="330" t="s">
        <v>162</v>
      </c>
      <c r="AH639" s="355">
        <v>4.0</v>
      </c>
      <c r="AI639" s="355">
        <v>0.05</v>
      </c>
      <c r="AJ639" s="147" t="s">
        <v>127</v>
      </c>
      <c r="AK639" s="52" t="s">
        <v>179</v>
      </c>
      <c r="AL639" s="60" t="s">
        <v>129</v>
      </c>
      <c r="AM639" s="60"/>
      <c r="AN639" s="144">
        <v>600.0</v>
      </c>
      <c r="AO639" s="144">
        <v>0.02</v>
      </c>
      <c r="AP639" s="147" t="s">
        <v>2782</v>
      </c>
      <c r="AQ639" s="144">
        <v>34.0</v>
      </c>
      <c r="AR639" s="144">
        <v>0.455</v>
      </c>
      <c r="AS639" s="147" t="s">
        <v>164</v>
      </c>
      <c r="AT639" s="147" t="s">
        <v>179</v>
      </c>
      <c r="AU639" s="60" t="s">
        <v>129</v>
      </c>
      <c r="AV639" s="60"/>
      <c r="AW639" s="60" t="s">
        <v>134</v>
      </c>
      <c r="AX639" s="60"/>
    </row>
    <row r="640" ht="20.25" customHeight="1">
      <c r="A640" s="136" t="s">
        <v>520</v>
      </c>
      <c r="B640" s="136" t="s">
        <v>107</v>
      </c>
      <c r="C640" s="136" t="s">
        <v>1009</v>
      </c>
      <c r="D640" s="64"/>
      <c r="E640" s="60" t="s">
        <v>3432</v>
      </c>
      <c r="F640" s="844" t="s">
        <v>3457</v>
      </c>
      <c r="G640" s="147" t="s">
        <v>135</v>
      </c>
      <c r="H640" s="140">
        <v>45489.0</v>
      </c>
      <c r="I640" s="409">
        <v>45639.0</v>
      </c>
      <c r="J640" s="147" t="s">
        <v>3453</v>
      </c>
      <c r="K640" s="60"/>
      <c r="L640" s="147" t="s">
        <v>3434</v>
      </c>
      <c r="M640" s="147" t="s">
        <v>3435</v>
      </c>
      <c r="N640" s="144">
        <v>3.0</v>
      </c>
      <c r="O640" s="459" t="s">
        <v>3436</v>
      </c>
      <c r="P640" s="48" t="str">
        <f t="array" ref="P640">HYPERLINK(INDEX('File Links'!B:B, MATCH(O640, 'File Links'!C:C, 0)))
</f>
        <v>https://drive.google.com/file/d/14JiPB9PULLRpSMDZtQ3_0LhPcWDH6OCz/view?usp=drivesdk</v>
      </c>
      <c r="Q640" s="147" t="s">
        <v>3437</v>
      </c>
      <c r="R640" s="147" t="s">
        <v>3438</v>
      </c>
      <c r="S640" s="60"/>
      <c r="T640" s="144">
        <v>3.0</v>
      </c>
      <c r="U640" s="459" t="s">
        <v>832</v>
      </c>
      <c r="V640" s="147" t="s">
        <v>202</v>
      </c>
      <c r="W640" s="45" t="str">
        <f t="array" ref="W640">HYPERLINK(INDEX('File Links'!B:B, MATCH(U640, 'File Links'!C:C, 0)))
</f>
        <v>#N/A</v>
      </c>
      <c r="X640" s="60"/>
      <c r="Y640" s="147" t="s">
        <v>2052</v>
      </c>
      <c r="Z640" s="147" t="s">
        <v>3439</v>
      </c>
      <c r="AA640" s="60" t="s">
        <v>3440</v>
      </c>
      <c r="AB640" s="147" t="s">
        <v>3458</v>
      </c>
      <c r="AC640" s="60"/>
      <c r="AD640" s="144">
        <v>4.0</v>
      </c>
      <c r="AE640" s="144">
        <v>70.0</v>
      </c>
      <c r="AF640" s="144">
        <v>6.0</v>
      </c>
      <c r="AG640" s="330" t="s">
        <v>162</v>
      </c>
      <c r="AH640" s="355">
        <v>4.0</v>
      </c>
      <c r="AI640" s="355">
        <v>0.05</v>
      </c>
      <c r="AJ640" s="147" t="s">
        <v>127</v>
      </c>
      <c r="AK640" s="52" t="s">
        <v>179</v>
      </c>
      <c r="AL640" s="60" t="s">
        <v>129</v>
      </c>
      <c r="AM640" s="60"/>
      <c r="AN640" s="144">
        <v>600.0</v>
      </c>
      <c r="AO640" s="144">
        <v>0.08</v>
      </c>
      <c r="AP640" s="147" t="s">
        <v>2782</v>
      </c>
      <c r="AQ640" s="144">
        <v>34.0</v>
      </c>
      <c r="AR640" s="144">
        <v>0.328</v>
      </c>
      <c r="AS640" s="147" t="s">
        <v>164</v>
      </c>
      <c r="AT640" s="147" t="s">
        <v>179</v>
      </c>
      <c r="AU640" s="60" t="s">
        <v>129</v>
      </c>
      <c r="AV640" s="60"/>
      <c r="AW640" s="60" t="s">
        <v>134</v>
      </c>
      <c r="AX640" s="60"/>
    </row>
    <row r="641" ht="20.25" customHeight="1">
      <c r="A641" s="136" t="s">
        <v>520</v>
      </c>
      <c r="B641" s="136" t="s">
        <v>107</v>
      </c>
      <c r="C641" s="136" t="s">
        <v>1009</v>
      </c>
      <c r="D641" s="64"/>
      <c r="E641" s="60" t="s">
        <v>3432</v>
      </c>
      <c r="F641" s="844" t="s">
        <v>3459</v>
      </c>
      <c r="G641" s="147" t="s">
        <v>135</v>
      </c>
      <c r="H641" s="140">
        <v>45489.0</v>
      </c>
      <c r="I641" s="409">
        <v>45639.0</v>
      </c>
      <c r="J641" s="60"/>
      <c r="K641" s="60"/>
      <c r="L641" s="147" t="s">
        <v>3434</v>
      </c>
      <c r="M641" s="147" t="s">
        <v>3435</v>
      </c>
      <c r="N641" s="144">
        <v>3.0</v>
      </c>
      <c r="O641" s="459" t="s">
        <v>3436</v>
      </c>
      <c r="P641" s="48" t="str">
        <f t="array" ref="P641">HYPERLINK(INDEX('File Links'!B:B, MATCH(O641, 'File Links'!C:C, 0)))
</f>
        <v>https://drive.google.com/file/d/14JiPB9PULLRpSMDZtQ3_0LhPcWDH6OCz/view?usp=drivesdk</v>
      </c>
      <c r="Q641" s="147" t="s">
        <v>3437</v>
      </c>
      <c r="R641" s="147" t="s">
        <v>3438</v>
      </c>
      <c r="S641" s="60"/>
      <c r="T641" s="144">
        <v>3.0</v>
      </c>
      <c r="U641" s="459" t="s">
        <v>832</v>
      </c>
      <c r="V641" s="147" t="s">
        <v>202</v>
      </c>
      <c r="W641" s="45" t="str">
        <f t="array" ref="W641">HYPERLINK(INDEX('File Links'!B:B, MATCH(U641, 'File Links'!C:C, 0)))
</f>
        <v>#N/A</v>
      </c>
      <c r="X641" s="60"/>
      <c r="Y641" s="147" t="s">
        <v>2052</v>
      </c>
      <c r="Z641" s="147" t="s">
        <v>3439</v>
      </c>
      <c r="AA641" s="60" t="s">
        <v>3440</v>
      </c>
      <c r="AB641" s="147" t="s">
        <v>3460</v>
      </c>
      <c r="AC641" s="60"/>
      <c r="AD641" s="144">
        <v>4.0</v>
      </c>
      <c r="AE641" s="144">
        <v>70.0</v>
      </c>
      <c r="AF641" s="60"/>
      <c r="AG641" s="329"/>
      <c r="AH641" s="55"/>
      <c r="AI641" s="55"/>
      <c r="AJ641" s="60"/>
      <c r="AK641" s="55"/>
      <c r="AL641" s="60"/>
      <c r="AM641" s="60"/>
      <c r="AN641" s="144">
        <v>600.0</v>
      </c>
      <c r="AO641" s="144">
        <v>0.06</v>
      </c>
      <c r="AP641" s="147" t="s">
        <v>2782</v>
      </c>
      <c r="AQ641" s="144">
        <v>34.0</v>
      </c>
      <c r="AR641" s="144">
        <v>0.861</v>
      </c>
      <c r="AS641" s="147" t="s">
        <v>164</v>
      </c>
      <c r="AT641" s="147" t="s">
        <v>179</v>
      </c>
      <c r="AU641" s="60" t="s">
        <v>129</v>
      </c>
      <c r="AV641" s="60"/>
      <c r="AW641" s="60" t="s">
        <v>134</v>
      </c>
      <c r="AX641" s="60"/>
    </row>
    <row r="642" ht="20.25" customHeight="1">
      <c r="A642" s="136" t="s">
        <v>520</v>
      </c>
      <c r="B642" s="136" t="s">
        <v>107</v>
      </c>
      <c r="C642" s="136" t="s">
        <v>1009</v>
      </c>
      <c r="D642" s="64"/>
      <c r="E642" s="60" t="s">
        <v>3432</v>
      </c>
      <c r="F642" s="844" t="s">
        <v>3461</v>
      </c>
      <c r="G642" s="147" t="s">
        <v>135</v>
      </c>
      <c r="H642" s="140">
        <v>45489.0</v>
      </c>
      <c r="I642" s="409">
        <v>45639.0</v>
      </c>
      <c r="J642" s="147" t="s">
        <v>3453</v>
      </c>
      <c r="K642" s="60"/>
      <c r="L642" s="147" t="s">
        <v>3434</v>
      </c>
      <c r="M642" s="147" t="s">
        <v>3435</v>
      </c>
      <c r="N642" s="144">
        <v>3.0</v>
      </c>
      <c r="O642" s="459" t="s">
        <v>3436</v>
      </c>
      <c r="P642" s="48" t="str">
        <f t="array" ref="P642">HYPERLINK(INDEX('File Links'!B:B, MATCH(O642, 'File Links'!C:C, 0)))
</f>
        <v>https://drive.google.com/file/d/14JiPB9PULLRpSMDZtQ3_0LhPcWDH6OCz/view?usp=drivesdk</v>
      </c>
      <c r="Q642" s="147" t="s">
        <v>3437</v>
      </c>
      <c r="R642" s="147" t="s">
        <v>3438</v>
      </c>
      <c r="S642" s="60"/>
      <c r="T642" s="144">
        <v>3.0</v>
      </c>
      <c r="U642" s="459" t="s">
        <v>832</v>
      </c>
      <c r="V642" s="147" t="s">
        <v>202</v>
      </c>
      <c r="W642" s="45" t="str">
        <f t="array" ref="W642">HYPERLINK(INDEX('File Links'!B:B, MATCH(U642, 'File Links'!C:C, 0)))
</f>
        <v>#N/A</v>
      </c>
      <c r="X642" s="60"/>
      <c r="Y642" s="147" t="s">
        <v>2052</v>
      </c>
      <c r="Z642" s="147" t="s">
        <v>3439</v>
      </c>
      <c r="AA642" s="60" t="s">
        <v>3440</v>
      </c>
      <c r="AB642" s="147" t="s">
        <v>3462</v>
      </c>
      <c r="AC642" s="60"/>
      <c r="AD642" s="144">
        <v>4.0</v>
      </c>
      <c r="AE642" s="144">
        <v>70.0</v>
      </c>
      <c r="AF642" s="144">
        <v>29.0</v>
      </c>
      <c r="AG642" s="330" t="s">
        <v>162</v>
      </c>
      <c r="AH642" s="355">
        <v>4.0</v>
      </c>
      <c r="AI642" s="355">
        <v>0.001</v>
      </c>
      <c r="AJ642" s="147" t="s">
        <v>127</v>
      </c>
      <c r="AK642" s="52" t="s">
        <v>179</v>
      </c>
      <c r="AL642" s="60" t="s">
        <v>129</v>
      </c>
      <c r="AM642" s="60"/>
      <c r="AN642" s="144">
        <v>600.0</v>
      </c>
      <c r="AO642" s="144">
        <v>0.1</v>
      </c>
      <c r="AP642" s="147" t="s">
        <v>2782</v>
      </c>
      <c r="AQ642" s="144">
        <v>34.0</v>
      </c>
      <c r="AR642" s="144">
        <v>0.292</v>
      </c>
      <c r="AS642" s="147" t="s">
        <v>164</v>
      </c>
      <c r="AT642" s="147" t="s">
        <v>179</v>
      </c>
      <c r="AU642" s="60" t="s">
        <v>129</v>
      </c>
      <c r="AV642" s="60"/>
      <c r="AW642" s="60" t="s">
        <v>134</v>
      </c>
      <c r="AX642" s="60"/>
    </row>
    <row r="643" ht="20.25" customHeight="1">
      <c r="A643" s="136" t="s">
        <v>520</v>
      </c>
      <c r="B643" s="136" t="s">
        <v>107</v>
      </c>
      <c r="C643" s="136" t="s">
        <v>214</v>
      </c>
      <c r="D643" s="64"/>
      <c r="E643" s="255" t="s">
        <v>3432</v>
      </c>
      <c r="F643" s="52" t="s">
        <v>3433</v>
      </c>
      <c r="G643" s="147" t="s">
        <v>214</v>
      </c>
      <c r="H643" s="140">
        <v>45684.0</v>
      </c>
      <c r="I643" s="140">
        <v>45685.0</v>
      </c>
      <c r="J643" s="147" t="s">
        <v>1116</v>
      </c>
      <c r="K643" s="60"/>
      <c r="L643" s="147" t="s">
        <v>3434</v>
      </c>
      <c r="M643" s="147" t="s">
        <v>3435</v>
      </c>
      <c r="N643" s="60"/>
      <c r="O643" s="459" t="s">
        <v>3436</v>
      </c>
      <c r="P643" s="48" t="str">
        <f t="array" ref="P643">HYPERLINK(INDEX('File Links'!B:B, MATCH(O643, 'File Links'!C:C, 0)))
</f>
        <v>https://drive.google.com/file/d/14JiPB9PULLRpSMDZtQ3_0LhPcWDH6OCz/view?usp=drivesdk</v>
      </c>
      <c r="Q643" s="147" t="s">
        <v>3437</v>
      </c>
      <c r="R643" s="147" t="s">
        <v>3438</v>
      </c>
      <c r="S643" s="60"/>
      <c r="T643" s="60"/>
      <c r="U643" s="459" t="s">
        <v>832</v>
      </c>
      <c r="V643" s="147" t="s">
        <v>1117</v>
      </c>
      <c r="W643" s="45" t="str">
        <f t="array" ref="W643">HYPERLINK(INDEX('File Links'!B:B, MATCH(U643, 'File Links'!C:C, 0)))
</f>
        <v>#N/A</v>
      </c>
      <c r="X643" s="60"/>
      <c r="Y643" s="147" t="s">
        <v>203</v>
      </c>
      <c r="Z643" s="147" t="s">
        <v>3463</v>
      </c>
      <c r="AA643" s="147" t="s">
        <v>3464</v>
      </c>
      <c r="AB643" s="147" t="s">
        <v>3465</v>
      </c>
      <c r="AC643" s="147" t="s">
        <v>3466</v>
      </c>
      <c r="AD643" s="144">
        <v>415.0</v>
      </c>
      <c r="AE643" s="144">
        <v>31.0</v>
      </c>
      <c r="AF643" s="144">
        <v>0.198</v>
      </c>
      <c r="AG643" s="147" t="s">
        <v>1275</v>
      </c>
      <c r="AH643" s="147" t="s">
        <v>3467</v>
      </c>
      <c r="AI643" s="646">
        <v>0.018</v>
      </c>
      <c r="AJ643" s="52" t="s">
        <v>164</v>
      </c>
      <c r="AK643" s="52" t="s">
        <v>128</v>
      </c>
      <c r="AL643" s="147" t="s">
        <v>129</v>
      </c>
      <c r="AM643" s="52" t="s">
        <v>165</v>
      </c>
      <c r="AN643" s="144">
        <v>8.0</v>
      </c>
      <c r="AO643" s="144">
        <v>0.28</v>
      </c>
      <c r="AP643" s="147" t="s">
        <v>2782</v>
      </c>
      <c r="AQ643" s="147" t="s">
        <v>610</v>
      </c>
      <c r="AR643" s="144">
        <v>0.658</v>
      </c>
      <c r="AS643" s="147" t="s">
        <v>164</v>
      </c>
      <c r="AT643" s="147" t="s">
        <v>128</v>
      </c>
      <c r="AU643" s="147" t="s">
        <v>129</v>
      </c>
      <c r="AV643" s="303" t="s">
        <v>3468</v>
      </c>
      <c r="AW643" s="453" t="s">
        <v>142</v>
      </c>
    </row>
    <row r="644" ht="20.25" customHeight="1">
      <c r="A644" s="136" t="s">
        <v>520</v>
      </c>
      <c r="B644" s="136" t="s">
        <v>107</v>
      </c>
      <c r="C644" s="136" t="s">
        <v>214</v>
      </c>
      <c r="D644" s="64"/>
      <c r="E644" s="255" t="s">
        <v>3432</v>
      </c>
      <c r="F644" s="52" t="s">
        <v>3443</v>
      </c>
      <c r="G644" s="147" t="s">
        <v>214</v>
      </c>
      <c r="H644" s="140">
        <v>45684.0</v>
      </c>
      <c r="I644" s="140">
        <v>45685.0</v>
      </c>
      <c r="J644" s="147" t="s">
        <v>1116</v>
      </c>
      <c r="K644" s="60"/>
      <c r="L644" s="147" t="s">
        <v>3434</v>
      </c>
      <c r="M644" s="147" t="s">
        <v>3435</v>
      </c>
      <c r="N644" s="60"/>
      <c r="O644" s="459" t="s">
        <v>3436</v>
      </c>
      <c r="P644" s="48" t="str">
        <f t="array" ref="P644">HYPERLINK(INDEX('File Links'!B:B, MATCH(O644, 'File Links'!C:C, 0)))
</f>
        <v>https://drive.google.com/file/d/14JiPB9PULLRpSMDZtQ3_0LhPcWDH6OCz/view?usp=drivesdk</v>
      </c>
      <c r="Q644" s="147" t="s">
        <v>3437</v>
      </c>
      <c r="R644" s="147" t="s">
        <v>3438</v>
      </c>
      <c r="S644" s="60"/>
      <c r="T644" s="60"/>
      <c r="U644" s="459" t="s">
        <v>832</v>
      </c>
      <c r="V644" s="147" t="s">
        <v>1117</v>
      </c>
      <c r="W644" s="45" t="str">
        <f t="array" ref="W644">HYPERLINK(INDEX('File Links'!B:B, MATCH(U644, 'File Links'!C:C, 0)))
</f>
        <v>#N/A</v>
      </c>
      <c r="X644" s="60"/>
      <c r="Y644" s="147" t="s">
        <v>203</v>
      </c>
      <c r="Z644" s="147" t="s">
        <v>3463</v>
      </c>
      <c r="AA644" s="147" t="s">
        <v>3464</v>
      </c>
      <c r="AB644" s="147" t="s">
        <v>3469</v>
      </c>
      <c r="AC644" s="147" t="s">
        <v>3470</v>
      </c>
      <c r="AD644" s="144">
        <v>415.0</v>
      </c>
      <c r="AE644" s="144">
        <v>71.0</v>
      </c>
      <c r="AF644" s="144">
        <v>0.217</v>
      </c>
      <c r="AG644" s="147" t="s">
        <v>1275</v>
      </c>
      <c r="AH644" s="147" t="s">
        <v>3467</v>
      </c>
      <c r="AI644" s="646">
        <v>0.008</v>
      </c>
      <c r="AJ644" s="52" t="s">
        <v>164</v>
      </c>
      <c r="AK644" s="52" t="s">
        <v>128</v>
      </c>
      <c r="AL644" s="147" t="s">
        <v>129</v>
      </c>
      <c r="AM644" s="52" t="s">
        <v>165</v>
      </c>
      <c r="AN644" s="144">
        <v>8.0</v>
      </c>
      <c r="AO644" s="144">
        <v>0.31</v>
      </c>
      <c r="AP644" s="147" t="s">
        <v>2782</v>
      </c>
      <c r="AQ644" s="147" t="s">
        <v>610</v>
      </c>
      <c r="AR644" s="144">
        <v>0.217</v>
      </c>
      <c r="AS644" s="147" t="s">
        <v>164</v>
      </c>
      <c r="AT644" s="147" t="s">
        <v>128</v>
      </c>
      <c r="AU644" s="147" t="s">
        <v>129</v>
      </c>
      <c r="AV644" s="303" t="s">
        <v>3468</v>
      </c>
      <c r="AW644" s="453" t="s">
        <v>142</v>
      </c>
    </row>
    <row r="645" ht="20.25" customHeight="1">
      <c r="A645" s="136" t="s">
        <v>520</v>
      </c>
      <c r="B645" s="136" t="s">
        <v>107</v>
      </c>
      <c r="C645" s="136" t="s">
        <v>214</v>
      </c>
      <c r="D645" s="64"/>
      <c r="E645" s="255" t="s">
        <v>3432</v>
      </c>
      <c r="F645" s="52" t="s">
        <v>3446</v>
      </c>
      <c r="G645" s="147" t="s">
        <v>214</v>
      </c>
      <c r="H645" s="140">
        <v>45684.0</v>
      </c>
      <c r="I645" s="140">
        <v>45685.0</v>
      </c>
      <c r="J645" s="147" t="s">
        <v>1116</v>
      </c>
      <c r="K645" s="60"/>
      <c r="L645" s="147" t="s">
        <v>3434</v>
      </c>
      <c r="M645" s="147" t="s">
        <v>3435</v>
      </c>
      <c r="N645" s="60"/>
      <c r="O645" s="459" t="s">
        <v>3436</v>
      </c>
      <c r="P645" s="48" t="str">
        <f t="array" ref="P645">HYPERLINK(INDEX('File Links'!B:B, MATCH(O645, 'File Links'!C:C, 0)))
</f>
        <v>https://drive.google.com/file/d/14JiPB9PULLRpSMDZtQ3_0LhPcWDH6OCz/view?usp=drivesdk</v>
      </c>
      <c r="Q645" s="147" t="s">
        <v>3437</v>
      </c>
      <c r="R645" s="147" t="s">
        <v>3438</v>
      </c>
      <c r="S645" s="60"/>
      <c r="T645" s="60"/>
      <c r="U645" s="459" t="s">
        <v>832</v>
      </c>
      <c r="V645" s="147" t="s">
        <v>1117</v>
      </c>
      <c r="W645" s="45" t="str">
        <f t="array" ref="W645">HYPERLINK(INDEX('File Links'!B:B, MATCH(U645, 'File Links'!C:C, 0)))
</f>
        <v>#N/A</v>
      </c>
      <c r="X645" s="60"/>
      <c r="Y645" s="147" t="s">
        <v>203</v>
      </c>
      <c r="Z645" s="147" t="s">
        <v>3463</v>
      </c>
      <c r="AA645" s="147" t="s">
        <v>3464</v>
      </c>
      <c r="AB645" s="147" t="s">
        <v>3471</v>
      </c>
      <c r="AC645" s="147" t="s">
        <v>3472</v>
      </c>
      <c r="AD645" s="144">
        <v>416.0</v>
      </c>
      <c r="AE645" s="144">
        <v>51.0</v>
      </c>
      <c r="AF645" s="144">
        <v>0.5</v>
      </c>
      <c r="AG645" s="147" t="s">
        <v>1275</v>
      </c>
      <c r="AH645" s="147" t="s">
        <v>3473</v>
      </c>
      <c r="AI645" s="646">
        <v>0.001</v>
      </c>
      <c r="AJ645" s="52" t="s">
        <v>127</v>
      </c>
      <c r="AK645" s="52" t="s">
        <v>128</v>
      </c>
      <c r="AL645" s="147" t="s">
        <v>129</v>
      </c>
      <c r="AM645" s="52" t="s">
        <v>165</v>
      </c>
      <c r="AN645" s="144">
        <v>9.0</v>
      </c>
      <c r="AO645" s="144">
        <v>0.71</v>
      </c>
      <c r="AP645" s="147" t="s">
        <v>2782</v>
      </c>
      <c r="AQ645" s="147" t="s">
        <v>625</v>
      </c>
      <c r="AR645" s="144">
        <v>0.247</v>
      </c>
      <c r="AS645" s="147" t="s">
        <v>164</v>
      </c>
      <c r="AT645" s="147" t="s">
        <v>128</v>
      </c>
      <c r="AU645" s="147" t="s">
        <v>129</v>
      </c>
      <c r="AV645" s="303" t="s">
        <v>3468</v>
      </c>
      <c r="AW645" s="453" t="s">
        <v>142</v>
      </c>
    </row>
    <row r="646" ht="20.25" customHeight="1">
      <c r="A646" s="136" t="s">
        <v>520</v>
      </c>
      <c r="B646" s="136" t="s">
        <v>107</v>
      </c>
      <c r="C646" s="136" t="s">
        <v>214</v>
      </c>
      <c r="D646" s="64"/>
      <c r="E646" s="255" t="s">
        <v>3432</v>
      </c>
      <c r="F646" s="52" t="s">
        <v>3449</v>
      </c>
      <c r="G646" s="147" t="s">
        <v>214</v>
      </c>
      <c r="H646" s="140">
        <v>45684.0</v>
      </c>
      <c r="I646" s="140">
        <v>45685.0</v>
      </c>
      <c r="J646" s="147" t="s">
        <v>1116</v>
      </c>
      <c r="K646" s="60"/>
      <c r="L646" s="147" t="s">
        <v>3434</v>
      </c>
      <c r="M646" s="147" t="s">
        <v>3435</v>
      </c>
      <c r="N646" s="60"/>
      <c r="O646" s="459" t="s">
        <v>3436</v>
      </c>
      <c r="P646" s="48" t="str">
        <f t="array" ref="P646">HYPERLINK(INDEX('File Links'!B:B, MATCH(O646, 'File Links'!C:C, 0)))
</f>
        <v>https://drive.google.com/file/d/14JiPB9PULLRpSMDZtQ3_0LhPcWDH6OCz/view?usp=drivesdk</v>
      </c>
      <c r="Q646" s="147" t="s">
        <v>3437</v>
      </c>
      <c r="R646" s="147" t="s">
        <v>3438</v>
      </c>
      <c r="S646" s="60"/>
      <c r="T646" s="60"/>
      <c r="U646" s="459" t="s">
        <v>832</v>
      </c>
      <c r="V646" s="147" t="s">
        <v>1117</v>
      </c>
      <c r="W646" s="45" t="str">
        <f t="array" ref="W646">HYPERLINK(INDEX('File Links'!B:B, MATCH(U646, 'File Links'!C:C, 0)))
</f>
        <v>#N/A</v>
      </c>
      <c r="X646" s="60"/>
      <c r="Y646" s="147" t="s">
        <v>203</v>
      </c>
      <c r="Z646" s="147" t="s">
        <v>3463</v>
      </c>
      <c r="AA646" s="147" t="s">
        <v>3464</v>
      </c>
      <c r="AB646" s="147" t="s">
        <v>3474</v>
      </c>
      <c r="AC646" s="60"/>
      <c r="AD646" s="144">
        <v>416.0</v>
      </c>
      <c r="AE646" s="144">
        <v>52.0</v>
      </c>
      <c r="AF646" s="144">
        <v>0.55</v>
      </c>
      <c r="AG646" s="147" t="s">
        <v>1275</v>
      </c>
      <c r="AH646" s="147" t="s">
        <v>3473</v>
      </c>
      <c r="AI646" s="646">
        <v>0.001</v>
      </c>
      <c r="AJ646" s="52" t="s">
        <v>127</v>
      </c>
      <c r="AK646" s="52" t="s">
        <v>128</v>
      </c>
      <c r="AL646" s="147" t="s">
        <v>129</v>
      </c>
      <c r="AM646" s="52" t="s">
        <v>165</v>
      </c>
      <c r="AN646" s="144">
        <v>9.0</v>
      </c>
      <c r="AO646" s="327">
        <v>0.78</v>
      </c>
      <c r="AP646" s="147" t="s">
        <v>2782</v>
      </c>
      <c r="AQ646" s="147" t="s">
        <v>625</v>
      </c>
      <c r="AR646" s="144">
        <v>0.995</v>
      </c>
      <c r="AS646" s="147" t="s">
        <v>164</v>
      </c>
      <c r="AT646" s="147" t="s">
        <v>128</v>
      </c>
      <c r="AU646" s="147" t="s">
        <v>129</v>
      </c>
      <c r="AV646" s="303" t="s">
        <v>3468</v>
      </c>
      <c r="AW646" s="453" t="s">
        <v>142</v>
      </c>
    </row>
    <row r="647" ht="20.25" customHeight="1">
      <c r="A647" s="136" t="s">
        <v>520</v>
      </c>
      <c r="B647" s="136" t="s">
        <v>107</v>
      </c>
      <c r="C647" s="136" t="s">
        <v>214</v>
      </c>
      <c r="D647" s="64"/>
      <c r="E647" s="255" t="s">
        <v>3432</v>
      </c>
      <c r="F647" s="52" t="s">
        <v>3452</v>
      </c>
      <c r="G647" s="147" t="s">
        <v>214</v>
      </c>
      <c r="H647" s="140">
        <v>45684.0</v>
      </c>
      <c r="I647" s="140">
        <v>45685.0</v>
      </c>
      <c r="J647" s="147" t="s">
        <v>1116</v>
      </c>
      <c r="K647" s="60"/>
      <c r="L647" s="147" t="s">
        <v>3434</v>
      </c>
      <c r="M647" s="147" t="s">
        <v>3435</v>
      </c>
      <c r="N647" s="60"/>
      <c r="O647" s="459" t="s">
        <v>3436</v>
      </c>
      <c r="P647" s="48" t="str">
        <f t="array" ref="P647">HYPERLINK(INDEX('File Links'!B:B, MATCH(O647, 'File Links'!C:C, 0)))
</f>
        <v>https://drive.google.com/file/d/14JiPB9PULLRpSMDZtQ3_0LhPcWDH6OCz/view?usp=drivesdk</v>
      </c>
      <c r="Q647" s="147" t="s">
        <v>3437</v>
      </c>
      <c r="R647" s="147" t="s">
        <v>3438</v>
      </c>
      <c r="S647" s="60"/>
      <c r="T647" s="60"/>
      <c r="U647" s="459" t="s">
        <v>832</v>
      </c>
      <c r="V647" s="147" t="s">
        <v>1117</v>
      </c>
      <c r="W647" s="45" t="str">
        <f t="array" ref="W647">HYPERLINK(INDEX('File Links'!B:B, MATCH(U647, 'File Links'!C:C, 0)))
</f>
        <v>#N/A</v>
      </c>
      <c r="X647" s="60"/>
      <c r="Y647" s="147" t="s">
        <v>203</v>
      </c>
      <c r="Z647" s="147" t="s">
        <v>3463</v>
      </c>
      <c r="AA647" s="147" t="s">
        <v>3464</v>
      </c>
      <c r="AB647" s="147" t="s">
        <v>3475</v>
      </c>
      <c r="AC647" s="60" t="s">
        <v>3476</v>
      </c>
      <c r="AD647" s="144">
        <v>416.0</v>
      </c>
      <c r="AE647" s="144">
        <v>35.0</v>
      </c>
      <c r="AF647" s="144">
        <v>0.21</v>
      </c>
      <c r="AG647" s="147" t="s">
        <v>1275</v>
      </c>
      <c r="AH647" s="147" t="s">
        <v>3477</v>
      </c>
      <c r="AI647" s="646">
        <v>0.05</v>
      </c>
      <c r="AJ647" s="52" t="s">
        <v>127</v>
      </c>
      <c r="AK647" s="52" t="s">
        <v>128</v>
      </c>
      <c r="AL647" s="147" t="s">
        <v>129</v>
      </c>
      <c r="AM647" s="52" t="s">
        <v>165</v>
      </c>
      <c r="AN647" s="144">
        <v>10.0</v>
      </c>
      <c r="AO647" s="144">
        <v>0.29</v>
      </c>
      <c r="AP647" s="147" t="s">
        <v>2782</v>
      </c>
      <c r="AQ647" s="147" t="s">
        <v>629</v>
      </c>
      <c r="AR647" s="144">
        <v>0.3</v>
      </c>
      <c r="AS647" s="147" t="s">
        <v>164</v>
      </c>
      <c r="AT647" s="147" t="s">
        <v>128</v>
      </c>
      <c r="AU647" s="147" t="s">
        <v>129</v>
      </c>
      <c r="AV647" s="303" t="s">
        <v>3468</v>
      </c>
      <c r="AW647" s="453" t="s">
        <v>142</v>
      </c>
    </row>
    <row r="648" ht="20.25" customHeight="1">
      <c r="A648" s="136" t="s">
        <v>520</v>
      </c>
      <c r="B648" s="136" t="s">
        <v>107</v>
      </c>
      <c r="C648" s="136" t="s">
        <v>214</v>
      </c>
      <c r="D648" s="64"/>
      <c r="E648" s="255" t="s">
        <v>3432</v>
      </c>
      <c r="F648" s="52" t="s">
        <v>3455</v>
      </c>
      <c r="G648" s="147" t="s">
        <v>214</v>
      </c>
      <c r="H648" s="140">
        <v>45684.0</v>
      </c>
      <c r="I648" s="140">
        <v>45685.0</v>
      </c>
      <c r="J648" s="147" t="s">
        <v>1116</v>
      </c>
      <c r="K648" s="60"/>
      <c r="L648" s="147" t="s">
        <v>3434</v>
      </c>
      <c r="M648" s="147" t="s">
        <v>3435</v>
      </c>
      <c r="N648" s="60"/>
      <c r="O648" s="459" t="s">
        <v>3436</v>
      </c>
      <c r="P648" s="48" t="str">
        <f t="array" ref="P648">HYPERLINK(INDEX('File Links'!B:B, MATCH(O648, 'File Links'!C:C, 0)))
</f>
        <v>https://drive.google.com/file/d/14JiPB9PULLRpSMDZtQ3_0LhPcWDH6OCz/view?usp=drivesdk</v>
      </c>
      <c r="Q648" s="147" t="s">
        <v>3437</v>
      </c>
      <c r="R648" s="147" t="s">
        <v>3438</v>
      </c>
      <c r="S648" s="60"/>
      <c r="T648" s="60"/>
      <c r="U648" s="459" t="s">
        <v>832</v>
      </c>
      <c r="V648" s="147" t="s">
        <v>1117</v>
      </c>
      <c r="W648" s="45" t="str">
        <f t="array" ref="W648">HYPERLINK(INDEX('File Links'!B:B, MATCH(U648, 'File Links'!C:C, 0)))
</f>
        <v>#N/A</v>
      </c>
      <c r="X648" s="60"/>
      <c r="Y648" s="147" t="s">
        <v>203</v>
      </c>
      <c r="Z648" s="147" t="s">
        <v>3463</v>
      </c>
      <c r="AA648" s="147" t="s">
        <v>3464</v>
      </c>
      <c r="AB648" s="147" t="s">
        <v>3478</v>
      </c>
      <c r="AC648" s="60" t="s">
        <v>3479</v>
      </c>
      <c r="AD648" s="144">
        <v>417.0</v>
      </c>
      <c r="AE648" s="144">
        <v>35.0</v>
      </c>
      <c r="AF648" s="144">
        <v>0.46</v>
      </c>
      <c r="AG648" s="147" t="s">
        <v>1275</v>
      </c>
      <c r="AH648" s="147" t="s">
        <v>3477</v>
      </c>
      <c r="AI648" s="646">
        <v>0.001</v>
      </c>
      <c r="AJ648" s="52" t="s">
        <v>127</v>
      </c>
      <c r="AK648" s="52" t="s">
        <v>128</v>
      </c>
      <c r="AL648" s="147" t="s">
        <v>129</v>
      </c>
      <c r="AM648" s="52" t="s">
        <v>165</v>
      </c>
      <c r="AN648" s="144">
        <v>10.0</v>
      </c>
      <c r="AO648" s="144">
        <v>0.32</v>
      </c>
      <c r="AP648" s="147" t="s">
        <v>2782</v>
      </c>
      <c r="AQ648" s="147" t="s">
        <v>629</v>
      </c>
      <c r="AR648" s="144">
        <v>0.455</v>
      </c>
      <c r="AS648" s="147" t="s">
        <v>164</v>
      </c>
      <c r="AT648" s="147" t="s">
        <v>128</v>
      </c>
      <c r="AU648" s="147" t="s">
        <v>129</v>
      </c>
      <c r="AV648" s="303" t="s">
        <v>3468</v>
      </c>
      <c r="AW648" s="453" t="s">
        <v>142</v>
      </c>
    </row>
    <row r="649" ht="20.25" customHeight="1">
      <c r="A649" s="784" t="s">
        <v>143</v>
      </c>
      <c r="B649" s="784" t="s">
        <v>107</v>
      </c>
      <c r="C649" s="784" t="s">
        <v>169</v>
      </c>
      <c r="D649" s="691"/>
      <c r="E649" s="785" t="s">
        <v>3480</v>
      </c>
      <c r="F649" s="786" t="s">
        <v>3481</v>
      </c>
      <c r="G649" s="785" t="s">
        <v>169</v>
      </c>
      <c r="H649" s="851">
        <v>45636.0</v>
      </c>
      <c r="I649" s="852">
        <v>45673.0</v>
      </c>
      <c r="J649" s="796"/>
      <c r="K649" s="796"/>
      <c r="L649" s="785" t="s">
        <v>3482</v>
      </c>
      <c r="M649" s="785" t="s">
        <v>3483</v>
      </c>
      <c r="N649" s="853">
        <v>1.0</v>
      </c>
      <c r="O649" s="854" t="s">
        <v>3484</v>
      </c>
      <c r="P649" s="48" t="str">
        <f t="array" ref="P649">HYPERLINK(INDEX('File Links'!B:B, MATCH(O649, 'File Links'!C:C, 0)))
</f>
        <v>https://drive.google.com/file/d/1y96i0hMyOppZ0ZOc68SfdS2QELKNre-8/view?usp=drivesdk</v>
      </c>
      <c r="Q649" s="785" t="s">
        <v>3485</v>
      </c>
      <c r="R649" s="785" t="s">
        <v>3486</v>
      </c>
      <c r="S649" s="796"/>
      <c r="T649" s="853">
        <v>1.0</v>
      </c>
      <c r="U649" s="854" t="s">
        <v>3487</v>
      </c>
      <c r="V649" s="785" t="s">
        <v>2129</v>
      </c>
      <c r="W649" s="50" t="str">
        <f t="array" ref="W649">HYPERLINK(INDEX('File Links'!B:B, MATCH(U649, 'File Links'!C:C, 0)))
</f>
        <v>https://drive.google.com/file/d/1Mxrn43qE4Nlk4SUVbyTVjT4uEEPF5pZu/view?usp=drivesdk</v>
      </c>
      <c r="X649" s="796"/>
      <c r="Y649" s="785" t="s">
        <v>139</v>
      </c>
      <c r="Z649" s="785" t="s">
        <v>3488</v>
      </c>
      <c r="AA649" s="785" t="s">
        <v>3489</v>
      </c>
      <c r="AB649" s="785" t="s">
        <v>3490</v>
      </c>
      <c r="AC649" s="855" t="s">
        <v>3491</v>
      </c>
      <c r="AD649" s="785" t="s">
        <v>3492</v>
      </c>
      <c r="AE649" s="856">
        <v>321.0</v>
      </c>
      <c r="AF649" s="785" t="s">
        <v>3493</v>
      </c>
      <c r="AG649" s="857" t="s">
        <v>3494</v>
      </c>
      <c r="AH649" s="786" t="s">
        <v>3495</v>
      </c>
      <c r="AI649" s="786" t="s">
        <v>178</v>
      </c>
      <c r="AJ649" s="785" t="s">
        <v>127</v>
      </c>
      <c r="AK649" s="786" t="s">
        <v>179</v>
      </c>
      <c r="AL649" s="796" t="s">
        <v>132</v>
      </c>
      <c r="AM649" s="858" t="s">
        <v>3496</v>
      </c>
      <c r="AN649" s="859">
        <v>755.0</v>
      </c>
      <c r="AO649" s="860" t="s">
        <v>3497</v>
      </c>
      <c r="AP649" s="785" t="s">
        <v>208</v>
      </c>
      <c r="AQ649" s="785" t="s">
        <v>861</v>
      </c>
      <c r="AR649" s="785" t="s">
        <v>3498</v>
      </c>
      <c r="AS649" s="785" t="s">
        <v>164</v>
      </c>
      <c r="AT649" s="785" t="s">
        <v>179</v>
      </c>
      <c r="AU649" s="796" t="s">
        <v>132</v>
      </c>
      <c r="AV649" s="858" t="s">
        <v>3499</v>
      </c>
      <c r="AW649" s="861" t="s">
        <v>134</v>
      </c>
      <c r="AX649" s="60"/>
      <c r="AY649" s="41" t="s">
        <v>135</v>
      </c>
    </row>
    <row r="650" ht="20.25" customHeight="1">
      <c r="A650" s="65" t="s">
        <v>106</v>
      </c>
      <c r="B650" s="65" t="s">
        <v>107</v>
      </c>
      <c r="C650" s="65" t="s">
        <v>144</v>
      </c>
      <c r="D650" s="66"/>
      <c r="E650" s="87" t="s">
        <v>3480</v>
      </c>
      <c r="F650" s="69" t="s">
        <v>3480</v>
      </c>
      <c r="G650" s="69" t="s">
        <v>144</v>
      </c>
      <c r="H650" s="566">
        <v>45638.0</v>
      </c>
      <c r="I650" s="852">
        <v>45673.0</v>
      </c>
      <c r="J650" s="68" t="s">
        <v>3500</v>
      </c>
      <c r="K650" s="75"/>
      <c r="L650" s="69" t="s">
        <v>3482</v>
      </c>
      <c r="M650" s="69" t="s">
        <v>3483</v>
      </c>
      <c r="N650" s="862">
        <v>1.0</v>
      </c>
      <c r="O650" s="863" t="s">
        <v>3484</v>
      </c>
      <c r="P650" s="48" t="str">
        <f t="array" ref="P650">HYPERLINK(INDEX('File Links'!B:B, MATCH(O650, 'File Links'!C:C, 0)))
</f>
        <v>https://drive.google.com/file/d/1y96i0hMyOppZ0ZOc68SfdS2QELKNre-8/view?usp=drivesdk</v>
      </c>
      <c r="Q650" s="69" t="s">
        <v>3485</v>
      </c>
      <c r="R650" s="69" t="s">
        <v>3486</v>
      </c>
      <c r="S650" s="75"/>
      <c r="T650" s="864">
        <v>1.0</v>
      </c>
      <c r="U650" s="865" t="s">
        <v>3487</v>
      </c>
      <c r="V650" s="69" t="s">
        <v>3501</v>
      </c>
      <c r="W650" s="50" t="str">
        <f t="array" ref="W650">HYPERLINK(INDEX('File Links'!B:B, MATCH(U650, 'File Links'!C:C, 0)))
</f>
        <v>https://drive.google.com/file/d/1Mxrn43qE4Nlk4SUVbyTVjT4uEEPF5pZu/view?usp=drivesdk</v>
      </c>
      <c r="X650" s="75"/>
      <c r="Y650" s="69" t="s">
        <v>139</v>
      </c>
      <c r="Z650" s="68" t="s">
        <v>3502</v>
      </c>
      <c r="AA650" s="68" t="s">
        <v>3503</v>
      </c>
      <c r="AB650" s="68" t="s">
        <v>3504</v>
      </c>
      <c r="AC650" s="570" t="s">
        <v>3505</v>
      </c>
      <c r="AD650" s="573">
        <v>3.0</v>
      </c>
      <c r="AE650" s="573">
        <v>321.0</v>
      </c>
      <c r="AF650" s="573">
        <v>0.2</v>
      </c>
      <c r="AG650" s="857" t="s">
        <v>3494</v>
      </c>
      <c r="AH650" s="69" t="s">
        <v>505</v>
      </c>
      <c r="AI650" s="573">
        <v>0.001</v>
      </c>
      <c r="AJ650" s="87" t="s">
        <v>127</v>
      </c>
      <c r="AK650" s="786" t="s">
        <v>179</v>
      </c>
      <c r="AL650" s="75" t="s">
        <v>129</v>
      </c>
      <c r="AM650" s="569" t="s">
        <v>3506</v>
      </c>
      <c r="AN650" s="803">
        <v>755.0</v>
      </c>
      <c r="AO650" s="803">
        <v>0.03</v>
      </c>
      <c r="AP650" s="69" t="s">
        <v>208</v>
      </c>
      <c r="AQ650" s="69" t="s">
        <v>2748</v>
      </c>
      <c r="AR650" s="573">
        <v>0.38</v>
      </c>
      <c r="AS650" s="87" t="s">
        <v>164</v>
      </c>
      <c r="AT650" s="87" t="s">
        <v>211</v>
      </c>
      <c r="AU650" s="86" t="s">
        <v>129</v>
      </c>
      <c r="AV650" s="92" t="s">
        <v>3499</v>
      </c>
      <c r="AW650" s="93" t="s">
        <v>134</v>
      </c>
      <c r="AX650" s="55"/>
      <c r="AY650" s="41" t="s">
        <v>135</v>
      </c>
    </row>
    <row r="651" ht="20.25" customHeight="1">
      <c r="A651" s="65" t="s">
        <v>106</v>
      </c>
      <c r="B651" s="65" t="s">
        <v>107</v>
      </c>
      <c r="C651" s="65" t="s">
        <v>144</v>
      </c>
      <c r="D651" s="66"/>
      <c r="E651" s="87" t="s">
        <v>3480</v>
      </c>
      <c r="F651" s="69" t="s">
        <v>3507</v>
      </c>
      <c r="G651" s="69" t="s">
        <v>144</v>
      </c>
      <c r="H651" s="566">
        <v>45638.0</v>
      </c>
      <c r="I651" s="852">
        <v>45673.0</v>
      </c>
      <c r="J651" s="68" t="s">
        <v>3500</v>
      </c>
      <c r="K651" s="75"/>
      <c r="L651" s="69" t="s">
        <v>3482</v>
      </c>
      <c r="M651" s="69" t="s">
        <v>3483</v>
      </c>
      <c r="N651" s="862">
        <v>1.0</v>
      </c>
      <c r="O651" s="863" t="s">
        <v>3484</v>
      </c>
      <c r="P651" s="48" t="str">
        <f t="array" ref="P651">HYPERLINK(INDEX('File Links'!B:B, MATCH(O651, 'File Links'!C:C, 0)))
</f>
        <v>https://drive.google.com/file/d/1y96i0hMyOppZ0ZOc68SfdS2QELKNre-8/view?usp=drivesdk</v>
      </c>
      <c r="Q651" s="69" t="s">
        <v>3485</v>
      </c>
      <c r="R651" s="69" t="s">
        <v>3486</v>
      </c>
      <c r="S651" s="75"/>
      <c r="T651" s="864">
        <v>1.0</v>
      </c>
      <c r="U651" s="865" t="s">
        <v>3487</v>
      </c>
      <c r="V651" s="69" t="s">
        <v>3501</v>
      </c>
      <c r="W651" s="50" t="str">
        <f t="array" ref="W651">HYPERLINK(INDEX('File Links'!B:B, MATCH(U651, 'File Links'!C:C, 0)))
</f>
        <v>https://drive.google.com/file/d/1Mxrn43qE4Nlk4SUVbyTVjT4uEEPF5pZu/view?usp=drivesdk</v>
      </c>
      <c r="X651" s="75"/>
      <c r="Y651" s="69" t="s">
        <v>139</v>
      </c>
      <c r="Z651" s="68" t="s">
        <v>3502</v>
      </c>
      <c r="AA651" s="68" t="s">
        <v>3503</v>
      </c>
      <c r="AB651" s="68" t="s">
        <v>3504</v>
      </c>
      <c r="AC651" s="69" t="s">
        <v>3508</v>
      </c>
      <c r="AD651" s="573">
        <v>3.0</v>
      </c>
      <c r="AE651" s="573">
        <v>321.0</v>
      </c>
      <c r="AF651" s="573">
        <v>0.2</v>
      </c>
      <c r="AG651" s="857" t="s">
        <v>3494</v>
      </c>
      <c r="AH651" s="69" t="s">
        <v>505</v>
      </c>
      <c r="AI651" s="573">
        <v>0.001</v>
      </c>
      <c r="AJ651" s="87" t="s">
        <v>127</v>
      </c>
      <c r="AK651" s="786" t="s">
        <v>179</v>
      </c>
      <c r="AL651" s="75" t="s">
        <v>129</v>
      </c>
      <c r="AM651" s="569" t="s">
        <v>3506</v>
      </c>
      <c r="AN651" s="803">
        <v>297.0</v>
      </c>
      <c r="AO651" s="803">
        <v>-0.1</v>
      </c>
      <c r="AP651" s="69" t="s">
        <v>208</v>
      </c>
      <c r="AQ651" s="69" t="s">
        <v>2748</v>
      </c>
      <c r="AR651" s="573">
        <v>0.077</v>
      </c>
      <c r="AS651" s="87" t="s">
        <v>164</v>
      </c>
      <c r="AT651" s="87" t="s">
        <v>211</v>
      </c>
      <c r="AU651" s="86" t="s">
        <v>129</v>
      </c>
      <c r="AV651" s="92" t="s">
        <v>3509</v>
      </c>
      <c r="AW651" s="93" t="s">
        <v>142</v>
      </c>
      <c r="AX651" s="55"/>
      <c r="AY651" s="41" t="s">
        <v>135</v>
      </c>
    </row>
    <row r="652" ht="20.25" customHeight="1">
      <c r="A652" s="65" t="s">
        <v>106</v>
      </c>
      <c r="B652" s="331" t="s">
        <v>107</v>
      </c>
      <c r="C652" s="331" t="s">
        <v>144</v>
      </c>
      <c r="D652" s="335"/>
      <c r="E652" s="866" t="s">
        <v>3480</v>
      </c>
      <c r="F652" s="867" t="s">
        <v>3510</v>
      </c>
      <c r="G652" s="867" t="s">
        <v>144</v>
      </c>
      <c r="H652" s="868">
        <v>45638.0</v>
      </c>
      <c r="I652" s="869">
        <v>45673.0</v>
      </c>
      <c r="J652" s="870" t="s">
        <v>3500</v>
      </c>
      <c r="K652" s="871"/>
      <c r="L652" s="867" t="s">
        <v>3482</v>
      </c>
      <c r="M652" s="867" t="s">
        <v>3483</v>
      </c>
      <c r="N652" s="872" t="s">
        <v>3511</v>
      </c>
      <c r="O652" s="873" t="s">
        <v>3484</v>
      </c>
      <c r="P652" s="48" t="str">
        <f t="array" ref="P652">HYPERLINK(INDEX('File Links'!B:B, MATCH(O652, 'File Links'!C:C, 0)))
</f>
        <v>https://drive.google.com/file/d/1y96i0hMyOppZ0ZOc68SfdS2QELKNre-8/view?usp=drivesdk</v>
      </c>
      <c r="Q652" s="867" t="s">
        <v>3485</v>
      </c>
      <c r="R652" s="867" t="s">
        <v>3486</v>
      </c>
      <c r="S652" s="871"/>
      <c r="T652" s="874" t="s">
        <v>3511</v>
      </c>
      <c r="U652" s="867" t="s">
        <v>3487</v>
      </c>
      <c r="V652" s="736" t="s">
        <v>3501</v>
      </c>
      <c r="W652" s="50" t="str">
        <f t="array" ref="W652">HYPERLINK(INDEX('File Links'!B:B, MATCH(U652, 'File Links'!C:C, 0)))
</f>
        <v>https://drive.google.com/file/d/1Mxrn43qE4Nlk4SUVbyTVjT4uEEPF5pZu/view?usp=drivesdk</v>
      </c>
      <c r="X652" s="871"/>
      <c r="Y652" s="867" t="s">
        <v>139</v>
      </c>
      <c r="Z652" s="870" t="s">
        <v>3502</v>
      </c>
      <c r="AA652" s="870" t="s">
        <v>3503</v>
      </c>
      <c r="AB652" s="870" t="s">
        <v>3512</v>
      </c>
      <c r="AC652" s="867" t="s">
        <v>3513</v>
      </c>
      <c r="AD652" s="875">
        <v>3.0</v>
      </c>
      <c r="AE652" s="875">
        <v>201.0</v>
      </c>
      <c r="AF652" s="875">
        <v>0.15</v>
      </c>
      <c r="AG652" s="873" t="s">
        <v>1275</v>
      </c>
      <c r="AH652" s="867" t="s">
        <v>505</v>
      </c>
      <c r="AI652" s="875">
        <v>0.035</v>
      </c>
      <c r="AJ652" s="866" t="s">
        <v>164</v>
      </c>
      <c r="AK652" s="876" t="s">
        <v>179</v>
      </c>
      <c r="AL652" s="871" t="s">
        <v>129</v>
      </c>
      <c r="AM652" s="877" t="s">
        <v>3514</v>
      </c>
      <c r="AN652" s="878">
        <v>601.0</v>
      </c>
      <c r="AO652" s="878">
        <v>0.01</v>
      </c>
      <c r="AP652" s="867" t="s">
        <v>208</v>
      </c>
      <c r="AQ652" s="867" t="s">
        <v>505</v>
      </c>
      <c r="AR652" s="875">
        <v>0.547</v>
      </c>
      <c r="AS652" s="866" t="s">
        <v>164</v>
      </c>
      <c r="AT652" s="866" t="s">
        <v>211</v>
      </c>
      <c r="AU652" s="879" t="s">
        <v>129</v>
      </c>
      <c r="AV652" s="880" t="s">
        <v>3515</v>
      </c>
      <c r="AW652" s="881" t="s">
        <v>134</v>
      </c>
      <c r="AX652" s="55"/>
      <c r="AY652" s="41" t="s">
        <v>135</v>
      </c>
    </row>
    <row r="653" ht="20.25" customHeight="1">
      <c r="A653" s="65" t="s">
        <v>106</v>
      </c>
      <c r="B653" s="495" t="s">
        <v>107</v>
      </c>
      <c r="C653" s="495" t="s">
        <v>144</v>
      </c>
      <c r="D653" s="496"/>
      <c r="E653" s="882" t="s">
        <v>3480</v>
      </c>
      <c r="F653" s="883" t="s">
        <v>3516</v>
      </c>
      <c r="G653" s="883" t="s">
        <v>144</v>
      </c>
      <c r="H653" s="884">
        <v>45638.0</v>
      </c>
      <c r="I653" s="885">
        <v>45673.0</v>
      </c>
      <c r="J653" s="886" t="s">
        <v>3500</v>
      </c>
      <c r="K653" s="887"/>
      <c r="L653" s="883" t="s">
        <v>3482</v>
      </c>
      <c r="M653" s="883" t="s">
        <v>3483</v>
      </c>
      <c r="N653" s="888" t="s">
        <v>3517</v>
      </c>
      <c r="O653" s="889" t="s">
        <v>3484</v>
      </c>
      <c r="P653" s="48" t="str">
        <f t="array" ref="P653">HYPERLINK(INDEX('File Links'!B:B, MATCH(O653, 'File Links'!C:C, 0)))
</f>
        <v>https://drive.google.com/file/d/1y96i0hMyOppZ0ZOc68SfdS2QELKNre-8/view?usp=drivesdk</v>
      </c>
      <c r="Q653" s="883" t="s">
        <v>3485</v>
      </c>
      <c r="R653" s="883" t="s">
        <v>3486</v>
      </c>
      <c r="S653" s="887"/>
      <c r="T653" s="890" t="s">
        <v>3517</v>
      </c>
      <c r="U653" s="883" t="s">
        <v>3487</v>
      </c>
      <c r="V653" s="891" t="s">
        <v>3501</v>
      </c>
      <c r="W653" s="50" t="str">
        <f t="array" ref="W653">HYPERLINK(INDEX('File Links'!B:B, MATCH(U653, 'File Links'!C:C, 0)))
</f>
        <v>https://drive.google.com/file/d/1Mxrn43qE4Nlk4SUVbyTVjT4uEEPF5pZu/view?usp=drivesdk</v>
      </c>
      <c r="X653" s="887"/>
      <c r="Y653" s="883" t="s">
        <v>139</v>
      </c>
      <c r="Z653" s="886" t="s">
        <v>3502</v>
      </c>
      <c r="AA653" s="886" t="s">
        <v>3503</v>
      </c>
      <c r="AB653" s="886" t="s">
        <v>3518</v>
      </c>
      <c r="AC653" s="883" t="s">
        <v>3519</v>
      </c>
      <c r="AD653" s="892">
        <v>3.0</v>
      </c>
      <c r="AE653" s="892">
        <v>349.0</v>
      </c>
      <c r="AF653" s="892">
        <v>0.14</v>
      </c>
      <c r="AG653" s="889" t="s">
        <v>1275</v>
      </c>
      <c r="AH653" s="883" t="s">
        <v>505</v>
      </c>
      <c r="AI653" s="893">
        <v>0.009</v>
      </c>
      <c r="AJ653" s="882" t="s">
        <v>164</v>
      </c>
      <c r="AK653" s="876" t="s">
        <v>179</v>
      </c>
      <c r="AL653" s="887" t="s">
        <v>129</v>
      </c>
      <c r="AM653" s="894" t="s">
        <v>3520</v>
      </c>
      <c r="AN653" s="895">
        <v>1036.0</v>
      </c>
      <c r="AO653" s="895">
        <v>0.03</v>
      </c>
      <c r="AP653" s="883" t="s">
        <v>208</v>
      </c>
      <c r="AQ653" s="883" t="s">
        <v>505</v>
      </c>
      <c r="AR653" s="892">
        <v>0.375</v>
      </c>
      <c r="AS653" s="882" t="s">
        <v>164</v>
      </c>
      <c r="AT653" s="882" t="s">
        <v>211</v>
      </c>
      <c r="AU653" s="896" t="s">
        <v>129</v>
      </c>
      <c r="AV653" s="897" t="s">
        <v>3521</v>
      </c>
      <c r="AW653" s="898" t="s">
        <v>134</v>
      </c>
      <c r="AX653" s="55"/>
      <c r="AY653" s="41" t="s">
        <v>135</v>
      </c>
    </row>
    <row r="654" ht="20.25" customHeight="1">
      <c r="A654" s="65" t="s">
        <v>106</v>
      </c>
      <c r="B654" s="314" t="s">
        <v>107</v>
      </c>
      <c r="C654" s="314" t="s">
        <v>144</v>
      </c>
      <c r="D654" s="319"/>
      <c r="E654" s="899" t="s">
        <v>3480</v>
      </c>
      <c r="F654" s="900" t="s">
        <v>3522</v>
      </c>
      <c r="G654" s="900" t="s">
        <v>144</v>
      </c>
      <c r="H654" s="901">
        <v>45638.0</v>
      </c>
      <c r="I654" s="902">
        <v>45673.0</v>
      </c>
      <c r="J654" s="903" t="s">
        <v>3500</v>
      </c>
      <c r="K654" s="904"/>
      <c r="L654" s="900" t="s">
        <v>3482</v>
      </c>
      <c r="M654" s="900" t="s">
        <v>3483</v>
      </c>
      <c r="N654" s="905">
        <v>3.0</v>
      </c>
      <c r="O654" s="906" t="s">
        <v>3484</v>
      </c>
      <c r="P654" s="48" t="str">
        <f t="array" ref="P654">HYPERLINK(INDEX('File Links'!B:B, MATCH(O654, 'File Links'!C:C, 0)))
</f>
        <v>https://drive.google.com/file/d/1y96i0hMyOppZ0ZOc68SfdS2QELKNre-8/view?usp=drivesdk</v>
      </c>
      <c r="Q654" s="900" t="s">
        <v>3485</v>
      </c>
      <c r="R654" s="900" t="s">
        <v>3486</v>
      </c>
      <c r="S654" s="904"/>
      <c r="T654" s="907">
        <v>3.0</v>
      </c>
      <c r="U654" s="900" t="s">
        <v>3487</v>
      </c>
      <c r="V654" s="386" t="s">
        <v>3501</v>
      </c>
      <c r="W654" s="50" t="str">
        <f t="array" ref="W654">HYPERLINK(INDEX('File Links'!B:B, MATCH(U654, 'File Links'!C:C, 0)))
</f>
        <v>https://drive.google.com/file/d/1Mxrn43qE4Nlk4SUVbyTVjT4uEEPF5pZu/view?usp=drivesdk</v>
      </c>
      <c r="X654" s="904"/>
      <c r="Y654" s="900" t="s">
        <v>139</v>
      </c>
      <c r="Z654" s="903" t="s">
        <v>3502</v>
      </c>
      <c r="AA654" s="903" t="s">
        <v>3503</v>
      </c>
      <c r="AB654" s="903" t="s">
        <v>3523</v>
      </c>
      <c r="AC654" s="900" t="s">
        <v>3524</v>
      </c>
      <c r="AD654" s="908">
        <v>4.0</v>
      </c>
      <c r="AE654" s="908">
        <v>340.0</v>
      </c>
      <c r="AF654" s="908">
        <v>0.11</v>
      </c>
      <c r="AG654" s="906" t="s">
        <v>1275</v>
      </c>
      <c r="AH654" s="900" t="s">
        <v>494</v>
      </c>
      <c r="AI654" s="908">
        <v>0.042</v>
      </c>
      <c r="AJ654" s="899" t="s">
        <v>164</v>
      </c>
      <c r="AK654" s="876" t="s">
        <v>179</v>
      </c>
      <c r="AL654" s="904" t="s">
        <v>129</v>
      </c>
      <c r="AM654" s="909" t="s">
        <v>3525</v>
      </c>
      <c r="AN654" s="910">
        <v>881.0</v>
      </c>
      <c r="AO654" s="910">
        <v>0.002</v>
      </c>
      <c r="AP654" s="900" t="s">
        <v>208</v>
      </c>
      <c r="AQ654" s="900" t="s">
        <v>505</v>
      </c>
      <c r="AR654" s="908">
        <v>0.96</v>
      </c>
      <c r="AS654" s="899" t="s">
        <v>164</v>
      </c>
      <c r="AT654" s="899" t="s">
        <v>211</v>
      </c>
      <c r="AU654" s="911" t="s">
        <v>129</v>
      </c>
      <c r="AV654" s="912" t="s">
        <v>3526</v>
      </c>
      <c r="AW654" s="913" t="s">
        <v>134</v>
      </c>
      <c r="AX654" s="55"/>
      <c r="AY654" s="41" t="s">
        <v>135</v>
      </c>
    </row>
    <row r="655" ht="20.25" customHeight="1">
      <c r="A655" s="65" t="s">
        <v>106</v>
      </c>
      <c r="B655" s="65" t="s">
        <v>107</v>
      </c>
      <c r="C655" s="65" t="s">
        <v>144</v>
      </c>
      <c r="D655" s="66"/>
      <c r="E655" s="914" t="s">
        <v>3480</v>
      </c>
      <c r="F655" s="865" t="s">
        <v>3527</v>
      </c>
      <c r="G655" s="865" t="s">
        <v>144</v>
      </c>
      <c r="H655" s="915">
        <v>45638.0</v>
      </c>
      <c r="I655" s="916">
        <v>45673.0</v>
      </c>
      <c r="J655" s="917" t="s">
        <v>3500</v>
      </c>
      <c r="K655" s="918"/>
      <c r="L655" s="865" t="s">
        <v>3482</v>
      </c>
      <c r="M655" s="865" t="s">
        <v>3483</v>
      </c>
      <c r="N655" s="919">
        <v>5.0</v>
      </c>
      <c r="O655" s="863" t="s">
        <v>3484</v>
      </c>
      <c r="P655" s="48" t="str">
        <f t="array" ref="P655">HYPERLINK(INDEX('File Links'!B:B, MATCH(O655, 'File Links'!C:C, 0)))
</f>
        <v>https://drive.google.com/file/d/1y96i0hMyOppZ0ZOc68SfdS2QELKNre-8/view?usp=drivesdk</v>
      </c>
      <c r="Q655" s="865" t="s">
        <v>3485</v>
      </c>
      <c r="R655" s="865" t="s">
        <v>3486</v>
      </c>
      <c r="S655" s="918"/>
      <c r="T655" s="920">
        <v>5.0</v>
      </c>
      <c r="U655" s="865" t="s">
        <v>3487</v>
      </c>
      <c r="V655" s="69" t="s">
        <v>3501</v>
      </c>
      <c r="W655" s="50" t="str">
        <f t="array" ref="W655">HYPERLINK(INDEX('File Links'!B:B, MATCH(U655, 'File Links'!C:C, 0)))
</f>
        <v>https://drive.google.com/file/d/1Mxrn43qE4Nlk4SUVbyTVjT4uEEPF5pZu/view?usp=drivesdk</v>
      </c>
      <c r="X655" s="918"/>
      <c r="Y655" s="865" t="s">
        <v>139</v>
      </c>
      <c r="Z655" s="917" t="s">
        <v>3502</v>
      </c>
      <c r="AA655" s="917" t="s">
        <v>3503</v>
      </c>
      <c r="AB655" s="917" t="s">
        <v>3528</v>
      </c>
      <c r="AC655" s="865" t="s">
        <v>3529</v>
      </c>
      <c r="AD655" s="921">
        <v>5.0</v>
      </c>
      <c r="AE655" s="921">
        <v>240.0</v>
      </c>
      <c r="AF655" s="865" t="s">
        <v>3530</v>
      </c>
      <c r="AG655" s="863" t="s">
        <v>162</v>
      </c>
      <c r="AH655" s="865" t="s">
        <v>894</v>
      </c>
      <c r="AI655" s="921">
        <v>0.003</v>
      </c>
      <c r="AJ655" s="914" t="s">
        <v>164</v>
      </c>
      <c r="AK655" s="876" t="s">
        <v>179</v>
      </c>
      <c r="AL655" s="918" t="s">
        <v>129</v>
      </c>
      <c r="AM655" s="922" t="s">
        <v>3531</v>
      </c>
      <c r="AN655" s="923">
        <v>882.0</v>
      </c>
      <c r="AO655" s="923">
        <v>0.01</v>
      </c>
      <c r="AP655" s="865" t="s">
        <v>208</v>
      </c>
      <c r="AQ655" s="865" t="s">
        <v>505</v>
      </c>
      <c r="AR655" s="921">
        <v>0.76</v>
      </c>
      <c r="AS655" s="914" t="s">
        <v>164</v>
      </c>
      <c r="AT655" s="914" t="s">
        <v>211</v>
      </c>
      <c r="AU655" s="924" t="s">
        <v>129</v>
      </c>
      <c r="AV655" s="925" t="s">
        <v>3532</v>
      </c>
      <c r="AW655" s="926" t="s">
        <v>134</v>
      </c>
      <c r="AX655" s="55"/>
      <c r="AY655" s="41" t="s">
        <v>135</v>
      </c>
    </row>
    <row r="656" ht="20.25" customHeight="1">
      <c r="A656" s="65" t="s">
        <v>106</v>
      </c>
      <c r="B656" s="65" t="s">
        <v>107</v>
      </c>
      <c r="C656" s="65" t="s">
        <v>144</v>
      </c>
      <c r="D656" s="66"/>
      <c r="E656" s="914" t="s">
        <v>3480</v>
      </c>
      <c r="F656" s="865" t="s">
        <v>3533</v>
      </c>
      <c r="G656" s="865" t="s">
        <v>144</v>
      </c>
      <c r="H656" s="915">
        <v>45638.0</v>
      </c>
      <c r="I656" s="916">
        <v>45673.0</v>
      </c>
      <c r="J656" s="917" t="s">
        <v>3500</v>
      </c>
      <c r="K656" s="918"/>
      <c r="L656" s="865" t="s">
        <v>3482</v>
      </c>
      <c r="M656" s="865" t="s">
        <v>3483</v>
      </c>
      <c r="N656" s="919">
        <v>5.0</v>
      </c>
      <c r="O656" s="863" t="s">
        <v>3484</v>
      </c>
      <c r="P656" s="48" t="str">
        <f t="array" ref="P656">HYPERLINK(INDEX('File Links'!B:B, MATCH(O656, 'File Links'!C:C, 0)))
</f>
        <v>https://drive.google.com/file/d/1y96i0hMyOppZ0ZOc68SfdS2QELKNre-8/view?usp=drivesdk</v>
      </c>
      <c r="Q656" s="865" t="s">
        <v>3485</v>
      </c>
      <c r="R656" s="865" t="s">
        <v>3486</v>
      </c>
      <c r="S656" s="918"/>
      <c r="T656" s="920">
        <v>5.0</v>
      </c>
      <c r="U656" s="865" t="s">
        <v>3487</v>
      </c>
      <c r="V656" s="69" t="s">
        <v>3501</v>
      </c>
      <c r="W656" s="50" t="str">
        <f t="array" ref="W656">HYPERLINK(INDEX('File Links'!B:B, MATCH(U656, 'File Links'!C:C, 0)))
</f>
        <v>https://drive.google.com/file/d/1Mxrn43qE4Nlk4SUVbyTVjT4uEEPF5pZu/view?usp=drivesdk</v>
      </c>
      <c r="X656" s="918"/>
      <c r="Y656" s="865" t="s">
        <v>139</v>
      </c>
      <c r="Z656" s="917" t="s">
        <v>3502</v>
      </c>
      <c r="AA656" s="917" t="s">
        <v>3503</v>
      </c>
      <c r="AB656" s="917" t="s">
        <v>3528</v>
      </c>
      <c r="AC656" s="865" t="s">
        <v>3534</v>
      </c>
      <c r="AD656" s="921">
        <v>5.0</v>
      </c>
      <c r="AE656" s="921">
        <v>240.0</v>
      </c>
      <c r="AF656" s="865" t="s">
        <v>3535</v>
      </c>
      <c r="AG656" s="863" t="s">
        <v>162</v>
      </c>
      <c r="AH656" s="865" t="s">
        <v>894</v>
      </c>
      <c r="AI656" s="921">
        <v>0.9</v>
      </c>
      <c r="AJ656" s="914" t="s">
        <v>329</v>
      </c>
      <c r="AK656" s="876" t="s">
        <v>179</v>
      </c>
      <c r="AL656" s="918" t="s">
        <v>129</v>
      </c>
      <c r="AM656" s="922" t="s">
        <v>3531</v>
      </c>
      <c r="AN656" s="923">
        <v>882.0</v>
      </c>
      <c r="AO656" s="923">
        <v>-0.031</v>
      </c>
      <c r="AP656" s="865" t="s">
        <v>1006</v>
      </c>
      <c r="AQ656" s="865" t="s">
        <v>2443</v>
      </c>
      <c r="AR656" s="921">
        <v>0.38</v>
      </c>
      <c r="AS656" s="914" t="s">
        <v>164</v>
      </c>
      <c r="AT656" s="914" t="s">
        <v>211</v>
      </c>
      <c r="AU656" s="924" t="s">
        <v>129</v>
      </c>
      <c r="AV656" s="925" t="s">
        <v>3532</v>
      </c>
      <c r="AW656" s="926" t="s">
        <v>134</v>
      </c>
      <c r="AX656" s="55"/>
      <c r="AY656" s="41" t="s">
        <v>135</v>
      </c>
    </row>
    <row r="657" ht="20.25" customHeight="1">
      <c r="A657" s="65" t="s">
        <v>106</v>
      </c>
      <c r="B657" s="65" t="s">
        <v>107</v>
      </c>
      <c r="C657" s="65" t="s">
        <v>144</v>
      </c>
      <c r="D657" s="66"/>
      <c r="E657" s="914" t="s">
        <v>3480</v>
      </c>
      <c r="F657" s="865" t="s">
        <v>3536</v>
      </c>
      <c r="G657" s="865" t="s">
        <v>144</v>
      </c>
      <c r="H657" s="915">
        <v>45638.0</v>
      </c>
      <c r="I657" s="916">
        <v>45673.0</v>
      </c>
      <c r="J657" s="917" t="s">
        <v>3500</v>
      </c>
      <c r="K657" s="918"/>
      <c r="L657" s="865" t="s">
        <v>3482</v>
      </c>
      <c r="M657" s="865" t="s">
        <v>3483</v>
      </c>
      <c r="N657" s="919">
        <v>5.0</v>
      </c>
      <c r="O657" s="863" t="s">
        <v>3484</v>
      </c>
      <c r="P657" s="48" t="str">
        <f t="array" ref="P657">HYPERLINK(INDEX('File Links'!B:B, MATCH(O657, 'File Links'!C:C, 0)))
</f>
        <v>https://drive.google.com/file/d/1y96i0hMyOppZ0ZOc68SfdS2QELKNre-8/view?usp=drivesdk</v>
      </c>
      <c r="Q657" s="865" t="s">
        <v>3485</v>
      </c>
      <c r="R657" s="865" t="s">
        <v>3486</v>
      </c>
      <c r="S657" s="918"/>
      <c r="T657" s="920">
        <v>5.0</v>
      </c>
      <c r="U657" s="865" t="s">
        <v>3487</v>
      </c>
      <c r="V657" s="69" t="s">
        <v>3501</v>
      </c>
      <c r="W657" s="50" t="str">
        <f t="array" ref="W657">HYPERLINK(INDEX('File Links'!B:B, MATCH(U657, 'File Links'!C:C, 0)))
</f>
        <v>https://drive.google.com/file/d/1Mxrn43qE4Nlk4SUVbyTVjT4uEEPF5pZu/view?usp=drivesdk</v>
      </c>
      <c r="X657" s="918"/>
      <c r="Y657" s="865" t="s">
        <v>139</v>
      </c>
      <c r="Z657" s="917" t="s">
        <v>3502</v>
      </c>
      <c r="AA657" s="917" t="s">
        <v>3503</v>
      </c>
      <c r="AB657" s="917" t="s">
        <v>3528</v>
      </c>
      <c r="AC657" s="865" t="s">
        <v>3529</v>
      </c>
      <c r="AD657" s="921">
        <v>5.0</v>
      </c>
      <c r="AE657" s="921">
        <v>240.0</v>
      </c>
      <c r="AF657" s="927" t="s">
        <v>3530</v>
      </c>
      <c r="AG657" s="863" t="s">
        <v>162</v>
      </c>
      <c r="AH657" s="865" t="s">
        <v>894</v>
      </c>
      <c r="AI657" s="921">
        <v>0.003</v>
      </c>
      <c r="AJ657" s="914" t="s">
        <v>164</v>
      </c>
      <c r="AK657" s="876" t="s">
        <v>179</v>
      </c>
      <c r="AL657" s="918" t="s">
        <v>129</v>
      </c>
      <c r="AM657" s="922" t="s">
        <v>3531</v>
      </c>
      <c r="AN657" s="923">
        <v>879.0</v>
      </c>
      <c r="AO657" s="923">
        <v>0.09</v>
      </c>
      <c r="AP657" s="865" t="s">
        <v>208</v>
      </c>
      <c r="AQ657" s="865" t="s">
        <v>494</v>
      </c>
      <c r="AR657" s="921">
        <v>0.009</v>
      </c>
      <c r="AS657" s="914" t="s">
        <v>164</v>
      </c>
      <c r="AT657" s="914" t="s">
        <v>211</v>
      </c>
      <c r="AU657" s="924" t="s">
        <v>129</v>
      </c>
      <c r="AV657" s="925" t="s">
        <v>3532</v>
      </c>
      <c r="AW657" s="926" t="s">
        <v>142</v>
      </c>
      <c r="AX657" s="55"/>
      <c r="AY657" s="41" t="s">
        <v>135</v>
      </c>
    </row>
    <row r="658" ht="20.25" customHeight="1">
      <c r="A658" s="65" t="s">
        <v>106</v>
      </c>
      <c r="B658" s="65" t="s">
        <v>107</v>
      </c>
      <c r="C658" s="65" t="s">
        <v>144</v>
      </c>
      <c r="D658" s="66"/>
      <c r="E658" s="914" t="s">
        <v>3480</v>
      </c>
      <c r="F658" s="865" t="s">
        <v>3537</v>
      </c>
      <c r="G658" s="865" t="s">
        <v>144</v>
      </c>
      <c r="H658" s="915">
        <v>45638.0</v>
      </c>
      <c r="I658" s="916">
        <v>45673.0</v>
      </c>
      <c r="J658" s="917" t="s">
        <v>3500</v>
      </c>
      <c r="K658" s="918"/>
      <c r="L658" s="854" t="s">
        <v>3482</v>
      </c>
      <c r="M658" s="865" t="s">
        <v>3483</v>
      </c>
      <c r="N658" s="919">
        <v>5.0</v>
      </c>
      <c r="O658" s="863" t="s">
        <v>3484</v>
      </c>
      <c r="P658" s="48" t="str">
        <f t="array" ref="P658">HYPERLINK(INDEX('File Links'!B:B, MATCH(O658, 'File Links'!C:C, 0)))
</f>
        <v>https://drive.google.com/file/d/1y96i0hMyOppZ0ZOc68SfdS2QELKNre-8/view?usp=drivesdk</v>
      </c>
      <c r="Q658" s="865" t="s">
        <v>3485</v>
      </c>
      <c r="R658" s="865" t="s">
        <v>3486</v>
      </c>
      <c r="S658" s="918"/>
      <c r="T658" s="920">
        <v>5.0</v>
      </c>
      <c r="U658" s="865" t="s">
        <v>3487</v>
      </c>
      <c r="V658" s="69" t="s">
        <v>3501</v>
      </c>
      <c r="W658" s="50" t="str">
        <f t="array" ref="W658">HYPERLINK(INDEX('File Links'!B:B, MATCH(U658, 'File Links'!C:C, 0)))
</f>
        <v>https://drive.google.com/file/d/1Mxrn43qE4Nlk4SUVbyTVjT4uEEPF5pZu/view?usp=drivesdk</v>
      </c>
      <c r="X658" s="918"/>
      <c r="Y658" s="865" t="s">
        <v>139</v>
      </c>
      <c r="Z658" s="917" t="s">
        <v>3502</v>
      </c>
      <c r="AA658" s="917" t="s">
        <v>3503</v>
      </c>
      <c r="AB658" s="917" t="s">
        <v>3528</v>
      </c>
      <c r="AC658" s="865" t="s">
        <v>3534</v>
      </c>
      <c r="AD658" s="921">
        <v>5.0</v>
      </c>
      <c r="AE658" s="921">
        <v>240.0</v>
      </c>
      <c r="AF658" s="865" t="s">
        <v>3535</v>
      </c>
      <c r="AG658" s="863" t="s">
        <v>162</v>
      </c>
      <c r="AH658" s="865" t="s">
        <v>894</v>
      </c>
      <c r="AI658" s="921">
        <v>0.9</v>
      </c>
      <c r="AJ658" s="914" t="s">
        <v>329</v>
      </c>
      <c r="AK658" s="876" t="s">
        <v>179</v>
      </c>
      <c r="AL658" s="918" t="s">
        <v>129</v>
      </c>
      <c r="AM658" s="922" t="s">
        <v>3531</v>
      </c>
      <c r="AN658" s="923">
        <v>879.0</v>
      </c>
      <c r="AO658" s="923">
        <v>-0.016</v>
      </c>
      <c r="AP658" s="865" t="s">
        <v>1006</v>
      </c>
      <c r="AQ658" s="865" t="s">
        <v>3538</v>
      </c>
      <c r="AR658" s="921">
        <v>0.651</v>
      </c>
      <c r="AS658" s="914" t="s">
        <v>164</v>
      </c>
      <c r="AT658" s="914" t="s">
        <v>211</v>
      </c>
      <c r="AU658" s="924" t="s">
        <v>129</v>
      </c>
      <c r="AV658" s="925" t="s">
        <v>3532</v>
      </c>
      <c r="AW658" s="926" t="s">
        <v>142</v>
      </c>
      <c r="AX658" s="55"/>
      <c r="AY658" s="41" t="s">
        <v>135</v>
      </c>
    </row>
    <row r="659" ht="20.25" customHeight="1">
      <c r="A659" s="784" t="s">
        <v>143</v>
      </c>
      <c r="B659" s="784" t="s">
        <v>107</v>
      </c>
      <c r="C659" s="784" t="s">
        <v>169</v>
      </c>
      <c r="D659" s="691"/>
      <c r="E659" s="87" t="s">
        <v>3480</v>
      </c>
      <c r="F659" s="786" t="s">
        <v>3539</v>
      </c>
      <c r="G659" s="785" t="s">
        <v>169</v>
      </c>
      <c r="H659" s="851">
        <v>45636.0</v>
      </c>
      <c r="I659" s="852">
        <v>45673.0</v>
      </c>
      <c r="J659" s="785" t="s">
        <v>3540</v>
      </c>
      <c r="K659" s="202" t="s">
        <v>3541</v>
      </c>
      <c r="L659" s="785" t="s">
        <v>3482</v>
      </c>
      <c r="M659" s="785" t="s">
        <v>3483</v>
      </c>
      <c r="N659" s="853">
        <v>1.0</v>
      </c>
      <c r="O659" s="854" t="s">
        <v>3484</v>
      </c>
      <c r="P659" s="48" t="str">
        <f t="array" ref="P659">HYPERLINK(INDEX('File Links'!B:B, MATCH(O659, 'File Links'!C:C, 0)))
</f>
        <v>https://drive.google.com/file/d/1y96i0hMyOppZ0ZOc68SfdS2QELKNre-8/view?usp=drivesdk</v>
      </c>
      <c r="Q659" s="785" t="s">
        <v>3485</v>
      </c>
      <c r="R659" s="785" t="s">
        <v>3486</v>
      </c>
      <c r="S659" s="796"/>
      <c r="T659" s="853">
        <v>1.0</v>
      </c>
      <c r="U659" s="854" t="s">
        <v>3487</v>
      </c>
      <c r="V659" s="785" t="s">
        <v>2458</v>
      </c>
      <c r="W659" s="50" t="str">
        <f t="array" ref="W659">HYPERLINK(INDEX('File Links'!B:B, MATCH(U659, 'File Links'!C:C, 0)))
</f>
        <v>https://drive.google.com/file/d/1Mxrn43qE4Nlk4SUVbyTVjT4uEEPF5pZu/view?usp=drivesdk</v>
      </c>
      <c r="X659" s="796"/>
      <c r="Y659" s="785" t="s">
        <v>139</v>
      </c>
      <c r="Z659" s="785" t="s">
        <v>3488</v>
      </c>
      <c r="AA659" s="785" t="s">
        <v>3489</v>
      </c>
      <c r="AB659" s="854" t="s">
        <v>3490</v>
      </c>
      <c r="AC659" s="855" t="s">
        <v>3491</v>
      </c>
      <c r="AD659" s="785" t="s">
        <v>3492</v>
      </c>
      <c r="AE659" s="856">
        <v>321.0</v>
      </c>
      <c r="AF659" s="785" t="s">
        <v>3493</v>
      </c>
      <c r="AG659" s="857" t="s">
        <v>3494</v>
      </c>
      <c r="AH659" s="786" t="s">
        <v>3495</v>
      </c>
      <c r="AI659" s="786" t="s">
        <v>178</v>
      </c>
      <c r="AJ659" s="785" t="s">
        <v>127</v>
      </c>
      <c r="AK659" s="786" t="s">
        <v>179</v>
      </c>
      <c r="AL659" s="796" t="s">
        <v>132</v>
      </c>
      <c r="AM659" s="858" t="s">
        <v>3496</v>
      </c>
      <c r="AN659" s="859">
        <v>297.0</v>
      </c>
      <c r="AO659" s="860" t="s">
        <v>3542</v>
      </c>
      <c r="AP659" s="785" t="s">
        <v>208</v>
      </c>
      <c r="AQ659" s="785" t="s">
        <v>3543</v>
      </c>
      <c r="AR659" s="785" t="s">
        <v>3544</v>
      </c>
      <c r="AS659" s="785" t="s">
        <v>164</v>
      </c>
      <c r="AT659" s="785" t="s">
        <v>179</v>
      </c>
      <c r="AU659" s="796" t="s">
        <v>132</v>
      </c>
      <c r="AV659" s="858" t="s">
        <v>3509</v>
      </c>
      <c r="AW659" s="861" t="s">
        <v>142</v>
      </c>
      <c r="AX659" s="115" t="s">
        <v>3541</v>
      </c>
      <c r="AY659" s="41" t="s">
        <v>135</v>
      </c>
    </row>
    <row r="660" ht="20.25" customHeight="1">
      <c r="A660" s="784" t="s">
        <v>143</v>
      </c>
      <c r="B660" s="332" t="s">
        <v>107</v>
      </c>
      <c r="C660" s="332" t="s">
        <v>169</v>
      </c>
      <c r="D660" s="333"/>
      <c r="E660" s="87" t="s">
        <v>3480</v>
      </c>
      <c r="F660" s="736" t="s">
        <v>3545</v>
      </c>
      <c r="G660" s="734" t="s">
        <v>169</v>
      </c>
      <c r="H660" s="737">
        <v>45636.0</v>
      </c>
      <c r="I660" s="852">
        <v>45673.0</v>
      </c>
      <c r="J660" s="734" t="s">
        <v>3546</v>
      </c>
      <c r="K660" s="738"/>
      <c r="L660" s="785" t="s">
        <v>3482</v>
      </c>
      <c r="M660" s="738"/>
      <c r="N660" s="928" t="s">
        <v>3511</v>
      </c>
      <c r="O660" s="866" t="s">
        <v>3484</v>
      </c>
      <c r="P660" s="48" t="str">
        <f t="array" ref="P660">HYPERLINK(INDEX('File Links'!B:B, MATCH(O660, 'File Links'!C:C, 0)))
</f>
        <v>https://drive.google.com/file/d/1y96i0hMyOppZ0ZOc68SfdS2QELKNre-8/view?usp=drivesdk</v>
      </c>
      <c r="Q660" s="734" t="s">
        <v>3485</v>
      </c>
      <c r="R660" s="734" t="s">
        <v>3547</v>
      </c>
      <c r="S660" s="738"/>
      <c r="T660" s="928" t="s">
        <v>3511</v>
      </c>
      <c r="U660" s="866" t="s">
        <v>3487</v>
      </c>
      <c r="V660" s="734" t="s">
        <v>2129</v>
      </c>
      <c r="W660" s="50" t="str">
        <f t="array" ref="W660">HYPERLINK(INDEX('File Links'!B:B, MATCH(U660, 'File Links'!C:C, 0)))
</f>
        <v>https://drive.google.com/file/d/1Mxrn43qE4Nlk4SUVbyTVjT4uEEPF5pZu/view?usp=drivesdk</v>
      </c>
      <c r="X660" s="738"/>
      <c r="Y660" s="734" t="s">
        <v>139</v>
      </c>
      <c r="Z660" s="734" t="s">
        <v>3488</v>
      </c>
      <c r="AA660" s="734" t="s">
        <v>3489</v>
      </c>
      <c r="AB660" s="734" t="s">
        <v>3548</v>
      </c>
      <c r="AC660" s="734" t="s">
        <v>3549</v>
      </c>
      <c r="AD660" s="734" t="s">
        <v>210</v>
      </c>
      <c r="AE660" s="739">
        <v>201.0</v>
      </c>
      <c r="AF660" s="734" t="s">
        <v>3550</v>
      </c>
      <c r="AG660" s="929" t="s">
        <v>1273</v>
      </c>
      <c r="AH660" s="736" t="s">
        <v>125</v>
      </c>
      <c r="AI660" s="736" t="s">
        <v>3551</v>
      </c>
      <c r="AJ660" s="734" t="s">
        <v>164</v>
      </c>
      <c r="AK660" s="736" t="s">
        <v>179</v>
      </c>
      <c r="AL660" s="738" t="s">
        <v>129</v>
      </c>
      <c r="AM660" s="930" t="s">
        <v>3496</v>
      </c>
      <c r="AN660" s="931">
        <v>601.0</v>
      </c>
      <c r="AO660" s="932" t="s">
        <v>3552</v>
      </c>
      <c r="AP660" s="734" t="s">
        <v>208</v>
      </c>
      <c r="AQ660" s="734" t="s">
        <v>3553</v>
      </c>
      <c r="AR660" s="734" t="s">
        <v>3554</v>
      </c>
      <c r="AS660" s="734" t="s">
        <v>164</v>
      </c>
      <c r="AT660" s="734" t="s">
        <v>179</v>
      </c>
      <c r="AU660" s="738" t="s">
        <v>129</v>
      </c>
      <c r="AV660" s="930" t="s">
        <v>3515</v>
      </c>
      <c r="AW660" s="933" t="s">
        <v>134</v>
      </c>
      <c r="AX660" s="60"/>
      <c r="AY660" s="41" t="s">
        <v>135</v>
      </c>
    </row>
    <row r="661" ht="20.25" customHeight="1">
      <c r="A661" s="784" t="s">
        <v>143</v>
      </c>
      <c r="B661" s="483" t="s">
        <v>107</v>
      </c>
      <c r="C661" s="483" t="s">
        <v>169</v>
      </c>
      <c r="D661" s="484"/>
      <c r="E661" s="87" t="s">
        <v>3480</v>
      </c>
      <c r="F661" s="891" t="s">
        <v>3555</v>
      </c>
      <c r="G661" s="934" t="s">
        <v>169</v>
      </c>
      <c r="H661" s="935">
        <v>45636.0</v>
      </c>
      <c r="I661" s="852">
        <v>45673.0</v>
      </c>
      <c r="J661" s="934" t="s">
        <v>3556</v>
      </c>
      <c r="K661" s="936"/>
      <c r="L661" s="785" t="s">
        <v>3482</v>
      </c>
      <c r="M661" s="936"/>
      <c r="N661" s="937" t="s">
        <v>3517</v>
      </c>
      <c r="O661" s="882" t="s">
        <v>3484</v>
      </c>
      <c r="P661" s="48" t="str">
        <f t="array" ref="P661">HYPERLINK(INDEX('File Links'!B:B, MATCH(O661, 'File Links'!C:C, 0)))
</f>
        <v>https://drive.google.com/file/d/1y96i0hMyOppZ0ZOc68SfdS2QELKNre-8/view?usp=drivesdk</v>
      </c>
      <c r="Q661" s="934" t="s">
        <v>3485</v>
      </c>
      <c r="R661" s="934" t="s">
        <v>3557</v>
      </c>
      <c r="S661" s="936"/>
      <c r="T661" s="937" t="s">
        <v>3517</v>
      </c>
      <c r="U661" s="882" t="s">
        <v>3487</v>
      </c>
      <c r="V661" s="934" t="s">
        <v>2129</v>
      </c>
      <c r="W661" s="50" t="str">
        <f t="array" ref="W661">HYPERLINK(INDEX('File Links'!B:B, MATCH(U661, 'File Links'!C:C, 0)))
</f>
        <v>https://drive.google.com/file/d/1Mxrn43qE4Nlk4SUVbyTVjT4uEEPF5pZu/view?usp=drivesdk</v>
      </c>
      <c r="X661" s="936"/>
      <c r="Y661" s="934" t="s">
        <v>139</v>
      </c>
      <c r="Z661" s="934" t="s">
        <v>3488</v>
      </c>
      <c r="AA661" s="934" t="s">
        <v>3489</v>
      </c>
      <c r="AB661" s="934" t="s">
        <v>3558</v>
      </c>
      <c r="AC661" s="934" t="s">
        <v>3559</v>
      </c>
      <c r="AD661" s="934" t="s">
        <v>3560</v>
      </c>
      <c r="AE661" s="938">
        <v>349.0</v>
      </c>
      <c r="AF661" s="934" t="s">
        <v>3561</v>
      </c>
      <c r="AG661" s="939" t="s">
        <v>1273</v>
      </c>
      <c r="AH661" s="891" t="s">
        <v>610</v>
      </c>
      <c r="AI661" s="891" t="s">
        <v>3562</v>
      </c>
      <c r="AJ661" s="934" t="s">
        <v>164</v>
      </c>
      <c r="AK661" s="891" t="s">
        <v>179</v>
      </c>
      <c r="AL661" s="936" t="s">
        <v>129</v>
      </c>
      <c r="AM661" s="940" t="s">
        <v>3496</v>
      </c>
      <c r="AN661" s="941">
        <v>1036.0</v>
      </c>
      <c r="AO661" s="942" t="s">
        <v>3497</v>
      </c>
      <c r="AP661" s="934" t="s">
        <v>208</v>
      </c>
      <c r="AQ661" s="934" t="s">
        <v>3563</v>
      </c>
      <c r="AR661" s="934" t="s">
        <v>3564</v>
      </c>
      <c r="AS661" s="934" t="s">
        <v>164</v>
      </c>
      <c r="AT661" s="934" t="s">
        <v>179</v>
      </c>
      <c r="AU661" s="936" t="s">
        <v>129</v>
      </c>
      <c r="AV661" s="940" t="s">
        <v>3521</v>
      </c>
      <c r="AW661" s="943" t="s">
        <v>134</v>
      </c>
      <c r="AX661" s="60"/>
      <c r="AY661" s="41" t="s">
        <v>135</v>
      </c>
    </row>
    <row r="662" ht="20.25" customHeight="1">
      <c r="A662" s="784" t="s">
        <v>143</v>
      </c>
      <c r="B662" s="316" t="s">
        <v>107</v>
      </c>
      <c r="C662" s="316" t="s">
        <v>169</v>
      </c>
      <c r="D662" s="215"/>
      <c r="E662" s="87" t="s">
        <v>3480</v>
      </c>
      <c r="F662" s="386" t="s">
        <v>3565</v>
      </c>
      <c r="G662" s="232" t="s">
        <v>169</v>
      </c>
      <c r="H662" s="597">
        <v>45636.0</v>
      </c>
      <c r="I662" s="852">
        <v>45673.0</v>
      </c>
      <c r="J662" s="232" t="s">
        <v>3546</v>
      </c>
      <c r="K662" s="322"/>
      <c r="L662" s="785" t="s">
        <v>3482</v>
      </c>
      <c r="M662" s="322"/>
      <c r="N662" s="944">
        <v>3.0</v>
      </c>
      <c r="O662" s="899" t="s">
        <v>3484</v>
      </c>
      <c r="P662" s="48" t="str">
        <f t="array" ref="P662">HYPERLINK(INDEX('File Links'!B:B, MATCH(O662, 'File Links'!C:C, 0)))
</f>
        <v>https://drive.google.com/file/d/1y96i0hMyOppZ0ZOc68SfdS2QELKNre-8/view?usp=drivesdk</v>
      </c>
      <c r="Q662" s="232" t="s">
        <v>3485</v>
      </c>
      <c r="R662" s="232" t="s">
        <v>3566</v>
      </c>
      <c r="S662" s="322"/>
      <c r="T662" s="944">
        <v>3.0</v>
      </c>
      <c r="U662" s="899" t="s">
        <v>3487</v>
      </c>
      <c r="V662" s="232" t="s">
        <v>2129</v>
      </c>
      <c r="W662" s="50" t="str">
        <f t="array" ref="W662">HYPERLINK(INDEX('File Links'!B:B, MATCH(U662, 'File Links'!C:C, 0)))
</f>
        <v>https://drive.google.com/file/d/1Mxrn43qE4Nlk4SUVbyTVjT4uEEPF5pZu/view?usp=drivesdk</v>
      </c>
      <c r="X662" s="322"/>
      <c r="Y662" s="232" t="s">
        <v>139</v>
      </c>
      <c r="Z662" s="232" t="s">
        <v>3488</v>
      </c>
      <c r="AA662" s="232" t="s">
        <v>3489</v>
      </c>
      <c r="AB662" s="899" t="s">
        <v>3567</v>
      </c>
      <c r="AC662" s="232" t="s">
        <v>3568</v>
      </c>
      <c r="AD662" s="232" t="s">
        <v>861</v>
      </c>
      <c r="AE662" s="325">
        <v>340.0</v>
      </c>
      <c r="AF662" s="232" t="s">
        <v>3569</v>
      </c>
      <c r="AG662" s="599" t="s">
        <v>1273</v>
      </c>
      <c r="AH662" s="386" t="s">
        <v>610</v>
      </c>
      <c r="AI662" s="386" t="s">
        <v>3570</v>
      </c>
      <c r="AJ662" s="232" t="s">
        <v>164</v>
      </c>
      <c r="AK662" s="386" t="s">
        <v>179</v>
      </c>
      <c r="AL662" s="322" t="s">
        <v>129</v>
      </c>
      <c r="AM662" s="945" t="s">
        <v>3496</v>
      </c>
      <c r="AN662" s="946">
        <v>881.0</v>
      </c>
      <c r="AO662" s="385" t="s">
        <v>495</v>
      </c>
      <c r="AP662" s="232" t="s">
        <v>208</v>
      </c>
      <c r="AQ662" s="232" t="s">
        <v>3571</v>
      </c>
      <c r="AR662" s="232" t="s">
        <v>3572</v>
      </c>
      <c r="AS662" s="232" t="s">
        <v>164</v>
      </c>
      <c r="AT662" s="232" t="s">
        <v>179</v>
      </c>
      <c r="AU662" s="322" t="s">
        <v>129</v>
      </c>
      <c r="AV662" s="945" t="s">
        <v>3526</v>
      </c>
      <c r="AW662" s="947" t="s">
        <v>134</v>
      </c>
      <c r="AX662" s="60"/>
      <c r="AY662" s="41" t="s">
        <v>135</v>
      </c>
    </row>
    <row r="663" ht="20.25" customHeight="1">
      <c r="A663" s="784" t="s">
        <v>143</v>
      </c>
      <c r="B663" s="371" t="s">
        <v>107</v>
      </c>
      <c r="C663" s="371" t="s">
        <v>169</v>
      </c>
      <c r="D663" s="209"/>
      <c r="E663" s="87" t="s">
        <v>3480</v>
      </c>
      <c r="F663" s="373" t="s">
        <v>3573</v>
      </c>
      <c r="G663" s="381" t="s">
        <v>169</v>
      </c>
      <c r="H663" s="374">
        <v>45636.0</v>
      </c>
      <c r="I663" s="852">
        <v>45673.0</v>
      </c>
      <c r="J663" s="381" t="s">
        <v>3574</v>
      </c>
      <c r="K663" s="372"/>
      <c r="L663" s="785" t="s">
        <v>3482</v>
      </c>
      <c r="M663" s="372"/>
      <c r="N663" s="948">
        <v>5.0</v>
      </c>
      <c r="O663" s="949" t="s">
        <v>3484</v>
      </c>
      <c r="P663" s="48" t="str">
        <f t="array" ref="P663">HYPERLINK(INDEX('File Links'!B:B, MATCH(O663, 'File Links'!C:C, 0)))
</f>
        <v>https://drive.google.com/file/d/1y96i0hMyOppZ0ZOc68SfdS2QELKNre-8/view?usp=drivesdk</v>
      </c>
      <c r="Q663" s="381" t="s">
        <v>3485</v>
      </c>
      <c r="R663" s="381" t="s">
        <v>3575</v>
      </c>
      <c r="S663" s="372"/>
      <c r="T663" s="948">
        <v>5.0</v>
      </c>
      <c r="U663" s="949" t="s">
        <v>3487</v>
      </c>
      <c r="V663" s="381" t="s">
        <v>2129</v>
      </c>
      <c r="W663" s="50" t="str">
        <f t="array" ref="W663">HYPERLINK(INDEX('File Links'!B:B, MATCH(U663, 'File Links'!C:C, 0)))
</f>
        <v>https://drive.google.com/file/d/1Mxrn43qE4Nlk4SUVbyTVjT4uEEPF5pZu/view?usp=drivesdk</v>
      </c>
      <c r="X663" s="372"/>
      <c r="Y663" s="381" t="s">
        <v>139</v>
      </c>
      <c r="Z663" s="381" t="s">
        <v>3488</v>
      </c>
      <c r="AA663" s="381" t="s">
        <v>3489</v>
      </c>
      <c r="AB663" s="381" t="s">
        <v>3576</v>
      </c>
      <c r="AC663" s="381" t="s">
        <v>3577</v>
      </c>
      <c r="AD663" s="381" t="s">
        <v>131</v>
      </c>
      <c r="AE663" s="665">
        <v>240.0</v>
      </c>
      <c r="AF663" s="587" t="s">
        <v>3530</v>
      </c>
      <c r="AG663" s="90" t="s">
        <v>162</v>
      </c>
      <c r="AH663" s="373" t="s">
        <v>610</v>
      </c>
      <c r="AI663" s="373" t="s">
        <v>519</v>
      </c>
      <c r="AJ663" s="381" t="s">
        <v>164</v>
      </c>
      <c r="AK663" s="373" t="s">
        <v>179</v>
      </c>
      <c r="AL663" s="372" t="s">
        <v>129</v>
      </c>
      <c r="AM663" s="383" t="s">
        <v>3496</v>
      </c>
      <c r="AN663" s="950">
        <v>882.0</v>
      </c>
      <c r="AO663" s="585" t="s">
        <v>3552</v>
      </c>
      <c r="AP663" s="381" t="s">
        <v>208</v>
      </c>
      <c r="AQ663" s="381" t="s">
        <v>3578</v>
      </c>
      <c r="AR663" s="381" t="s">
        <v>3579</v>
      </c>
      <c r="AS663" s="381" t="s">
        <v>164</v>
      </c>
      <c r="AT663" s="381" t="s">
        <v>179</v>
      </c>
      <c r="AU663" s="372" t="s">
        <v>129</v>
      </c>
      <c r="AV663" s="383" t="s">
        <v>3532</v>
      </c>
      <c r="AW663" s="384" t="s">
        <v>134</v>
      </c>
      <c r="AX663" s="60"/>
      <c r="AY663" s="41" t="s">
        <v>135</v>
      </c>
    </row>
    <row r="664" ht="20.25" customHeight="1">
      <c r="A664" s="784" t="s">
        <v>143</v>
      </c>
      <c r="B664" s="371" t="s">
        <v>107</v>
      </c>
      <c r="C664" s="371" t="s">
        <v>169</v>
      </c>
      <c r="D664" s="209"/>
      <c r="E664" s="87" t="s">
        <v>3480</v>
      </c>
      <c r="F664" s="373" t="s">
        <v>3580</v>
      </c>
      <c r="G664" s="381" t="s">
        <v>169</v>
      </c>
      <c r="H664" s="374">
        <v>45636.0</v>
      </c>
      <c r="I664" s="852">
        <v>45673.0</v>
      </c>
      <c r="J664" s="381" t="s">
        <v>3581</v>
      </c>
      <c r="K664" s="372"/>
      <c r="L664" s="785" t="s">
        <v>3482</v>
      </c>
      <c r="M664" s="372"/>
      <c r="N664" s="948">
        <v>5.0</v>
      </c>
      <c r="O664" s="949" t="s">
        <v>3484</v>
      </c>
      <c r="P664" s="48" t="str">
        <f t="array" ref="P664">HYPERLINK(INDEX('File Links'!B:B, MATCH(O664, 'File Links'!C:C, 0)))
</f>
        <v>https://drive.google.com/file/d/1y96i0hMyOppZ0ZOc68SfdS2QELKNre-8/view?usp=drivesdk</v>
      </c>
      <c r="Q664" s="381" t="s">
        <v>3485</v>
      </c>
      <c r="R664" s="381" t="s">
        <v>3582</v>
      </c>
      <c r="S664" s="372"/>
      <c r="T664" s="948" t="s">
        <v>3583</v>
      </c>
      <c r="U664" s="949" t="s">
        <v>3487</v>
      </c>
      <c r="V664" s="372"/>
      <c r="W664" s="50" t="str">
        <f t="array" ref="W664">HYPERLINK(INDEX('File Links'!B:B, MATCH(U664, 'File Links'!C:C, 0)))
</f>
        <v>https://drive.google.com/file/d/1Mxrn43qE4Nlk4SUVbyTVjT4uEEPF5pZu/view?usp=drivesdk</v>
      </c>
      <c r="X664" s="372"/>
      <c r="Y664" s="381" t="s">
        <v>139</v>
      </c>
      <c r="Z664" s="381" t="s">
        <v>3488</v>
      </c>
      <c r="AA664" s="381" t="s">
        <v>3489</v>
      </c>
      <c r="AB664" s="381" t="s">
        <v>3576</v>
      </c>
      <c r="AC664" s="381" t="s">
        <v>3577</v>
      </c>
      <c r="AD664" s="381" t="s">
        <v>131</v>
      </c>
      <c r="AE664" s="665">
        <v>240.0</v>
      </c>
      <c r="AF664" s="587" t="s">
        <v>3530</v>
      </c>
      <c r="AG664" s="90" t="s">
        <v>162</v>
      </c>
      <c r="AH664" s="373" t="s">
        <v>610</v>
      </c>
      <c r="AI664" s="373" t="s">
        <v>519</v>
      </c>
      <c r="AJ664" s="381" t="s">
        <v>164</v>
      </c>
      <c r="AK664" s="373" t="s">
        <v>179</v>
      </c>
      <c r="AL664" s="372" t="s">
        <v>129</v>
      </c>
      <c r="AM664" s="383" t="s">
        <v>3496</v>
      </c>
      <c r="AN664" s="950">
        <v>879.0</v>
      </c>
      <c r="AO664" s="585" t="s">
        <v>3584</v>
      </c>
      <c r="AP664" s="381" t="s">
        <v>208</v>
      </c>
      <c r="AQ664" s="381" t="s">
        <v>2416</v>
      </c>
      <c r="AR664" s="381" t="s">
        <v>3562</v>
      </c>
      <c r="AS664" s="381" t="s">
        <v>164</v>
      </c>
      <c r="AT664" s="381" t="s">
        <v>179</v>
      </c>
      <c r="AU664" s="372" t="s">
        <v>129</v>
      </c>
      <c r="AV664" s="383" t="s">
        <v>3585</v>
      </c>
      <c r="AW664" s="384" t="s">
        <v>142</v>
      </c>
      <c r="AX664" s="60"/>
      <c r="AY664" s="41" t="s">
        <v>135</v>
      </c>
    </row>
    <row r="665" ht="20.25" customHeight="1">
      <c r="A665" s="40" t="s">
        <v>143</v>
      </c>
      <c r="B665" s="40" t="s">
        <v>107</v>
      </c>
      <c r="C665" s="41" t="s">
        <v>108</v>
      </c>
      <c r="E665" s="42" t="s">
        <v>3586</v>
      </c>
      <c r="F665" s="43" t="s">
        <v>3587</v>
      </c>
      <c r="G665" s="43" t="s">
        <v>185</v>
      </c>
      <c r="H665" s="44">
        <v>45641.0</v>
      </c>
      <c r="I665" s="852">
        <v>45673.0</v>
      </c>
      <c r="J665" s="45" t="s">
        <v>113</v>
      </c>
      <c r="K665" s="202" t="s">
        <v>3588</v>
      </c>
      <c r="L665" s="43" t="s">
        <v>114</v>
      </c>
      <c r="M665" s="43" t="s">
        <v>115</v>
      </c>
      <c r="N665" s="46">
        <v>1.0</v>
      </c>
      <c r="O665" s="951" t="s">
        <v>116</v>
      </c>
      <c r="P665" s="48" t="str">
        <f t="array" ref="P665">HYPERLINK(INDEX('File Links'!B:B, MATCH(O665, 'File Links'!C:C, 0)))
</f>
        <v>https://drive.google.com/file/d/140WKvPe6h8fNM79ffoPo5RX6uP0flGT4/view?usp=drivesdk</v>
      </c>
      <c r="Q665" s="952" t="s">
        <v>3589</v>
      </c>
      <c r="R665" s="534" t="s">
        <v>3590</v>
      </c>
      <c r="S665" s="45"/>
      <c r="T665" s="49">
        <v>1.0</v>
      </c>
      <c r="U665" s="953" t="s">
        <v>3591</v>
      </c>
      <c r="V665" s="954" t="s">
        <v>202</v>
      </c>
      <c r="W665" s="45" t="str">
        <f t="array" ref="W665">HYPERLINK(INDEX('File Links'!B:B, MATCH(U665, 'File Links'!C:C, 0)))
</f>
        <v>#N/A</v>
      </c>
      <c r="X665" s="45"/>
      <c r="Y665" s="40" t="s">
        <v>139</v>
      </c>
      <c r="Z665" s="45"/>
      <c r="AA665" s="45" t="s">
        <v>122</v>
      </c>
      <c r="AB665" s="45"/>
      <c r="AC665" s="954" t="s">
        <v>3592</v>
      </c>
      <c r="AD665" s="954">
        <v>5.0</v>
      </c>
      <c r="AE665" s="46">
        <v>12.0</v>
      </c>
      <c r="AF665" s="955" t="s">
        <v>3593</v>
      </c>
      <c r="AG665" s="90" t="s">
        <v>162</v>
      </c>
      <c r="AH665" s="954">
        <v>5.0</v>
      </c>
      <c r="AI665" s="46">
        <v>0.01</v>
      </c>
      <c r="AJ665" s="42" t="s">
        <v>127</v>
      </c>
      <c r="AK665" s="52" t="s">
        <v>179</v>
      </c>
      <c r="AL665" s="954" t="s">
        <v>132</v>
      </c>
      <c r="AM665" s="954" t="s">
        <v>165</v>
      </c>
      <c r="AN665" s="46">
        <v>39.0</v>
      </c>
      <c r="AO665" s="955">
        <v>0.313</v>
      </c>
      <c r="AP665" s="45" t="s">
        <v>130</v>
      </c>
      <c r="AQ665" s="45" t="s">
        <v>131</v>
      </c>
      <c r="AR665" s="955">
        <v>0.004</v>
      </c>
      <c r="AS665" s="381" t="s">
        <v>164</v>
      </c>
      <c r="AT665" s="381" t="s">
        <v>179</v>
      </c>
      <c r="AU665" s="42" t="s">
        <v>132</v>
      </c>
      <c r="AV665" s="53" t="s">
        <v>3594</v>
      </c>
      <c r="AW665" s="54" t="s">
        <v>134</v>
      </c>
      <c r="AX665" s="115" t="s">
        <v>3588</v>
      </c>
      <c r="AY665" s="41" t="s">
        <v>135</v>
      </c>
      <c r="AZ665" s="64"/>
    </row>
    <row r="666" ht="20.25" hidden="1" customHeight="1">
      <c r="A666" s="41" t="s">
        <v>106</v>
      </c>
      <c r="B666" s="41" t="s">
        <v>107</v>
      </c>
      <c r="C666" s="41" t="s">
        <v>136</v>
      </c>
      <c r="E666" s="41" t="s">
        <v>3586</v>
      </c>
      <c r="F666" s="40" t="s">
        <v>3587</v>
      </c>
      <c r="G666" s="40" t="s">
        <v>190</v>
      </c>
      <c r="H666" s="57">
        <v>45644.0</v>
      </c>
      <c r="I666" s="852">
        <v>45673.0</v>
      </c>
      <c r="J666" s="58"/>
      <c r="K666" s="58"/>
      <c r="L666" s="40" t="s">
        <v>114</v>
      </c>
      <c r="M666" s="40" t="s">
        <v>115</v>
      </c>
      <c r="N666" s="40">
        <v>1.0</v>
      </c>
      <c r="O666" s="463" t="s">
        <v>116</v>
      </c>
      <c r="P666" s="48" t="str">
        <f t="array" ref="P666">HYPERLINK(INDEX('File Links'!B:B, MATCH(O666, 'File Links'!C:C, 0)))
</f>
        <v>https://drive.google.com/file/d/140WKvPe6h8fNM79ffoPo5RX6uP0flGT4/view?usp=drivesdk</v>
      </c>
      <c r="Q666" s="956" t="s">
        <v>3595</v>
      </c>
      <c r="R666" s="40" t="s">
        <v>3596</v>
      </c>
      <c r="S666" s="58"/>
      <c r="T666" s="59"/>
      <c r="U666" s="956" t="s">
        <v>3591</v>
      </c>
      <c r="V666" s="58"/>
      <c r="W666" s="45" t="str">
        <f t="array" ref="W666">HYPERLINK(INDEX('File Links'!B:B, MATCH(U666, 'File Links'!C:C, 0)))
</f>
        <v>#N/A</v>
      </c>
      <c r="X666" s="40" t="s">
        <v>138</v>
      </c>
      <c r="Y666" s="40" t="s">
        <v>139</v>
      </c>
      <c r="Z666" s="58"/>
      <c r="AA666" s="40" t="s">
        <v>140</v>
      </c>
      <c r="AB666" s="58"/>
      <c r="AC666" s="58"/>
      <c r="AD666" s="58"/>
      <c r="AE666" s="58"/>
      <c r="AF666" s="58"/>
      <c r="AG666" s="40"/>
      <c r="AH666" s="58"/>
      <c r="AI666" s="58"/>
      <c r="AJ666" s="25"/>
      <c r="AK666" s="58"/>
      <c r="AL666" s="58"/>
      <c r="AM666" s="58"/>
      <c r="AN666" s="58"/>
      <c r="AO666" s="40">
        <v>0.313</v>
      </c>
      <c r="AP666" s="58"/>
      <c r="AQ666" s="58"/>
      <c r="AR666" s="40" t="s">
        <v>141</v>
      </c>
      <c r="AS666" s="25"/>
      <c r="AT666" s="25"/>
      <c r="AU666" s="60"/>
      <c r="AW666" s="25"/>
      <c r="AX666" s="58"/>
      <c r="AY666" s="41" t="s">
        <v>135</v>
      </c>
      <c r="AZ666" s="64"/>
    </row>
    <row r="667" ht="20.25" customHeight="1">
      <c r="A667" s="40" t="s">
        <v>586</v>
      </c>
      <c r="B667" s="40" t="s">
        <v>107</v>
      </c>
      <c r="C667" s="396" t="s">
        <v>108</v>
      </c>
      <c r="E667" s="42" t="s">
        <v>3597</v>
      </c>
      <c r="F667" s="43" t="s">
        <v>3598</v>
      </c>
      <c r="G667" s="526" t="s">
        <v>3599</v>
      </c>
      <c r="H667" s="43" t="s">
        <v>112</v>
      </c>
      <c r="I667" s="44">
        <v>45641.0</v>
      </c>
      <c r="J667" s="45" t="s">
        <v>3600</v>
      </c>
      <c r="K667" s="43" t="s">
        <v>3601</v>
      </c>
      <c r="L667" s="43" t="s">
        <v>3602</v>
      </c>
      <c r="M667" s="43" t="s">
        <v>3603</v>
      </c>
      <c r="N667" s="640">
        <v>7.0</v>
      </c>
      <c r="O667" s="47" t="s">
        <v>3604</v>
      </c>
      <c r="P667" s="48" t="str">
        <f t="array" ref="P667">HYPERLINK(INDEX('File Links'!B:B, MATCH(O667, 'File Links'!C:C, 0)))
</f>
        <v>https://drive.google.com/file/d/1gBF1OSh84_PEaQuwMpzqMOVewrJw3LKJ/view?usp=drivesdk</v>
      </c>
      <c r="Q667" s="43" t="s">
        <v>3605</v>
      </c>
      <c r="R667" s="43" t="s">
        <v>3606</v>
      </c>
      <c r="S667" s="45"/>
      <c r="T667" s="51"/>
      <c r="U667" s="43" t="s">
        <v>3607</v>
      </c>
      <c r="V667" s="45"/>
      <c r="W667" s="50" t="str">
        <f t="array" ref="W667">HYPERLINK(INDEX('File Links'!B:B, MATCH(U667, 'File Links'!C:C, 0)))
</f>
        <v>https://drive.google.com/file/d/1_rFVHDaWBDKF-ni6stLki1Wt7mspwAb2/view?usp=drivesdk</v>
      </c>
      <c r="X667" s="45"/>
      <c r="Y667" s="45" t="s">
        <v>220</v>
      </c>
      <c r="Z667" s="45"/>
      <c r="AA667" s="45" t="s">
        <v>3608</v>
      </c>
      <c r="AB667" s="45"/>
      <c r="AC667" s="45"/>
      <c r="AD667" s="45"/>
      <c r="AE667" s="45"/>
      <c r="AF667" s="45"/>
      <c r="AG667" s="51"/>
      <c r="AH667" s="45"/>
      <c r="AI667" s="45"/>
      <c r="AJ667" s="42"/>
      <c r="AK667" s="45"/>
      <c r="AL667" s="45"/>
      <c r="AM667" s="45"/>
      <c r="AN667" s="45"/>
      <c r="AO667" s="45"/>
      <c r="AP667" s="45"/>
      <c r="AQ667" s="45"/>
      <c r="AR667" s="45"/>
      <c r="AS667" s="42"/>
      <c r="AT667" s="42"/>
      <c r="AU667" s="42"/>
      <c r="AV667" s="42"/>
      <c r="AW667" s="42"/>
      <c r="AX667" s="52"/>
    </row>
    <row r="668" ht="20.25" customHeight="1">
      <c r="A668" s="41" t="s">
        <v>586</v>
      </c>
      <c r="B668" s="41" t="s">
        <v>107</v>
      </c>
      <c r="C668" s="396" t="s">
        <v>136</v>
      </c>
      <c r="E668" s="41" t="s">
        <v>3597</v>
      </c>
      <c r="F668" s="40" t="s">
        <v>3598</v>
      </c>
      <c r="G668" s="635" t="s">
        <v>3609</v>
      </c>
      <c r="H668" s="56">
        <v>44986.0</v>
      </c>
      <c r="I668" s="57">
        <v>45638.0</v>
      </c>
      <c r="J668" s="40" t="s">
        <v>3610</v>
      </c>
      <c r="K668" s="40" t="s">
        <v>3601</v>
      </c>
      <c r="L668" s="40" t="s">
        <v>3602</v>
      </c>
      <c r="M668" s="40" t="s">
        <v>3603</v>
      </c>
      <c r="N668" s="40">
        <v>9.0</v>
      </c>
      <c r="O668" s="59" t="s">
        <v>3604</v>
      </c>
      <c r="P668" s="48" t="str">
        <f t="array" ref="P668">HYPERLINK(INDEX('File Links'!B:B, MATCH(O668, 'File Links'!C:C, 0)))
</f>
        <v>https://drive.google.com/file/d/1gBF1OSh84_PEaQuwMpzqMOVewrJw3LKJ/view?usp=drivesdk</v>
      </c>
      <c r="Q668" s="40" t="s">
        <v>3605</v>
      </c>
      <c r="R668" s="40" t="s">
        <v>3606</v>
      </c>
      <c r="S668" s="58"/>
      <c r="T668" s="59"/>
      <c r="U668" s="40" t="s">
        <v>3607</v>
      </c>
      <c r="V668" s="58"/>
      <c r="W668" s="50" t="str">
        <f t="array" ref="W668">HYPERLINK(INDEX('File Links'!B:B, MATCH(U668, 'File Links'!C:C, 0)))
</f>
        <v>https://drive.google.com/file/d/1_rFVHDaWBDKF-ni6stLki1Wt7mspwAb2/view?usp=drivesdk</v>
      </c>
      <c r="X668" s="58"/>
      <c r="Y668" s="40" t="s">
        <v>220</v>
      </c>
      <c r="Z668" s="58"/>
      <c r="AA668" s="40" t="s">
        <v>3608</v>
      </c>
      <c r="AB668" s="40" t="s">
        <v>3611</v>
      </c>
      <c r="AC668" s="58"/>
      <c r="AD668" s="58"/>
      <c r="AE668" s="58"/>
      <c r="AF668" s="58"/>
      <c r="AG668" s="40"/>
      <c r="AH668" s="58"/>
      <c r="AI668" s="58"/>
      <c r="AJ668" s="25"/>
      <c r="AK668" s="58"/>
      <c r="AL668" s="58"/>
      <c r="AM668" s="58"/>
      <c r="AN668" s="58"/>
      <c r="AO668" s="58"/>
      <c r="AP668" s="58"/>
      <c r="AQ668" s="58"/>
      <c r="AR668" s="58"/>
      <c r="AS668" s="25"/>
      <c r="AT668" s="25"/>
      <c r="AU668" s="60"/>
      <c r="AW668" s="25"/>
      <c r="AX668" s="40"/>
    </row>
    <row r="669" ht="20.25" customHeight="1">
      <c r="A669" s="344" t="s">
        <v>143</v>
      </c>
      <c r="B669" s="344" t="s">
        <v>107</v>
      </c>
      <c r="C669" s="177" t="s">
        <v>108</v>
      </c>
      <c r="D669" s="178"/>
      <c r="E669" s="179" t="s">
        <v>3612</v>
      </c>
      <c r="F669" s="180" t="s">
        <v>3613</v>
      </c>
      <c r="G669" s="45"/>
      <c r="H669" s="43" t="s">
        <v>112</v>
      </c>
      <c r="I669" s="44">
        <v>45639.0</v>
      </c>
      <c r="J669" s="45" t="s">
        <v>3614</v>
      </c>
      <c r="K669" s="534" t="s">
        <v>3615</v>
      </c>
      <c r="L669" s="534" t="s">
        <v>3616</v>
      </c>
      <c r="M669" s="43" t="s">
        <v>3617</v>
      </c>
      <c r="N669" s="640">
        <v>2.0</v>
      </c>
      <c r="O669" s="47" t="s">
        <v>3618</v>
      </c>
      <c r="P669" s="48" t="str">
        <f t="array" ref="P669">HYPERLINK(INDEX('File Links'!B:B, MATCH(O669, 'File Links'!C:C, 0)))
</f>
        <v>https://drive.google.com/file/d/1jvY3Sgds8iuvtsLXHlpUqcaSBliH2tJV/view?usp=drivesdk</v>
      </c>
      <c r="Q669" s="43" t="s">
        <v>3619</v>
      </c>
      <c r="R669" s="45"/>
      <c r="S669" s="364"/>
      <c r="T669" s="818">
        <v>2.0</v>
      </c>
      <c r="U669" s="386" t="s">
        <v>351</v>
      </c>
      <c r="V669" s="364" t="s">
        <v>3620</v>
      </c>
      <c r="W669" s="45" t="str">
        <f t="array" ref="W669">HYPERLINK(INDEX('File Links'!B:B, MATCH(U669, 'File Links'!C:C, 0)))
</f>
        <v>#N/A</v>
      </c>
      <c r="X669" s="364"/>
      <c r="Y669" s="364" t="s">
        <v>220</v>
      </c>
      <c r="Z669" s="364" t="s">
        <v>3621</v>
      </c>
      <c r="AA669" s="364" t="s">
        <v>3622</v>
      </c>
      <c r="AB669" s="364" t="s">
        <v>3623</v>
      </c>
      <c r="AC669" s="364" t="s">
        <v>3624</v>
      </c>
      <c r="AD669" s="364" t="s">
        <v>3625</v>
      </c>
      <c r="AE669" s="957">
        <v>58.0</v>
      </c>
      <c r="AF669" s="958" t="s">
        <v>3626</v>
      </c>
      <c r="AG669" s="321" t="s">
        <v>162</v>
      </c>
      <c r="AH669" s="364" t="s">
        <v>892</v>
      </c>
      <c r="AI669" s="957">
        <v>0.001</v>
      </c>
      <c r="AJ669" s="322" t="s">
        <v>127</v>
      </c>
      <c r="AK669" s="364" t="s">
        <v>211</v>
      </c>
      <c r="AL669" s="364" t="s">
        <v>129</v>
      </c>
      <c r="AM669" s="321" t="s">
        <v>165</v>
      </c>
      <c r="AN669" s="957">
        <v>76.0</v>
      </c>
      <c r="AO669" s="958" t="s">
        <v>3627</v>
      </c>
      <c r="AP669" s="364" t="s">
        <v>1051</v>
      </c>
      <c r="AQ669" s="364" t="s">
        <v>3628</v>
      </c>
      <c r="AR669" s="957">
        <v>0.761</v>
      </c>
      <c r="AS669" s="322" t="s">
        <v>164</v>
      </c>
      <c r="AT669" s="322" t="s">
        <v>128</v>
      </c>
      <c r="AU669" s="60" t="s">
        <v>129</v>
      </c>
      <c r="AV669" s="321" t="s">
        <v>165</v>
      </c>
      <c r="AW669" s="322" t="s">
        <v>134</v>
      </c>
      <c r="AX669" s="315" t="s">
        <v>3629</v>
      </c>
      <c r="AY669" s="316" t="s">
        <v>135</v>
      </c>
    </row>
    <row r="670" ht="20.25" customHeight="1">
      <c r="A670" s="344" t="s">
        <v>106</v>
      </c>
      <c r="B670" s="177" t="s">
        <v>107</v>
      </c>
      <c r="C670" s="177" t="s">
        <v>136</v>
      </c>
      <c r="D670" s="178"/>
      <c r="E670" s="177" t="s">
        <v>3612</v>
      </c>
      <c r="F670" s="344" t="s">
        <v>3613</v>
      </c>
      <c r="G670" s="40" t="s">
        <v>3630</v>
      </c>
      <c r="H670" s="56">
        <v>44927.0</v>
      </c>
      <c r="I670" s="57">
        <v>45636.0</v>
      </c>
      <c r="J670" s="58"/>
      <c r="K670" s="635" t="s">
        <v>3631</v>
      </c>
      <c r="L670" s="534" t="s">
        <v>3616</v>
      </c>
      <c r="M670" s="40" t="s">
        <v>3617</v>
      </c>
      <c r="N670" s="40">
        <v>4.0</v>
      </c>
      <c r="O670" s="59" t="s">
        <v>3618</v>
      </c>
      <c r="P670" s="48" t="str">
        <f t="array" ref="P670">HYPERLINK(INDEX('File Links'!B:B, MATCH(O670, 'File Links'!C:C, 0)))
</f>
        <v>https://drive.google.com/file/d/1jvY3Sgds8iuvtsLXHlpUqcaSBliH2tJV/view?usp=drivesdk</v>
      </c>
      <c r="Q670" s="40" t="s">
        <v>3619</v>
      </c>
      <c r="R670" s="58"/>
      <c r="S670" s="319"/>
      <c r="T670" s="314">
        <v>2.0</v>
      </c>
      <c r="U670" s="314" t="s">
        <v>351</v>
      </c>
      <c r="V670" s="319"/>
      <c r="W670" s="45" t="str">
        <f t="array" ref="W670">HYPERLINK(INDEX('File Links'!B:B, MATCH(U670, 'File Links'!C:C, 0)))
</f>
        <v>#N/A</v>
      </c>
      <c r="X670" s="319"/>
      <c r="Y670" s="314" t="s">
        <v>220</v>
      </c>
      <c r="Z670" s="319"/>
      <c r="AA670" s="314" t="s">
        <v>3632</v>
      </c>
      <c r="AB670" s="319"/>
      <c r="AC670" s="319"/>
      <c r="AD670" s="319"/>
      <c r="AE670" s="319"/>
      <c r="AF670" s="319"/>
      <c r="AG670" s="314"/>
      <c r="AH670" s="319"/>
      <c r="AI670" s="319"/>
      <c r="AJ670" s="215"/>
      <c r="AK670" s="319"/>
      <c r="AL670" s="319"/>
      <c r="AM670" s="319"/>
      <c r="AN670" s="319"/>
      <c r="AO670" s="319"/>
      <c r="AP670" s="319"/>
      <c r="AQ670" s="319"/>
      <c r="AR670" s="319"/>
      <c r="AS670" s="215"/>
      <c r="AT670" s="215"/>
      <c r="AU670" s="322"/>
      <c r="AV670" s="215"/>
      <c r="AW670" s="215"/>
      <c r="AX670" s="314"/>
      <c r="AY670" s="316" t="s">
        <v>135</v>
      </c>
    </row>
    <row r="671" ht="20.25" customHeight="1">
      <c r="A671" s="344" t="s">
        <v>143</v>
      </c>
      <c r="B671" s="344" t="s">
        <v>107</v>
      </c>
      <c r="C671" s="177" t="s">
        <v>108</v>
      </c>
      <c r="D671" s="178"/>
      <c r="E671" s="177" t="s">
        <v>3612</v>
      </c>
      <c r="F671" s="180" t="s">
        <v>3633</v>
      </c>
      <c r="G671" s="45"/>
      <c r="H671" s="43" t="s">
        <v>112</v>
      </c>
      <c r="I671" s="44">
        <v>45639.0</v>
      </c>
      <c r="J671" s="45" t="s">
        <v>3614</v>
      </c>
      <c r="K671" s="534" t="s">
        <v>3615</v>
      </c>
      <c r="L671" s="534" t="s">
        <v>3616</v>
      </c>
      <c r="M671" s="43" t="s">
        <v>3617</v>
      </c>
      <c r="N671" s="640">
        <v>2.0</v>
      </c>
      <c r="O671" s="47" t="s">
        <v>3618</v>
      </c>
      <c r="P671" s="48" t="str">
        <f t="array" ref="P671">HYPERLINK(INDEX('File Links'!B:B, MATCH(O671, 'File Links'!C:C, 0)))
</f>
        <v>https://drive.google.com/file/d/1jvY3Sgds8iuvtsLXHlpUqcaSBliH2tJV/view?usp=drivesdk</v>
      </c>
      <c r="Q671" s="43" t="s">
        <v>3619</v>
      </c>
      <c r="R671" s="45"/>
      <c r="S671" s="364"/>
      <c r="T671" s="818">
        <v>2.0</v>
      </c>
      <c r="U671" s="386" t="s">
        <v>351</v>
      </c>
      <c r="V671" s="364" t="s">
        <v>3620</v>
      </c>
      <c r="W671" s="45" t="str">
        <f t="array" ref="W671">HYPERLINK(INDEX('File Links'!B:B, MATCH(U671, 'File Links'!C:C, 0)))
</f>
        <v>#N/A</v>
      </c>
      <c r="X671" s="364"/>
      <c r="Y671" s="364" t="s">
        <v>220</v>
      </c>
      <c r="Z671" s="364" t="s">
        <v>3621</v>
      </c>
      <c r="AA671" s="364" t="s">
        <v>3622</v>
      </c>
      <c r="AB671" s="364" t="s">
        <v>3634</v>
      </c>
      <c r="AC671" s="364" t="s">
        <v>3635</v>
      </c>
      <c r="AD671" s="364" t="s">
        <v>892</v>
      </c>
      <c r="AE671" s="958">
        <v>40.0</v>
      </c>
      <c r="AF671" s="958" t="s">
        <v>3636</v>
      </c>
      <c r="AG671" s="321" t="s">
        <v>162</v>
      </c>
      <c r="AH671" s="364" t="s">
        <v>892</v>
      </c>
      <c r="AI671" s="957">
        <v>0.01</v>
      </c>
      <c r="AJ671" s="322" t="s">
        <v>127</v>
      </c>
      <c r="AK671" s="364" t="s">
        <v>211</v>
      </c>
      <c r="AL671" s="364" t="s">
        <v>129</v>
      </c>
      <c r="AM671" s="321" t="s">
        <v>165</v>
      </c>
      <c r="AN671" s="957">
        <v>76.0</v>
      </c>
      <c r="AO671" s="957">
        <v>-0.019</v>
      </c>
      <c r="AP671" s="364" t="s">
        <v>208</v>
      </c>
      <c r="AQ671" s="364" t="s">
        <v>3637</v>
      </c>
      <c r="AR671" s="957">
        <v>0.929</v>
      </c>
      <c r="AS671" s="322" t="s">
        <v>164</v>
      </c>
      <c r="AT671" s="322" t="s">
        <v>128</v>
      </c>
      <c r="AU671" s="60" t="s">
        <v>129</v>
      </c>
      <c r="AV671" s="321" t="s">
        <v>165</v>
      </c>
      <c r="AW671" s="322" t="s">
        <v>134</v>
      </c>
      <c r="AX671" s="386"/>
      <c r="AY671" s="316" t="s">
        <v>135</v>
      </c>
    </row>
    <row r="672" ht="20.25" customHeight="1">
      <c r="A672" s="344" t="s">
        <v>143</v>
      </c>
      <c r="B672" s="344" t="s">
        <v>107</v>
      </c>
      <c r="C672" s="177" t="s">
        <v>108</v>
      </c>
      <c r="D672" s="178"/>
      <c r="E672" s="177" t="s">
        <v>3612</v>
      </c>
      <c r="F672" s="180" t="s">
        <v>3638</v>
      </c>
      <c r="G672" s="45"/>
      <c r="H672" s="43" t="s">
        <v>112</v>
      </c>
      <c r="I672" s="44">
        <v>45639.0</v>
      </c>
      <c r="J672" s="45" t="s">
        <v>3614</v>
      </c>
      <c r="K672" s="534" t="s">
        <v>3615</v>
      </c>
      <c r="L672" s="534" t="s">
        <v>3616</v>
      </c>
      <c r="M672" s="43" t="s">
        <v>3617</v>
      </c>
      <c r="N672" s="640">
        <v>2.0</v>
      </c>
      <c r="O672" s="47" t="s">
        <v>3618</v>
      </c>
      <c r="P672" s="48" t="str">
        <f t="array" ref="P672">HYPERLINK(INDEX('File Links'!B:B, MATCH(O672, 'File Links'!C:C, 0)))
</f>
        <v>https://drive.google.com/file/d/1jvY3Sgds8iuvtsLXHlpUqcaSBliH2tJV/view?usp=drivesdk</v>
      </c>
      <c r="Q672" s="43" t="s">
        <v>3619</v>
      </c>
      <c r="R672" s="45"/>
      <c r="S672" s="364"/>
      <c r="T672" s="818">
        <v>2.0</v>
      </c>
      <c r="U672" s="386" t="s">
        <v>351</v>
      </c>
      <c r="V672" s="364" t="s">
        <v>3620</v>
      </c>
      <c r="W672" s="45" t="str">
        <f t="array" ref="W672">HYPERLINK(INDEX('File Links'!B:B, MATCH(U672, 'File Links'!C:C, 0)))
</f>
        <v>#N/A</v>
      </c>
      <c r="X672" s="364"/>
      <c r="Y672" s="364" t="s">
        <v>220</v>
      </c>
      <c r="Z672" s="364" t="s">
        <v>3621</v>
      </c>
      <c r="AA672" s="364" t="s">
        <v>3622</v>
      </c>
      <c r="AB672" s="364" t="s">
        <v>3639</v>
      </c>
      <c r="AC672" s="364" t="s">
        <v>3640</v>
      </c>
      <c r="AD672" s="364" t="s">
        <v>892</v>
      </c>
      <c r="AE672" s="958">
        <v>39.0</v>
      </c>
      <c r="AF672" s="958" t="s">
        <v>3641</v>
      </c>
      <c r="AG672" s="321" t="s">
        <v>162</v>
      </c>
      <c r="AH672" s="364" t="s">
        <v>892</v>
      </c>
      <c r="AI672" s="957">
        <v>0.001</v>
      </c>
      <c r="AJ672" s="322" t="s">
        <v>127</v>
      </c>
      <c r="AK672" s="364" t="s">
        <v>211</v>
      </c>
      <c r="AL672" s="364" t="s">
        <v>129</v>
      </c>
      <c r="AM672" s="321" t="s">
        <v>165</v>
      </c>
      <c r="AN672" s="957">
        <v>76.0</v>
      </c>
      <c r="AO672" s="957">
        <v>0.091</v>
      </c>
      <c r="AP672" s="364" t="s">
        <v>208</v>
      </c>
      <c r="AQ672" s="364" t="s">
        <v>3637</v>
      </c>
      <c r="AR672" s="957">
        <v>0.666</v>
      </c>
      <c r="AS672" s="322" t="s">
        <v>164</v>
      </c>
      <c r="AT672" s="322" t="s">
        <v>128</v>
      </c>
      <c r="AU672" s="60" t="s">
        <v>129</v>
      </c>
      <c r="AV672" s="321" t="s">
        <v>165</v>
      </c>
      <c r="AW672" s="322" t="s">
        <v>134</v>
      </c>
      <c r="AX672" s="386"/>
      <c r="AY672" s="316" t="s">
        <v>135</v>
      </c>
    </row>
    <row r="673" ht="20.25" customHeight="1">
      <c r="A673" s="314" t="s">
        <v>106</v>
      </c>
      <c r="B673" s="314" t="s">
        <v>107</v>
      </c>
      <c r="C673" s="316" t="s">
        <v>108</v>
      </c>
      <c r="D673" s="215"/>
      <c r="E673" s="322" t="s">
        <v>3642</v>
      </c>
      <c r="F673" s="386" t="s">
        <v>3643</v>
      </c>
      <c r="G673" s="45"/>
      <c r="H673" s="43" t="s">
        <v>112</v>
      </c>
      <c r="I673" s="44">
        <v>45641.0</v>
      </c>
      <c r="J673" s="45" t="s">
        <v>3644</v>
      </c>
      <c r="K673" s="534" t="s">
        <v>3645</v>
      </c>
      <c r="L673" s="534" t="s">
        <v>3646</v>
      </c>
      <c r="M673" s="43" t="s">
        <v>3647</v>
      </c>
      <c r="N673" s="640">
        <v>1.0</v>
      </c>
      <c r="O673" s="47" t="s">
        <v>3648</v>
      </c>
      <c r="P673" s="48" t="str">
        <f t="array" ref="P673">HYPERLINK(INDEX('File Links'!B:B, MATCH(O673, 'File Links'!C:C, 0)))
</f>
        <v>https://drive.google.com/file/d/1Q7xyjTHCXVBDAcscenEerggpt0mO62P6/view?usp=drivesdk</v>
      </c>
      <c r="Q673" s="43" t="s">
        <v>3649</v>
      </c>
      <c r="R673" s="45"/>
      <c r="S673" s="45"/>
      <c r="T673" s="359">
        <v>3.0</v>
      </c>
      <c r="U673" s="43" t="s">
        <v>351</v>
      </c>
      <c r="V673" s="45"/>
      <c r="W673" s="959" t="s">
        <v>3650</v>
      </c>
      <c r="X673" s="45"/>
      <c r="Y673" s="45" t="s">
        <v>220</v>
      </c>
      <c r="Z673" s="45"/>
      <c r="AA673" s="45"/>
      <c r="AB673" s="45"/>
      <c r="AC673" s="45"/>
      <c r="AD673" s="45"/>
      <c r="AE673" s="45"/>
      <c r="AF673" s="45"/>
      <c r="AG673" s="51"/>
      <c r="AH673" s="45"/>
      <c r="AI673" s="45"/>
      <c r="AJ673" s="42"/>
      <c r="AK673" s="45"/>
      <c r="AL673" s="45"/>
      <c r="AM673" s="45"/>
      <c r="AN673" s="45"/>
      <c r="AO673" s="45"/>
      <c r="AP673" s="45"/>
      <c r="AQ673" s="45"/>
      <c r="AR673" s="45"/>
      <c r="AS673" s="42"/>
      <c r="AT673" s="42"/>
      <c r="AU673" s="42"/>
      <c r="AV673" s="42"/>
      <c r="AW673" s="42"/>
      <c r="AX673" s="52"/>
    </row>
    <row r="674" ht="20.25" hidden="1" customHeight="1">
      <c r="A674" s="314" t="s">
        <v>106</v>
      </c>
      <c r="B674" s="316" t="s">
        <v>107</v>
      </c>
      <c r="C674" s="316" t="s">
        <v>136</v>
      </c>
      <c r="D674" s="215"/>
      <c r="E674" s="316" t="s">
        <v>3642</v>
      </c>
      <c r="F674" s="314" t="s">
        <v>3643</v>
      </c>
      <c r="G674" s="40" t="s">
        <v>3630</v>
      </c>
      <c r="H674" s="56">
        <v>44958.0</v>
      </c>
      <c r="I674" s="57">
        <v>45638.0</v>
      </c>
      <c r="J674" s="40" t="s">
        <v>3651</v>
      </c>
      <c r="K674" s="635" t="s">
        <v>3631</v>
      </c>
      <c r="L674" s="534" t="s">
        <v>3646</v>
      </c>
      <c r="M674" s="40" t="s">
        <v>3647</v>
      </c>
      <c r="N674" s="40">
        <v>3.0</v>
      </c>
      <c r="O674" s="59" t="s">
        <v>3648</v>
      </c>
      <c r="P674" s="48" t="str">
        <f t="array" ref="P674">HYPERLINK(INDEX('File Links'!B:B, MATCH(O674, 'File Links'!C:C, 0)))
</f>
        <v>https://drive.google.com/file/d/1Q7xyjTHCXVBDAcscenEerggpt0mO62P6/view?usp=drivesdk</v>
      </c>
      <c r="Q674" s="40" t="s">
        <v>3649</v>
      </c>
      <c r="R674" s="58"/>
      <c r="S674" s="58"/>
      <c r="T674" s="59">
        <v>3.0</v>
      </c>
      <c r="U674" s="40" t="s">
        <v>351</v>
      </c>
      <c r="V674" s="58"/>
      <c r="W674" s="959" t="s">
        <v>3650</v>
      </c>
      <c r="X674" s="40" t="s">
        <v>138</v>
      </c>
      <c r="Y674" s="40" t="s">
        <v>220</v>
      </c>
      <c r="Z674" s="58"/>
      <c r="AA674" s="40" t="s">
        <v>3652</v>
      </c>
      <c r="AB674" s="40" t="s">
        <v>3653</v>
      </c>
      <c r="AC674" s="58"/>
      <c r="AD674" s="58"/>
      <c r="AE674" s="58"/>
      <c r="AF674" s="58"/>
      <c r="AG674" s="40"/>
      <c r="AH674" s="58"/>
      <c r="AI674" s="58"/>
      <c r="AJ674" s="25"/>
      <c r="AK674" s="58"/>
      <c r="AL674" s="58"/>
      <c r="AM674" s="58"/>
      <c r="AN674" s="58"/>
      <c r="AO674" s="58"/>
      <c r="AP674" s="58"/>
      <c r="AQ674" s="58"/>
      <c r="AR674" s="58"/>
      <c r="AS674" s="25"/>
      <c r="AT674" s="25"/>
      <c r="AU674" s="60"/>
      <c r="AW674" s="25"/>
      <c r="AX674" s="40"/>
    </row>
    <row r="675" ht="20.25" customHeight="1">
      <c r="A675" s="136" t="s">
        <v>586</v>
      </c>
      <c r="B675" s="136" t="s">
        <v>107</v>
      </c>
      <c r="C675" s="136" t="s">
        <v>2637</v>
      </c>
      <c r="D675" s="64"/>
      <c r="E675" s="98" t="s">
        <v>3654</v>
      </c>
      <c r="F675" s="99" t="s">
        <v>3655</v>
      </c>
      <c r="G675" s="108" t="s">
        <v>3656</v>
      </c>
      <c r="H675" s="100">
        <v>45654.0</v>
      </c>
      <c r="I675" s="960">
        <v>45673.0</v>
      </c>
      <c r="J675" s="98"/>
      <c r="K675" s="961" t="s">
        <v>3657</v>
      </c>
      <c r="L675" s="103" t="s">
        <v>3658</v>
      </c>
      <c r="M675" s="208" t="s">
        <v>3659</v>
      </c>
      <c r="N675" s="482">
        <v>1.0</v>
      </c>
      <c r="O675" s="108" t="s">
        <v>3660</v>
      </c>
      <c r="P675" s="48" t="str">
        <f t="array" ref="P675">HYPERLINK(INDEX('File Links'!B:B, MATCH(O675, 'File Links'!C:C, 0)))
</f>
        <v>https://drive.google.com/file/d/1D8E42YuXrxlGwF61UWB4V8lYywAWr8dY/view?usp=drivesdk</v>
      </c>
      <c r="Q675" s="108" t="s">
        <v>3661</v>
      </c>
      <c r="R675" s="208" t="s">
        <v>3662</v>
      </c>
      <c r="S675" s="98"/>
      <c r="T675" s="98"/>
      <c r="U675" s="108" t="s">
        <v>3663</v>
      </c>
      <c r="V675" s="208" t="s">
        <v>155</v>
      </c>
      <c r="W675" s="50" t="str">
        <f t="array" ref="W675">HYPERLINK(INDEX('File Links'!B:B, MATCH(U675, 'File Links'!C:C, 0)))
</f>
        <v>https://drive.google.com/file/d/1GYDJkUHLj_0GiFfIztass97sMyACxxL_/view?usp=drivesdk</v>
      </c>
      <c r="X675" s="98"/>
      <c r="Y675" s="208" t="s">
        <v>220</v>
      </c>
      <c r="Z675" s="208" t="s">
        <v>3664</v>
      </c>
      <c r="AA675" s="208" t="s">
        <v>3665</v>
      </c>
      <c r="AB675" s="208" t="s">
        <v>3666</v>
      </c>
      <c r="AC675" s="208" t="s">
        <v>3667</v>
      </c>
      <c r="AD675" s="213" t="s">
        <v>3668</v>
      </c>
      <c r="AE675" s="962">
        <v>97.0</v>
      </c>
      <c r="AF675" s="962">
        <v>0.55</v>
      </c>
      <c r="AG675" s="963" t="s">
        <v>3669</v>
      </c>
      <c r="AH675" s="200" t="s">
        <v>3670</v>
      </c>
      <c r="AI675" s="207">
        <v>0.023</v>
      </c>
      <c r="AJ675" s="208" t="s">
        <v>164</v>
      </c>
      <c r="AK675" s="99" t="s">
        <v>179</v>
      </c>
      <c r="AL675" s="964" t="s">
        <v>129</v>
      </c>
      <c r="AM675" s="98"/>
      <c r="AN675" s="962">
        <v>72.0</v>
      </c>
      <c r="AO675" s="962">
        <v>0.18</v>
      </c>
      <c r="AP675" s="208" t="s">
        <v>166</v>
      </c>
      <c r="AQ675" s="208" t="s">
        <v>3671</v>
      </c>
      <c r="AR675" s="962">
        <v>0.45</v>
      </c>
      <c r="AS675" s="208" t="s">
        <v>164</v>
      </c>
      <c r="AT675" s="208" t="s">
        <v>128</v>
      </c>
      <c r="AU675" s="964" t="s">
        <v>129</v>
      </c>
      <c r="AV675" s="98"/>
      <c r="AW675" s="964" t="s">
        <v>134</v>
      </c>
      <c r="AX675" s="139" t="s">
        <v>3657</v>
      </c>
      <c r="AY675" s="136" t="s">
        <v>135</v>
      </c>
    </row>
    <row r="676" ht="20.25" customHeight="1">
      <c r="A676" s="136" t="s">
        <v>586</v>
      </c>
      <c r="B676" s="136" t="s">
        <v>107</v>
      </c>
      <c r="C676" s="136" t="s">
        <v>3672</v>
      </c>
      <c r="D676" s="64"/>
      <c r="E676" s="98" t="s">
        <v>3654</v>
      </c>
      <c r="F676" s="99" t="s">
        <v>3655</v>
      </c>
      <c r="G676" s="108" t="s">
        <v>3673</v>
      </c>
      <c r="H676" s="100">
        <v>45646.0</v>
      </c>
      <c r="I676" s="960">
        <v>45673.0</v>
      </c>
      <c r="J676" s="98"/>
      <c r="K676" s="98"/>
      <c r="L676" s="103" t="s">
        <v>3658</v>
      </c>
      <c r="M676" s="108" t="s">
        <v>3659</v>
      </c>
      <c r="N676" s="482">
        <v>1.0</v>
      </c>
      <c r="O676" s="108" t="s">
        <v>3660</v>
      </c>
      <c r="P676" s="48" t="str">
        <f t="array" ref="P676">HYPERLINK(INDEX('File Links'!B:B, MATCH(O676, 'File Links'!C:C, 0)))
</f>
        <v>https://drive.google.com/file/d/1D8E42YuXrxlGwF61UWB4V8lYywAWr8dY/view?usp=drivesdk</v>
      </c>
      <c r="Q676" s="108" t="s">
        <v>3661</v>
      </c>
      <c r="R676" s="108" t="s">
        <v>3662</v>
      </c>
      <c r="S676" s="98"/>
      <c r="T676" s="482">
        <v>1.0</v>
      </c>
      <c r="U676" s="108" t="s">
        <v>3663</v>
      </c>
      <c r="V676" s="108" t="s">
        <v>3674</v>
      </c>
      <c r="W676" s="50" t="str">
        <f t="array" ref="W676">HYPERLINK(INDEX('File Links'!B:B, MATCH(U676, 'File Links'!C:C, 0)))
</f>
        <v>https://drive.google.com/file/d/1GYDJkUHLj_0GiFfIztass97sMyACxxL_/view?usp=drivesdk</v>
      </c>
      <c r="X676" s="98"/>
      <c r="Y676" s="108" t="s">
        <v>139</v>
      </c>
      <c r="Z676" s="108" t="s">
        <v>3675</v>
      </c>
      <c r="AA676" s="108" t="s">
        <v>3676</v>
      </c>
      <c r="AB676" s="108" t="s">
        <v>3677</v>
      </c>
      <c r="AC676" s="108" t="s">
        <v>3678</v>
      </c>
      <c r="AD676" s="618" t="s">
        <v>3679</v>
      </c>
      <c r="AE676" s="482">
        <v>141.0</v>
      </c>
      <c r="AF676" s="482">
        <v>0.42</v>
      </c>
      <c r="AG676" s="107" t="s">
        <v>166</v>
      </c>
      <c r="AH676" s="99" t="s">
        <v>861</v>
      </c>
      <c r="AI676" s="104">
        <v>0.009</v>
      </c>
      <c r="AJ676" s="108" t="s">
        <v>164</v>
      </c>
      <c r="AK676" s="99" t="s">
        <v>179</v>
      </c>
      <c r="AL676" s="98" t="s">
        <v>129</v>
      </c>
      <c r="AM676" s="98"/>
      <c r="AN676" s="482">
        <v>38.0</v>
      </c>
      <c r="AO676" s="482">
        <v>1.35</v>
      </c>
      <c r="AP676" s="108" t="s">
        <v>166</v>
      </c>
      <c r="AQ676" s="108" t="s">
        <v>892</v>
      </c>
      <c r="AR676" s="482">
        <v>0.001</v>
      </c>
      <c r="AS676" s="108" t="s">
        <v>127</v>
      </c>
      <c r="AT676" s="108" t="s">
        <v>179</v>
      </c>
      <c r="AU676" s="98" t="s">
        <v>129</v>
      </c>
      <c r="AV676" s="98"/>
      <c r="AW676" s="98" t="s">
        <v>134</v>
      </c>
      <c r="AX676" s="60"/>
      <c r="AY676" s="136" t="s">
        <v>135</v>
      </c>
    </row>
    <row r="677" ht="20.25" customHeight="1">
      <c r="A677" s="136" t="s">
        <v>586</v>
      </c>
      <c r="B677" s="136" t="s">
        <v>107</v>
      </c>
      <c r="C677" s="136" t="s">
        <v>3672</v>
      </c>
      <c r="D677" s="64"/>
      <c r="E677" s="98" t="s">
        <v>3654</v>
      </c>
      <c r="F677" s="99" t="s">
        <v>3655</v>
      </c>
      <c r="G677" s="108" t="s">
        <v>3673</v>
      </c>
      <c r="H677" s="100">
        <v>45646.0</v>
      </c>
      <c r="I677" s="960">
        <v>45673.0</v>
      </c>
      <c r="J677" s="108" t="s">
        <v>3680</v>
      </c>
      <c r="K677" s="961" t="s">
        <v>3681</v>
      </c>
      <c r="L677" s="103" t="s">
        <v>3658</v>
      </c>
      <c r="M677" s="108" t="s">
        <v>3659</v>
      </c>
      <c r="N677" s="482">
        <v>1.0</v>
      </c>
      <c r="O677" s="108" t="s">
        <v>3660</v>
      </c>
      <c r="P677" s="48" t="str">
        <f t="array" ref="P677">HYPERLINK(INDEX('File Links'!B:B, MATCH(O677, 'File Links'!C:C, 0)))
</f>
        <v>https://drive.google.com/file/d/1D8E42YuXrxlGwF61UWB4V8lYywAWr8dY/view?usp=drivesdk</v>
      </c>
      <c r="Q677" s="108" t="s">
        <v>3661</v>
      </c>
      <c r="R677" s="108" t="s">
        <v>3662</v>
      </c>
      <c r="S677" s="98"/>
      <c r="T677" s="482">
        <v>1.0</v>
      </c>
      <c r="U677" s="108" t="s">
        <v>3663</v>
      </c>
      <c r="V677" s="108" t="s">
        <v>3674</v>
      </c>
      <c r="W677" s="50" t="str">
        <f t="array" ref="W677">HYPERLINK(INDEX('File Links'!B:B, MATCH(U677, 'File Links'!C:C, 0)))
</f>
        <v>https://drive.google.com/file/d/1GYDJkUHLj_0GiFfIztass97sMyACxxL_/view?usp=drivesdk</v>
      </c>
      <c r="X677" s="98"/>
      <c r="Y677" s="108" t="s">
        <v>139</v>
      </c>
      <c r="Z677" s="108" t="s">
        <v>3675</v>
      </c>
      <c r="AA677" s="108" t="s">
        <v>3676</v>
      </c>
      <c r="AB677" s="108" t="s">
        <v>3677</v>
      </c>
      <c r="AC677" s="108" t="s">
        <v>3682</v>
      </c>
      <c r="AD677" s="618" t="s">
        <v>892</v>
      </c>
      <c r="AE677" s="482">
        <v>141.0</v>
      </c>
      <c r="AF677" s="482">
        <v>0.34</v>
      </c>
      <c r="AG677" s="107" t="s">
        <v>166</v>
      </c>
      <c r="AH677" s="99" t="s">
        <v>892</v>
      </c>
      <c r="AI677" s="104">
        <v>0.06</v>
      </c>
      <c r="AJ677" s="108" t="s">
        <v>164</v>
      </c>
      <c r="AK677" s="99" t="s">
        <v>179</v>
      </c>
      <c r="AL677" s="98" t="s">
        <v>129</v>
      </c>
      <c r="AM677" s="98"/>
      <c r="AN677" s="482">
        <v>38.0</v>
      </c>
      <c r="AO677" s="482">
        <v>0.439</v>
      </c>
      <c r="AP677" s="108" t="s">
        <v>166</v>
      </c>
      <c r="AQ677" s="108" t="s">
        <v>131</v>
      </c>
      <c r="AR677" s="98"/>
      <c r="AS677" s="98"/>
      <c r="AT677" s="98"/>
      <c r="AU677" s="98"/>
      <c r="AV677" s="98"/>
      <c r="AW677" s="98" t="s">
        <v>134</v>
      </c>
      <c r="AX677" s="139" t="s">
        <v>3681</v>
      </c>
      <c r="AY677" s="136" t="s">
        <v>135</v>
      </c>
    </row>
    <row r="678" ht="20.25" customHeight="1">
      <c r="A678" s="654" t="s">
        <v>106</v>
      </c>
      <c r="B678" s="654" t="s">
        <v>107</v>
      </c>
      <c r="C678" s="654" t="s">
        <v>2637</v>
      </c>
      <c r="D678" s="632"/>
      <c r="E678" s="965" t="s">
        <v>3683</v>
      </c>
      <c r="F678" s="656" t="s">
        <v>3684</v>
      </c>
      <c r="G678" s="655" t="s">
        <v>3656</v>
      </c>
      <c r="H678" s="657">
        <v>45654.0</v>
      </c>
      <c r="I678" s="700">
        <v>45673.0</v>
      </c>
      <c r="J678" s="965"/>
      <c r="K678" s="667" t="s">
        <v>3685</v>
      </c>
      <c r="L678" s="103" t="s">
        <v>3658</v>
      </c>
      <c r="M678" s="966" t="s">
        <v>3659</v>
      </c>
      <c r="N678" s="967">
        <v>1.0</v>
      </c>
      <c r="O678" s="655" t="s">
        <v>3660</v>
      </c>
      <c r="P678" s="48" t="str">
        <f t="array" ref="P678">HYPERLINK(INDEX('File Links'!B:B, MATCH(O678, 'File Links'!C:C, 0)))
</f>
        <v>https://drive.google.com/file/d/1D8E42YuXrxlGwF61UWB4V8lYywAWr8dY/view?usp=drivesdk</v>
      </c>
      <c r="Q678" s="655" t="s">
        <v>3686</v>
      </c>
      <c r="R678" s="966" t="s">
        <v>3687</v>
      </c>
      <c r="S678" s="965"/>
      <c r="T678" s="965"/>
      <c r="U678" s="655" t="s">
        <v>3688</v>
      </c>
      <c r="V678" s="966"/>
      <c r="W678" s="50" t="str">
        <f t="array" ref="W678">HYPERLINK(INDEX('File Links'!B:B, MATCH(U678, 'File Links'!C:C, 0)))
</f>
        <v>https://drive.google.com/file/d/177P2xO1D22ODvu0Zcz9Ls-wtsZM0ck_y/view?usp=drivesdk</v>
      </c>
      <c r="X678" s="965"/>
      <c r="Y678" s="966" t="s">
        <v>220</v>
      </c>
      <c r="Z678" s="966" t="s">
        <v>3664</v>
      </c>
      <c r="AA678" s="966" t="s">
        <v>3665</v>
      </c>
      <c r="AB678" s="966" t="s">
        <v>3666</v>
      </c>
      <c r="AC678" s="966" t="s">
        <v>3667</v>
      </c>
      <c r="AD678" s="968">
        <v>245.0</v>
      </c>
      <c r="AE678" s="968">
        <v>97.0</v>
      </c>
      <c r="AF678" s="968">
        <v>0.55</v>
      </c>
      <c r="AG678" s="969" t="s">
        <v>3669</v>
      </c>
      <c r="AH678" s="970" t="s">
        <v>3670</v>
      </c>
      <c r="AI678" s="971">
        <v>0.023</v>
      </c>
      <c r="AJ678" s="966" t="s">
        <v>164</v>
      </c>
      <c r="AK678" s="970" t="s">
        <v>128</v>
      </c>
      <c r="AL678" s="972" t="s">
        <v>129</v>
      </c>
      <c r="AM678" s="965"/>
      <c r="AN678" s="968">
        <v>93.0</v>
      </c>
      <c r="AO678" s="968">
        <v>0.28</v>
      </c>
      <c r="AP678" s="966" t="s">
        <v>166</v>
      </c>
      <c r="AQ678" s="966" t="s">
        <v>3689</v>
      </c>
      <c r="AR678" s="968">
        <v>0.17</v>
      </c>
      <c r="AS678" s="966" t="s">
        <v>164</v>
      </c>
      <c r="AT678" s="966" t="s">
        <v>128</v>
      </c>
      <c r="AU678" s="972" t="s">
        <v>129</v>
      </c>
      <c r="AV678" s="965"/>
      <c r="AW678" s="372" t="s">
        <v>142</v>
      </c>
      <c r="AX678" s="667" t="s">
        <v>3690</v>
      </c>
      <c r="AY678" s="136" t="s">
        <v>135</v>
      </c>
      <c r="AZ678" s="64"/>
    </row>
    <row r="679" ht="20.25" customHeight="1">
      <c r="A679" s="371" t="s">
        <v>586</v>
      </c>
      <c r="B679" s="371" t="s">
        <v>107</v>
      </c>
      <c r="C679" s="371" t="s">
        <v>3672</v>
      </c>
      <c r="D679" s="209"/>
      <c r="E679" s="372" t="s">
        <v>3683</v>
      </c>
      <c r="F679" s="373" t="s">
        <v>3684</v>
      </c>
      <c r="G679" s="381" t="s">
        <v>3673</v>
      </c>
      <c r="H679" s="664">
        <v>45646.0</v>
      </c>
      <c r="I679" s="973">
        <v>45673.0</v>
      </c>
      <c r="J679" s="372"/>
      <c r="K679" s="667" t="s">
        <v>3685</v>
      </c>
      <c r="L679" s="103" t="s">
        <v>3658</v>
      </c>
      <c r="M679" s="381" t="s">
        <v>3659</v>
      </c>
      <c r="N679" s="665">
        <v>1.0</v>
      </c>
      <c r="O679" s="381" t="s">
        <v>3660</v>
      </c>
      <c r="P679" s="48" t="str">
        <f t="array" ref="P679">HYPERLINK(INDEX('File Links'!B:B, MATCH(O679, 'File Links'!C:C, 0)))
</f>
        <v>https://drive.google.com/file/d/1D8E42YuXrxlGwF61UWB4V8lYywAWr8dY/view?usp=drivesdk</v>
      </c>
      <c r="Q679" s="381" t="s">
        <v>3686</v>
      </c>
      <c r="R679" s="381" t="s">
        <v>3687</v>
      </c>
      <c r="S679" s="372"/>
      <c r="T679" s="372"/>
      <c r="U679" s="381" t="s">
        <v>3688</v>
      </c>
      <c r="V679" s="381" t="s">
        <v>3691</v>
      </c>
      <c r="W679" s="50" t="str">
        <f t="array" ref="W679">HYPERLINK(INDEX('File Links'!B:B, MATCH(U679, 'File Links'!C:C, 0)))
</f>
        <v>https://drive.google.com/file/d/177P2xO1D22ODvu0Zcz9Ls-wtsZM0ck_y/view?usp=drivesdk</v>
      </c>
      <c r="X679" s="372"/>
      <c r="Y679" s="381" t="s">
        <v>139</v>
      </c>
      <c r="Z679" s="381" t="s">
        <v>3675</v>
      </c>
      <c r="AA679" s="381" t="s">
        <v>3676</v>
      </c>
      <c r="AB679" s="381" t="s">
        <v>3677</v>
      </c>
      <c r="AC679" s="381" t="s">
        <v>3678</v>
      </c>
      <c r="AD679" s="974">
        <v>45416.0</v>
      </c>
      <c r="AE679" s="665">
        <v>141.0</v>
      </c>
      <c r="AF679" s="665">
        <v>0.42</v>
      </c>
      <c r="AG679" s="377" t="s">
        <v>166</v>
      </c>
      <c r="AH679" s="373" t="s">
        <v>861</v>
      </c>
      <c r="AI679" s="380">
        <v>0.009</v>
      </c>
      <c r="AJ679" s="381" t="s">
        <v>164</v>
      </c>
      <c r="AK679" s="373" t="s">
        <v>179</v>
      </c>
      <c r="AL679" s="372" t="s">
        <v>129</v>
      </c>
      <c r="AM679" s="372"/>
      <c r="AN679" s="707">
        <v>235.0</v>
      </c>
      <c r="AO679" s="707">
        <v>-0.3</v>
      </c>
      <c r="AP679" s="372" t="s">
        <v>166</v>
      </c>
      <c r="AQ679" s="372" t="s">
        <v>3625</v>
      </c>
      <c r="AR679" s="665">
        <v>0.05</v>
      </c>
      <c r="AS679" s="381" t="s">
        <v>127</v>
      </c>
      <c r="AT679" s="381" t="s">
        <v>179</v>
      </c>
      <c r="AU679" s="372" t="s">
        <v>129</v>
      </c>
      <c r="AV679" s="372"/>
      <c r="AW679" s="372" t="s">
        <v>142</v>
      </c>
      <c r="AX679" s="381"/>
      <c r="AY679" s="136" t="s">
        <v>135</v>
      </c>
      <c r="AZ679" s="64"/>
    </row>
    <row r="680" ht="20.25" customHeight="1">
      <c r="A680" s="371" t="s">
        <v>586</v>
      </c>
      <c r="B680" s="371" t="s">
        <v>107</v>
      </c>
      <c r="C680" s="371" t="s">
        <v>3672</v>
      </c>
      <c r="D680" s="209"/>
      <c r="E680" s="372" t="s">
        <v>3683</v>
      </c>
      <c r="F680" s="373" t="s">
        <v>3684</v>
      </c>
      <c r="G680" s="381" t="s">
        <v>3673</v>
      </c>
      <c r="H680" s="664">
        <v>45646.0</v>
      </c>
      <c r="I680" s="973">
        <v>45673.0</v>
      </c>
      <c r="J680" s="381" t="s">
        <v>3692</v>
      </c>
      <c r="K680" s="381"/>
      <c r="L680" s="103" t="s">
        <v>3658</v>
      </c>
      <c r="M680" s="381" t="s">
        <v>3659</v>
      </c>
      <c r="N680" s="665">
        <v>1.0</v>
      </c>
      <c r="O680" s="949" t="s">
        <v>3660</v>
      </c>
      <c r="P680" s="48" t="str">
        <f t="array" ref="P680">HYPERLINK(INDEX('File Links'!B:B, MATCH(O680, 'File Links'!C:C, 0)))
</f>
        <v>https://drive.google.com/file/d/1D8E42YuXrxlGwF61UWB4V8lYywAWr8dY/view?usp=drivesdk</v>
      </c>
      <c r="Q680" s="381" t="s">
        <v>3686</v>
      </c>
      <c r="R680" s="381" t="s">
        <v>3687</v>
      </c>
      <c r="S680" s="372"/>
      <c r="T680" s="372"/>
      <c r="U680" s="949" t="s">
        <v>3688</v>
      </c>
      <c r="V680" s="381" t="s">
        <v>3691</v>
      </c>
      <c r="W680" s="50" t="str">
        <f t="array" ref="W680">HYPERLINK(INDEX('File Links'!B:B, MATCH(U680, 'File Links'!C:C, 0)))
</f>
        <v>https://drive.google.com/file/d/177P2xO1D22ODvu0Zcz9Ls-wtsZM0ck_y/view?usp=drivesdk</v>
      </c>
      <c r="X680" s="372"/>
      <c r="Y680" s="381" t="s">
        <v>139</v>
      </c>
      <c r="Z680" s="381" t="s">
        <v>3675</v>
      </c>
      <c r="AA680" s="381" t="s">
        <v>3676</v>
      </c>
      <c r="AB680" s="381" t="s">
        <v>3677</v>
      </c>
      <c r="AC680" s="381" t="s">
        <v>3678</v>
      </c>
      <c r="AD680" s="974">
        <v>45416.0</v>
      </c>
      <c r="AE680" s="665">
        <v>141.0</v>
      </c>
      <c r="AF680" s="665">
        <v>0.42</v>
      </c>
      <c r="AG680" s="377" t="s">
        <v>166</v>
      </c>
      <c r="AH680" s="373" t="s">
        <v>861</v>
      </c>
      <c r="AI680" s="380">
        <v>0.009</v>
      </c>
      <c r="AJ680" s="381" t="s">
        <v>164</v>
      </c>
      <c r="AK680" s="373" t="s">
        <v>179</v>
      </c>
      <c r="AL680" s="372" t="s">
        <v>129</v>
      </c>
      <c r="AM680" s="372"/>
      <c r="AN680" s="665">
        <v>235.0</v>
      </c>
      <c r="AO680" s="381" t="s">
        <v>3693</v>
      </c>
      <c r="AP680" s="381" t="s">
        <v>162</v>
      </c>
      <c r="AQ680" s="372" t="s">
        <v>892</v>
      </c>
      <c r="AR680" s="665">
        <v>0.05</v>
      </c>
      <c r="AS680" s="381" t="s">
        <v>127</v>
      </c>
      <c r="AT680" s="381" t="s">
        <v>179</v>
      </c>
      <c r="AU680" s="372" t="s">
        <v>129</v>
      </c>
      <c r="AV680" s="372"/>
      <c r="AW680" s="372" t="s">
        <v>142</v>
      </c>
      <c r="AX680" s="381"/>
      <c r="AY680" s="136" t="s">
        <v>135</v>
      </c>
      <c r="AZ680" s="215"/>
    </row>
    <row r="681" ht="20.25" customHeight="1">
      <c r="A681" s="110" t="s">
        <v>106</v>
      </c>
      <c r="B681" s="110" t="s">
        <v>107</v>
      </c>
      <c r="C681" s="110" t="s">
        <v>2637</v>
      </c>
      <c r="D681" s="95"/>
      <c r="E681" s="111" t="s">
        <v>3694</v>
      </c>
      <c r="F681" s="112" t="s">
        <v>3695</v>
      </c>
      <c r="G681" s="127" t="s">
        <v>3656</v>
      </c>
      <c r="H681" s="113">
        <v>45654.0</v>
      </c>
      <c r="I681" s="768">
        <v>45674.0</v>
      </c>
      <c r="J681" s="111"/>
      <c r="K681" s="116" t="s">
        <v>3696</v>
      </c>
      <c r="L681" s="103" t="s">
        <v>3658</v>
      </c>
      <c r="M681" s="769" t="s">
        <v>3659</v>
      </c>
      <c r="N681" s="720">
        <v>1.0</v>
      </c>
      <c r="O681" s="975" t="s">
        <v>3660</v>
      </c>
      <c r="P681" s="48" t="str">
        <f t="array" ref="P681">HYPERLINK(INDEX('File Links'!B:B, MATCH(O681, 'File Links'!C:C, 0)))
</f>
        <v>https://drive.google.com/file/d/1D8E42YuXrxlGwF61UWB4V8lYywAWr8dY/view?usp=drivesdk</v>
      </c>
      <c r="Q681" s="127" t="s">
        <v>3697</v>
      </c>
      <c r="R681" s="769" t="s">
        <v>3698</v>
      </c>
      <c r="S681" s="111"/>
      <c r="T681" s="111"/>
      <c r="U681" s="975" t="s">
        <v>3699</v>
      </c>
      <c r="V681" s="108" t="s">
        <v>3691</v>
      </c>
      <c r="W681" s="50" t="str">
        <f t="array" ref="W681">HYPERLINK(INDEX('File Links'!B:B, MATCH(U681, 'File Links'!C:C, 0)))
</f>
        <v>https://drive.google.com/file/d/1UXS2QTqJQUfE_Pyj2Qy0nOdEsfBcSrJD/view?usp=drivesdk</v>
      </c>
      <c r="X681" s="111"/>
      <c r="Y681" s="769" t="s">
        <v>220</v>
      </c>
      <c r="Z681" s="774" t="s">
        <v>3664</v>
      </c>
      <c r="AA681" s="769" t="s">
        <v>3665</v>
      </c>
      <c r="AB681" s="774" t="s">
        <v>3666</v>
      </c>
      <c r="AC681" s="769" t="s">
        <v>3667</v>
      </c>
      <c r="AD681" s="770">
        <v>245.0</v>
      </c>
      <c r="AE681" s="770">
        <v>97.0</v>
      </c>
      <c r="AF681" s="770">
        <v>0.55</v>
      </c>
      <c r="AG681" s="976" t="s">
        <v>3669</v>
      </c>
      <c r="AH681" s="211" t="s">
        <v>3670</v>
      </c>
      <c r="AI681" s="773">
        <v>0.023</v>
      </c>
      <c r="AJ681" s="769" t="s">
        <v>164</v>
      </c>
      <c r="AK681" s="211" t="s">
        <v>128</v>
      </c>
      <c r="AL681" s="774" t="s">
        <v>129</v>
      </c>
      <c r="AM681" s="111"/>
      <c r="AN681" s="770">
        <v>228.0</v>
      </c>
      <c r="AO681" s="770">
        <v>0.02</v>
      </c>
      <c r="AP681" s="769" t="s">
        <v>166</v>
      </c>
      <c r="AQ681" s="769" t="s">
        <v>3700</v>
      </c>
      <c r="AR681" s="770">
        <v>0.78</v>
      </c>
      <c r="AS681" s="769" t="s">
        <v>164</v>
      </c>
      <c r="AT681" s="769" t="s">
        <v>128</v>
      </c>
      <c r="AU681" s="774" t="s">
        <v>129</v>
      </c>
      <c r="AV681" s="111"/>
      <c r="AW681" s="774" t="s">
        <v>134</v>
      </c>
      <c r="AX681" s="116" t="s">
        <v>3701</v>
      </c>
      <c r="AY681" s="136" t="s">
        <v>135</v>
      </c>
      <c r="AZ681" s="763"/>
    </row>
    <row r="682" ht="20.25" customHeight="1">
      <c r="A682" s="136" t="s">
        <v>143</v>
      </c>
      <c r="B682" s="136" t="s">
        <v>107</v>
      </c>
      <c r="C682" s="136" t="s">
        <v>3672</v>
      </c>
      <c r="D682" s="64"/>
      <c r="E682" s="98" t="s">
        <v>3694</v>
      </c>
      <c r="F682" s="99" t="s">
        <v>3695</v>
      </c>
      <c r="G682" s="108" t="s">
        <v>3673</v>
      </c>
      <c r="H682" s="100">
        <v>45646.0</v>
      </c>
      <c r="I682" s="768">
        <v>45674.0</v>
      </c>
      <c r="J682" s="108" t="s">
        <v>3702</v>
      </c>
      <c r="K682" s="103" t="s">
        <v>3703</v>
      </c>
      <c r="L682" s="103" t="s">
        <v>3658</v>
      </c>
      <c r="M682" s="108" t="s">
        <v>3659</v>
      </c>
      <c r="N682" s="482">
        <v>1.0</v>
      </c>
      <c r="O682" s="481" t="s">
        <v>3660</v>
      </c>
      <c r="P682" s="48" t="str">
        <f t="array" ref="P682">HYPERLINK(INDEX('File Links'!B:B, MATCH(O682, 'File Links'!C:C, 0)))
</f>
        <v>https://drive.google.com/file/d/1D8E42YuXrxlGwF61UWB4V8lYywAWr8dY/view?usp=drivesdk</v>
      </c>
      <c r="Q682" s="108" t="s">
        <v>3697</v>
      </c>
      <c r="R682" s="108" t="s">
        <v>3698</v>
      </c>
      <c r="S682" s="98"/>
      <c r="T682" s="134">
        <v>1.0</v>
      </c>
      <c r="U682" s="481" t="s">
        <v>3699</v>
      </c>
      <c r="V682" s="108" t="s">
        <v>3691</v>
      </c>
      <c r="W682" s="50" t="str">
        <f t="array" ref="W682">HYPERLINK(INDEX('File Links'!B:B, MATCH(U682, 'File Links'!C:C, 0)))
</f>
        <v>https://drive.google.com/file/d/1UXS2QTqJQUfE_Pyj2Qy0nOdEsfBcSrJD/view?usp=drivesdk</v>
      </c>
      <c r="X682" s="98"/>
      <c r="Y682" s="108" t="s">
        <v>139</v>
      </c>
      <c r="Z682" s="108" t="s">
        <v>3675</v>
      </c>
      <c r="AA682" s="108" t="s">
        <v>3676</v>
      </c>
      <c r="AB682" s="108" t="s">
        <v>3677</v>
      </c>
      <c r="AC682" s="108" t="s">
        <v>3678</v>
      </c>
      <c r="AD682" s="977">
        <v>45416.0</v>
      </c>
      <c r="AE682" s="482">
        <v>141.0</v>
      </c>
      <c r="AF682" s="482">
        <v>0.42</v>
      </c>
      <c r="AG682" s="107" t="s">
        <v>166</v>
      </c>
      <c r="AH682" s="99" t="s">
        <v>861</v>
      </c>
      <c r="AI682" s="104">
        <v>0.009</v>
      </c>
      <c r="AJ682" s="108" t="s">
        <v>164</v>
      </c>
      <c r="AK682" s="99" t="s">
        <v>179</v>
      </c>
      <c r="AL682" s="98" t="s">
        <v>129</v>
      </c>
      <c r="AM682" s="134" t="s">
        <v>165</v>
      </c>
      <c r="AN682" s="482">
        <v>200.0</v>
      </c>
      <c r="AO682" s="482">
        <v>-0.22</v>
      </c>
      <c r="AP682" s="108" t="s">
        <v>166</v>
      </c>
      <c r="AQ682" s="108" t="s">
        <v>299</v>
      </c>
      <c r="AR682" s="482">
        <v>0.146</v>
      </c>
      <c r="AS682" s="108" t="s">
        <v>164</v>
      </c>
      <c r="AT682" s="108" t="s">
        <v>179</v>
      </c>
      <c r="AU682" s="98" t="s">
        <v>129</v>
      </c>
      <c r="AV682" s="978" t="s">
        <v>3704</v>
      </c>
      <c r="AW682" s="98" t="s">
        <v>134</v>
      </c>
      <c r="AX682" s="103" t="s">
        <v>3705</v>
      </c>
      <c r="AY682" s="136" t="s">
        <v>135</v>
      </c>
      <c r="AZ682" s="215"/>
    </row>
    <row r="683" ht="20.25" customHeight="1">
      <c r="A683" s="136" t="s">
        <v>143</v>
      </c>
      <c r="B683" s="136" t="s">
        <v>107</v>
      </c>
      <c r="C683" s="136" t="s">
        <v>3672</v>
      </c>
      <c r="D683" s="64"/>
      <c r="E683" s="98" t="s">
        <v>3694</v>
      </c>
      <c r="F683" s="99" t="s">
        <v>3695</v>
      </c>
      <c r="G683" s="108" t="s">
        <v>3673</v>
      </c>
      <c r="H683" s="100">
        <v>45646.0</v>
      </c>
      <c r="I683" s="768">
        <v>45674.0</v>
      </c>
      <c r="J683" s="108" t="s">
        <v>3706</v>
      </c>
      <c r="K683" s="108"/>
      <c r="L683" s="103" t="s">
        <v>3658</v>
      </c>
      <c r="M683" s="108" t="s">
        <v>3659</v>
      </c>
      <c r="N683" s="482">
        <v>1.0</v>
      </c>
      <c r="O683" s="481" t="s">
        <v>3660</v>
      </c>
      <c r="P683" s="48" t="str">
        <f t="array" ref="P683">HYPERLINK(INDEX('File Links'!B:B, MATCH(O683, 'File Links'!C:C, 0)))
</f>
        <v>https://drive.google.com/file/d/1D8E42YuXrxlGwF61UWB4V8lYywAWr8dY/view?usp=drivesdk</v>
      </c>
      <c r="Q683" s="108" t="s">
        <v>3697</v>
      </c>
      <c r="R683" s="108" t="s">
        <v>3698</v>
      </c>
      <c r="S683" s="98"/>
      <c r="T683" s="134">
        <v>1.0</v>
      </c>
      <c r="U683" s="481" t="s">
        <v>3699</v>
      </c>
      <c r="V683" s="108" t="s">
        <v>3691</v>
      </c>
      <c r="W683" s="50" t="str">
        <f t="array" ref="W683">HYPERLINK(INDEX('File Links'!B:B, MATCH(U683, 'File Links'!C:C, 0)))
</f>
        <v>https://drive.google.com/file/d/1UXS2QTqJQUfE_Pyj2Qy0nOdEsfBcSrJD/view?usp=drivesdk</v>
      </c>
      <c r="X683" s="98"/>
      <c r="Y683" s="108" t="s">
        <v>139</v>
      </c>
      <c r="Z683" s="108" t="s">
        <v>3675</v>
      </c>
      <c r="AA683" s="108" t="s">
        <v>3676</v>
      </c>
      <c r="AB683" s="108" t="s">
        <v>3677</v>
      </c>
      <c r="AC683" s="108" t="s">
        <v>3707</v>
      </c>
      <c r="AD683" s="482">
        <v>4.0</v>
      </c>
      <c r="AE683" s="482">
        <v>141.0</v>
      </c>
      <c r="AF683" s="108" t="s">
        <v>3708</v>
      </c>
      <c r="AG683" s="107" t="s">
        <v>162</v>
      </c>
      <c r="AH683" s="99" t="s">
        <v>861</v>
      </c>
      <c r="AI683" s="104">
        <v>0.001</v>
      </c>
      <c r="AJ683" s="108" t="s">
        <v>127</v>
      </c>
      <c r="AK683" s="99" t="s">
        <v>179</v>
      </c>
      <c r="AL683" s="98" t="s">
        <v>129</v>
      </c>
      <c r="AM683" s="134" t="s">
        <v>165</v>
      </c>
      <c r="AN683" s="482">
        <v>200.0</v>
      </c>
      <c r="AO683" s="482">
        <v>0.28</v>
      </c>
      <c r="AP683" s="108" t="s">
        <v>166</v>
      </c>
      <c r="AQ683" s="108" t="s">
        <v>609</v>
      </c>
      <c r="AR683" s="618">
        <v>0.05</v>
      </c>
      <c r="AS683" s="108" t="s">
        <v>164</v>
      </c>
      <c r="AT683" s="108" t="s">
        <v>179</v>
      </c>
      <c r="AU683" s="98" t="s">
        <v>129</v>
      </c>
      <c r="AV683" s="978" t="s">
        <v>3704</v>
      </c>
      <c r="AW683" s="98" t="s">
        <v>134</v>
      </c>
      <c r="AX683" s="108"/>
      <c r="AY683" s="136" t="s">
        <v>135</v>
      </c>
      <c r="AZ683" s="215"/>
    </row>
    <row r="684" ht="20.25" customHeight="1">
      <c r="A684" s="314" t="s">
        <v>143</v>
      </c>
      <c r="B684" s="314" t="s">
        <v>107</v>
      </c>
      <c r="C684" s="316" t="s">
        <v>108</v>
      </c>
      <c r="D684" s="215"/>
      <c r="E684" s="322" t="s">
        <v>3709</v>
      </c>
      <c r="F684" s="386" t="s">
        <v>3710</v>
      </c>
      <c r="G684" s="321" t="s">
        <v>108</v>
      </c>
      <c r="H684" s="979">
        <v>45641.0</v>
      </c>
      <c r="I684" s="159">
        <v>45674.0</v>
      </c>
      <c r="J684" s="364"/>
      <c r="K684" s="315" t="s">
        <v>3711</v>
      </c>
      <c r="L684" s="386" t="s">
        <v>3712</v>
      </c>
      <c r="M684" s="386" t="s">
        <v>3713</v>
      </c>
      <c r="N684" s="957">
        <v>2.0</v>
      </c>
      <c r="O684" s="906" t="s">
        <v>3714</v>
      </c>
      <c r="P684" s="48" t="str">
        <f t="array" ref="P684">HYPERLINK(INDEX('File Links'!B:B, MATCH(O684, 'File Links'!C:C, 0)))
</f>
        <v>https://drive.google.com/file/d/15Wsn7yRLOjnPIu3oOYbA1lhbZIRp1-8K/view?usp=drivesdk</v>
      </c>
      <c r="Q684" s="980" t="s">
        <v>3715</v>
      </c>
      <c r="R684" s="980" t="s">
        <v>3716</v>
      </c>
      <c r="S684" s="364"/>
      <c r="T684" s="819">
        <v>2.0</v>
      </c>
      <c r="U684" s="900" t="s">
        <v>3717</v>
      </c>
      <c r="V684" s="108" t="s">
        <v>3691</v>
      </c>
      <c r="W684" s="50" t="str">
        <f t="array" ref="W684">HYPERLINK(INDEX('File Links'!B:B, MATCH(U684, 'File Links'!C:C, 0)))
</f>
        <v>https://drive.google.com/file/d/1gBBT6EBomzmICcRfzrG_6jxfvMnRuQIj/view?usp=drivesdk</v>
      </c>
      <c r="X684" s="364"/>
      <c r="Y684" s="981" t="s">
        <v>220</v>
      </c>
      <c r="Z684" s="326" t="s">
        <v>3718</v>
      </c>
      <c r="AA684" s="364" t="s">
        <v>3719</v>
      </c>
      <c r="AB684" s="364" t="s">
        <v>3720</v>
      </c>
      <c r="AC684" s="321" t="s">
        <v>3721</v>
      </c>
      <c r="AD684" s="364" t="s">
        <v>210</v>
      </c>
      <c r="AE684" s="958">
        <v>33.0</v>
      </c>
      <c r="AF684" s="957">
        <v>1.1</v>
      </c>
      <c r="AG684" s="600" t="s">
        <v>166</v>
      </c>
      <c r="AH684" s="364" t="s">
        <v>210</v>
      </c>
      <c r="AI684" s="957">
        <v>0.97</v>
      </c>
      <c r="AJ684" s="322" t="s">
        <v>164</v>
      </c>
      <c r="AK684" s="99" t="s">
        <v>179</v>
      </c>
      <c r="AL684" s="364" t="s">
        <v>129</v>
      </c>
      <c r="AM684" s="321" t="s">
        <v>165</v>
      </c>
      <c r="AN684" s="957">
        <v>58.0</v>
      </c>
      <c r="AO684" s="957">
        <v>0.007</v>
      </c>
      <c r="AP684" s="364" t="s">
        <v>130</v>
      </c>
      <c r="AQ684" s="364" t="s">
        <v>131</v>
      </c>
      <c r="AR684" s="957">
        <v>0.851</v>
      </c>
      <c r="AS684" s="322" t="s">
        <v>164</v>
      </c>
      <c r="AT684" s="108" t="s">
        <v>179</v>
      </c>
      <c r="AU684" s="322" t="s">
        <v>129</v>
      </c>
      <c r="AV684" s="321" t="s">
        <v>165</v>
      </c>
      <c r="AW684" s="322" t="s">
        <v>134</v>
      </c>
      <c r="AX684" s="315" t="s">
        <v>3722</v>
      </c>
      <c r="AY684" s="136" t="s">
        <v>135</v>
      </c>
    </row>
    <row r="685" ht="20.25" customHeight="1">
      <c r="A685" s="811" t="s">
        <v>106</v>
      </c>
      <c r="B685" s="811" t="s">
        <v>107</v>
      </c>
      <c r="C685" s="811" t="s">
        <v>136</v>
      </c>
      <c r="D685" s="763"/>
      <c r="E685" s="811" t="s">
        <v>3709</v>
      </c>
      <c r="F685" s="809" t="s">
        <v>3710</v>
      </c>
      <c r="G685" s="809" t="s">
        <v>3630</v>
      </c>
      <c r="H685" s="813">
        <v>45638.0</v>
      </c>
      <c r="I685" s="159">
        <v>45674.0</v>
      </c>
      <c r="J685" s="809" t="s">
        <v>3723</v>
      </c>
      <c r="K685" s="809"/>
      <c r="L685" s="809" t="s">
        <v>3712</v>
      </c>
      <c r="M685" s="809" t="s">
        <v>3713</v>
      </c>
      <c r="N685" s="809">
        <v>1.0</v>
      </c>
      <c r="O685" s="982" t="s">
        <v>3714</v>
      </c>
      <c r="P685" s="48" t="str">
        <f t="array" ref="P685">HYPERLINK(INDEX('File Links'!B:B, MATCH(O685, 'File Links'!C:C, 0)))
</f>
        <v>https://drive.google.com/file/d/15Wsn7yRLOjnPIu3oOYbA1lhbZIRp1-8K/view?usp=drivesdk</v>
      </c>
      <c r="Q685" s="809" t="s">
        <v>3724</v>
      </c>
      <c r="R685" s="809" t="s">
        <v>3716</v>
      </c>
      <c r="S685" s="810"/>
      <c r="T685" s="809"/>
      <c r="U685" s="982" t="s">
        <v>3717</v>
      </c>
      <c r="V685" s="108" t="s">
        <v>3691</v>
      </c>
      <c r="W685" s="50" t="str">
        <f t="array" ref="W685">HYPERLINK(INDEX('File Links'!B:B, MATCH(U685, 'File Links'!C:C, 0)))
</f>
        <v>https://drive.google.com/file/d/1gBBT6EBomzmICcRfzrG_6jxfvMnRuQIj/view?usp=drivesdk</v>
      </c>
      <c r="X685" s="810"/>
      <c r="Y685" s="981" t="s">
        <v>220</v>
      </c>
      <c r="Z685" s="326" t="s">
        <v>3718</v>
      </c>
      <c r="AA685" s="809" t="s">
        <v>3725</v>
      </c>
      <c r="AB685" s="809" t="s">
        <v>3726</v>
      </c>
      <c r="AC685" s="809" t="s">
        <v>3727</v>
      </c>
      <c r="AD685" s="809" t="s">
        <v>3728</v>
      </c>
      <c r="AE685" s="809">
        <v>33.0</v>
      </c>
      <c r="AF685" s="809">
        <v>1.1</v>
      </c>
      <c r="AG685" s="809" t="s">
        <v>166</v>
      </c>
      <c r="AH685" s="809" t="s">
        <v>3728</v>
      </c>
      <c r="AI685" s="809">
        <v>0.97</v>
      </c>
      <c r="AJ685" s="811" t="s">
        <v>164</v>
      </c>
      <c r="AK685" s="99" t="s">
        <v>179</v>
      </c>
      <c r="AL685" s="810"/>
      <c r="AM685" s="810"/>
      <c r="AN685" s="810"/>
      <c r="AO685" s="810"/>
      <c r="AP685" s="810"/>
      <c r="AQ685" s="810"/>
      <c r="AR685" s="810"/>
      <c r="AS685" s="763"/>
      <c r="AT685" s="108" t="s">
        <v>179</v>
      </c>
      <c r="AU685" s="983"/>
      <c r="AV685" s="763"/>
      <c r="AW685" s="763"/>
      <c r="AX685" s="809"/>
      <c r="AY685" s="136" t="s">
        <v>135</v>
      </c>
      <c r="AZ685" s="178"/>
    </row>
    <row r="686" ht="20.25" customHeight="1">
      <c r="A686" s="314" t="s">
        <v>143</v>
      </c>
      <c r="B686" s="314" t="s">
        <v>107</v>
      </c>
      <c r="C686" s="316" t="s">
        <v>108</v>
      </c>
      <c r="D686" s="215"/>
      <c r="E686" s="811" t="s">
        <v>3709</v>
      </c>
      <c r="F686" s="386" t="s">
        <v>3729</v>
      </c>
      <c r="G686" s="321" t="s">
        <v>108</v>
      </c>
      <c r="H686" s="979">
        <v>45641.0</v>
      </c>
      <c r="I686" s="159">
        <v>45674.0</v>
      </c>
      <c r="J686" s="321" t="s">
        <v>3730</v>
      </c>
      <c r="K686" s="315" t="s">
        <v>3711</v>
      </c>
      <c r="L686" s="386" t="s">
        <v>3712</v>
      </c>
      <c r="M686" s="386" t="s">
        <v>3713</v>
      </c>
      <c r="N686" s="957">
        <v>2.0</v>
      </c>
      <c r="O686" s="906" t="s">
        <v>3714</v>
      </c>
      <c r="P686" s="48" t="str">
        <f t="array" ref="P686">HYPERLINK(INDEX('File Links'!B:B, MATCH(O686, 'File Links'!C:C, 0)))
</f>
        <v>https://drive.google.com/file/d/15Wsn7yRLOjnPIu3oOYbA1lhbZIRp1-8K/view?usp=drivesdk</v>
      </c>
      <c r="Q686" s="980" t="s">
        <v>3731</v>
      </c>
      <c r="R686" s="980" t="s">
        <v>3716</v>
      </c>
      <c r="S686" s="364"/>
      <c r="T686" s="819">
        <v>2.0</v>
      </c>
      <c r="U686" s="900" t="s">
        <v>3717</v>
      </c>
      <c r="V686" s="108" t="s">
        <v>3691</v>
      </c>
      <c r="W686" s="50" t="str">
        <f t="array" ref="W686">HYPERLINK(INDEX('File Links'!B:B, MATCH(U686, 'File Links'!C:C, 0)))
</f>
        <v>https://drive.google.com/file/d/1gBBT6EBomzmICcRfzrG_6jxfvMnRuQIj/view?usp=drivesdk</v>
      </c>
      <c r="X686" s="364"/>
      <c r="Y686" s="981" t="s">
        <v>220</v>
      </c>
      <c r="Z686" s="326" t="s">
        <v>3718</v>
      </c>
      <c r="AA686" s="364" t="s">
        <v>3719</v>
      </c>
      <c r="AB686" s="364" t="s">
        <v>3732</v>
      </c>
      <c r="AC686" s="321" t="s">
        <v>3733</v>
      </c>
      <c r="AD686" s="364" t="s">
        <v>210</v>
      </c>
      <c r="AE686" s="958">
        <v>33.0</v>
      </c>
      <c r="AF686" s="957">
        <v>1.071</v>
      </c>
      <c r="AG686" s="600" t="s">
        <v>166</v>
      </c>
      <c r="AH686" s="364" t="s">
        <v>210</v>
      </c>
      <c r="AI686" s="957">
        <v>0.97</v>
      </c>
      <c r="AJ686" s="322" t="s">
        <v>164</v>
      </c>
      <c r="AK686" s="99" t="s">
        <v>179</v>
      </c>
      <c r="AL686" s="364" t="s">
        <v>129</v>
      </c>
      <c r="AM686" s="321" t="s">
        <v>165</v>
      </c>
      <c r="AN686" s="957">
        <v>58.0</v>
      </c>
      <c r="AO686" s="957">
        <v>0.454</v>
      </c>
      <c r="AP686" s="364" t="s">
        <v>130</v>
      </c>
      <c r="AQ686" s="364" t="s">
        <v>131</v>
      </c>
      <c r="AR686" s="957">
        <v>0.001</v>
      </c>
      <c r="AS686" s="322" t="s">
        <v>127</v>
      </c>
      <c r="AT686" s="108" t="s">
        <v>179</v>
      </c>
      <c r="AU686" s="322" t="s">
        <v>129</v>
      </c>
      <c r="AV686" s="321" t="s">
        <v>165</v>
      </c>
      <c r="AW686" s="322" t="s">
        <v>134</v>
      </c>
      <c r="AX686" s="386"/>
      <c r="AY686" s="136" t="s">
        <v>135</v>
      </c>
    </row>
    <row r="687" ht="20.25" customHeight="1">
      <c r="A687" s="811" t="s">
        <v>106</v>
      </c>
      <c r="B687" s="811" t="s">
        <v>107</v>
      </c>
      <c r="C687" s="811" t="s">
        <v>136</v>
      </c>
      <c r="D687" s="763"/>
      <c r="E687" s="811" t="s">
        <v>3709</v>
      </c>
      <c r="F687" s="809" t="s">
        <v>3729</v>
      </c>
      <c r="G687" s="809" t="s">
        <v>3630</v>
      </c>
      <c r="H687" s="813">
        <v>45638.0</v>
      </c>
      <c r="I687" s="159">
        <v>45674.0</v>
      </c>
      <c r="J687" s="810"/>
      <c r="K687" s="809"/>
      <c r="L687" s="809" t="s">
        <v>3712</v>
      </c>
      <c r="M687" s="809" t="s">
        <v>3713</v>
      </c>
      <c r="N687" s="809">
        <v>1.0</v>
      </c>
      <c r="O687" s="982" t="s">
        <v>3714</v>
      </c>
      <c r="P687" s="48" t="str">
        <f t="array" ref="P687">HYPERLINK(INDEX('File Links'!B:B, MATCH(O687, 'File Links'!C:C, 0)))
</f>
        <v>https://drive.google.com/file/d/15Wsn7yRLOjnPIu3oOYbA1lhbZIRp1-8K/view?usp=drivesdk</v>
      </c>
      <c r="Q687" s="809" t="s">
        <v>3724</v>
      </c>
      <c r="R687" s="809" t="s">
        <v>3716</v>
      </c>
      <c r="S687" s="810"/>
      <c r="T687" s="809"/>
      <c r="U687" s="982" t="s">
        <v>3717</v>
      </c>
      <c r="V687" s="108" t="s">
        <v>3691</v>
      </c>
      <c r="W687" s="50" t="str">
        <f t="array" ref="W687">HYPERLINK(INDEX('File Links'!B:B, MATCH(U687, 'File Links'!C:C, 0)))
</f>
        <v>https://drive.google.com/file/d/1gBBT6EBomzmICcRfzrG_6jxfvMnRuQIj/view?usp=drivesdk</v>
      </c>
      <c r="X687" s="810"/>
      <c r="Y687" s="981" t="s">
        <v>220</v>
      </c>
      <c r="Z687" s="326" t="s">
        <v>3718</v>
      </c>
      <c r="AA687" s="809" t="s">
        <v>3725</v>
      </c>
      <c r="AB687" s="809" t="s">
        <v>3734</v>
      </c>
      <c r="AC687" s="810"/>
      <c r="AD687" s="810"/>
      <c r="AE687" s="809">
        <v>33.0</v>
      </c>
      <c r="AF687" s="809">
        <v>1.1</v>
      </c>
      <c r="AG687" s="809" t="s">
        <v>166</v>
      </c>
      <c r="AH687" s="809" t="s">
        <v>3728</v>
      </c>
      <c r="AI687" s="809">
        <v>0.97</v>
      </c>
      <c r="AJ687" s="811" t="s">
        <v>164</v>
      </c>
      <c r="AK687" s="99" t="s">
        <v>179</v>
      </c>
      <c r="AL687" s="810"/>
      <c r="AM687" s="810"/>
      <c r="AN687" s="810"/>
      <c r="AO687" s="810"/>
      <c r="AP687" s="810"/>
      <c r="AQ687" s="810"/>
      <c r="AR687" s="810"/>
      <c r="AS687" s="763"/>
      <c r="AT687" s="763"/>
      <c r="AU687" s="983"/>
      <c r="AV687" s="763"/>
      <c r="AW687" s="763"/>
      <c r="AX687" s="811" t="s">
        <v>3735</v>
      </c>
      <c r="AY687" s="136" t="s">
        <v>135</v>
      </c>
      <c r="AZ687" s="178"/>
    </row>
    <row r="688" ht="20.25" customHeight="1">
      <c r="A688" s="811" t="s">
        <v>106</v>
      </c>
      <c r="B688" s="811" t="s">
        <v>107</v>
      </c>
      <c r="C688" s="811" t="s">
        <v>136</v>
      </c>
      <c r="D688" s="763"/>
      <c r="E688" s="811" t="s">
        <v>3709</v>
      </c>
      <c r="F688" s="809" t="s">
        <v>3736</v>
      </c>
      <c r="G688" s="809" t="s">
        <v>3630</v>
      </c>
      <c r="H688" s="813">
        <v>45638.0</v>
      </c>
      <c r="I688" s="159">
        <v>45674.0</v>
      </c>
      <c r="J688" s="810"/>
      <c r="K688" s="809"/>
      <c r="L688" s="809" t="s">
        <v>3712</v>
      </c>
      <c r="M688" s="809" t="s">
        <v>3713</v>
      </c>
      <c r="N688" s="809">
        <v>1.0</v>
      </c>
      <c r="O688" s="982" t="s">
        <v>3714</v>
      </c>
      <c r="P688" s="48" t="str">
        <f t="array" ref="P688">HYPERLINK(INDEX('File Links'!B:B, MATCH(O688, 'File Links'!C:C, 0)))
</f>
        <v>https://drive.google.com/file/d/15Wsn7yRLOjnPIu3oOYbA1lhbZIRp1-8K/view?usp=drivesdk</v>
      </c>
      <c r="Q688" s="809" t="s">
        <v>3724</v>
      </c>
      <c r="R688" s="809" t="s">
        <v>3716</v>
      </c>
      <c r="S688" s="810"/>
      <c r="T688" s="809"/>
      <c r="U688" s="982" t="s">
        <v>3717</v>
      </c>
      <c r="V688" s="108" t="s">
        <v>3691</v>
      </c>
      <c r="W688" s="50" t="str">
        <f t="array" ref="W688">HYPERLINK(INDEX('File Links'!B:B, MATCH(U688, 'File Links'!C:C, 0)))
</f>
        <v>https://drive.google.com/file/d/1gBBT6EBomzmICcRfzrG_6jxfvMnRuQIj/view?usp=drivesdk</v>
      </c>
      <c r="X688" s="810"/>
      <c r="Y688" s="981" t="s">
        <v>220</v>
      </c>
      <c r="Z688" s="326" t="s">
        <v>3718</v>
      </c>
      <c r="AA688" s="809" t="s">
        <v>3725</v>
      </c>
      <c r="AB688" s="809" t="s">
        <v>3737</v>
      </c>
      <c r="AC688" s="810"/>
      <c r="AD688" s="810"/>
      <c r="AE688" s="809">
        <v>33.0</v>
      </c>
      <c r="AF688" s="809">
        <v>1.1</v>
      </c>
      <c r="AG688" s="809" t="s">
        <v>166</v>
      </c>
      <c r="AH688" s="809" t="s">
        <v>3728</v>
      </c>
      <c r="AI688" s="809">
        <v>0.97</v>
      </c>
      <c r="AJ688" s="811" t="s">
        <v>164</v>
      </c>
      <c r="AK688" s="99" t="s">
        <v>179</v>
      </c>
      <c r="AL688" s="810"/>
      <c r="AM688" s="810"/>
      <c r="AN688" s="810"/>
      <c r="AO688" s="810"/>
      <c r="AP688" s="810"/>
      <c r="AQ688" s="810"/>
      <c r="AR688" s="810"/>
      <c r="AS688" s="763"/>
      <c r="AT688" s="763"/>
      <c r="AU688" s="983"/>
      <c r="AV688" s="763"/>
      <c r="AW688" s="763"/>
      <c r="AX688" s="809"/>
      <c r="AY688" s="136" t="s">
        <v>135</v>
      </c>
    </row>
    <row r="689" ht="20.25" customHeight="1">
      <c r="A689" s="41" t="s">
        <v>106</v>
      </c>
      <c r="B689" s="41" t="s">
        <v>107</v>
      </c>
      <c r="C689" s="41" t="s">
        <v>2637</v>
      </c>
      <c r="E689" s="412" t="s">
        <v>3738</v>
      </c>
      <c r="F689" s="984" t="str">
        <f t="shared" ref="F689:F690" si="36">E689&amp;"_"&amp;COUNTIF($A$3:E689, E689)</f>
        <v>curatescience204_1</v>
      </c>
      <c r="G689" s="412" t="s">
        <v>3739</v>
      </c>
      <c r="H689" s="413">
        <v>45675.0</v>
      </c>
      <c r="I689" s="413">
        <v>45676.0</v>
      </c>
      <c r="J689" s="60"/>
      <c r="K689" s="115" t="s">
        <v>3740</v>
      </c>
      <c r="L689" s="985" t="s">
        <v>3741</v>
      </c>
      <c r="M689" s="412" t="s">
        <v>3742</v>
      </c>
      <c r="N689" s="115">
        <v>1.0</v>
      </c>
      <c r="O689" s="986" t="str">
        <f t="shared" ref="O689:O690" si="37"> SUBSTITUTE(lower(M689), "/", "--") &amp;  ".pdf"</f>
        <v>10.1086--268936.pdf</v>
      </c>
      <c r="P689" s="48" t="str">
        <f t="array" ref="P689">HYPERLINK(INDEX('File Links'!B:B, MATCH(O689, 'File Links'!C:C, 0)))
</f>
        <v>https://drive.google.com/file/d/151z21j0N9goJiyhqVea_1u4UA83qXS6l/view?usp=drivesdk</v>
      </c>
      <c r="Q689" s="412" t="s">
        <v>3743</v>
      </c>
      <c r="R689" s="412" t="s">
        <v>3744</v>
      </c>
      <c r="S689" s="454" t="s">
        <v>3745</v>
      </c>
      <c r="T689" s="412" t="s">
        <v>3746</v>
      </c>
      <c r="U689" s="986" t="s">
        <v>3747</v>
      </c>
      <c r="V689" s="412" t="s">
        <v>3748</v>
      </c>
      <c r="W689" s="412" t="s">
        <v>3745</v>
      </c>
      <c r="Y689" s="412" t="s">
        <v>220</v>
      </c>
      <c r="Z689" s="412" t="s">
        <v>3749</v>
      </c>
      <c r="AA689" s="412" t="s">
        <v>3750</v>
      </c>
      <c r="AB689" s="412" t="s">
        <v>3751</v>
      </c>
      <c r="AC689" s="412" t="s">
        <v>3752</v>
      </c>
      <c r="AD689" s="412" t="s">
        <v>3753</v>
      </c>
      <c r="AE689" s="777">
        <v>61.0</v>
      </c>
      <c r="AF689" s="777">
        <v>0.26</v>
      </c>
      <c r="AG689" s="412" t="s">
        <v>3754</v>
      </c>
      <c r="AH689" s="412" t="s">
        <v>3755</v>
      </c>
      <c r="AI689" s="328">
        <v>0.001</v>
      </c>
      <c r="AJ689" s="352" t="s">
        <v>127</v>
      </c>
      <c r="AK689" s="352" t="s">
        <v>128</v>
      </c>
      <c r="AL689" s="780" t="s">
        <v>129</v>
      </c>
      <c r="AM689" s="352" t="s">
        <v>3756</v>
      </c>
      <c r="AN689" s="987">
        <v>6289.0</v>
      </c>
      <c r="AO689" s="777">
        <v>0.16</v>
      </c>
      <c r="AP689" s="412" t="s">
        <v>130</v>
      </c>
      <c r="AQ689" s="412" t="s">
        <v>3757</v>
      </c>
      <c r="AR689" s="777">
        <v>0.001</v>
      </c>
      <c r="AS689" s="412" t="s">
        <v>127</v>
      </c>
      <c r="AT689" s="412" t="s">
        <v>128</v>
      </c>
      <c r="AU689" s="780" t="s">
        <v>129</v>
      </c>
      <c r="AV689" s="780" t="s">
        <v>3756</v>
      </c>
      <c r="AW689" s="780" t="s">
        <v>134</v>
      </c>
      <c r="AZ689" s="178"/>
    </row>
    <row r="690" ht="20.25" customHeight="1">
      <c r="A690" s="41" t="s">
        <v>106</v>
      </c>
      <c r="B690" s="41" t="s">
        <v>107</v>
      </c>
      <c r="C690" s="41" t="s">
        <v>1251</v>
      </c>
      <c r="E690" s="147" t="s">
        <v>3738</v>
      </c>
      <c r="F690" s="988" t="str">
        <f t="shared" si="36"/>
        <v>curatescience204_2</v>
      </c>
      <c r="G690" s="147" t="s">
        <v>3758</v>
      </c>
      <c r="H690" s="140">
        <v>45901.0</v>
      </c>
      <c r="I690" s="140">
        <v>45901.0</v>
      </c>
      <c r="J690" s="147" t="s">
        <v>3759</v>
      </c>
      <c r="K690" s="60"/>
      <c r="L690" s="989" t="s">
        <v>3741</v>
      </c>
      <c r="M690" s="147" t="s">
        <v>3742</v>
      </c>
      <c r="N690" s="144">
        <v>1.0</v>
      </c>
      <c r="O690" s="459" t="str">
        <f t="shared" si="37"/>
        <v>10.1086--268936.pdf</v>
      </c>
      <c r="P690" s="48" t="str">
        <f t="array" ref="P690">HYPERLINK(INDEX('File Links'!B:B, MATCH(O690, 'File Links'!C:C, 0)))
</f>
        <v>https://drive.google.com/file/d/151z21j0N9goJiyhqVea_1u4UA83qXS6l/view?usp=drivesdk</v>
      </c>
      <c r="Q690" s="60"/>
      <c r="R690" s="60"/>
      <c r="S690" s="60"/>
      <c r="T690" s="60"/>
      <c r="U690" s="990"/>
      <c r="V690" s="60"/>
      <c r="W690" s="60"/>
      <c r="X690" s="60"/>
      <c r="Y690" s="147" t="s">
        <v>2052</v>
      </c>
      <c r="Z690" s="147" t="s">
        <v>3760</v>
      </c>
      <c r="AA690" s="60"/>
      <c r="AB690" s="60"/>
      <c r="AC690" s="147" t="s">
        <v>3761</v>
      </c>
      <c r="AD690" s="144">
        <v>390.0</v>
      </c>
      <c r="AE690" s="144">
        <v>132.0</v>
      </c>
      <c r="AF690" s="60"/>
      <c r="AG690" s="60"/>
      <c r="AH690" s="60"/>
      <c r="AI690" s="646">
        <v>0.005</v>
      </c>
      <c r="AJ690" s="52" t="s">
        <v>127</v>
      </c>
      <c r="AK690" s="55"/>
      <c r="AL690" s="60" t="s">
        <v>129</v>
      </c>
      <c r="AM690" s="55"/>
      <c r="AN690" s="144">
        <v>5899.0</v>
      </c>
      <c r="AO690" s="144">
        <v>0.49</v>
      </c>
      <c r="AP690" s="147" t="s">
        <v>166</v>
      </c>
      <c r="AQ690" s="60"/>
      <c r="AR690" s="144">
        <v>0.001</v>
      </c>
      <c r="AS690" s="147" t="s">
        <v>127</v>
      </c>
      <c r="AT690" s="60"/>
      <c r="AU690" s="60" t="s">
        <v>129</v>
      </c>
      <c r="AV690" s="60"/>
      <c r="AW690" s="60" t="s">
        <v>134</v>
      </c>
    </row>
    <row r="691" ht="20.25" customHeight="1">
      <c r="A691" s="41" t="s">
        <v>279</v>
      </c>
      <c r="B691" s="41" t="s">
        <v>107</v>
      </c>
      <c r="C691" s="41" t="s">
        <v>3672</v>
      </c>
      <c r="E691" s="147" t="s">
        <v>3762</v>
      </c>
      <c r="F691" s="52" t="s">
        <v>3763</v>
      </c>
      <c r="G691" s="147" t="s">
        <v>3673</v>
      </c>
      <c r="H691" s="409">
        <v>45643.0</v>
      </c>
      <c r="I691" s="60"/>
      <c r="J691" s="147" t="s">
        <v>3764</v>
      </c>
      <c r="K691" s="147" t="s">
        <v>3765</v>
      </c>
      <c r="L691" s="625" t="s">
        <v>3766</v>
      </c>
      <c r="M691" s="147" t="s">
        <v>3767</v>
      </c>
      <c r="N691" s="147" t="s">
        <v>3511</v>
      </c>
      <c r="O691" s="459" t="s">
        <v>3768</v>
      </c>
      <c r="P691" s="48" t="str">
        <f t="array" ref="P691">HYPERLINK(INDEX('File Links'!B:B, MATCH(O691, 'File Links'!C:C, 0)))
</f>
        <v>https://drive.google.com/file/d/1k_ITkShMoY3bps8YyiRV8_CnbYN3486s/view?usp=drivesdk</v>
      </c>
      <c r="Q691" s="147" t="s">
        <v>3769</v>
      </c>
      <c r="R691" s="147" t="s">
        <v>3770</v>
      </c>
      <c r="S691" s="60"/>
      <c r="T691" s="147" t="s">
        <v>3771</v>
      </c>
      <c r="U691" s="459" t="s">
        <v>3772</v>
      </c>
      <c r="V691" s="147" t="s">
        <v>3773</v>
      </c>
      <c r="W691" s="50" t="str">
        <f t="array" ref="W691">HYPERLINK(INDEX('File Links'!B:B, MATCH(U691, 'File Links'!C:C, 0)))
</f>
        <v>https://drive.google.com/file/d/1OuxVCUkVnVBw7IH1mtlkV9HYUNX7kOe5/view?usp=drivesdk</v>
      </c>
      <c r="X691" s="60"/>
      <c r="Y691" s="147" t="s">
        <v>220</v>
      </c>
      <c r="Z691" s="147" t="s">
        <v>3774</v>
      </c>
      <c r="AA691" s="60"/>
      <c r="AB691" s="147" t="s">
        <v>3775</v>
      </c>
      <c r="AC691" s="147" t="s">
        <v>3776</v>
      </c>
      <c r="AD691" s="144">
        <v>8.0</v>
      </c>
      <c r="AE691" s="144">
        <v>30.0</v>
      </c>
      <c r="AF691" s="147" t="s">
        <v>3777</v>
      </c>
      <c r="AG691" s="330" t="s">
        <v>162</v>
      </c>
      <c r="AH691" s="52" t="s">
        <v>610</v>
      </c>
      <c r="AI691" s="355">
        <v>0.01</v>
      </c>
      <c r="AJ691" s="147" t="s">
        <v>127</v>
      </c>
      <c r="AK691" s="52" t="s">
        <v>179</v>
      </c>
      <c r="AL691" s="60" t="s">
        <v>129</v>
      </c>
      <c r="AM691" s="60"/>
      <c r="AN691" s="144">
        <v>28.0</v>
      </c>
      <c r="AO691" s="147" t="s">
        <v>3778</v>
      </c>
      <c r="AP691" s="147" t="s">
        <v>162</v>
      </c>
      <c r="AQ691" s="147" t="s">
        <v>861</v>
      </c>
      <c r="AR691" s="144">
        <v>0.13</v>
      </c>
      <c r="AS691" s="147" t="s">
        <v>164</v>
      </c>
      <c r="AT691" s="147" t="s">
        <v>179</v>
      </c>
      <c r="AU691" s="60" t="s">
        <v>129</v>
      </c>
      <c r="AV691" s="60"/>
      <c r="AW691" s="60" t="s">
        <v>134</v>
      </c>
      <c r="AX691" s="147"/>
      <c r="AZ691" s="178"/>
    </row>
    <row r="692" ht="20.25" customHeight="1">
      <c r="A692" s="41" t="s">
        <v>279</v>
      </c>
      <c r="B692" s="41" t="s">
        <v>107</v>
      </c>
      <c r="C692" s="41" t="s">
        <v>3672</v>
      </c>
      <c r="E692" s="147" t="s">
        <v>3762</v>
      </c>
      <c r="F692" s="52" t="s">
        <v>3763</v>
      </c>
      <c r="G692" s="147" t="s">
        <v>3673</v>
      </c>
      <c r="H692" s="409">
        <v>45643.0</v>
      </c>
      <c r="I692" s="60"/>
      <c r="J692" s="147" t="s">
        <v>3779</v>
      </c>
      <c r="K692" s="147" t="s">
        <v>3765</v>
      </c>
      <c r="L692" s="625" t="s">
        <v>3780</v>
      </c>
      <c r="M692" s="147" t="s">
        <v>3767</v>
      </c>
      <c r="N692" s="147" t="s">
        <v>3511</v>
      </c>
      <c r="O692" s="459" t="s">
        <v>3768</v>
      </c>
      <c r="P692" s="48" t="str">
        <f t="array" ref="P692">HYPERLINK(INDEX('File Links'!B:B, MATCH(O692, 'File Links'!C:C, 0)))
</f>
        <v>https://drive.google.com/file/d/1k_ITkShMoY3bps8YyiRV8_CnbYN3486s/view?usp=drivesdk</v>
      </c>
      <c r="Q692" s="147" t="s">
        <v>3769</v>
      </c>
      <c r="R692" s="147" t="s">
        <v>3770</v>
      </c>
      <c r="S692" s="60"/>
      <c r="T692" s="147" t="s">
        <v>3771</v>
      </c>
      <c r="U692" s="459" t="s">
        <v>3772</v>
      </c>
      <c r="V692" s="147" t="s">
        <v>3773</v>
      </c>
      <c r="W692" s="50" t="str">
        <f t="array" ref="W692">HYPERLINK(INDEX('File Links'!B:B, MATCH(U692, 'File Links'!C:C, 0)))
</f>
        <v>https://drive.google.com/file/d/1OuxVCUkVnVBw7IH1mtlkV9HYUNX7kOe5/view?usp=drivesdk</v>
      </c>
      <c r="X692" s="60"/>
      <c r="Y692" s="147" t="s">
        <v>220</v>
      </c>
      <c r="Z692" s="147" t="s">
        <v>3774</v>
      </c>
      <c r="AA692" s="60"/>
      <c r="AB692" s="147" t="s">
        <v>3775</v>
      </c>
      <c r="AC692" s="60"/>
      <c r="AD692" s="60"/>
      <c r="AE692" s="60"/>
      <c r="AF692" s="60"/>
      <c r="AG692" s="329"/>
      <c r="AH692" s="55"/>
      <c r="AI692" s="55"/>
      <c r="AJ692" s="60"/>
      <c r="AK692" s="55"/>
      <c r="AL692" s="60"/>
      <c r="AM692" s="60"/>
      <c r="AN692" s="144">
        <v>28.0</v>
      </c>
      <c r="AO692" s="147" t="s">
        <v>3781</v>
      </c>
      <c r="AP692" s="147" t="s">
        <v>162</v>
      </c>
      <c r="AQ692" s="147" t="s">
        <v>861</v>
      </c>
      <c r="AR692" s="144">
        <v>0.05</v>
      </c>
      <c r="AS692" s="147" t="s">
        <v>127</v>
      </c>
      <c r="AT692" s="147" t="s">
        <v>179</v>
      </c>
      <c r="AU692" s="60" t="s">
        <v>129</v>
      </c>
      <c r="AV692" s="60"/>
      <c r="AW692" s="60" t="s">
        <v>142</v>
      </c>
    </row>
    <row r="693" ht="20.25" customHeight="1">
      <c r="A693" s="41" t="s">
        <v>279</v>
      </c>
      <c r="B693" s="41" t="s">
        <v>107</v>
      </c>
      <c r="C693" s="41" t="s">
        <v>3672</v>
      </c>
      <c r="E693" s="147" t="s">
        <v>3782</v>
      </c>
      <c r="F693" s="52" t="s">
        <v>3783</v>
      </c>
      <c r="G693" s="147" t="s">
        <v>3673</v>
      </c>
      <c r="H693" s="409">
        <v>45643.0</v>
      </c>
      <c r="I693" s="60"/>
      <c r="J693" s="147" t="s">
        <v>3784</v>
      </c>
      <c r="K693" s="147" t="s">
        <v>3765</v>
      </c>
      <c r="L693" s="625" t="s">
        <v>3785</v>
      </c>
      <c r="M693" s="147" t="s">
        <v>3767</v>
      </c>
      <c r="N693" s="147" t="s">
        <v>3511</v>
      </c>
      <c r="O693" s="459" t="s">
        <v>3768</v>
      </c>
      <c r="P693" s="48" t="str">
        <f t="array" ref="P693">HYPERLINK(INDEX('File Links'!B:B, MATCH(O693, 'File Links'!C:C, 0)))
</f>
        <v>https://drive.google.com/file/d/1k_ITkShMoY3bps8YyiRV8_CnbYN3486s/view?usp=drivesdk</v>
      </c>
      <c r="Q693" s="147" t="s">
        <v>3786</v>
      </c>
      <c r="R693" s="147" t="s">
        <v>3770</v>
      </c>
      <c r="S693" s="60"/>
      <c r="T693" s="147" t="s">
        <v>3787</v>
      </c>
      <c r="U693" s="459" t="s">
        <v>3772</v>
      </c>
      <c r="V693" s="147" t="s">
        <v>3773</v>
      </c>
      <c r="W693" s="50" t="str">
        <f t="array" ref="W693">HYPERLINK(INDEX('File Links'!B:B, MATCH(U693, 'File Links'!C:C, 0)))
</f>
        <v>https://drive.google.com/file/d/1OuxVCUkVnVBw7IH1mtlkV9HYUNX7kOe5/view?usp=drivesdk</v>
      </c>
      <c r="X693" s="60"/>
      <c r="Y693" s="147" t="s">
        <v>220</v>
      </c>
      <c r="Z693" s="147" t="s">
        <v>3774</v>
      </c>
      <c r="AA693" s="60"/>
      <c r="AB693" s="147" t="s">
        <v>3775</v>
      </c>
      <c r="AC693" s="147" t="s">
        <v>3776</v>
      </c>
      <c r="AD693" s="144">
        <v>8.0</v>
      </c>
      <c r="AE693" s="144">
        <v>30.0</v>
      </c>
      <c r="AF693" s="147" t="s">
        <v>3777</v>
      </c>
      <c r="AG693" s="330" t="s">
        <v>162</v>
      </c>
      <c r="AH693" s="52" t="s">
        <v>610</v>
      </c>
      <c r="AI693" s="355">
        <v>0.01</v>
      </c>
      <c r="AJ693" s="147" t="s">
        <v>127</v>
      </c>
      <c r="AK693" s="52" t="s">
        <v>179</v>
      </c>
      <c r="AL693" s="60" t="s">
        <v>129</v>
      </c>
      <c r="AM693" s="60"/>
      <c r="AN693" s="144">
        <v>37.0</v>
      </c>
      <c r="AO693" s="147" t="s">
        <v>3788</v>
      </c>
      <c r="AP693" s="147" t="s">
        <v>162</v>
      </c>
      <c r="AQ693" s="147" t="s">
        <v>861</v>
      </c>
      <c r="AR693" s="144">
        <v>0.09</v>
      </c>
      <c r="AS693" s="147" t="s">
        <v>164</v>
      </c>
      <c r="AT693" s="147" t="s">
        <v>179</v>
      </c>
      <c r="AU693" s="60" t="s">
        <v>129</v>
      </c>
      <c r="AV693" s="60"/>
      <c r="AW693" s="60" t="s">
        <v>134</v>
      </c>
      <c r="AZ693" s="178"/>
    </row>
    <row r="694" ht="20.25" customHeight="1">
      <c r="A694" s="41" t="s">
        <v>279</v>
      </c>
      <c r="B694" s="41" t="s">
        <v>107</v>
      </c>
      <c r="C694" s="41" t="s">
        <v>3672</v>
      </c>
      <c r="E694" s="147" t="s">
        <v>3782</v>
      </c>
      <c r="F694" s="52" t="s">
        <v>3783</v>
      </c>
      <c r="G694" s="147" t="s">
        <v>3673</v>
      </c>
      <c r="H694" s="409">
        <v>45643.0</v>
      </c>
      <c r="I694" s="60"/>
      <c r="J694" s="147" t="s">
        <v>3789</v>
      </c>
      <c r="K694" s="147" t="s">
        <v>3765</v>
      </c>
      <c r="L694" s="625" t="s">
        <v>3790</v>
      </c>
      <c r="M694" s="147" t="s">
        <v>3767</v>
      </c>
      <c r="N694" s="147" t="s">
        <v>3511</v>
      </c>
      <c r="O694" s="459" t="s">
        <v>3768</v>
      </c>
      <c r="P694" s="48" t="str">
        <f t="array" ref="P694">HYPERLINK(INDEX('File Links'!B:B, MATCH(O694, 'File Links'!C:C, 0)))
</f>
        <v>https://drive.google.com/file/d/1k_ITkShMoY3bps8YyiRV8_CnbYN3486s/view?usp=drivesdk</v>
      </c>
      <c r="Q694" s="147" t="s">
        <v>3786</v>
      </c>
      <c r="R694" s="147" t="s">
        <v>3770</v>
      </c>
      <c r="S694" s="60"/>
      <c r="T694" s="147" t="s">
        <v>3787</v>
      </c>
      <c r="U694" s="459" t="s">
        <v>3772</v>
      </c>
      <c r="V694" s="147" t="s">
        <v>3773</v>
      </c>
      <c r="W694" s="50" t="str">
        <f t="array" ref="W694">HYPERLINK(INDEX('File Links'!B:B, MATCH(U694, 'File Links'!C:C, 0)))
</f>
        <v>https://drive.google.com/file/d/1OuxVCUkVnVBw7IH1mtlkV9HYUNX7kOe5/view?usp=drivesdk</v>
      </c>
      <c r="X694" s="60"/>
      <c r="Y694" s="147" t="s">
        <v>220</v>
      </c>
      <c r="Z694" s="147" t="s">
        <v>3774</v>
      </c>
      <c r="AA694" s="60"/>
      <c r="AB694" s="147" t="s">
        <v>3775</v>
      </c>
      <c r="AC694" s="60"/>
      <c r="AD694" s="60"/>
      <c r="AE694" s="60"/>
      <c r="AF694" s="60"/>
      <c r="AG694" s="329"/>
      <c r="AH694" s="55"/>
      <c r="AI694" s="55"/>
      <c r="AJ694" s="60"/>
      <c r="AK694" s="55"/>
      <c r="AL694" s="60"/>
      <c r="AM694" s="60"/>
      <c r="AN694" s="144">
        <v>37.0</v>
      </c>
      <c r="AO694" s="147" t="s">
        <v>3791</v>
      </c>
      <c r="AP694" s="147" t="s">
        <v>162</v>
      </c>
      <c r="AQ694" s="147" t="s">
        <v>861</v>
      </c>
      <c r="AR694" s="144">
        <v>0.01</v>
      </c>
      <c r="AS694" s="147" t="s">
        <v>164</v>
      </c>
      <c r="AT694" s="147" t="s">
        <v>179</v>
      </c>
      <c r="AU694" s="60" t="s">
        <v>129</v>
      </c>
      <c r="AV694" s="60"/>
      <c r="AW694" s="60" t="s">
        <v>142</v>
      </c>
    </row>
    <row r="695" ht="20.25" customHeight="1">
      <c r="A695" s="41" t="s">
        <v>279</v>
      </c>
      <c r="B695" s="41" t="s">
        <v>107</v>
      </c>
      <c r="C695" s="41" t="s">
        <v>3672</v>
      </c>
      <c r="E695" s="60" t="s">
        <v>3792</v>
      </c>
      <c r="F695" s="52" t="s">
        <v>3793</v>
      </c>
      <c r="G695" s="147" t="s">
        <v>3673</v>
      </c>
      <c r="H695" s="409">
        <v>45643.0</v>
      </c>
      <c r="I695" s="60"/>
      <c r="J695" s="147" t="s">
        <v>3794</v>
      </c>
      <c r="K695" s="147" t="s">
        <v>3765</v>
      </c>
      <c r="L695" s="625" t="s">
        <v>3795</v>
      </c>
      <c r="M695" s="147" t="s">
        <v>3767</v>
      </c>
      <c r="N695" s="147" t="s">
        <v>3511</v>
      </c>
      <c r="O695" s="459" t="s">
        <v>3768</v>
      </c>
      <c r="P695" s="48" t="str">
        <f t="array" ref="P695">HYPERLINK(INDEX('File Links'!B:B, MATCH(O695, 'File Links'!C:C, 0)))
</f>
        <v>https://drive.google.com/file/d/1k_ITkShMoY3bps8YyiRV8_CnbYN3486s/view?usp=drivesdk</v>
      </c>
      <c r="Q695" s="147" t="s">
        <v>3796</v>
      </c>
      <c r="R695" s="147" t="s">
        <v>3797</v>
      </c>
      <c r="S695" s="60"/>
      <c r="T695" s="144">
        <v>2.0</v>
      </c>
      <c r="U695" s="459" t="s">
        <v>3797</v>
      </c>
      <c r="V695" s="147" t="s">
        <v>3798</v>
      </c>
      <c r="W695" s="45" t="str">
        <f t="array" ref="W695">HYPERLINK(INDEX('File Links'!B:B, MATCH(U695, 'File Links'!C:C, 0)))
</f>
        <v>#N/A</v>
      </c>
      <c r="X695" s="60"/>
      <c r="Y695" s="147" t="s">
        <v>220</v>
      </c>
      <c r="Z695" s="147" t="s">
        <v>3774</v>
      </c>
      <c r="AA695" s="147" t="s">
        <v>3799</v>
      </c>
      <c r="AB695" s="147" t="s">
        <v>3775</v>
      </c>
      <c r="AC695" s="147" t="s">
        <v>3776</v>
      </c>
      <c r="AD695" s="144">
        <v>8.0</v>
      </c>
      <c r="AE695" s="144">
        <v>30.0</v>
      </c>
      <c r="AF695" s="147" t="s">
        <v>3777</v>
      </c>
      <c r="AG695" s="330" t="s">
        <v>162</v>
      </c>
      <c r="AH695" s="52" t="s">
        <v>610</v>
      </c>
      <c r="AI695" s="355">
        <v>0.01</v>
      </c>
      <c r="AJ695" s="147" t="s">
        <v>127</v>
      </c>
      <c r="AK695" s="52" t="s">
        <v>179</v>
      </c>
      <c r="AL695" s="60" t="s">
        <v>129</v>
      </c>
      <c r="AM695" s="60"/>
      <c r="AN695" s="144">
        <v>50.0</v>
      </c>
      <c r="AO695" s="144">
        <v>0.225</v>
      </c>
      <c r="AP695" s="147" t="s">
        <v>166</v>
      </c>
      <c r="AQ695" s="147" t="s">
        <v>627</v>
      </c>
      <c r="AR695" s="60"/>
      <c r="AS695" s="60"/>
      <c r="AT695" s="60"/>
      <c r="AU695" s="60" t="s">
        <v>129</v>
      </c>
      <c r="AV695" s="60"/>
      <c r="AW695" s="60" t="s">
        <v>134</v>
      </c>
      <c r="AZ695" s="178"/>
    </row>
    <row r="696" ht="20.25" customHeight="1">
      <c r="A696" s="41" t="s">
        <v>279</v>
      </c>
      <c r="B696" s="41" t="s">
        <v>107</v>
      </c>
      <c r="C696" s="41" t="s">
        <v>3672</v>
      </c>
      <c r="E696" s="42" t="s">
        <v>3800</v>
      </c>
      <c r="F696" s="43" t="s">
        <v>3801</v>
      </c>
      <c r="G696" s="147" t="s">
        <v>3673</v>
      </c>
      <c r="H696" s="991">
        <v>45646.0</v>
      </c>
      <c r="I696" s="42"/>
      <c r="J696" s="356" t="s">
        <v>3802</v>
      </c>
      <c r="K696" s="356" t="s">
        <v>3765</v>
      </c>
      <c r="L696" s="625" t="s">
        <v>3803</v>
      </c>
      <c r="M696" s="356" t="s">
        <v>3767</v>
      </c>
      <c r="N696" s="356" t="s">
        <v>3511</v>
      </c>
      <c r="O696" s="992" t="s">
        <v>3768</v>
      </c>
      <c r="P696" s="48" t="str">
        <f t="array" ref="P696">HYPERLINK(INDEX('File Links'!B:B, MATCH(O696, 'File Links'!C:C, 0)))
</f>
        <v>https://drive.google.com/file/d/1k_ITkShMoY3bps8YyiRV8_CnbYN3486s/view?usp=drivesdk</v>
      </c>
      <c r="Q696" s="356" t="s">
        <v>3804</v>
      </c>
      <c r="R696" s="42"/>
      <c r="S696" s="42"/>
      <c r="T696" s="42"/>
      <c r="U696" s="992" t="s">
        <v>351</v>
      </c>
      <c r="V696" s="42"/>
      <c r="W696" s="45" t="str">
        <f t="array" ref="W696">HYPERLINK(INDEX('File Links'!B:B, MATCH(U696, 'File Links'!C:C, 0)))
</f>
        <v>#N/A</v>
      </c>
      <c r="X696" s="42"/>
      <c r="Y696" s="356" t="s">
        <v>220</v>
      </c>
      <c r="Z696" s="356" t="s">
        <v>3774</v>
      </c>
      <c r="AA696" s="42"/>
      <c r="AB696" s="147" t="s">
        <v>3775</v>
      </c>
      <c r="AC696" s="356" t="s">
        <v>3776</v>
      </c>
      <c r="AD696" s="360">
        <v>8.0</v>
      </c>
      <c r="AE696" s="360">
        <v>30.0</v>
      </c>
      <c r="AF696" s="356" t="s">
        <v>3777</v>
      </c>
      <c r="AG696" s="47" t="s">
        <v>162</v>
      </c>
      <c r="AH696" s="43" t="s">
        <v>610</v>
      </c>
      <c r="AI696" s="640">
        <v>0.01</v>
      </c>
      <c r="AJ696" s="356" t="s">
        <v>127</v>
      </c>
      <c r="AK696" s="43" t="s">
        <v>179</v>
      </c>
      <c r="AL696" s="42" t="s">
        <v>129</v>
      </c>
      <c r="AM696" s="42"/>
      <c r="AN696" s="360">
        <v>66.0</v>
      </c>
      <c r="AO696" s="356" t="s">
        <v>3805</v>
      </c>
      <c r="AP696" s="356" t="s">
        <v>162</v>
      </c>
      <c r="AQ696" s="356" t="s">
        <v>886</v>
      </c>
      <c r="AR696" s="360">
        <v>0.38</v>
      </c>
      <c r="AS696" s="356" t="s">
        <v>164</v>
      </c>
      <c r="AT696" s="356" t="s">
        <v>179</v>
      </c>
      <c r="AU696" s="42" t="s">
        <v>129</v>
      </c>
      <c r="AV696" s="42"/>
      <c r="AW696" s="42" t="s">
        <v>134</v>
      </c>
    </row>
    <row r="697" ht="20.25" customHeight="1">
      <c r="A697" s="136" t="s">
        <v>143</v>
      </c>
      <c r="B697" s="136" t="s">
        <v>107</v>
      </c>
      <c r="C697" s="136" t="s">
        <v>2637</v>
      </c>
      <c r="D697" s="64"/>
      <c r="E697" s="208" t="s">
        <v>3806</v>
      </c>
      <c r="F697" s="200" t="str">
        <f t="shared" ref="F697:F700" si="38">E697&amp;"_"&amp;COUNTIF($A$3:E697, E697)</f>
        <v>curatescience241_1</v>
      </c>
      <c r="G697" s="208" t="s">
        <v>3739</v>
      </c>
      <c r="H697" s="389">
        <v>45676.0</v>
      </c>
      <c r="I697" s="993">
        <v>45681.0</v>
      </c>
      <c r="J697" s="98"/>
      <c r="K697" s="136" t="s">
        <v>3807</v>
      </c>
      <c r="L697" s="994" t="s">
        <v>3808</v>
      </c>
      <c r="M697" s="208" t="s">
        <v>3742</v>
      </c>
      <c r="N697" s="134">
        <v>1.0</v>
      </c>
      <c r="O697" s="995" t="str">
        <f t="shared" ref="O697:O699" si="39"> SUBSTITUTE(lower(M697), "/", "--") &amp;  ".pdf"</f>
        <v>10.1086--268936.pdf</v>
      </c>
      <c r="P697" s="48" t="str">
        <f t="array" ref="P697">HYPERLINK(INDEX('File Links'!B:B, MATCH(O697, 'File Links'!C:C, 0)))
</f>
        <v>https://drive.google.com/file/d/151z21j0N9goJiyhqVea_1u4UA83qXS6l/view?usp=drivesdk</v>
      </c>
      <c r="Q697" s="208" t="s">
        <v>3743</v>
      </c>
      <c r="R697" s="208" t="s">
        <v>3744</v>
      </c>
      <c r="S697" s="996" t="s">
        <v>3745</v>
      </c>
      <c r="T697" s="208" t="s">
        <v>3746</v>
      </c>
      <c r="U697" s="995" t="s">
        <v>3747</v>
      </c>
      <c r="V697" s="206" t="s">
        <v>3748</v>
      </c>
      <c r="W697" s="997" t="s">
        <v>3745</v>
      </c>
      <c r="X697" s="98"/>
      <c r="Y697" s="208" t="s">
        <v>220</v>
      </c>
      <c r="Z697" s="208" t="s">
        <v>3749</v>
      </c>
      <c r="AA697" s="208" t="s">
        <v>3750</v>
      </c>
      <c r="AB697" s="208" t="s">
        <v>3751</v>
      </c>
      <c r="AC697" s="208" t="s">
        <v>3752</v>
      </c>
      <c r="AD697" s="206">
        <v>391.0</v>
      </c>
      <c r="AE697" s="998">
        <v>132.0</v>
      </c>
      <c r="AF697" s="213" t="s">
        <v>3809</v>
      </c>
      <c r="AG697" s="206" t="s">
        <v>162</v>
      </c>
      <c r="AH697" s="206" t="s">
        <v>3810</v>
      </c>
      <c r="AI697" s="999">
        <v>0.004</v>
      </c>
      <c r="AJ697" s="200" t="s">
        <v>127</v>
      </c>
      <c r="AK697" s="43" t="s">
        <v>179</v>
      </c>
      <c r="AL697" s="964" t="s">
        <v>129</v>
      </c>
      <c r="AM697" s="206" t="s">
        <v>165</v>
      </c>
      <c r="AN697" s="1000">
        <v>5899.0</v>
      </c>
      <c r="AO697" s="998" t="s">
        <v>3811</v>
      </c>
      <c r="AP697" s="1001" t="s">
        <v>162</v>
      </c>
      <c r="AQ697" s="1002" t="s">
        <v>3812</v>
      </c>
      <c r="AR697" s="962">
        <v>0.001</v>
      </c>
      <c r="AS697" s="208" t="s">
        <v>127</v>
      </c>
      <c r="AT697" s="356" t="s">
        <v>179</v>
      </c>
      <c r="AU697" s="964" t="s">
        <v>129</v>
      </c>
      <c r="AV697" s="1003" t="s">
        <v>165</v>
      </c>
      <c r="AW697" s="964" t="s">
        <v>134</v>
      </c>
      <c r="AX697" s="1004" t="s">
        <v>3813</v>
      </c>
      <c r="AY697" s="136" t="s">
        <v>135</v>
      </c>
      <c r="AZ697" s="178"/>
    </row>
    <row r="698" ht="20.25" hidden="1" customHeight="1">
      <c r="A698" s="136" t="s">
        <v>106</v>
      </c>
      <c r="B698" s="136" t="s">
        <v>107</v>
      </c>
      <c r="C698" s="136" t="s">
        <v>1251</v>
      </c>
      <c r="D698" s="64"/>
      <c r="E698" s="108" t="s">
        <v>3806</v>
      </c>
      <c r="F698" s="99" t="str">
        <f t="shared" si="38"/>
        <v>curatescience241_2</v>
      </c>
      <c r="G698" s="108" t="s">
        <v>3758</v>
      </c>
      <c r="H698" s="391">
        <v>45901.0</v>
      </c>
      <c r="I698" s="391">
        <v>45901.0</v>
      </c>
      <c r="J698" s="108" t="s">
        <v>3759</v>
      </c>
      <c r="K698" s="98"/>
      <c r="L698" s="1005" t="s">
        <v>3808</v>
      </c>
      <c r="M698" s="108" t="s">
        <v>3742</v>
      </c>
      <c r="N698" s="98"/>
      <c r="O698" s="481" t="str">
        <f t="shared" si="39"/>
        <v>10.1086--268936.pdf</v>
      </c>
      <c r="P698" s="48" t="str">
        <f t="array" ref="P698">HYPERLINK(INDEX('File Links'!B:B, MATCH(O698, 'File Links'!C:C, 0)))
</f>
        <v>https://drive.google.com/file/d/151z21j0N9goJiyhqVea_1u4UA83qXS6l/view?usp=drivesdk</v>
      </c>
      <c r="Q698" s="98"/>
      <c r="R698" s="98"/>
      <c r="S698" s="98"/>
      <c r="T698" s="98"/>
      <c r="U698" s="1006"/>
      <c r="V698" s="98"/>
      <c r="W698" s="98"/>
      <c r="X698" s="108" t="s">
        <v>3814</v>
      </c>
      <c r="Y698" s="98"/>
      <c r="Z698" s="98"/>
      <c r="AA698" s="98"/>
      <c r="AB698" s="98"/>
      <c r="AC698" s="98"/>
      <c r="AD698" s="98"/>
      <c r="AE698" s="98"/>
      <c r="AF698" s="98"/>
      <c r="AG698" s="98"/>
      <c r="AH698" s="98"/>
      <c r="AI698" s="106"/>
      <c r="AJ698" s="101"/>
      <c r="AK698" s="101"/>
      <c r="AL698" s="98"/>
      <c r="AM698" s="101"/>
      <c r="AN698" s="98"/>
      <c r="AO698" s="98"/>
      <c r="AP698" s="98"/>
      <c r="AQ698" s="98"/>
      <c r="AR698" s="98"/>
      <c r="AS698" s="98"/>
      <c r="AT698" s="98"/>
      <c r="AU698" s="98"/>
      <c r="AV698" s="98"/>
      <c r="AW698" s="98"/>
      <c r="AX698" s="64"/>
      <c r="AY698" s="136" t="s">
        <v>135</v>
      </c>
    </row>
    <row r="699" ht="20.25" customHeight="1">
      <c r="A699" s="332" t="s">
        <v>106</v>
      </c>
      <c r="B699" s="332" t="s">
        <v>107</v>
      </c>
      <c r="C699" s="332" t="s">
        <v>2637</v>
      </c>
      <c r="D699" s="333"/>
      <c r="E699" s="821" t="s">
        <v>3815</v>
      </c>
      <c r="F699" s="1007" t="str">
        <f t="shared" si="38"/>
        <v>curatescience244_1</v>
      </c>
      <c r="G699" s="821" t="s">
        <v>3739</v>
      </c>
      <c r="H699" s="1008">
        <v>45676.0</v>
      </c>
      <c r="I699" s="159">
        <v>45684.0</v>
      </c>
      <c r="J699" s="738"/>
      <c r="K699" s="727" t="s">
        <v>3816</v>
      </c>
      <c r="L699" s="1009" t="s">
        <v>3817</v>
      </c>
      <c r="M699" s="821" t="s">
        <v>3818</v>
      </c>
      <c r="N699" s="727">
        <v>1.0</v>
      </c>
      <c r="O699" s="1010" t="str">
        <f t="shared" si="39"/>
        <v>10.1037--1089-2699.6.1.101.pdf</v>
      </c>
      <c r="P699" s="48" t="str">
        <f t="array" ref="P699">HYPERLINK(INDEX('File Links'!B:B, MATCH(O699, 'File Links'!C:C, 0)))
</f>
        <v>https://drive.google.com/file/d/120bw0itAYyHMiW9T7e3mTuddlQMPW3x8/view?usp=drivesdk</v>
      </c>
      <c r="Q699" s="821" t="s">
        <v>3743</v>
      </c>
      <c r="R699" s="821" t="s">
        <v>3744</v>
      </c>
      <c r="S699" s="1011" t="s">
        <v>3745</v>
      </c>
      <c r="T699" s="821" t="s">
        <v>3819</v>
      </c>
      <c r="U699" s="1010" t="s">
        <v>3747</v>
      </c>
      <c r="V699" s="821" t="s">
        <v>3748</v>
      </c>
      <c r="W699" s="821" t="s">
        <v>3745</v>
      </c>
      <c r="Y699" s="821" t="s">
        <v>220</v>
      </c>
      <c r="Z699" s="821" t="s">
        <v>3820</v>
      </c>
      <c r="AA699" s="821" t="s">
        <v>3821</v>
      </c>
      <c r="AB699" s="821" t="s">
        <v>3822</v>
      </c>
      <c r="AC699" s="821" t="s">
        <v>3823</v>
      </c>
      <c r="AD699" s="821" t="s">
        <v>3824</v>
      </c>
      <c r="AE699" s="1012">
        <v>160857.0</v>
      </c>
      <c r="AF699" s="1013">
        <v>0.71</v>
      </c>
      <c r="AG699" s="821" t="s">
        <v>181</v>
      </c>
      <c r="AH699" s="821" t="s">
        <v>3825</v>
      </c>
      <c r="AI699" s="1014" t="s">
        <v>165</v>
      </c>
      <c r="AJ699" s="1014" t="s">
        <v>165</v>
      </c>
      <c r="AK699" s="1014" t="s">
        <v>165</v>
      </c>
      <c r="AL699" s="1015" t="s">
        <v>129</v>
      </c>
      <c r="AM699" s="1016" t="s">
        <v>165</v>
      </c>
      <c r="AN699" s="1012">
        <v>6120.0</v>
      </c>
      <c r="AO699" s="1013">
        <v>0.68</v>
      </c>
      <c r="AP699" s="821" t="s">
        <v>166</v>
      </c>
      <c r="AQ699" s="821" t="s">
        <v>3826</v>
      </c>
      <c r="AR699" s="1013">
        <v>0.001</v>
      </c>
      <c r="AS699" s="821" t="s">
        <v>127</v>
      </c>
      <c r="AT699" s="821" t="s">
        <v>128</v>
      </c>
      <c r="AU699" s="1015" t="s">
        <v>129</v>
      </c>
      <c r="AV699" s="1015" t="s">
        <v>3756</v>
      </c>
      <c r="AW699" s="1015" t="s">
        <v>134</v>
      </c>
      <c r="AX699" s="332" t="s">
        <v>3827</v>
      </c>
      <c r="AY699" s="332" t="s">
        <v>135</v>
      </c>
      <c r="AZ699" s="178"/>
    </row>
    <row r="700" ht="20.25" customHeight="1">
      <c r="A700" s="332" t="s">
        <v>143</v>
      </c>
      <c r="B700" s="332" t="s">
        <v>107</v>
      </c>
      <c r="C700" s="332" t="s">
        <v>1251</v>
      </c>
      <c r="D700" s="333"/>
      <c r="E700" s="734" t="s">
        <v>3815</v>
      </c>
      <c r="F700" s="736" t="str">
        <f t="shared" si="38"/>
        <v>curatescience244_2</v>
      </c>
      <c r="G700" s="734" t="s">
        <v>3758</v>
      </c>
      <c r="H700" s="737">
        <v>45901.0</v>
      </c>
      <c r="I700" s="159">
        <v>45684.0</v>
      </c>
      <c r="J700" s="738"/>
      <c r="K700" s="738"/>
      <c r="L700" s="1017" t="s">
        <v>3828</v>
      </c>
      <c r="M700" s="334" t="s">
        <v>3829</v>
      </c>
      <c r="N700" s="739">
        <v>1.0</v>
      </c>
      <c r="O700" s="1018"/>
      <c r="P700" s="544" t="str">
        <f t="array" ref="P700">HYPERLINK(INDEX('File Links'!B:B, MATCH(O700, 'File Links'!C:C, 0)))
</f>
        <v>#N/A</v>
      </c>
      <c r="Q700" s="821" t="s">
        <v>3743</v>
      </c>
      <c r="R700" s="821" t="s">
        <v>3744</v>
      </c>
      <c r="S700" s="1011" t="s">
        <v>3745</v>
      </c>
      <c r="T700" s="821" t="s">
        <v>3819</v>
      </c>
      <c r="U700" s="1010" t="s">
        <v>3747</v>
      </c>
      <c r="V700" s="821" t="s">
        <v>3748</v>
      </c>
      <c r="W700" s="821" t="s">
        <v>3745</v>
      </c>
      <c r="Y700" s="734" t="s">
        <v>220</v>
      </c>
      <c r="Z700" s="727" t="s">
        <v>3830</v>
      </c>
      <c r="AA700" s="821" t="s">
        <v>3821</v>
      </c>
      <c r="AB700" s="727" t="s">
        <v>3831</v>
      </c>
      <c r="AC700" s="334" t="s">
        <v>3832</v>
      </c>
      <c r="AD700" s="739">
        <v>49.0</v>
      </c>
      <c r="AE700" s="739">
        <v>79.0</v>
      </c>
      <c r="AF700" s="739">
        <v>1.01</v>
      </c>
      <c r="AG700" s="734" t="s">
        <v>166</v>
      </c>
      <c r="AH700" s="727" t="s">
        <v>3833</v>
      </c>
      <c r="AI700" s="838">
        <f>1*10^-5</f>
        <v>0.00001</v>
      </c>
      <c r="AJ700" s="736" t="s">
        <v>164</v>
      </c>
      <c r="AK700" s="736" t="s">
        <v>179</v>
      </c>
      <c r="AL700" s="738" t="s">
        <v>129</v>
      </c>
      <c r="AM700" s="1016" t="s">
        <v>165</v>
      </c>
      <c r="AN700" s="739">
        <v>5842.0</v>
      </c>
      <c r="AO700" s="739">
        <v>0.53</v>
      </c>
      <c r="AP700" s="734" t="s">
        <v>166</v>
      </c>
      <c r="AQ700" s="727" t="s">
        <v>3834</v>
      </c>
      <c r="AR700" s="739">
        <v>0.001</v>
      </c>
      <c r="AS700" s="734" t="s">
        <v>127</v>
      </c>
      <c r="AT700" s="734" t="s">
        <v>179</v>
      </c>
      <c r="AU700" s="738" t="s">
        <v>129</v>
      </c>
      <c r="AV700" s="1019" t="s">
        <v>3835</v>
      </c>
      <c r="AW700" s="738" t="s">
        <v>134</v>
      </c>
      <c r="AX700" s="332" t="s">
        <v>3836</v>
      </c>
      <c r="AY700" s="332" t="s">
        <v>135</v>
      </c>
    </row>
    <row r="701" ht="20.25" customHeight="1">
      <c r="A701" s="41" t="s">
        <v>279</v>
      </c>
      <c r="B701" s="41" t="s">
        <v>107</v>
      </c>
      <c r="C701" s="41" t="s">
        <v>3672</v>
      </c>
      <c r="E701" s="60" t="s">
        <v>3837</v>
      </c>
      <c r="F701" s="52" t="s">
        <v>3838</v>
      </c>
      <c r="G701" s="147" t="s">
        <v>3673</v>
      </c>
      <c r="H701" s="409">
        <v>45644.0</v>
      </c>
      <c r="I701" s="60"/>
      <c r="J701" s="147" t="s">
        <v>3839</v>
      </c>
      <c r="K701" s="147" t="s">
        <v>3765</v>
      </c>
      <c r="L701" s="625" t="s">
        <v>3840</v>
      </c>
      <c r="M701" s="147" t="s">
        <v>3767</v>
      </c>
      <c r="N701" s="147" t="s">
        <v>3511</v>
      </c>
      <c r="O701" s="459" t="s">
        <v>3768</v>
      </c>
      <c r="P701" s="48" t="str">
        <f t="array" ref="P701">HYPERLINK(INDEX('File Links'!B:B, MATCH(O701, 'File Links'!C:C, 0)))
</f>
        <v>https://drive.google.com/file/d/1k_ITkShMoY3bps8YyiRV8_CnbYN3486s/view?usp=drivesdk</v>
      </c>
      <c r="Q701" s="147" t="s">
        <v>3841</v>
      </c>
      <c r="R701" s="147" t="s">
        <v>3842</v>
      </c>
      <c r="S701" s="60"/>
      <c r="T701" s="144">
        <v>1.0</v>
      </c>
      <c r="U701" s="459" t="s">
        <v>3843</v>
      </c>
      <c r="V701" s="147" t="s">
        <v>3844</v>
      </c>
      <c r="W701" s="50" t="str">
        <f t="array" ref="W701">HYPERLINK(INDEX('File Links'!B:B, MATCH(U701, 'File Links'!C:C, 0)))
</f>
        <v>https://drive.google.com/file/d/13yA5wer3pEP6DzO7ZMN-jDmSL2aYTKUo/view?usp=drivesdk</v>
      </c>
      <c r="Y701" s="147" t="s">
        <v>220</v>
      </c>
      <c r="Z701" s="147" t="s">
        <v>3774</v>
      </c>
      <c r="AA701" s="60"/>
      <c r="AB701" s="147" t="s">
        <v>3775</v>
      </c>
      <c r="AC701" s="147" t="s">
        <v>3776</v>
      </c>
      <c r="AD701" s="144">
        <v>8.0</v>
      </c>
      <c r="AE701" s="144">
        <v>30.0</v>
      </c>
      <c r="AF701" s="147" t="s">
        <v>3777</v>
      </c>
      <c r="AG701" s="330" t="s">
        <v>162</v>
      </c>
      <c r="AH701" s="52" t="s">
        <v>610</v>
      </c>
      <c r="AI701" s="355">
        <v>0.01</v>
      </c>
      <c r="AJ701" s="147" t="s">
        <v>127</v>
      </c>
      <c r="AK701" s="52" t="s">
        <v>179</v>
      </c>
      <c r="AL701" s="60" t="s">
        <v>129</v>
      </c>
      <c r="AM701" s="60"/>
      <c r="AN701" s="144">
        <v>120.0</v>
      </c>
      <c r="AO701" s="144">
        <v>0.01</v>
      </c>
      <c r="AP701" s="147" t="s">
        <v>130</v>
      </c>
      <c r="AQ701" s="147" t="s">
        <v>210</v>
      </c>
      <c r="AR701" s="60"/>
      <c r="AS701" s="60"/>
      <c r="AT701" s="60"/>
      <c r="AU701" s="60"/>
      <c r="AV701" s="60"/>
      <c r="AW701" s="60" t="s">
        <v>134</v>
      </c>
      <c r="AZ701" s="178"/>
    </row>
    <row r="702" ht="20.25" customHeight="1">
      <c r="A702" s="41" t="s">
        <v>279</v>
      </c>
      <c r="B702" s="41" t="s">
        <v>107</v>
      </c>
      <c r="C702" s="41" t="s">
        <v>3672</v>
      </c>
      <c r="E702" s="60" t="s">
        <v>3837</v>
      </c>
      <c r="F702" s="52" t="s">
        <v>3845</v>
      </c>
      <c r="G702" s="147" t="s">
        <v>3673</v>
      </c>
      <c r="H702" s="409">
        <v>45644.0</v>
      </c>
      <c r="I702" s="60"/>
      <c r="J702" s="147" t="s">
        <v>3846</v>
      </c>
      <c r="K702" s="147" t="s">
        <v>3765</v>
      </c>
      <c r="L702" s="625" t="s">
        <v>3847</v>
      </c>
      <c r="M702" s="147" t="s">
        <v>3767</v>
      </c>
      <c r="N702" s="147" t="s">
        <v>3511</v>
      </c>
      <c r="O702" s="459" t="s">
        <v>3768</v>
      </c>
      <c r="P702" s="48" t="str">
        <f t="array" ref="P702">HYPERLINK(INDEX('File Links'!B:B, MATCH(O702, 'File Links'!C:C, 0)))
</f>
        <v>https://drive.google.com/file/d/1k_ITkShMoY3bps8YyiRV8_CnbYN3486s/view?usp=drivesdk</v>
      </c>
      <c r="Q702" s="147" t="s">
        <v>3841</v>
      </c>
      <c r="R702" s="147" t="s">
        <v>3842</v>
      </c>
      <c r="S702" s="60"/>
      <c r="T702" s="144">
        <v>2.0</v>
      </c>
      <c r="U702" s="459" t="s">
        <v>3843</v>
      </c>
      <c r="V702" s="147" t="s">
        <v>3844</v>
      </c>
      <c r="W702" s="50" t="str">
        <f t="array" ref="W702">HYPERLINK(INDEX('File Links'!B:B, MATCH(U702, 'File Links'!C:C, 0)))
</f>
        <v>https://drive.google.com/file/d/13yA5wer3pEP6DzO7ZMN-jDmSL2aYTKUo/view?usp=drivesdk</v>
      </c>
      <c r="Y702" s="147" t="s">
        <v>220</v>
      </c>
      <c r="Z702" s="147" t="s">
        <v>3774</v>
      </c>
      <c r="AA702" s="60"/>
      <c r="AB702" s="147" t="s">
        <v>3775</v>
      </c>
      <c r="AC702" s="147" t="s">
        <v>3776</v>
      </c>
      <c r="AD702" s="144">
        <v>8.0</v>
      </c>
      <c r="AE702" s="144">
        <v>30.0</v>
      </c>
      <c r="AF702" s="147" t="s">
        <v>3777</v>
      </c>
      <c r="AG702" s="330" t="s">
        <v>162</v>
      </c>
      <c r="AH702" s="52" t="s">
        <v>610</v>
      </c>
      <c r="AI702" s="355">
        <v>0.01</v>
      </c>
      <c r="AJ702" s="147" t="s">
        <v>127</v>
      </c>
      <c r="AK702" s="52" t="s">
        <v>179</v>
      </c>
      <c r="AL702" s="60" t="s">
        <v>129</v>
      </c>
      <c r="AM702" s="60"/>
      <c r="AN702" s="144">
        <v>25.0</v>
      </c>
      <c r="AO702" s="144">
        <v>0.339</v>
      </c>
      <c r="AP702" s="147" t="s">
        <v>130</v>
      </c>
      <c r="AQ702" s="147" t="s">
        <v>494</v>
      </c>
      <c r="AR702" s="144">
        <v>0.002</v>
      </c>
      <c r="AS702" s="147" t="s">
        <v>164</v>
      </c>
      <c r="AT702" s="147" t="s">
        <v>179</v>
      </c>
      <c r="AU702" s="60" t="s">
        <v>129</v>
      </c>
      <c r="AV702" s="60"/>
      <c r="AW702" s="60" t="s">
        <v>142</v>
      </c>
    </row>
    <row r="703" ht="20.25" customHeight="1">
      <c r="A703" s="41" t="s">
        <v>279</v>
      </c>
      <c r="B703" s="41" t="s">
        <v>107</v>
      </c>
      <c r="C703" s="41" t="s">
        <v>3672</v>
      </c>
      <c r="E703" s="60" t="s">
        <v>3837</v>
      </c>
      <c r="F703" s="52" t="s">
        <v>3845</v>
      </c>
      <c r="G703" s="147" t="s">
        <v>3673</v>
      </c>
      <c r="H703" s="409">
        <v>45646.0</v>
      </c>
      <c r="I703" s="60"/>
      <c r="J703" s="147" t="s">
        <v>3848</v>
      </c>
      <c r="K703" s="60"/>
      <c r="L703" s="625" t="s">
        <v>3849</v>
      </c>
      <c r="M703" s="147" t="s">
        <v>3767</v>
      </c>
      <c r="N703" s="147" t="s">
        <v>3511</v>
      </c>
      <c r="O703" s="459" t="s">
        <v>3768</v>
      </c>
      <c r="P703" s="48" t="str">
        <f t="array" ref="P703">HYPERLINK(INDEX('File Links'!B:B, MATCH(O703, 'File Links'!C:C, 0)))
</f>
        <v>https://drive.google.com/file/d/1k_ITkShMoY3bps8YyiRV8_CnbYN3486s/view?usp=drivesdk</v>
      </c>
      <c r="Q703" s="147" t="s">
        <v>3841</v>
      </c>
      <c r="R703" s="147" t="s">
        <v>3842</v>
      </c>
      <c r="S703" s="60"/>
      <c r="T703" s="144">
        <v>2.0</v>
      </c>
      <c r="U703" s="459" t="s">
        <v>3843</v>
      </c>
      <c r="V703" s="147" t="s">
        <v>3844</v>
      </c>
      <c r="W703" s="50" t="str">
        <f t="array" ref="W703">HYPERLINK(INDEX('File Links'!B:B, MATCH(U703, 'File Links'!C:C, 0)))
</f>
        <v>https://drive.google.com/file/d/13yA5wer3pEP6DzO7ZMN-jDmSL2aYTKUo/view?usp=drivesdk</v>
      </c>
      <c r="Y703" s="147" t="s">
        <v>220</v>
      </c>
      <c r="Z703" s="147" t="s">
        <v>3774</v>
      </c>
      <c r="AA703" s="60"/>
      <c r="AB703" s="147" t="s">
        <v>3775</v>
      </c>
      <c r="AC703" s="147" t="s">
        <v>3776</v>
      </c>
      <c r="AD703" s="144">
        <v>8.0</v>
      </c>
      <c r="AE703" s="144">
        <v>30.0</v>
      </c>
      <c r="AF703" s="147" t="s">
        <v>3777</v>
      </c>
      <c r="AG703" s="330" t="s">
        <v>162</v>
      </c>
      <c r="AH703" s="52" t="s">
        <v>610</v>
      </c>
      <c r="AI703" s="355">
        <v>0.01</v>
      </c>
      <c r="AJ703" s="147" t="s">
        <v>127</v>
      </c>
      <c r="AK703" s="52" t="s">
        <v>179</v>
      </c>
      <c r="AL703" s="60" t="s">
        <v>129</v>
      </c>
      <c r="AM703" s="60"/>
      <c r="AN703" s="144">
        <v>50.0</v>
      </c>
      <c r="AO703" s="144">
        <v>0.295</v>
      </c>
      <c r="AP703" s="147" t="s">
        <v>130</v>
      </c>
      <c r="AQ703" s="147" t="s">
        <v>494</v>
      </c>
      <c r="AR703" s="144">
        <v>0.001</v>
      </c>
      <c r="AS703" s="147" t="s">
        <v>127</v>
      </c>
      <c r="AT703" s="147" t="s">
        <v>179</v>
      </c>
      <c r="AU703" s="60" t="s">
        <v>129</v>
      </c>
      <c r="AV703" s="60"/>
      <c r="AW703" s="60" t="s">
        <v>142</v>
      </c>
      <c r="AZ703" s="178"/>
    </row>
    <row r="704" ht="20.25" customHeight="1">
      <c r="A704" s="41" t="s">
        <v>279</v>
      </c>
      <c r="B704" s="41" t="s">
        <v>107</v>
      </c>
      <c r="C704" s="41" t="s">
        <v>3672</v>
      </c>
      <c r="E704" s="60" t="s">
        <v>3837</v>
      </c>
      <c r="F704" s="52" t="s">
        <v>3845</v>
      </c>
      <c r="G704" s="147" t="s">
        <v>3673</v>
      </c>
      <c r="H704" s="409">
        <v>45646.0</v>
      </c>
      <c r="I704" s="60"/>
      <c r="J704" s="147" t="s">
        <v>3850</v>
      </c>
      <c r="K704" s="60"/>
      <c r="L704" s="625" t="s">
        <v>3851</v>
      </c>
      <c r="M704" s="147" t="s">
        <v>3767</v>
      </c>
      <c r="N704" s="147" t="s">
        <v>3511</v>
      </c>
      <c r="O704" s="459" t="s">
        <v>3768</v>
      </c>
      <c r="P704" s="48" t="str">
        <f t="array" ref="P704">HYPERLINK(INDEX('File Links'!B:B, MATCH(O704, 'File Links'!C:C, 0)))
</f>
        <v>https://drive.google.com/file/d/1k_ITkShMoY3bps8YyiRV8_CnbYN3486s/view?usp=drivesdk</v>
      </c>
      <c r="Q704" s="147" t="s">
        <v>3841</v>
      </c>
      <c r="R704" s="147" t="s">
        <v>3842</v>
      </c>
      <c r="S704" s="60"/>
      <c r="T704" s="144">
        <v>2.0</v>
      </c>
      <c r="U704" s="459" t="s">
        <v>3843</v>
      </c>
      <c r="V704" s="147" t="s">
        <v>3844</v>
      </c>
      <c r="W704" s="50" t="str">
        <f t="array" ref="W704">HYPERLINK(INDEX('File Links'!B:B, MATCH(U704, 'File Links'!C:C, 0)))
</f>
        <v>https://drive.google.com/file/d/13yA5wer3pEP6DzO7ZMN-jDmSL2aYTKUo/view?usp=drivesdk</v>
      </c>
      <c r="Y704" s="147" t="s">
        <v>220</v>
      </c>
      <c r="Z704" s="147" t="s">
        <v>3774</v>
      </c>
      <c r="AA704" s="60"/>
      <c r="AB704" s="147" t="s">
        <v>3775</v>
      </c>
      <c r="AC704" s="147" t="s">
        <v>3776</v>
      </c>
      <c r="AD704" s="144">
        <v>8.0</v>
      </c>
      <c r="AE704" s="144">
        <v>30.0</v>
      </c>
      <c r="AF704" s="147" t="s">
        <v>3777</v>
      </c>
      <c r="AG704" s="330" t="s">
        <v>162</v>
      </c>
      <c r="AH704" s="52" t="s">
        <v>610</v>
      </c>
      <c r="AI704" s="355">
        <v>0.01</v>
      </c>
      <c r="AJ704" s="147" t="s">
        <v>127</v>
      </c>
      <c r="AK704" s="52" t="s">
        <v>179</v>
      </c>
      <c r="AL704" s="60" t="s">
        <v>129</v>
      </c>
      <c r="AM704" s="60"/>
      <c r="AN704" s="144">
        <v>25.0</v>
      </c>
      <c r="AO704" s="144">
        <v>0.274</v>
      </c>
      <c r="AP704" s="147" t="s">
        <v>130</v>
      </c>
      <c r="AQ704" s="147" t="s">
        <v>494</v>
      </c>
      <c r="AR704" s="144">
        <v>0.012</v>
      </c>
      <c r="AS704" s="147" t="s">
        <v>164</v>
      </c>
      <c r="AT704" s="147" t="s">
        <v>179</v>
      </c>
      <c r="AU704" s="60" t="s">
        <v>129</v>
      </c>
      <c r="AV704" s="60"/>
      <c r="AW704" s="60" t="s">
        <v>142</v>
      </c>
    </row>
    <row r="705" ht="20.25" customHeight="1">
      <c r="A705" s="41" t="s">
        <v>279</v>
      </c>
      <c r="B705" s="41" t="s">
        <v>107</v>
      </c>
      <c r="C705" s="41" t="s">
        <v>3672</v>
      </c>
      <c r="E705" s="60" t="s">
        <v>3837</v>
      </c>
      <c r="F705" s="52" t="s">
        <v>3845</v>
      </c>
      <c r="G705" s="147" t="s">
        <v>3673</v>
      </c>
      <c r="H705" s="409">
        <v>45646.0</v>
      </c>
      <c r="I705" s="60"/>
      <c r="J705" s="147" t="s">
        <v>3852</v>
      </c>
      <c r="K705" s="60"/>
      <c r="L705" s="625" t="s">
        <v>3853</v>
      </c>
      <c r="M705" s="147" t="s">
        <v>3767</v>
      </c>
      <c r="N705" s="147" t="s">
        <v>3511</v>
      </c>
      <c r="O705" s="459" t="s">
        <v>3768</v>
      </c>
      <c r="P705" s="48" t="str">
        <f t="array" ref="P705">HYPERLINK(INDEX('File Links'!B:B, MATCH(O705, 'File Links'!C:C, 0)))
</f>
        <v>https://drive.google.com/file/d/1k_ITkShMoY3bps8YyiRV8_CnbYN3486s/view?usp=drivesdk</v>
      </c>
      <c r="Q705" s="147" t="s">
        <v>3841</v>
      </c>
      <c r="R705" s="147" t="s">
        <v>3842</v>
      </c>
      <c r="S705" s="60"/>
      <c r="T705" s="144">
        <v>2.0</v>
      </c>
      <c r="U705" s="459" t="s">
        <v>3843</v>
      </c>
      <c r="V705" s="147" t="s">
        <v>3844</v>
      </c>
      <c r="W705" s="50" t="str">
        <f t="array" ref="W705">HYPERLINK(INDEX('File Links'!B:B, MATCH(U705, 'File Links'!C:C, 0)))
</f>
        <v>https://drive.google.com/file/d/13yA5wer3pEP6DzO7ZMN-jDmSL2aYTKUo/view?usp=drivesdk</v>
      </c>
      <c r="Y705" s="147" t="s">
        <v>220</v>
      </c>
      <c r="Z705" s="147" t="s">
        <v>3774</v>
      </c>
      <c r="AA705" s="60"/>
      <c r="AB705" s="147" t="s">
        <v>3775</v>
      </c>
      <c r="AC705" s="147" t="s">
        <v>3776</v>
      </c>
      <c r="AD705" s="144">
        <v>8.0</v>
      </c>
      <c r="AE705" s="144">
        <v>30.0</v>
      </c>
      <c r="AF705" s="147" t="s">
        <v>3777</v>
      </c>
      <c r="AG705" s="330" t="s">
        <v>162</v>
      </c>
      <c r="AH705" s="52" t="s">
        <v>610</v>
      </c>
      <c r="AI705" s="355">
        <v>0.01</v>
      </c>
      <c r="AJ705" s="147" t="s">
        <v>127</v>
      </c>
      <c r="AK705" s="52" t="s">
        <v>179</v>
      </c>
      <c r="AL705" s="60" t="s">
        <v>129</v>
      </c>
      <c r="AM705" s="60"/>
      <c r="AN705" s="144">
        <v>25.0</v>
      </c>
      <c r="AO705" s="144">
        <v>0.228</v>
      </c>
      <c r="AP705" s="147" t="s">
        <v>130</v>
      </c>
      <c r="AQ705" s="147" t="s">
        <v>494</v>
      </c>
      <c r="AR705" s="144">
        <v>0.014</v>
      </c>
      <c r="AS705" s="147" t="s">
        <v>164</v>
      </c>
      <c r="AT705" s="147" t="s">
        <v>179</v>
      </c>
      <c r="AU705" s="60" t="s">
        <v>129</v>
      </c>
      <c r="AV705" s="60"/>
      <c r="AW705" s="60" t="s">
        <v>142</v>
      </c>
      <c r="AZ705" s="178"/>
    </row>
    <row r="706" ht="20.25" customHeight="1">
      <c r="A706" s="41" t="s">
        <v>279</v>
      </c>
      <c r="B706" s="41" t="s">
        <v>107</v>
      </c>
      <c r="C706" s="41" t="s">
        <v>3672</v>
      </c>
      <c r="E706" s="60" t="s">
        <v>3837</v>
      </c>
      <c r="F706" s="52" t="s">
        <v>3845</v>
      </c>
      <c r="G706" s="147" t="s">
        <v>3673</v>
      </c>
      <c r="H706" s="409">
        <v>45646.0</v>
      </c>
      <c r="I706" s="60"/>
      <c r="J706" s="147" t="s">
        <v>3854</v>
      </c>
      <c r="K706" s="60"/>
      <c r="L706" s="625" t="s">
        <v>3855</v>
      </c>
      <c r="M706" s="147" t="s">
        <v>3767</v>
      </c>
      <c r="N706" s="147" t="s">
        <v>3511</v>
      </c>
      <c r="O706" s="145" t="s">
        <v>3768</v>
      </c>
      <c r="P706" s="48" t="str">
        <f t="array" ref="P706">HYPERLINK(INDEX('File Links'!B:B, MATCH(O706, 'File Links'!C:C, 0)))
</f>
        <v>https://drive.google.com/file/d/1k_ITkShMoY3bps8YyiRV8_CnbYN3486s/view?usp=drivesdk</v>
      </c>
      <c r="Q706" s="147" t="s">
        <v>3841</v>
      </c>
      <c r="R706" s="147" t="s">
        <v>3842</v>
      </c>
      <c r="S706" s="60"/>
      <c r="T706" s="144">
        <v>2.0</v>
      </c>
      <c r="U706" s="145" t="s">
        <v>3843</v>
      </c>
      <c r="V706" s="147" t="s">
        <v>3844</v>
      </c>
      <c r="W706" s="50" t="str">
        <f t="array" ref="W706">HYPERLINK(INDEX('File Links'!B:B, MATCH(U706, 'File Links'!C:C, 0)))
</f>
        <v>https://drive.google.com/file/d/13yA5wer3pEP6DzO7ZMN-jDmSL2aYTKUo/view?usp=drivesdk</v>
      </c>
      <c r="Y706" s="147" t="s">
        <v>220</v>
      </c>
      <c r="Z706" s="147" t="s">
        <v>3774</v>
      </c>
      <c r="AA706" s="60"/>
      <c r="AB706" s="147" t="s">
        <v>3775</v>
      </c>
      <c r="AC706" s="147" t="s">
        <v>3776</v>
      </c>
      <c r="AD706" s="144">
        <v>8.0</v>
      </c>
      <c r="AE706" s="144">
        <v>30.0</v>
      </c>
      <c r="AF706" s="147" t="s">
        <v>3777</v>
      </c>
      <c r="AG706" s="330" t="s">
        <v>162</v>
      </c>
      <c r="AH706" s="52" t="s">
        <v>610</v>
      </c>
      <c r="AI706" s="355">
        <v>0.01</v>
      </c>
      <c r="AJ706" s="147" t="s">
        <v>127</v>
      </c>
      <c r="AK706" s="52" t="s">
        <v>179</v>
      </c>
      <c r="AL706" s="60" t="s">
        <v>129</v>
      </c>
      <c r="AM706" s="60"/>
      <c r="AN706" s="144">
        <v>25.0</v>
      </c>
      <c r="AO706" s="144">
        <v>0.011</v>
      </c>
      <c r="AP706" s="147" t="s">
        <v>130</v>
      </c>
      <c r="AQ706" s="147" t="s">
        <v>494</v>
      </c>
      <c r="AR706" s="144">
        <v>0.636</v>
      </c>
      <c r="AS706" s="147" t="s">
        <v>164</v>
      </c>
      <c r="AT706" s="147" t="s">
        <v>179</v>
      </c>
      <c r="AU706" s="60" t="s">
        <v>129</v>
      </c>
      <c r="AV706" s="60"/>
      <c r="AW706" s="60" t="s">
        <v>142</v>
      </c>
    </row>
    <row r="707" ht="20.25" customHeight="1">
      <c r="A707" s="177" t="s">
        <v>586</v>
      </c>
      <c r="B707" s="177" t="s">
        <v>107</v>
      </c>
      <c r="C707" s="177" t="s">
        <v>2637</v>
      </c>
      <c r="D707" s="178"/>
      <c r="E707" s="345" t="s">
        <v>3856</v>
      </c>
      <c r="F707" s="182" t="str">
        <f t="shared" ref="F707:F713" si="40">E707&amp;"_"&amp;COUNTIF($A$3:E707, E707)</f>
        <v>curatescience283_1</v>
      </c>
      <c r="G707" s="345" t="s">
        <v>3739</v>
      </c>
      <c r="H707" s="346">
        <v>45675.0</v>
      </c>
      <c r="I707" s="346">
        <v>45676.0</v>
      </c>
      <c r="J707" s="179"/>
      <c r="K707" s="179"/>
      <c r="L707" s="1020" t="s">
        <v>3857</v>
      </c>
      <c r="M707" s="345" t="s">
        <v>3858</v>
      </c>
      <c r="N707" s="350">
        <v>1.0</v>
      </c>
      <c r="O707" s="345" t="str">
        <f t="shared" ref="O707:O717" si="41"> SUBSTITUTE(lower(M707), "/", "--") &amp;  ".pdf"</f>
        <v>10.1126--science.7455683.pdf</v>
      </c>
      <c r="P707" s="48" t="str">
        <f t="array" ref="P707">HYPERLINK(INDEX('File Links'!B:B, MATCH(O707, 'File Links'!C:C, 0)))
</f>
        <v>https://drive.google.com/file/d/1KdKryH9Qx-Olx2xYcWf9zZPlU9JsWLmq/view?usp=drivesdk</v>
      </c>
      <c r="Q707" s="345" t="s">
        <v>3743</v>
      </c>
      <c r="R707" s="345" t="s">
        <v>3744</v>
      </c>
      <c r="S707" s="1021" t="s">
        <v>3745</v>
      </c>
      <c r="T707" s="345" t="s">
        <v>3859</v>
      </c>
      <c r="U707" s="345" t="s">
        <v>3747</v>
      </c>
      <c r="V707" s="345" t="s">
        <v>3748</v>
      </c>
      <c r="W707" s="345" t="s">
        <v>3745</v>
      </c>
      <c r="Y707" s="345" t="s">
        <v>220</v>
      </c>
      <c r="Z707" s="345" t="s">
        <v>3860</v>
      </c>
      <c r="AA707" s="345" t="s">
        <v>3861</v>
      </c>
      <c r="AB707" s="345" t="s">
        <v>3862</v>
      </c>
      <c r="AC707" s="345" t="s">
        <v>3863</v>
      </c>
      <c r="AD707" s="345" t="s">
        <v>3864</v>
      </c>
      <c r="AE707" s="345" t="s">
        <v>3865</v>
      </c>
      <c r="AF707" s="345" t="s">
        <v>3866</v>
      </c>
      <c r="AG707" s="345" t="s">
        <v>3867</v>
      </c>
      <c r="AH707" s="345" t="s">
        <v>3868</v>
      </c>
      <c r="AI707" s="1022">
        <v>0.05</v>
      </c>
      <c r="AJ707" s="182" t="s">
        <v>127</v>
      </c>
      <c r="AK707" s="182" t="s">
        <v>128</v>
      </c>
      <c r="AL707" s="1023" t="s">
        <v>129</v>
      </c>
      <c r="AM707" s="182" t="s">
        <v>3756</v>
      </c>
      <c r="AN707" s="1024">
        <v>1243.0</v>
      </c>
      <c r="AO707" s="1025">
        <v>0.65</v>
      </c>
      <c r="AP707" s="345" t="s">
        <v>166</v>
      </c>
      <c r="AQ707" s="345" t="s">
        <v>3869</v>
      </c>
      <c r="AR707" s="1025">
        <v>0.001</v>
      </c>
      <c r="AS707" s="345" t="s">
        <v>127</v>
      </c>
      <c r="AT707" s="345" t="s">
        <v>128</v>
      </c>
      <c r="AU707" s="1023" t="s">
        <v>129</v>
      </c>
      <c r="AV707" s="1023" t="s">
        <v>3756</v>
      </c>
      <c r="AW707" s="1023" t="s">
        <v>134</v>
      </c>
      <c r="AX707" s="178"/>
      <c r="AY707" s="178"/>
      <c r="AZ707" s="178"/>
    </row>
    <row r="708" ht="20.25" customHeight="1">
      <c r="A708" s="177" t="s">
        <v>586</v>
      </c>
      <c r="B708" s="177" t="s">
        <v>107</v>
      </c>
      <c r="C708" s="177" t="s">
        <v>1251</v>
      </c>
      <c r="D708" s="178"/>
      <c r="E708" s="188" t="s">
        <v>3856</v>
      </c>
      <c r="F708" s="180" t="str">
        <f t="shared" si="40"/>
        <v>curatescience283_2</v>
      </c>
      <c r="G708" s="188" t="s">
        <v>3758</v>
      </c>
      <c r="H708" s="181">
        <v>45901.0</v>
      </c>
      <c r="I708" s="181">
        <v>45901.0</v>
      </c>
      <c r="J708" s="179"/>
      <c r="K708" s="179"/>
      <c r="L708" s="1020" t="s">
        <v>3857</v>
      </c>
      <c r="M708" s="188" t="s">
        <v>3858</v>
      </c>
      <c r="N708" s="695">
        <v>1.0</v>
      </c>
      <c r="O708" s="188" t="str">
        <f t="shared" si="41"/>
        <v>10.1126--science.7455683.pdf</v>
      </c>
      <c r="P708" s="48" t="str">
        <f t="array" ref="P708">HYPERLINK(INDEX('File Links'!B:B, MATCH(O708, 'File Links'!C:C, 0)))
</f>
        <v>https://drive.google.com/file/d/1KdKryH9Qx-Olx2xYcWf9zZPlU9JsWLmq/view?usp=drivesdk</v>
      </c>
      <c r="Q708" s="179"/>
      <c r="R708" s="179"/>
      <c r="S708" s="179"/>
      <c r="T708" s="179"/>
      <c r="U708" s="179"/>
      <c r="V708" s="179"/>
      <c r="W708" s="179"/>
      <c r="Y708" s="188" t="s">
        <v>203</v>
      </c>
      <c r="Z708" s="188" t="s">
        <v>3870</v>
      </c>
      <c r="AA708" s="179"/>
      <c r="AB708" s="179"/>
      <c r="AC708" s="188" t="s">
        <v>3871</v>
      </c>
      <c r="AD708" s="695">
        <v>453.0</v>
      </c>
      <c r="AE708" s="695">
        <v>307.0</v>
      </c>
      <c r="AF708" s="179"/>
      <c r="AG708" s="179"/>
      <c r="AH708" s="179"/>
      <c r="AI708" s="185"/>
      <c r="AJ708" s="183"/>
      <c r="AK708" s="183"/>
      <c r="AL708" s="179"/>
      <c r="AM708" s="183"/>
      <c r="AN708" s="695">
        <v>6271.0</v>
      </c>
      <c r="AO708" s="695">
        <v>0.62</v>
      </c>
      <c r="AP708" s="188" t="s">
        <v>166</v>
      </c>
      <c r="AQ708" s="179"/>
      <c r="AR708" s="695">
        <v>0.001</v>
      </c>
      <c r="AS708" s="188" t="s">
        <v>127</v>
      </c>
      <c r="AT708" s="188" t="s">
        <v>179</v>
      </c>
      <c r="AU708" s="179" t="s">
        <v>129</v>
      </c>
      <c r="AV708" s="179"/>
      <c r="AW708" s="179" t="s">
        <v>134</v>
      </c>
      <c r="AX708" s="178"/>
      <c r="AY708" s="178"/>
    </row>
    <row r="709" ht="20.25" customHeight="1">
      <c r="A709" s="41" t="s">
        <v>279</v>
      </c>
      <c r="B709" s="41" t="s">
        <v>107</v>
      </c>
      <c r="C709" s="41" t="s">
        <v>2637</v>
      </c>
      <c r="E709" s="412" t="s">
        <v>3872</v>
      </c>
      <c r="F709" s="984" t="str">
        <f t="shared" si="40"/>
        <v>curatescience320_1</v>
      </c>
      <c r="G709" s="412" t="s">
        <v>3739</v>
      </c>
      <c r="H709" s="413">
        <v>45675.0</v>
      </c>
      <c r="I709" s="413">
        <v>45676.0</v>
      </c>
      <c r="J709" s="60"/>
      <c r="K709" s="60"/>
      <c r="L709" s="985" t="s">
        <v>3873</v>
      </c>
      <c r="M709" s="412" t="s">
        <v>3874</v>
      </c>
      <c r="N709" s="115" t="s">
        <v>3511</v>
      </c>
      <c r="O709" s="1026" t="str">
        <f t="shared" si="41"/>
        <v>10.1017--s1930297500001170.pdf</v>
      </c>
      <c r="P709" s="48" t="str">
        <f t="array" ref="P709">HYPERLINK(INDEX('File Links'!B:B, MATCH(O709, 'File Links'!C:C, 0)))
</f>
        <v>https://drive.google.com/file/d/1htcfPlWHtz8E91jbq14ETkimhcWUSyMj/view?usp=drivesdk</v>
      </c>
      <c r="Q709" s="412" t="s">
        <v>3743</v>
      </c>
      <c r="R709" s="412" t="s">
        <v>3744</v>
      </c>
      <c r="S709" s="454" t="s">
        <v>3745</v>
      </c>
      <c r="T709" s="412" t="s">
        <v>3875</v>
      </c>
      <c r="U709" s="1026" t="s">
        <v>3747</v>
      </c>
      <c r="V709" s="412" t="s">
        <v>3748</v>
      </c>
      <c r="W709" s="412" t="s">
        <v>3745</v>
      </c>
      <c r="Y709" s="412" t="s">
        <v>220</v>
      </c>
      <c r="Z709" s="412" t="s">
        <v>3876</v>
      </c>
      <c r="AA709" s="412" t="s">
        <v>3877</v>
      </c>
      <c r="AB709" s="412" t="s">
        <v>3878</v>
      </c>
      <c r="AC709" s="412" t="s">
        <v>3879</v>
      </c>
      <c r="AD709" s="412" t="s">
        <v>3880</v>
      </c>
      <c r="AE709" s="777">
        <v>80.0</v>
      </c>
      <c r="AF709" s="777">
        <v>0.69</v>
      </c>
      <c r="AG709" s="412" t="s">
        <v>181</v>
      </c>
      <c r="AH709" s="412" t="s">
        <v>3881</v>
      </c>
      <c r="AI709" s="1027">
        <v>0.05</v>
      </c>
      <c r="AJ709" s="352" t="s">
        <v>127</v>
      </c>
      <c r="AK709" s="352" t="s">
        <v>128</v>
      </c>
      <c r="AL709" s="780" t="s">
        <v>129</v>
      </c>
      <c r="AM709" s="352" t="s">
        <v>3756</v>
      </c>
      <c r="AN709" s="987">
        <v>5979.0</v>
      </c>
      <c r="AO709" s="777">
        <v>0.02</v>
      </c>
      <c r="AP709" s="412" t="s">
        <v>166</v>
      </c>
      <c r="AQ709" s="412" t="s">
        <v>3882</v>
      </c>
      <c r="AR709" s="777">
        <v>0.27</v>
      </c>
      <c r="AS709" s="412" t="s">
        <v>164</v>
      </c>
      <c r="AT709" s="412" t="s">
        <v>128</v>
      </c>
      <c r="AU709" s="780" t="s">
        <v>129</v>
      </c>
      <c r="AV709" s="780" t="s">
        <v>3756</v>
      </c>
      <c r="AW709" s="780" t="s">
        <v>134</v>
      </c>
      <c r="AZ709" s="178"/>
    </row>
    <row r="710" ht="20.25" customHeight="1">
      <c r="A710" s="41" t="s">
        <v>279</v>
      </c>
      <c r="B710" s="41" t="s">
        <v>107</v>
      </c>
      <c r="C710" s="41" t="s">
        <v>1251</v>
      </c>
      <c r="E710" s="147" t="s">
        <v>3872</v>
      </c>
      <c r="F710" s="988" t="str">
        <f t="shared" si="40"/>
        <v>curatescience320_2</v>
      </c>
      <c r="G710" s="147" t="s">
        <v>3758</v>
      </c>
      <c r="H710" s="140">
        <v>45901.0</v>
      </c>
      <c r="I710" s="140">
        <v>45901.0</v>
      </c>
      <c r="J710" s="147" t="s">
        <v>3883</v>
      </c>
      <c r="K710" s="60"/>
      <c r="L710" s="985" t="s">
        <v>3873</v>
      </c>
      <c r="M710" s="147" t="s">
        <v>3874</v>
      </c>
      <c r="N710" s="139" t="s">
        <v>3511</v>
      </c>
      <c r="O710" s="145" t="str">
        <f t="shared" si="41"/>
        <v>10.1017--s1930297500001170.pdf</v>
      </c>
      <c r="P710" s="48" t="str">
        <f t="array" ref="P710">HYPERLINK(INDEX('File Links'!B:B, MATCH(O710, 'File Links'!C:C, 0)))
</f>
        <v>https://drive.google.com/file/d/1htcfPlWHtz8E91jbq14ETkimhcWUSyMj/view?usp=drivesdk</v>
      </c>
      <c r="Q710" s="60"/>
      <c r="R710" s="60"/>
      <c r="S710" s="60"/>
      <c r="T710" s="60"/>
      <c r="U710" s="506"/>
      <c r="V710" s="60"/>
      <c r="W710" s="60"/>
      <c r="Y710" s="147" t="s">
        <v>203</v>
      </c>
      <c r="Z710" s="60"/>
      <c r="AA710" s="60"/>
      <c r="AB710" s="60"/>
      <c r="AC710" s="147" t="s">
        <v>3884</v>
      </c>
      <c r="AD710" s="144">
        <v>328.0</v>
      </c>
      <c r="AE710" s="144">
        <v>80.0</v>
      </c>
      <c r="AF710" s="144">
        <v>0.69</v>
      </c>
      <c r="AG710" s="147" t="s">
        <v>166</v>
      </c>
      <c r="AH710" s="60"/>
      <c r="AI710" s="646">
        <v>0.05</v>
      </c>
      <c r="AJ710" s="52" t="s">
        <v>127</v>
      </c>
      <c r="AK710" s="52" t="s">
        <v>179</v>
      </c>
      <c r="AL710" s="60" t="s">
        <v>129</v>
      </c>
      <c r="AM710" s="55"/>
      <c r="AN710" s="144">
        <v>5942.0</v>
      </c>
      <c r="AO710" s="144">
        <v>0.61</v>
      </c>
      <c r="AP710" s="147" t="s">
        <v>166</v>
      </c>
      <c r="AQ710" s="60"/>
      <c r="AR710" s="144">
        <v>0.001</v>
      </c>
      <c r="AS710" s="147" t="s">
        <v>127</v>
      </c>
      <c r="AT710" s="147" t="s">
        <v>179</v>
      </c>
      <c r="AU710" s="60" t="s">
        <v>129</v>
      </c>
      <c r="AV710" s="60"/>
      <c r="AW710" s="60" t="s">
        <v>134</v>
      </c>
    </row>
    <row r="711" ht="20.25" customHeight="1">
      <c r="A711" s="136" t="s">
        <v>106</v>
      </c>
      <c r="B711" s="136" t="s">
        <v>107</v>
      </c>
      <c r="C711" s="136" t="s">
        <v>2637</v>
      </c>
      <c r="D711" s="64"/>
      <c r="E711" s="208" t="s">
        <v>3885</v>
      </c>
      <c r="F711" s="200" t="str">
        <f t="shared" si="40"/>
        <v>curatescience365_1</v>
      </c>
      <c r="G711" s="208" t="s">
        <v>3739</v>
      </c>
      <c r="H711" s="389">
        <v>45675.0</v>
      </c>
      <c r="I711" s="389">
        <v>45676.0</v>
      </c>
      <c r="J711" s="98"/>
      <c r="K711" s="98"/>
      <c r="L711" s="994" t="s">
        <v>3886</v>
      </c>
      <c r="M711" s="208" t="s">
        <v>3887</v>
      </c>
      <c r="N711" s="432">
        <v>2.0</v>
      </c>
      <c r="O711" s="208" t="str">
        <f t="shared" si="41"/>
        <v>10.1177--0956797611414726.pdf</v>
      </c>
      <c r="P711" s="48" t="str">
        <f t="array" ref="P711">HYPERLINK(INDEX('File Links'!B:B, MATCH(O711, 'File Links'!C:C, 0)))
</f>
        <v>https://drive.google.com/file/d/1M2bQUYW3MLXQBgi-vbBlJhTa0bUosI7r/view?usp=drivesdk</v>
      </c>
      <c r="Q711" s="208" t="s">
        <v>3743</v>
      </c>
      <c r="R711" s="208" t="s">
        <v>3744</v>
      </c>
      <c r="S711" s="996" t="s">
        <v>3745</v>
      </c>
      <c r="T711" s="208" t="s">
        <v>3888</v>
      </c>
      <c r="U711" s="208" t="s">
        <v>3747</v>
      </c>
      <c r="V711" s="208" t="s">
        <v>3748</v>
      </c>
      <c r="W711" s="208" t="s">
        <v>3745</v>
      </c>
      <c r="Y711" s="208" t="s">
        <v>220</v>
      </c>
      <c r="Z711" s="208" t="s">
        <v>3889</v>
      </c>
      <c r="AA711" s="208" t="s">
        <v>3890</v>
      </c>
      <c r="AB711" s="208" t="s">
        <v>3891</v>
      </c>
      <c r="AC711" s="208" t="s">
        <v>3892</v>
      </c>
      <c r="AD711" s="208" t="s">
        <v>3893</v>
      </c>
      <c r="AE711" s="962">
        <v>183.0</v>
      </c>
      <c r="AF711" s="962">
        <v>0.298</v>
      </c>
      <c r="AG711" s="208" t="s">
        <v>181</v>
      </c>
      <c r="AH711" s="208" t="s">
        <v>3894</v>
      </c>
      <c r="AI711" s="1028">
        <v>0.04</v>
      </c>
      <c r="AJ711" s="200" t="s">
        <v>164</v>
      </c>
      <c r="AK711" s="200" t="s">
        <v>128</v>
      </c>
      <c r="AL711" s="964" t="s">
        <v>129</v>
      </c>
      <c r="AM711" s="134" t="s">
        <v>165</v>
      </c>
      <c r="AN711" s="1029">
        <v>5150.0</v>
      </c>
      <c r="AO711" s="962">
        <v>0.02</v>
      </c>
      <c r="AP711" s="208" t="s">
        <v>166</v>
      </c>
      <c r="AQ711" s="208" t="s">
        <v>3895</v>
      </c>
      <c r="AR711" s="962">
        <v>0.33</v>
      </c>
      <c r="AS711" s="208" t="s">
        <v>164</v>
      </c>
      <c r="AT711" s="208" t="s">
        <v>128</v>
      </c>
      <c r="AU711" s="964" t="s">
        <v>129</v>
      </c>
      <c r="AV711" s="964" t="s">
        <v>3756</v>
      </c>
      <c r="AW711" s="964" t="s">
        <v>134</v>
      </c>
      <c r="AX711" s="136" t="s">
        <v>3896</v>
      </c>
      <c r="AY711" s="136" t="s">
        <v>135</v>
      </c>
      <c r="AZ711" s="178"/>
    </row>
    <row r="712" ht="20.25" customHeight="1">
      <c r="A712" s="136" t="s">
        <v>143</v>
      </c>
      <c r="B712" s="136" t="s">
        <v>107</v>
      </c>
      <c r="C712" s="136" t="s">
        <v>1251</v>
      </c>
      <c r="D712" s="64"/>
      <c r="E712" s="108" t="s">
        <v>3885</v>
      </c>
      <c r="F712" s="99" t="str">
        <f t="shared" si="40"/>
        <v>curatescience365_2</v>
      </c>
      <c r="G712" s="108" t="s">
        <v>3758</v>
      </c>
      <c r="H712" s="391">
        <v>45901.0</v>
      </c>
      <c r="I712" s="391">
        <v>45901.0</v>
      </c>
      <c r="J712" s="98"/>
      <c r="K712" s="134" t="s">
        <v>3897</v>
      </c>
      <c r="L712" s="1005" t="s">
        <v>3886</v>
      </c>
      <c r="M712" s="108" t="s">
        <v>3887</v>
      </c>
      <c r="N712" s="1030">
        <v>2.0</v>
      </c>
      <c r="O712" s="108" t="str">
        <f t="shared" si="41"/>
        <v>10.1177--0956797611414726.pdf</v>
      </c>
      <c r="P712" s="48" t="str">
        <f t="array" ref="P712">HYPERLINK(INDEX('File Links'!B:B, MATCH(O712, 'File Links'!C:C, 0)))
</f>
        <v>https://drive.google.com/file/d/1M2bQUYW3MLXQBgi-vbBlJhTa0bUosI7r/view?usp=drivesdk</v>
      </c>
      <c r="Q712" s="208" t="s">
        <v>3743</v>
      </c>
      <c r="R712" s="208" t="s">
        <v>3744</v>
      </c>
      <c r="S712" s="996" t="s">
        <v>3745</v>
      </c>
      <c r="T712" s="208" t="s">
        <v>3888</v>
      </c>
      <c r="U712" s="208" t="s">
        <v>3747</v>
      </c>
      <c r="V712" s="208" t="s">
        <v>3748</v>
      </c>
      <c r="W712" s="208" t="s">
        <v>3745</v>
      </c>
      <c r="Y712" s="108" t="s">
        <v>2052</v>
      </c>
      <c r="Z712" s="108" t="s">
        <v>3898</v>
      </c>
      <c r="AA712" s="1031" t="s">
        <v>3899</v>
      </c>
      <c r="AB712" s="98"/>
      <c r="AC712" s="103" t="s">
        <v>3900</v>
      </c>
      <c r="AD712" s="618">
        <v>1016.0</v>
      </c>
      <c r="AE712" s="998">
        <v>66.0</v>
      </c>
      <c r="AF712" s="1032" t="s">
        <v>3901</v>
      </c>
      <c r="AG712" s="103" t="s">
        <v>162</v>
      </c>
      <c r="AH712" s="206" t="s">
        <v>3902</v>
      </c>
      <c r="AI712" s="618">
        <v>0.05</v>
      </c>
      <c r="AJ712" s="1033" t="s">
        <v>127</v>
      </c>
      <c r="AK712" s="99" t="s">
        <v>179</v>
      </c>
      <c r="AL712" s="98" t="s">
        <v>129</v>
      </c>
      <c r="AM712" s="134" t="s">
        <v>165</v>
      </c>
      <c r="AN712" s="1034">
        <v>4896.0</v>
      </c>
      <c r="AO712" s="482">
        <v>0.03</v>
      </c>
      <c r="AP712" s="108" t="s">
        <v>166</v>
      </c>
      <c r="AQ712" s="208" t="s">
        <v>3895</v>
      </c>
      <c r="AR712" s="482">
        <v>0.38</v>
      </c>
      <c r="AS712" s="108" t="s">
        <v>164</v>
      </c>
      <c r="AT712" s="108" t="s">
        <v>179</v>
      </c>
      <c r="AU712" s="98" t="s">
        <v>129</v>
      </c>
      <c r="AV712" s="1019" t="s">
        <v>3835</v>
      </c>
      <c r="AW712" s="98" t="s">
        <v>134</v>
      </c>
      <c r="AX712" s="136" t="s">
        <v>3903</v>
      </c>
      <c r="AY712" s="136" t="s">
        <v>135</v>
      </c>
    </row>
    <row r="713" ht="20.25" customHeight="1">
      <c r="A713" s="811" t="s">
        <v>586</v>
      </c>
      <c r="B713" s="811" t="s">
        <v>107</v>
      </c>
      <c r="C713" s="811" t="s">
        <v>2637</v>
      </c>
      <c r="D713" s="763"/>
      <c r="E713" s="1035" t="s">
        <v>3904</v>
      </c>
      <c r="F713" s="1033" t="str">
        <f t="shared" si="40"/>
        <v>curatescience395_1</v>
      </c>
      <c r="G713" s="1035" t="s">
        <v>3739</v>
      </c>
      <c r="H713" s="1036">
        <v>45675.0</v>
      </c>
      <c r="I713" s="1036">
        <v>45676.0</v>
      </c>
      <c r="J713" s="983"/>
      <c r="K713" s="983"/>
      <c r="L713" s="1037" t="s">
        <v>3905</v>
      </c>
      <c r="M713" s="1035" t="s">
        <v>3906</v>
      </c>
      <c r="N713" s="983"/>
      <c r="O713" s="1035" t="str">
        <f t="shared" si="41"/>
        <v>10.1177--01461672952111004.pdf</v>
      </c>
      <c r="P713" s="48" t="str">
        <f t="array" ref="P713">HYPERLINK(INDEX('File Links'!B:B, MATCH(O713, 'File Links'!C:C, 0)))
</f>
        <v>https://drive.google.com/file/d/1DouZu51tYUlHCJt3ED5926-nk58IBtuY/view?usp=drivesdk</v>
      </c>
      <c r="Q713" s="1035" t="s">
        <v>3743</v>
      </c>
      <c r="R713" s="1035" t="s">
        <v>3744</v>
      </c>
      <c r="S713" s="1038" t="s">
        <v>3745</v>
      </c>
      <c r="T713" s="1035" t="s">
        <v>3907</v>
      </c>
      <c r="U713" s="1035" t="s">
        <v>3747</v>
      </c>
      <c r="V713" s="1035" t="s">
        <v>3748</v>
      </c>
      <c r="W713" s="1035" t="s">
        <v>3745</v>
      </c>
      <c r="Y713" s="232" t="s">
        <v>203</v>
      </c>
      <c r="Z713" s="1039" t="s">
        <v>3908</v>
      </c>
      <c r="AA713" s="1035" t="s">
        <v>3909</v>
      </c>
      <c r="AB713" s="1039" t="s">
        <v>3910</v>
      </c>
      <c r="AC713" s="1035" t="s">
        <v>3911</v>
      </c>
      <c r="AD713" s="1035" t="s">
        <v>3912</v>
      </c>
      <c r="AE713" s="1040">
        <v>80.0</v>
      </c>
      <c r="AF713" s="1040">
        <v>1.87</v>
      </c>
      <c r="AG713" s="1035" t="s">
        <v>181</v>
      </c>
      <c r="AH713" s="1035" t="s">
        <v>3913</v>
      </c>
      <c r="AI713" s="1041">
        <v>0.001</v>
      </c>
      <c r="AJ713" s="1033" t="s">
        <v>127</v>
      </c>
      <c r="AK713" s="1033" t="s">
        <v>128</v>
      </c>
      <c r="AL713" s="1042" t="s">
        <v>129</v>
      </c>
      <c r="AM713" s="1033" t="s">
        <v>3756</v>
      </c>
      <c r="AN713" s="1043">
        <v>6432.0</v>
      </c>
      <c r="AO713" s="1040">
        <v>0.42</v>
      </c>
      <c r="AP713" s="1035" t="s">
        <v>166</v>
      </c>
      <c r="AQ713" s="1035" t="s">
        <v>3914</v>
      </c>
      <c r="AR713" s="1040">
        <v>0.001</v>
      </c>
      <c r="AS713" s="1035" t="s">
        <v>127</v>
      </c>
      <c r="AT713" s="1035" t="s">
        <v>128</v>
      </c>
      <c r="AU713" s="1042" t="s">
        <v>129</v>
      </c>
      <c r="AV713" s="1019" t="s">
        <v>3835</v>
      </c>
      <c r="AW713" s="1042" t="s">
        <v>134</v>
      </c>
      <c r="AX713" s="811" t="s">
        <v>3915</v>
      </c>
      <c r="AY713" s="763"/>
      <c r="AZ713" s="178"/>
    </row>
    <row r="714" ht="20.25" customHeight="1">
      <c r="A714" s="811" t="s">
        <v>143</v>
      </c>
      <c r="B714" s="316" t="s">
        <v>107</v>
      </c>
      <c r="C714" s="316" t="s">
        <v>1251</v>
      </c>
      <c r="D714" s="215"/>
      <c r="E714" s="232" t="s">
        <v>3904</v>
      </c>
      <c r="F714" s="386" t="s">
        <v>3916</v>
      </c>
      <c r="G714" s="232" t="s">
        <v>3758</v>
      </c>
      <c r="H714" s="597">
        <v>45901.0</v>
      </c>
      <c r="I714" s="1044">
        <v>45684.0</v>
      </c>
      <c r="J714" s="322"/>
      <c r="K714" s="321" t="s">
        <v>3917</v>
      </c>
      <c r="L714" s="1045" t="s">
        <v>3905</v>
      </c>
      <c r="M714" s="232" t="s">
        <v>3906</v>
      </c>
      <c r="N714" s="325">
        <v>1.0</v>
      </c>
      <c r="O714" s="232" t="str">
        <f t="shared" si="41"/>
        <v>10.1177--01461672952111004.pdf</v>
      </c>
      <c r="P714" s="48" t="str">
        <f t="array" ref="P714">HYPERLINK(INDEX('File Links'!B:B, MATCH(O714, 'File Links'!C:C, 0)))
</f>
        <v>https://drive.google.com/file/d/1DouZu51tYUlHCJt3ED5926-nk58IBtuY/view?usp=drivesdk</v>
      </c>
      <c r="Q714" s="1035" t="s">
        <v>3743</v>
      </c>
      <c r="R714" s="1035" t="s">
        <v>3744</v>
      </c>
      <c r="S714" s="1038" t="s">
        <v>3745</v>
      </c>
      <c r="T714" s="1035" t="s">
        <v>3907</v>
      </c>
      <c r="U714" s="1035" t="s">
        <v>3747</v>
      </c>
      <c r="V714" s="1035" t="s">
        <v>3748</v>
      </c>
      <c r="W714" s="1035" t="s">
        <v>3745</v>
      </c>
      <c r="Y714" s="232" t="s">
        <v>203</v>
      </c>
      <c r="Z714" s="1039" t="s">
        <v>3908</v>
      </c>
      <c r="AA714" s="1035" t="s">
        <v>3909</v>
      </c>
      <c r="AB714" s="232" t="s">
        <v>3918</v>
      </c>
      <c r="AC714" s="232" t="s">
        <v>3919</v>
      </c>
      <c r="AD714" s="325">
        <v>1163.0</v>
      </c>
      <c r="AE714" s="1046">
        <v>104.0</v>
      </c>
      <c r="AF714" s="1046" t="s">
        <v>3920</v>
      </c>
      <c r="AG714" s="315" t="s">
        <v>162</v>
      </c>
      <c r="AH714" s="321" t="s">
        <v>3921</v>
      </c>
      <c r="AI714" s="818">
        <v>0.01</v>
      </c>
      <c r="AJ714" s="386" t="s">
        <v>127</v>
      </c>
      <c r="AK714" s="386" t="s">
        <v>179</v>
      </c>
      <c r="AL714" s="322" t="s">
        <v>129</v>
      </c>
      <c r="AM714" s="321" t="s">
        <v>165</v>
      </c>
      <c r="AN714" s="325">
        <v>5627.0</v>
      </c>
      <c r="AO714" s="1046">
        <v>2.2</v>
      </c>
      <c r="AP714" s="232" t="s">
        <v>166</v>
      </c>
      <c r="AQ714" s="321" t="s">
        <v>892</v>
      </c>
      <c r="AR714" s="325">
        <v>0.001</v>
      </c>
      <c r="AS714" s="232" t="s">
        <v>127</v>
      </c>
      <c r="AT714" s="232" t="s">
        <v>179</v>
      </c>
      <c r="AU714" s="322" t="s">
        <v>129</v>
      </c>
      <c r="AV714" s="1019" t="s">
        <v>3835</v>
      </c>
      <c r="AW714" s="322" t="s">
        <v>134</v>
      </c>
      <c r="AX714" s="215"/>
      <c r="AY714" s="316" t="s">
        <v>135</v>
      </c>
    </row>
    <row r="715" ht="20.25" customHeight="1">
      <c r="A715" s="811" t="s">
        <v>143</v>
      </c>
      <c r="B715" s="316" t="s">
        <v>107</v>
      </c>
      <c r="C715" s="316" t="s">
        <v>1251</v>
      </c>
      <c r="D715" s="215"/>
      <c r="E715" s="232" t="s">
        <v>3904</v>
      </c>
      <c r="F715" s="386" t="s">
        <v>3922</v>
      </c>
      <c r="G715" s="232" t="s">
        <v>3758</v>
      </c>
      <c r="H715" s="597">
        <v>45901.0</v>
      </c>
      <c r="I715" s="1044">
        <v>45684.0</v>
      </c>
      <c r="J715" s="322"/>
      <c r="K715" s="322"/>
      <c r="L715" s="1045" t="s">
        <v>3905</v>
      </c>
      <c r="M715" s="232" t="s">
        <v>3906</v>
      </c>
      <c r="N715" s="325">
        <v>1.0</v>
      </c>
      <c r="O715" s="232" t="str">
        <f t="shared" si="41"/>
        <v>10.1177--01461672952111004.pdf</v>
      </c>
      <c r="P715" s="48" t="str">
        <f t="array" ref="P715">HYPERLINK(INDEX('File Links'!B:B, MATCH(O715, 'File Links'!C:C, 0)))
</f>
        <v>https://drive.google.com/file/d/1DouZu51tYUlHCJt3ED5926-nk58IBtuY/view?usp=drivesdk</v>
      </c>
      <c r="Q715" s="1035" t="s">
        <v>3743</v>
      </c>
      <c r="R715" s="1035" t="s">
        <v>3744</v>
      </c>
      <c r="S715" s="1038" t="s">
        <v>3745</v>
      </c>
      <c r="T715" s="1035" t="s">
        <v>3907</v>
      </c>
      <c r="U715" s="1035" t="s">
        <v>3747</v>
      </c>
      <c r="V715" s="1035" t="s">
        <v>3748</v>
      </c>
      <c r="W715" s="1035" t="s">
        <v>3745</v>
      </c>
      <c r="Y715" s="232" t="s">
        <v>203</v>
      </c>
      <c r="Z715" s="1039" t="s">
        <v>3908</v>
      </c>
      <c r="AA715" s="1035" t="s">
        <v>3909</v>
      </c>
      <c r="AB715" s="232" t="s">
        <v>3923</v>
      </c>
      <c r="AC715" s="232" t="s">
        <v>3919</v>
      </c>
      <c r="AD715" s="325">
        <v>1163.0</v>
      </c>
      <c r="AE715" s="1046">
        <v>104.0</v>
      </c>
      <c r="AF715" s="1046" t="s">
        <v>3920</v>
      </c>
      <c r="AG715" s="315" t="s">
        <v>162</v>
      </c>
      <c r="AH715" s="321" t="s">
        <v>3921</v>
      </c>
      <c r="AI715" s="818">
        <v>0.01</v>
      </c>
      <c r="AJ715" s="386" t="s">
        <v>127</v>
      </c>
      <c r="AK715" s="386" t="s">
        <v>179</v>
      </c>
      <c r="AL715" s="322" t="s">
        <v>129</v>
      </c>
      <c r="AM715" s="321" t="s">
        <v>165</v>
      </c>
      <c r="AN715" s="325">
        <v>5284.0</v>
      </c>
      <c r="AO715" s="1046">
        <v>1.79</v>
      </c>
      <c r="AP715" s="232" t="s">
        <v>166</v>
      </c>
      <c r="AQ715" s="321" t="s">
        <v>892</v>
      </c>
      <c r="AR715" s="325">
        <v>0.001</v>
      </c>
      <c r="AS715" s="232" t="s">
        <v>127</v>
      </c>
      <c r="AT715" s="232" t="s">
        <v>179</v>
      </c>
      <c r="AU715" s="322" t="s">
        <v>129</v>
      </c>
      <c r="AV715" s="1019" t="s">
        <v>3835</v>
      </c>
      <c r="AW715" s="322" t="s">
        <v>134</v>
      </c>
      <c r="AX715" s="215"/>
      <c r="AY715" s="316" t="s">
        <v>135</v>
      </c>
      <c r="AZ715" s="178"/>
    </row>
    <row r="716" ht="20.25" customHeight="1">
      <c r="A716" s="811" t="s">
        <v>143</v>
      </c>
      <c r="B716" s="316" t="s">
        <v>107</v>
      </c>
      <c r="C716" s="316" t="s">
        <v>1251</v>
      </c>
      <c r="D716" s="215"/>
      <c r="E716" s="232" t="s">
        <v>3904</v>
      </c>
      <c r="F716" s="386" t="s">
        <v>3924</v>
      </c>
      <c r="G716" s="232" t="s">
        <v>3758</v>
      </c>
      <c r="H716" s="597">
        <v>45901.0</v>
      </c>
      <c r="I716" s="1044">
        <v>45684.0</v>
      </c>
      <c r="J716" s="322"/>
      <c r="K716" s="321" t="s">
        <v>3925</v>
      </c>
      <c r="L716" s="1045" t="s">
        <v>3905</v>
      </c>
      <c r="M716" s="232" t="s">
        <v>3906</v>
      </c>
      <c r="N716" s="325">
        <v>1.0</v>
      </c>
      <c r="O716" s="232" t="str">
        <f t="shared" si="41"/>
        <v>10.1177--01461672952111004.pdf</v>
      </c>
      <c r="P716" s="48" t="str">
        <f t="array" ref="P716">HYPERLINK(INDEX('File Links'!B:B, MATCH(O716, 'File Links'!C:C, 0)))
</f>
        <v>https://drive.google.com/file/d/1DouZu51tYUlHCJt3ED5926-nk58IBtuY/view?usp=drivesdk</v>
      </c>
      <c r="Q716" s="1035" t="s">
        <v>3743</v>
      </c>
      <c r="R716" s="1035" t="s">
        <v>3744</v>
      </c>
      <c r="S716" s="1038" t="s">
        <v>3745</v>
      </c>
      <c r="T716" s="1035" t="s">
        <v>3907</v>
      </c>
      <c r="U716" s="1035" t="s">
        <v>3747</v>
      </c>
      <c r="V716" s="1035" t="s">
        <v>3748</v>
      </c>
      <c r="W716" s="1035" t="s">
        <v>3745</v>
      </c>
      <c r="Y716" s="232" t="s">
        <v>203</v>
      </c>
      <c r="Z716" s="1039" t="s">
        <v>3908</v>
      </c>
      <c r="AA716" s="1035" t="s">
        <v>3909</v>
      </c>
      <c r="AB716" s="232" t="s">
        <v>3926</v>
      </c>
      <c r="AC716" s="232" t="s">
        <v>3919</v>
      </c>
      <c r="AD716" s="325">
        <v>1163.0</v>
      </c>
      <c r="AE716" s="1046">
        <v>104.0</v>
      </c>
      <c r="AF716" s="1046" t="s">
        <v>3920</v>
      </c>
      <c r="AG716" s="315" t="s">
        <v>162</v>
      </c>
      <c r="AH716" s="321" t="s">
        <v>3921</v>
      </c>
      <c r="AI716" s="818">
        <v>0.01</v>
      </c>
      <c r="AJ716" s="386" t="s">
        <v>127</v>
      </c>
      <c r="AK716" s="386" t="s">
        <v>179</v>
      </c>
      <c r="AL716" s="322" t="s">
        <v>129</v>
      </c>
      <c r="AM716" s="321" t="s">
        <v>165</v>
      </c>
      <c r="AN716" s="1047">
        <v>5609.0</v>
      </c>
      <c r="AO716" s="325">
        <v>1.17</v>
      </c>
      <c r="AP716" s="232" t="s">
        <v>166</v>
      </c>
      <c r="AQ716" s="321" t="s">
        <v>892</v>
      </c>
      <c r="AR716" s="325">
        <v>0.001</v>
      </c>
      <c r="AS716" s="232" t="s">
        <v>127</v>
      </c>
      <c r="AT716" s="232" t="s">
        <v>179</v>
      </c>
      <c r="AU716" s="322" t="s">
        <v>129</v>
      </c>
      <c r="AV716" s="1019" t="s">
        <v>3835</v>
      </c>
      <c r="AW716" s="322" t="s">
        <v>134</v>
      </c>
      <c r="AX716" s="316" t="s">
        <v>3927</v>
      </c>
      <c r="AY716" s="316" t="s">
        <v>135</v>
      </c>
    </row>
    <row r="717" ht="20.25" customHeight="1">
      <c r="A717" s="811" t="s">
        <v>143</v>
      </c>
      <c r="B717" s="316" t="s">
        <v>107</v>
      </c>
      <c r="C717" s="316" t="s">
        <v>1251</v>
      </c>
      <c r="D717" s="215"/>
      <c r="E717" s="232" t="s">
        <v>3904</v>
      </c>
      <c r="F717" s="386" t="str">
        <f>E717&amp;"_"&amp;COUNTIF($A$3:E717, E717)</f>
        <v>curatescience395_5</v>
      </c>
      <c r="G717" s="232" t="s">
        <v>3758</v>
      </c>
      <c r="H717" s="597">
        <v>45901.0</v>
      </c>
      <c r="I717" s="1044">
        <v>45684.0</v>
      </c>
      <c r="J717" s="322"/>
      <c r="K717" s="321" t="s">
        <v>3917</v>
      </c>
      <c r="L717" s="1045" t="s">
        <v>3905</v>
      </c>
      <c r="M717" s="232" t="s">
        <v>3906</v>
      </c>
      <c r="N717" s="325">
        <v>1.0</v>
      </c>
      <c r="O717" s="232" t="str">
        <f t="shared" si="41"/>
        <v>10.1177--01461672952111004.pdf</v>
      </c>
      <c r="P717" s="48" t="str">
        <f t="array" ref="P717">HYPERLINK(INDEX('File Links'!B:B, MATCH(O717, 'File Links'!C:C, 0)))
</f>
        <v>https://drive.google.com/file/d/1DouZu51tYUlHCJt3ED5926-nk58IBtuY/view?usp=drivesdk</v>
      </c>
      <c r="Q717" s="1035" t="s">
        <v>3743</v>
      </c>
      <c r="R717" s="1035" t="s">
        <v>3744</v>
      </c>
      <c r="S717" s="1038" t="s">
        <v>3745</v>
      </c>
      <c r="T717" s="1035" t="s">
        <v>3907</v>
      </c>
      <c r="U717" s="1035" t="s">
        <v>3747</v>
      </c>
      <c r="V717" s="1035" t="s">
        <v>3748</v>
      </c>
      <c r="W717" s="1035" t="s">
        <v>3745</v>
      </c>
      <c r="Y717" s="232" t="s">
        <v>203</v>
      </c>
      <c r="Z717" s="1039" t="s">
        <v>3908</v>
      </c>
      <c r="AA717" s="1035" t="s">
        <v>3909</v>
      </c>
      <c r="AB717" s="232" t="s">
        <v>3928</v>
      </c>
      <c r="AC717" s="232" t="s">
        <v>3919</v>
      </c>
      <c r="AD717" s="325">
        <v>1163.0</v>
      </c>
      <c r="AE717" s="1046">
        <v>104.0</v>
      </c>
      <c r="AF717" s="1046" t="s">
        <v>3920</v>
      </c>
      <c r="AG717" s="315" t="s">
        <v>162</v>
      </c>
      <c r="AH717" s="321" t="s">
        <v>3921</v>
      </c>
      <c r="AI717" s="818">
        <v>0.01</v>
      </c>
      <c r="AJ717" s="386" t="s">
        <v>127</v>
      </c>
      <c r="AK717" s="386" t="s">
        <v>179</v>
      </c>
      <c r="AL717" s="322" t="s">
        <v>129</v>
      </c>
      <c r="AM717" s="321" t="s">
        <v>165</v>
      </c>
      <c r="AN717" s="325">
        <v>5609.0</v>
      </c>
      <c r="AO717" s="1046">
        <v>2.4</v>
      </c>
      <c r="AP717" s="232" t="s">
        <v>166</v>
      </c>
      <c r="AQ717" s="321" t="s">
        <v>892</v>
      </c>
      <c r="AR717" s="325">
        <v>0.001</v>
      </c>
      <c r="AS717" s="232" t="s">
        <v>127</v>
      </c>
      <c r="AT717" s="232" t="s">
        <v>179</v>
      </c>
      <c r="AU717" s="322" t="s">
        <v>129</v>
      </c>
      <c r="AV717" s="1019" t="s">
        <v>3835</v>
      </c>
      <c r="AW717" s="322" t="s">
        <v>134</v>
      </c>
      <c r="AX717" s="215"/>
      <c r="AY717" s="316" t="s">
        <v>135</v>
      </c>
      <c r="AZ717" s="178"/>
    </row>
    <row r="718" ht="20.25" customHeight="1">
      <c r="A718" s="1048" t="s">
        <v>586</v>
      </c>
      <c r="B718" s="1048" t="s">
        <v>107</v>
      </c>
      <c r="C718" s="1048" t="s">
        <v>2637</v>
      </c>
      <c r="D718" s="1049"/>
      <c r="E718" s="1050" t="s">
        <v>3929</v>
      </c>
      <c r="F718" s="1051" t="s">
        <v>3930</v>
      </c>
      <c r="G718" s="718" t="s">
        <v>3656</v>
      </c>
      <c r="H718" s="1052">
        <v>45654.0</v>
      </c>
      <c r="I718" s="1044">
        <v>45684.0</v>
      </c>
      <c r="J718" s="98"/>
      <c r="K718" s="103"/>
      <c r="L718" s="103" t="s">
        <v>3931</v>
      </c>
      <c r="M718" s="208" t="s">
        <v>3932</v>
      </c>
      <c r="N718" s="482">
        <v>2.0</v>
      </c>
      <c r="O718" s="108" t="s">
        <v>3933</v>
      </c>
      <c r="P718" s="48" t="str">
        <f t="array" ref="P718">HYPERLINK(INDEX('File Links'!B:B, MATCH(O718, 'File Links'!C:C, 0)))
</f>
        <v>https://drive.google.com/file/d/12hPE3_ROkrr-EwAg8DQR8e8OYrtwuoYT/view?usp=drivesdk</v>
      </c>
      <c r="Q718" s="103" t="s">
        <v>3934</v>
      </c>
      <c r="R718" s="208" t="s">
        <v>3935</v>
      </c>
      <c r="S718" s="98"/>
      <c r="T718" s="482">
        <v>1.0</v>
      </c>
      <c r="U718" s="108" t="s">
        <v>3936</v>
      </c>
      <c r="V718" s="208" t="s">
        <v>155</v>
      </c>
      <c r="W718" s="50" t="str">
        <f t="array" ref="W718">HYPERLINK(INDEX('File Links'!B:B, MATCH(U718, 'File Links'!C:C, 0)))
</f>
        <v>https://drive.google.com/file/d/1p5ydRsZ4brAO2FqzQtlUbRAhPkcmRVgm/view?usp=drivesdk</v>
      </c>
      <c r="X718" s="98"/>
      <c r="Y718" s="208" t="s">
        <v>220</v>
      </c>
      <c r="Z718" s="208" t="s">
        <v>3937</v>
      </c>
      <c r="AA718" s="208" t="s">
        <v>3938</v>
      </c>
      <c r="AB718" s="208" t="s">
        <v>3939</v>
      </c>
      <c r="AC718" s="208" t="s">
        <v>3940</v>
      </c>
      <c r="AD718" s="962">
        <v>53.0</v>
      </c>
      <c r="AE718" s="962">
        <v>121.0</v>
      </c>
      <c r="AF718" s="962">
        <v>0.34</v>
      </c>
      <c r="AG718" s="963" t="s">
        <v>2651</v>
      </c>
      <c r="AH718" s="200" t="s">
        <v>2652</v>
      </c>
      <c r="AI718" s="207">
        <v>0.01</v>
      </c>
      <c r="AJ718" s="208" t="s">
        <v>164</v>
      </c>
      <c r="AK718" s="200" t="s">
        <v>128</v>
      </c>
      <c r="AL718" s="964" t="s">
        <v>129</v>
      </c>
      <c r="AM718" s="98"/>
      <c r="AN718" s="962">
        <v>148.0</v>
      </c>
      <c r="AO718" s="962">
        <v>0.21</v>
      </c>
      <c r="AP718" s="208" t="s">
        <v>166</v>
      </c>
      <c r="AQ718" s="208" t="s">
        <v>3689</v>
      </c>
      <c r="AR718" s="962">
        <v>0.04</v>
      </c>
      <c r="AS718" s="208" t="s">
        <v>164</v>
      </c>
      <c r="AT718" s="208" t="s">
        <v>128</v>
      </c>
      <c r="AU718" s="964" t="s">
        <v>129</v>
      </c>
      <c r="AV718" s="98"/>
      <c r="AW718" s="964" t="s">
        <v>134</v>
      </c>
      <c r="AX718" s="64"/>
      <c r="AY718" s="136" t="s">
        <v>135</v>
      </c>
    </row>
    <row r="719" ht="20.25" customHeight="1">
      <c r="A719" s="110" t="s">
        <v>143</v>
      </c>
      <c r="B719" s="110" t="s">
        <v>107</v>
      </c>
      <c r="C719" s="110" t="s">
        <v>3672</v>
      </c>
      <c r="D719" s="95"/>
      <c r="E719" s="1050" t="s">
        <v>3929</v>
      </c>
      <c r="F719" s="116" t="s">
        <v>3930</v>
      </c>
      <c r="G719" s="127" t="s">
        <v>3673</v>
      </c>
      <c r="H719" s="113">
        <v>45646.0</v>
      </c>
      <c r="I719" s="1044">
        <v>45684.0</v>
      </c>
      <c r="J719" s="127" t="s">
        <v>3941</v>
      </c>
      <c r="K719" s="127"/>
      <c r="L719" s="116" t="s">
        <v>3931</v>
      </c>
      <c r="M719" s="127" t="s">
        <v>3932</v>
      </c>
      <c r="N719" s="720">
        <v>2.0</v>
      </c>
      <c r="O719" s="127" t="s">
        <v>3933</v>
      </c>
      <c r="P719" s="48" t="str">
        <f t="array" ref="P719">HYPERLINK(INDEX('File Links'!B:B, MATCH(O719, 'File Links'!C:C, 0)))
</f>
        <v>https://drive.google.com/file/d/12hPE3_ROkrr-EwAg8DQR8e8OYrtwuoYT/view?usp=drivesdk</v>
      </c>
      <c r="Q719" s="103" t="s">
        <v>3934</v>
      </c>
      <c r="R719" s="127" t="s">
        <v>3935</v>
      </c>
      <c r="S719" s="111"/>
      <c r="T719" s="720">
        <v>1.0</v>
      </c>
      <c r="U719" s="127" t="s">
        <v>3936</v>
      </c>
      <c r="V719" s="127" t="s">
        <v>155</v>
      </c>
      <c r="W719" s="50" t="str">
        <f t="array" ref="W719">HYPERLINK(INDEX('File Links'!B:B, MATCH(U719, 'File Links'!C:C, 0)))
</f>
        <v>https://drive.google.com/file/d/1p5ydRsZ4brAO2FqzQtlUbRAhPkcmRVgm/view?usp=drivesdk</v>
      </c>
      <c r="X719" s="111"/>
      <c r="Y719" s="127" t="s">
        <v>220</v>
      </c>
      <c r="Z719" s="127" t="s">
        <v>3942</v>
      </c>
      <c r="AA719" s="127" t="s">
        <v>3943</v>
      </c>
      <c r="AB719" s="127" t="s">
        <v>3944</v>
      </c>
      <c r="AC719" s="116" t="s">
        <v>3945</v>
      </c>
      <c r="AD719" s="1053">
        <v>45574.0</v>
      </c>
      <c r="AE719" s="720">
        <v>71.0</v>
      </c>
      <c r="AF719" s="127" t="s">
        <v>3946</v>
      </c>
      <c r="AG719" s="212" t="s">
        <v>162</v>
      </c>
      <c r="AH719" s="112" t="s">
        <v>625</v>
      </c>
      <c r="AI719" s="117">
        <v>0.02</v>
      </c>
      <c r="AJ719" s="127" t="s">
        <v>127</v>
      </c>
      <c r="AK719" s="112" t="s">
        <v>179</v>
      </c>
      <c r="AL719" s="111" t="s">
        <v>129</v>
      </c>
      <c r="AM719" s="321" t="s">
        <v>165</v>
      </c>
      <c r="AN719" s="720">
        <v>148.0</v>
      </c>
      <c r="AO719" s="720">
        <v>0.16</v>
      </c>
      <c r="AP719" s="127" t="s">
        <v>166</v>
      </c>
      <c r="AQ719" s="127" t="s">
        <v>494</v>
      </c>
      <c r="AR719" s="720">
        <v>0.37</v>
      </c>
      <c r="AS719" s="127" t="s">
        <v>164</v>
      </c>
      <c r="AT719" s="127" t="s">
        <v>179</v>
      </c>
      <c r="AU719" s="111" t="s">
        <v>129</v>
      </c>
      <c r="AV719" s="1054" t="s">
        <v>3947</v>
      </c>
      <c r="AW719" s="1055" t="s">
        <v>134</v>
      </c>
      <c r="AX719" s="95"/>
      <c r="AY719" s="110" t="s">
        <v>135</v>
      </c>
      <c r="AZ719" s="178"/>
    </row>
    <row r="720" ht="20.25" customHeight="1">
      <c r="A720" s="1048" t="s">
        <v>586</v>
      </c>
      <c r="B720" s="1048" t="s">
        <v>107</v>
      </c>
      <c r="C720" s="1048" t="s">
        <v>2637</v>
      </c>
      <c r="D720" s="1049"/>
      <c r="E720" s="1056" t="s">
        <v>3948</v>
      </c>
      <c r="F720" s="1051" t="s">
        <v>3949</v>
      </c>
      <c r="G720" s="718" t="s">
        <v>3656</v>
      </c>
      <c r="H720" s="1052">
        <v>45654.0</v>
      </c>
      <c r="I720" s="1044">
        <v>45684.0</v>
      </c>
      <c r="J720" s="98"/>
      <c r="K720" s="108"/>
      <c r="L720" s="103" t="s">
        <v>3931</v>
      </c>
      <c r="M720" s="208" t="s">
        <v>3932</v>
      </c>
      <c r="N720" s="482">
        <v>2.0</v>
      </c>
      <c r="O720" s="108" t="s">
        <v>3933</v>
      </c>
      <c r="P720" s="48" t="str">
        <f t="array" ref="P720">HYPERLINK(INDEX('File Links'!B:B, MATCH(O720, 'File Links'!C:C, 0)))
</f>
        <v>https://drive.google.com/file/d/12hPE3_ROkrr-EwAg8DQR8e8OYrtwuoYT/view?usp=drivesdk</v>
      </c>
      <c r="Q720" s="103" t="s">
        <v>3934</v>
      </c>
      <c r="R720" s="208" t="s">
        <v>3935</v>
      </c>
      <c r="S720" s="98"/>
      <c r="T720" s="482">
        <v>2.0</v>
      </c>
      <c r="U720" s="108" t="s">
        <v>3936</v>
      </c>
      <c r="V720" s="208" t="s">
        <v>155</v>
      </c>
      <c r="W720" s="50" t="str">
        <f t="array" ref="W720">HYPERLINK(INDEX('File Links'!B:B, MATCH(U720, 'File Links'!C:C, 0)))
</f>
        <v>https://drive.google.com/file/d/1p5ydRsZ4brAO2FqzQtlUbRAhPkcmRVgm/view?usp=drivesdk</v>
      </c>
      <c r="X720" s="98"/>
      <c r="Y720" s="208" t="s">
        <v>220</v>
      </c>
      <c r="Z720" s="208" t="s">
        <v>3937</v>
      </c>
      <c r="AA720" s="208" t="s">
        <v>3938</v>
      </c>
      <c r="AB720" s="208" t="s">
        <v>3939</v>
      </c>
      <c r="AC720" s="208" t="s">
        <v>3940</v>
      </c>
      <c r="AD720" s="962">
        <v>53.0</v>
      </c>
      <c r="AE720" s="962">
        <v>121.0</v>
      </c>
      <c r="AF720" s="962">
        <v>0.34</v>
      </c>
      <c r="AG720" s="963" t="s">
        <v>2651</v>
      </c>
      <c r="AH720" s="200" t="s">
        <v>2652</v>
      </c>
      <c r="AI720" s="207">
        <v>0.01</v>
      </c>
      <c r="AJ720" s="208" t="s">
        <v>164</v>
      </c>
      <c r="AK720" s="200" t="s">
        <v>128</v>
      </c>
      <c r="AL720" s="964" t="s">
        <v>129</v>
      </c>
      <c r="AM720" s="98"/>
      <c r="AN720" s="962">
        <v>148.0</v>
      </c>
      <c r="AO720" s="962">
        <v>0.18</v>
      </c>
      <c r="AP720" s="208" t="s">
        <v>166</v>
      </c>
      <c r="AQ720" s="208" t="s">
        <v>3689</v>
      </c>
      <c r="AR720" s="962">
        <v>0.06</v>
      </c>
      <c r="AS720" s="208" t="s">
        <v>164</v>
      </c>
      <c r="AT720" s="208" t="s">
        <v>128</v>
      </c>
      <c r="AU720" s="964" t="s">
        <v>129</v>
      </c>
      <c r="AV720" s="98"/>
      <c r="AW720" s="964" t="s">
        <v>134</v>
      </c>
      <c r="AX720" s="64"/>
      <c r="AY720" s="136" t="s">
        <v>135</v>
      </c>
    </row>
    <row r="721" ht="20.25" customHeight="1">
      <c r="A721" s="110" t="s">
        <v>143</v>
      </c>
      <c r="B721" s="110" t="s">
        <v>107</v>
      </c>
      <c r="C721" s="110" t="s">
        <v>3672</v>
      </c>
      <c r="D721" s="95"/>
      <c r="E721" s="1056" t="s">
        <v>3948</v>
      </c>
      <c r="F721" s="116" t="s">
        <v>3949</v>
      </c>
      <c r="G721" s="127" t="s">
        <v>3673</v>
      </c>
      <c r="H721" s="113">
        <v>45646.0</v>
      </c>
      <c r="I721" s="1044">
        <v>45684.0</v>
      </c>
      <c r="J721" s="127" t="s">
        <v>3950</v>
      </c>
      <c r="K721" s="127"/>
      <c r="L721" s="116" t="s">
        <v>3931</v>
      </c>
      <c r="M721" s="127" t="s">
        <v>3932</v>
      </c>
      <c r="N721" s="720">
        <v>2.0</v>
      </c>
      <c r="O721" s="127" t="s">
        <v>3933</v>
      </c>
      <c r="P721" s="48" t="str">
        <f t="array" ref="P721">HYPERLINK(INDEX('File Links'!B:B, MATCH(O721, 'File Links'!C:C, 0)))
</f>
        <v>https://drive.google.com/file/d/12hPE3_ROkrr-EwAg8DQR8e8OYrtwuoYT/view?usp=drivesdk</v>
      </c>
      <c r="Q721" s="103" t="s">
        <v>3934</v>
      </c>
      <c r="R721" s="127" t="s">
        <v>3935</v>
      </c>
      <c r="S721" s="111"/>
      <c r="T721" s="720">
        <v>2.0</v>
      </c>
      <c r="U721" s="127" t="s">
        <v>3936</v>
      </c>
      <c r="V721" s="127" t="s">
        <v>155</v>
      </c>
      <c r="W721" s="50" t="str">
        <f t="array" ref="W721">HYPERLINK(INDEX('File Links'!B:B, MATCH(U721, 'File Links'!C:C, 0)))
</f>
        <v>https://drive.google.com/file/d/1p5ydRsZ4brAO2FqzQtlUbRAhPkcmRVgm/view?usp=drivesdk</v>
      </c>
      <c r="X721" s="111"/>
      <c r="Y721" s="127" t="s">
        <v>220</v>
      </c>
      <c r="Z721" s="127" t="s">
        <v>3942</v>
      </c>
      <c r="AA721" s="127" t="s">
        <v>3943</v>
      </c>
      <c r="AB721" s="127" t="s">
        <v>3944</v>
      </c>
      <c r="AC721" s="127" t="s">
        <v>3951</v>
      </c>
      <c r="AD721" s="1053">
        <v>45574.0</v>
      </c>
      <c r="AE721" s="720">
        <v>71.0</v>
      </c>
      <c r="AF721" s="127" t="s">
        <v>3946</v>
      </c>
      <c r="AG721" s="212" t="s">
        <v>162</v>
      </c>
      <c r="AH721" s="112" t="s">
        <v>625</v>
      </c>
      <c r="AI721" s="117">
        <v>0.02</v>
      </c>
      <c r="AJ721" s="127" t="s">
        <v>127</v>
      </c>
      <c r="AK721" s="112" t="s">
        <v>179</v>
      </c>
      <c r="AL721" s="111" t="s">
        <v>129</v>
      </c>
      <c r="AM721" s="321" t="s">
        <v>165</v>
      </c>
      <c r="AN721" s="720">
        <v>148.0</v>
      </c>
      <c r="AO721" s="720">
        <v>-0.09</v>
      </c>
      <c r="AP721" s="127" t="s">
        <v>166</v>
      </c>
      <c r="AQ721" s="127" t="s">
        <v>494</v>
      </c>
      <c r="AR721" s="720">
        <v>0.62</v>
      </c>
      <c r="AS721" s="127" t="s">
        <v>164</v>
      </c>
      <c r="AT721" s="127" t="s">
        <v>179</v>
      </c>
      <c r="AU721" s="111" t="s">
        <v>129</v>
      </c>
      <c r="AV721" s="605" t="s">
        <v>3952</v>
      </c>
      <c r="AW721" s="1055" t="s">
        <v>134</v>
      </c>
      <c r="AX721" s="95"/>
      <c r="AY721" s="110" t="s">
        <v>135</v>
      </c>
      <c r="AZ721" s="178"/>
    </row>
    <row r="722" ht="20.25" customHeight="1">
      <c r="A722" s="65" t="s">
        <v>143</v>
      </c>
      <c r="B722" s="65" t="s">
        <v>107</v>
      </c>
      <c r="C722" s="65" t="s">
        <v>191</v>
      </c>
      <c r="D722" s="66"/>
      <c r="E722" s="86" t="s">
        <v>3953</v>
      </c>
      <c r="F722" s="69" t="s">
        <v>3954</v>
      </c>
      <c r="G722" s="69" t="s">
        <v>194</v>
      </c>
      <c r="H722" s="566">
        <v>45639.0</v>
      </c>
      <c r="I722" s="1044">
        <v>45684.0</v>
      </c>
      <c r="J722" s="69" t="s">
        <v>3955</v>
      </c>
      <c r="K722" s="1057" t="s">
        <v>3956</v>
      </c>
      <c r="L722" s="570" t="s">
        <v>3957</v>
      </c>
      <c r="M722" s="69" t="s">
        <v>3958</v>
      </c>
      <c r="N722" s="573">
        <v>1.0</v>
      </c>
      <c r="O722" s="90" t="s">
        <v>3959</v>
      </c>
      <c r="P722" s="48" t="str">
        <f t="array" ref="P722">HYPERLINK(INDEX('File Links'!B:B, MATCH(O722, 'File Links'!C:C, 0)))
</f>
        <v>https://drive.google.com/file/d/1Sg7pV5-MRMEfG7acPaIDjV0AQ3yqElU4/view?usp=drivesdk</v>
      </c>
      <c r="Q722" s="69" t="s">
        <v>3960</v>
      </c>
      <c r="R722" s="69" t="s">
        <v>3961</v>
      </c>
      <c r="S722" s="75"/>
      <c r="T722" s="72">
        <v>1.0</v>
      </c>
      <c r="U722" s="69" t="s">
        <v>3962</v>
      </c>
      <c r="V722" s="786" t="s">
        <v>3963</v>
      </c>
      <c r="W722" s="50" t="str">
        <f t="array" ref="W722">HYPERLINK(INDEX('File Links'!B:B, MATCH(U722, 'File Links'!C:C, 0)))
</f>
        <v>https://drive.google.com/file/d/1SA7ZP2ow52I8kFKx4p2nJ0nUspPn6as_/view?usp=drivesdk</v>
      </c>
      <c r="X722" s="75"/>
      <c r="Y722" s="69" t="s">
        <v>220</v>
      </c>
      <c r="Z722" s="69" t="s">
        <v>3964</v>
      </c>
      <c r="AA722" s="69" t="s">
        <v>3965</v>
      </c>
      <c r="AB722" s="69" t="s">
        <v>3966</v>
      </c>
      <c r="AC722" s="69" t="s">
        <v>3967</v>
      </c>
      <c r="AD722" s="573">
        <v>409.0</v>
      </c>
      <c r="AE722" s="573">
        <v>100.0</v>
      </c>
      <c r="AF722" s="573">
        <v>0.25</v>
      </c>
      <c r="AG722" s="90" t="s">
        <v>166</v>
      </c>
      <c r="AH722" s="69" t="s">
        <v>3968</v>
      </c>
      <c r="AI722" s="573">
        <v>0.01</v>
      </c>
      <c r="AJ722" s="87" t="s">
        <v>164</v>
      </c>
      <c r="AK722" s="112" t="s">
        <v>179</v>
      </c>
      <c r="AL722" s="788" t="s">
        <v>129</v>
      </c>
      <c r="AM722" s="321" t="s">
        <v>165</v>
      </c>
      <c r="AN722" s="72" t="s">
        <v>165</v>
      </c>
      <c r="AO722" s="72" t="s">
        <v>165</v>
      </c>
      <c r="AP722" s="72" t="s">
        <v>165</v>
      </c>
      <c r="AQ722" s="75"/>
      <c r="AR722" s="72" t="s">
        <v>165</v>
      </c>
      <c r="AS722" s="72" t="s">
        <v>165</v>
      </c>
      <c r="AT722" s="72" t="s">
        <v>165</v>
      </c>
      <c r="AU722" s="72" t="s">
        <v>165</v>
      </c>
      <c r="AV722" s="72" t="s">
        <v>165</v>
      </c>
      <c r="AW722" s="72" t="s">
        <v>571</v>
      </c>
      <c r="AX722" s="84"/>
      <c r="AY722" s="85" t="s">
        <v>135</v>
      </c>
    </row>
    <row r="723" ht="20.25" customHeight="1">
      <c r="A723" s="784" t="s">
        <v>106</v>
      </c>
      <c r="B723" s="784" t="s">
        <v>107</v>
      </c>
      <c r="C723" s="784" t="s">
        <v>214</v>
      </c>
      <c r="D723" s="691"/>
      <c r="E723" s="796" t="s">
        <v>3953</v>
      </c>
      <c r="F723" s="786" t="s">
        <v>3954</v>
      </c>
      <c r="G723" s="786" t="s">
        <v>215</v>
      </c>
      <c r="H723" s="851">
        <v>45641.0</v>
      </c>
      <c r="I723" s="1044">
        <v>45684.0</v>
      </c>
      <c r="J723" s="786" t="s">
        <v>3969</v>
      </c>
      <c r="K723" s="786"/>
      <c r="L723" s="857" t="s">
        <v>3957</v>
      </c>
      <c r="M723" s="786" t="s">
        <v>3958</v>
      </c>
      <c r="N723" s="789">
        <v>1.0</v>
      </c>
      <c r="O723" s="790" t="s">
        <v>3959</v>
      </c>
      <c r="P723" s="48" t="str">
        <f t="array" ref="P723">HYPERLINK(INDEX('File Links'!B:B, MATCH(O723, 'File Links'!C:C, 0)))
</f>
        <v>https://drive.google.com/file/d/1Sg7pV5-MRMEfG7acPaIDjV0AQ3yqElU4/view?usp=drivesdk</v>
      </c>
      <c r="Q723" s="786" t="s">
        <v>3960</v>
      </c>
      <c r="R723" s="786" t="s">
        <v>3961</v>
      </c>
      <c r="S723" s="788"/>
      <c r="T723" s="795"/>
      <c r="U723" s="786" t="s">
        <v>3962</v>
      </c>
      <c r="V723" s="786" t="s">
        <v>3963</v>
      </c>
      <c r="W723" s="50" t="str">
        <f t="array" ref="W723">HYPERLINK(INDEX('File Links'!B:B, MATCH(U723, 'File Links'!C:C, 0)))
</f>
        <v>https://drive.google.com/file/d/1SA7ZP2ow52I8kFKx4p2nJ0nUspPn6as_/view?usp=drivesdk</v>
      </c>
      <c r="X723" s="788"/>
      <c r="Y723" s="69" t="s">
        <v>220</v>
      </c>
      <c r="Z723" s="786" t="s">
        <v>3970</v>
      </c>
      <c r="AA723" s="786" t="s">
        <v>3971</v>
      </c>
      <c r="AB723" s="786" t="s">
        <v>3972</v>
      </c>
      <c r="AC723" s="786" t="s">
        <v>3973</v>
      </c>
      <c r="AD723" s="789">
        <v>411.0</v>
      </c>
      <c r="AE723" s="789">
        <v>100.0</v>
      </c>
      <c r="AF723" s="789">
        <v>0.25</v>
      </c>
      <c r="AG723" s="790" t="s">
        <v>166</v>
      </c>
      <c r="AH723" s="789">
        <v>409.0</v>
      </c>
      <c r="AI723" s="789">
        <v>0.01</v>
      </c>
      <c r="AJ723" s="785" t="s">
        <v>164</v>
      </c>
      <c r="AK723" s="112" t="s">
        <v>179</v>
      </c>
      <c r="AL723" s="788" t="s">
        <v>129</v>
      </c>
      <c r="AM723" s="788"/>
      <c r="AN723" s="789">
        <v>52.0</v>
      </c>
      <c r="AO723" s="788"/>
      <c r="AP723" s="788"/>
      <c r="AQ723" s="788"/>
      <c r="AR723" s="788"/>
      <c r="AS723" s="796"/>
      <c r="AT723" s="796"/>
      <c r="AU723" s="796"/>
      <c r="AV723" s="796"/>
      <c r="AW723" s="796"/>
      <c r="AX723" s="691"/>
      <c r="AY723" s="691"/>
      <c r="AZ723" s="178"/>
    </row>
    <row r="724" ht="20.25" customHeight="1">
      <c r="A724" s="65" t="s">
        <v>143</v>
      </c>
      <c r="B724" s="65" t="s">
        <v>107</v>
      </c>
      <c r="C724" s="65" t="s">
        <v>191</v>
      </c>
      <c r="D724" s="66"/>
      <c r="E724" s="796" t="s">
        <v>3953</v>
      </c>
      <c r="F724" s="69" t="s">
        <v>3974</v>
      </c>
      <c r="G724" s="69" t="s">
        <v>194</v>
      </c>
      <c r="H724" s="566">
        <v>45639.0</v>
      </c>
      <c r="I724" s="1044">
        <v>45684.0</v>
      </c>
      <c r="J724" s="69" t="s">
        <v>3955</v>
      </c>
      <c r="K724" s="1057" t="s">
        <v>3975</v>
      </c>
      <c r="L724" s="570" t="s">
        <v>3957</v>
      </c>
      <c r="M724" s="69" t="s">
        <v>3958</v>
      </c>
      <c r="N724" s="573">
        <v>1.0</v>
      </c>
      <c r="O724" s="90" t="s">
        <v>3959</v>
      </c>
      <c r="P724" s="48" t="str">
        <f t="array" ref="P724">HYPERLINK(INDEX('File Links'!B:B, MATCH(O724, 'File Links'!C:C, 0)))
</f>
        <v>https://drive.google.com/file/d/1Sg7pV5-MRMEfG7acPaIDjV0AQ3yqElU4/view?usp=drivesdk</v>
      </c>
      <c r="Q724" s="69" t="s">
        <v>3960</v>
      </c>
      <c r="R724" s="69" t="s">
        <v>3961</v>
      </c>
      <c r="S724" s="75"/>
      <c r="T724" s="72">
        <v>1.0</v>
      </c>
      <c r="U724" s="69" t="s">
        <v>3962</v>
      </c>
      <c r="V724" s="786" t="s">
        <v>3963</v>
      </c>
      <c r="W724" s="50" t="str">
        <f t="array" ref="W724">HYPERLINK(INDEX('File Links'!B:B, MATCH(U724, 'File Links'!C:C, 0)))
</f>
        <v>https://drive.google.com/file/d/1SA7ZP2ow52I8kFKx4p2nJ0nUspPn6as_/view?usp=drivesdk</v>
      </c>
      <c r="X724" s="75"/>
      <c r="Y724" s="69" t="s">
        <v>220</v>
      </c>
      <c r="Z724" s="69" t="s">
        <v>3964</v>
      </c>
      <c r="AA724" s="69" t="s">
        <v>3965</v>
      </c>
      <c r="AB724" s="69" t="s">
        <v>3976</v>
      </c>
      <c r="AC724" s="69" t="s">
        <v>3977</v>
      </c>
      <c r="AD724" s="573">
        <v>409.0</v>
      </c>
      <c r="AE724" s="573">
        <v>100.0</v>
      </c>
      <c r="AF724" s="570" t="s">
        <v>3978</v>
      </c>
      <c r="AG724" s="570" t="s">
        <v>162</v>
      </c>
      <c r="AH724" s="41">
        <v>409.0</v>
      </c>
      <c r="AI724" s="573">
        <v>0.56</v>
      </c>
      <c r="AJ724" s="87" t="s">
        <v>164</v>
      </c>
      <c r="AK724" s="112" t="s">
        <v>179</v>
      </c>
      <c r="AL724" s="788" t="s">
        <v>129</v>
      </c>
      <c r="AM724" s="321" t="s">
        <v>165</v>
      </c>
      <c r="AN724" s="72" t="s">
        <v>165</v>
      </c>
      <c r="AO724" s="72" t="s">
        <v>165</v>
      </c>
      <c r="AP724" s="72" t="s">
        <v>165</v>
      </c>
      <c r="AQ724" s="75"/>
      <c r="AR724" s="72" t="s">
        <v>165</v>
      </c>
      <c r="AS724" s="72" t="s">
        <v>165</v>
      </c>
      <c r="AT724" s="72" t="s">
        <v>165</v>
      </c>
      <c r="AU724" s="72" t="s">
        <v>165</v>
      </c>
      <c r="AV724" s="72" t="s">
        <v>165</v>
      </c>
      <c r="AW724" s="72" t="s">
        <v>571</v>
      </c>
      <c r="AX724" s="84"/>
      <c r="AY724" s="85" t="s">
        <v>135</v>
      </c>
    </row>
    <row r="725" ht="20.25" customHeight="1">
      <c r="A725" s="177" t="s">
        <v>520</v>
      </c>
      <c r="B725" s="177" t="s">
        <v>107</v>
      </c>
      <c r="C725" s="177" t="s">
        <v>2637</v>
      </c>
      <c r="D725" s="178"/>
      <c r="E725" s="345" t="s">
        <v>3979</v>
      </c>
      <c r="F725" s="182" t="str">
        <f t="shared" ref="F725:F730" si="42">E725&amp;"_"&amp;COUNTIF($A$3:E725, E725)</f>
        <v>curatescience533_1</v>
      </c>
      <c r="G725" s="345" t="s">
        <v>3739</v>
      </c>
      <c r="H725" s="346">
        <v>45676.0</v>
      </c>
      <c r="I725" s="1044">
        <v>45684.0</v>
      </c>
      <c r="J725" s="179"/>
      <c r="K725" s="179"/>
      <c r="L725" s="1020" t="s">
        <v>3980</v>
      </c>
      <c r="M725" s="345" t="s">
        <v>3981</v>
      </c>
      <c r="N725" s="350">
        <v>2.0</v>
      </c>
      <c r="O725" s="345" t="str">
        <f t="shared" ref="O725:O730" si="43"> SUBSTITUTE(lower(M725), "/", "--") &amp;  ".pdf"</f>
        <v>10.1111--j.1467-9280.2009.02426.x.pdf</v>
      </c>
      <c r="P725" s="48" t="str">
        <f t="array" ref="P725">HYPERLINK(INDEX('File Links'!B:B, MATCH(O725, 'File Links'!C:C, 0)))
</f>
        <v>https://drive.google.com/file/d/1dqYztlMOBsUY1H2Tadvsh9mJOiZQ1nVh/view?usp=drivesdk</v>
      </c>
      <c r="Q725" s="345" t="s">
        <v>3982</v>
      </c>
      <c r="R725" s="345" t="s">
        <v>3983</v>
      </c>
      <c r="S725" s="1021" t="s">
        <v>3984</v>
      </c>
      <c r="T725" s="345" t="s">
        <v>3985</v>
      </c>
      <c r="U725" s="345" t="s">
        <v>3986</v>
      </c>
      <c r="V725" s="345" t="s">
        <v>3748</v>
      </c>
      <c r="W725" s="1021" t="s">
        <v>3984</v>
      </c>
      <c r="Y725" s="345" t="s">
        <v>220</v>
      </c>
      <c r="Z725" s="345" t="s">
        <v>3987</v>
      </c>
      <c r="AA725" s="345" t="s">
        <v>3988</v>
      </c>
      <c r="AB725" s="345" t="s">
        <v>3989</v>
      </c>
      <c r="AC725" s="345" t="s">
        <v>3990</v>
      </c>
      <c r="AD725" s="345" t="s">
        <v>3991</v>
      </c>
      <c r="AE725" s="1025">
        <v>51.0</v>
      </c>
      <c r="AF725" s="1025">
        <v>0.59</v>
      </c>
      <c r="AG725" s="345" t="s">
        <v>181</v>
      </c>
      <c r="AH725" s="345" t="s">
        <v>3992</v>
      </c>
      <c r="AI725" s="1022">
        <v>0.05</v>
      </c>
      <c r="AJ725" s="182" t="s">
        <v>127</v>
      </c>
      <c r="AK725" s="182" t="s">
        <v>128</v>
      </c>
      <c r="AL725" s="1023" t="s">
        <v>129</v>
      </c>
      <c r="AM725" s="182" t="s">
        <v>3756</v>
      </c>
      <c r="AN725" s="1058">
        <v>2374.0</v>
      </c>
      <c r="AO725" s="1025">
        <v>0.05</v>
      </c>
      <c r="AP725" s="345" t="s">
        <v>166</v>
      </c>
      <c r="AQ725" s="345" t="s">
        <v>3993</v>
      </c>
      <c r="AR725" s="1025">
        <v>0.21</v>
      </c>
      <c r="AS725" s="345" t="s">
        <v>164</v>
      </c>
      <c r="AT725" s="345" t="s">
        <v>128</v>
      </c>
      <c r="AU725" s="1023" t="s">
        <v>129</v>
      </c>
      <c r="AV725" s="1023" t="s">
        <v>3756</v>
      </c>
      <c r="AW725" s="1023" t="s">
        <v>134</v>
      </c>
      <c r="AX725" s="178"/>
      <c r="AY725" s="178"/>
      <c r="AZ725" s="178"/>
    </row>
    <row r="726" ht="20.25" customHeight="1">
      <c r="A726" s="177" t="s">
        <v>520</v>
      </c>
      <c r="B726" s="177" t="s">
        <v>107</v>
      </c>
      <c r="C726" s="177" t="s">
        <v>1251</v>
      </c>
      <c r="D726" s="178"/>
      <c r="E726" s="188" t="s">
        <v>3979</v>
      </c>
      <c r="F726" s="180" t="str">
        <f t="shared" si="42"/>
        <v>curatescience533_2</v>
      </c>
      <c r="G726" s="188" t="s">
        <v>3758</v>
      </c>
      <c r="H726" s="181">
        <v>45901.0</v>
      </c>
      <c r="I726" s="1044">
        <v>45684.0</v>
      </c>
      <c r="J726" s="179"/>
      <c r="K726" s="179"/>
      <c r="L726" s="1020" t="s">
        <v>3980</v>
      </c>
      <c r="M726" s="188" t="s">
        <v>3981</v>
      </c>
      <c r="N726" s="695">
        <v>2.0</v>
      </c>
      <c r="O726" s="188" t="str">
        <f t="shared" si="43"/>
        <v>10.1111--j.1467-9280.2009.02426.x.pdf</v>
      </c>
      <c r="P726" s="48" t="str">
        <f t="array" ref="P726">HYPERLINK(INDEX('File Links'!B:B, MATCH(O726, 'File Links'!C:C, 0)))
</f>
        <v>https://drive.google.com/file/d/1dqYztlMOBsUY1H2Tadvsh9mJOiZQ1nVh/view?usp=drivesdk</v>
      </c>
      <c r="Q726" s="179"/>
      <c r="R726" s="179"/>
      <c r="S726" s="179"/>
      <c r="T726" s="179"/>
      <c r="U726" s="179"/>
      <c r="V726" s="179"/>
      <c r="W726" s="179"/>
      <c r="Y726" s="188" t="s">
        <v>220</v>
      </c>
      <c r="Z726" s="188" t="s">
        <v>3994</v>
      </c>
      <c r="AA726" s="179"/>
      <c r="AB726" s="179"/>
      <c r="AC726" s="188" t="s">
        <v>3995</v>
      </c>
      <c r="AD726" s="695">
        <v>1171.0</v>
      </c>
      <c r="AE726" s="695">
        <v>50.0</v>
      </c>
      <c r="AF726" s="695">
        <v>0.59</v>
      </c>
      <c r="AG726" s="188" t="s">
        <v>166</v>
      </c>
      <c r="AH726" s="179"/>
      <c r="AI726" s="827">
        <v>0.043</v>
      </c>
      <c r="AJ726" s="180" t="s">
        <v>164</v>
      </c>
      <c r="AK726" s="183"/>
      <c r="AL726" s="179" t="s">
        <v>129</v>
      </c>
      <c r="AM726" s="183"/>
      <c r="AN726" s="695">
        <v>2285.0</v>
      </c>
      <c r="AO726" s="695">
        <v>0.03</v>
      </c>
      <c r="AP726" s="188" t="s">
        <v>166</v>
      </c>
      <c r="AQ726" s="179"/>
      <c r="AR726" s="695">
        <v>0.543</v>
      </c>
      <c r="AS726" s="188" t="s">
        <v>164</v>
      </c>
      <c r="AT726" s="179"/>
      <c r="AU726" s="179" t="s">
        <v>129</v>
      </c>
      <c r="AV726" s="179"/>
      <c r="AW726" s="179" t="s">
        <v>134</v>
      </c>
      <c r="AX726" s="177" t="s">
        <v>3996</v>
      </c>
      <c r="AY726" s="178"/>
    </row>
    <row r="727" ht="20.25" customHeight="1">
      <c r="A727" s="177" t="s">
        <v>520</v>
      </c>
      <c r="B727" s="316" t="s">
        <v>107</v>
      </c>
      <c r="C727" s="316" t="s">
        <v>2637</v>
      </c>
      <c r="D727" s="215"/>
      <c r="E727" s="361" t="s">
        <v>3997</v>
      </c>
      <c r="F727" s="362" t="str">
        <f t="shared" si="42"/>
        <v>curatescience537_1</v>
      </c>
      <c r="G727" s="361" t="s">
        <v>3739</v>
      </c>
      <c r="H727" s="363">
        <v>45675.0</v>
      </c>
      <c r="I727" s="363">
        <v>45676.0</v>
      </c>
      <c r="J727" s="322"/>
      <c r="K727" s="322"/>
      <c r="L727" s="1059" t="s">
        <v>3998</v>
      </c>
      <c r="M727" s="361" t="s">
        <v>3999</v>
      </c>
      <c r="N727" s="321">
        <v>1.0</v>
      </c>
      <c r="O727" s="361" t="str">
        <f t="shared" si="43"/>
        <v>10.1027--1864-9335--a000147.pdf</v>
      </c>
      <c r="P727" s="48" t="str">
        <f t="array" ref="P727">HYPERLINK(INDEX('File Links'!B:B, MATCH(O727, 'File Links'!C:C, 0)))
</f>
        <v>https://drive.google.com/file/d/1Nb1xwSCq02ajI3h9-mZBwiuifn_7H1iR/view?usp=drivesdk</v>
      </c>
      <c r="Q727" s="361" t="s">
        <v>3982</v>
      </c>
      <c r="R727" s="361" t="s">
        <v>3983</v>
      </c>
      <c r="S727" s="370" t="s">
        <v>3984</v>
      </c>
      <c r="T727" s="361" t="s">
        <v>4000</v>
      </c>
      <c r="U727" s="361" t="s">
        <v>3986</v>
      </c>
      <c r="V727" s="361" t="s">
        <v>3748</v>
      </c>
      <c r="W727" s="370" t="s">
        <v>3984</v>
      </c>
      <c r="Y727" s="361" t="s">
        <v>220</v>
      </c>
      <c r="Z727" s="361" t="s">
        <v>4001</v>
      </c>
      <c r="AA727" s="361" t="s">
        <v>4002</v>
      </c>
      <c r="AB727" s="361" t="s">
        <v>4003</v>
      </c>
      <c r="AC727" s="361" t="s">
        <v>4004</v>
      </c>
      <c r="AD727" s="361" t="s">
        <v>4005</v>
      </c>
      <c r="AE727" s="1060">
        <v>80.0</v>
      </c>
      <c r="AF727" s="1060">
        <v>0.86</v>
      </c>
      <c r="AG727" s="361" t="s">
        <v>181</v>
      </c>
      <c r="AH727" s="361" t="s">
        <v>4006</v>
      </c>
      <c r="AI727" s="1061">
        <v>0.001</v>
      </c>
      <c r="AJ727" s="362" t="s">
        <v>127</v>
      </c>
      <c r="AK727" s="362" t="s">
        <v>128</v>
      </c>
      <c r="AL727" s="1062" t="s">
        <v>129</v>
      </c>
      <c r="AM727" s="362" t="s">
        <v>3756</v>
      </c>
      <c r="AN727" s="1063">
        <v>2100.0</v>
      </c>
      <c r="AO727" s="1060">
        <v>0.02</v>
      </c>
      <c r="AP727" s="361" t="s">
        <v>166</v>
      </c>
      <c r="AQ727" s="361" t="s">
        <v>4007</v>
      </c>
      <c r="AR727" s="1060">
        <v>0.54</v>
      </c>
      <c r="AS727" s="361" t="s">
        <v>164</v>
      </c>
      <c r="AT727" s="361" t="s">
        <v>128</v>
      </c>
      <c r="AU727" s="1062" t="s">
        <v>129</v>
      </c>
      <c r="AV727" s="1062" t="s">
        <v>3756</v>
      </c>
      <c r="AW727" s="1062" t="s">
        <v>134</v>
      </c>
      <c r="AX727" s="215"/>
      <c r="AY727" s="215"/>
      <c r="AZ727" s="178"/>
    </row>
    <row r="728" ht="20.25" customHeight="1">
      <c r="A728" s="177" t="s">
        <v>520</v>
      </c>
      <c r="B728" s="316" t="s">
        <v>107</v>
      </c>
      <c r="C728" s="316" t="s">
        <v>1251</v>
      </c>
      <c r="D728" s="215"/>
      <c r="E728" s="232" t="s">
        <v>3997</v>
      </c>
      <c r="F728" s="386" t="str">
        <f t="shared" si="42"/>
        <v>curatescience537_2</v>
      </c>
      <c r="G728" s="232" t="s">
        <v>3758</v>
      </c>
      <c r="H728" s="597">
        <v>45901.0</v>
      </c>
      <c r="I728" s="597">
        <v>45901.0</v>
      </c>
      <c r="J728" s="322"/>
      <c r="K728" s="322"/>
      <c r="L728" s="1059" t="s">
        <v>3998</v>
      </c>
      <c r="M728" s="232" t="s">
        <v>3999</v>
      </c>
      <c r="N728" s="325">
        <v>1.0</v>
      </c>
      <c r="O728" s="232" t="str">
        <f t="shared" si="43"/>
        <v>10.1027--1864-9335--a000147.pdf</v>
      </c>
      <c r="P728" s="48" t="str">
        <f t="array" ref="P728">HYPERLINK(INDEX('File Links'!B:B, MATCH(O728, 'File Links'!C:C, 0)))
</f>
        <v>https://drive.google.com/file/d/1Nb1xwSCq02ajI3h9-mZBwiuifn_7H1iR/view?usp=drivesdk</v>
      </c>
      <c r="Q728" s="322"/>
      <c r="R728" s="322"/>
      <c r="S728" s="322"/>
      <c r="T728" s="322"/>
      <c r="U728" s="322"/>
      <c r="V728" s="322"/>
      <c r="W728" s="322"/>
      <c r="Y728" s="232" t="s">
        <v>220</v>
      </c>
      <c r="Z728" s="232" t="s">
        <v>4008</v>
      </c>
      <c r="AA728" s="322"/>
      <c r="AB728" s="322"/>
      <c r="AC728" s="232" t="s">
        <v>4009</v>
      </c>
      <c r="AD728" s="325">
        <v>170.0</v>
      </c>
      <c r="AE728" s="325">
        <v>80.0</v>
      </c>
      <c r="AF728" s="325">
        <v>0.86</v>
      </c>
      <c r="AG728" s="232" t="s">
        <v>166</v>
      </c>
      <c r="AH728" s="322"/>
      <c r="AI728" s="818">
        <v>0.001</v>
      </c>
      <c r="AJ728" s="386" t="s">
        <v>127</v>
      </c>
      <c r="AK728" s="386" t="s">
        <v>179</v>
      </c>
      <c r="AL728" s="322" t="s">
        <v>129</v>
      </c>
      <c r="AM728" s="364"/>
      <c r="AN728" s="325">
        <v>3119.0</v>
      </c>
      <c r="AO728" s="325">
        <v>0.01</v>
      </c>
      <c r="AP728" s="232" t="s">
        <v>166</v>
      </c>
      <c r="AQ728" s="322"/>
      <c r="AR728" s="325">
        <v>0.827</v>
      </c>
      <c r="AS728" s="232" t="s">
        <v>164</v>
      </c>
      <c r="AT728" s="322"/>
      <c r="AU728" s="322"/>
      <c r="AV728" s="322"/>
      <c r="AW728" s="322" t="s">
        <v>134</v>
      </c>
      <c r="AX728" s="215"/>
      <c r="AY728" s="215"/>
    </row>
    <row r="729" ht="20.25" customHeight="1">
      <c r="A729" s="177" t="s">
        <v>520</v>
      </c>
      <c r="B729" s="136" t="s">
        <v>107</v>
      </c>
      <c r="C729" s="136" t="s">
        <v>2637</v>
      </c>
      <c r="D729" s="64"/>
      <c r="E729" s="208" t="s">
        <v>4010</v>
      </c>
      <c r="F729" s="200" t="str">
        <f t="shared" si="42"/>
        <v>curatescience558_1</v>
      </c>
      <c r="G729" s="208" t="s">
        <v>3739</v>
      </c>
      <c r="H729" s="389">
        <v>45675.0</v>
      </c>
      <c r="I729" s="389">
        <v>45676.0</v>
      </c>
      <c r="J729" s="98"/>
      <c r="K729" s="98"/>
      <c r="L729" s="994" t="s">
        <v>4011</v>
      </c>
      <c r="M729" s="208" t="s">
        <v>4012</v>
      </c>
      <c r="N729" s="134">
        <v>1.0</v>
      </c>
      <c r="O729" s="208" t="str">
        <f t="shared" si="43"/>
        <v>10.1037--0022-3514.45.4.805.pdf</v>
      </c>
      <c r="P729" s="48" t="str">
        <f t="array" ref="P729">HYPERLINK(INDEX('File Links'!B:B, MATCH(O729, 'File Links'!C:C, 0)))
</f>
        <v>https://drive.google.com/file/d/1VbP_Ewf88OEuvCt9ZwvGSNNhhGDSj19O/view?usp=drivesdk</v>
      </c>
      <c r="Q729" s="208" t="s">
        <v>3982</v>
      </c>
      <c r="R729" s="208" t="s">
        <v>3983</v>
      </c>
      <c r="S729" s="996" t="s">
        <v>3984</v>
      </c>
      <c r="T729" s="208" t="s">
        <v>4013</v>
      </c>
      <c r="U729" s="208" t="s">
        <v>3986</v>
      </c>
      <c r="V729" s="208" t="s">
        <v>3748</v>
      </c>
      <c r="W729" s="996" t="s">
        <v>3984</v>
      </c>
      <c r="Y729" s="208" t="s">
        <v>220</v>
      </c>
      <c r="Z729" s="208" t="s">
        <v>4014</v>
      </c>
      <c r="AA729" s="208" t="s">
        <v>4015</v>
      </c>
      <c r="AB729" s="208" t="s">
        <v>4016</v>
      </c>
      <c r="AC729" s="208" t="s">
        <v>4017</v>
      </c>
      <c r="AD729" s="208" t="s">
        <v>4018</v>
      </c>
      <c r="AE729" s="962">
        <v>114.0</v>
      </c>
      <c r="AF729" s="962">
        <v>1.14</v>
      </c>
      <c r="AG729" s="208" t="s">
        <v>181</v>
      </c>
      <c r="AH729" s="208" t="s">
        <v>4019</v>
      </c>
      <c r="AI729" s="1028">
        <v>0.001</v>
      </c>
      <c r="AJ729" s="200" t="s">
        <v>127</v>
      </c>
      <c r="AK729" s="200" t="s">
        <v>128</v>
      </c>
      <c r="AL729" s="964" t="s">
        <v>129</v>
      </c>
      <c r="AM729" s="200" t="s">
        <v>3756</v>
      </c>
      <c r="AN729" s="1029">
        <v>1236.0</v>
      </c>
      <c r="AO729" s="962">
        <v>0.21</v>
      </c>
      <c r="AP729" s="208" t="s">
        <v>166</v>
      </c>
      <c r="AQ729" s="208" t="s">
        <v>4020</v>
      </c>
      <c r="AR729" s="962">
        <v>0.01</v>
      </c>
      <c r="AS729" s="208" t="s">
        <v>127</v>
      </c>
      <c r="AT729" s="208" t="s">
        <v>128</v>
      </c>
      <c r="AU729" s="964" t="s">
        <v>129</v>
      </c>
      <c r="AV729" s="964" t="s">
        <v>3756</v>
      </c>
      <c r="AW729" s="964" t="s">
        <v>134</v>
      </c>
      <c r="AX729" s="64"/>
      <c r="AY729" s="64"/>
      <c r="AZ729" s="178"/>
    </row>
    <row r="730" ht="20.25" customHeight="1">
      <c r="A730" s="177" t="s">
        <v>520</v>
      </c>
      <c r="B730" s="136" t="s">
        <v>107</v>
      </c>
      <c r="C730" s="136" t="s">
        <v>1251</v>
      </c>
      <c r="D730" s="64"/>
      <c r="E730" s="108" t="s">
        <v>4010</v>
      </c>
      <c r="F730" s="99" t="str">
        <f t="shared" si="42"/>
        <v>curatescience558_2</v>
      </c>
      <c r="G730" s="108" t="s">
        <v>3758</v>
      </c>
      <c r="H730" s="391">
        <v>45901.0</v>
      </c>
      <c r="I730" s="391">
        <v>45901.0</v>
      </c>
      <c r="J730" s="98"/>
      <c r="K730" s="98"/>
      <c r="L730" s="994" t="s">
        <v>4011</v>
      </c>
      <c r="M730" s="108" t="s">
        <v>4012</v>
      </c>
      <c r="N730" s="482">
        <v>1.0</v>
      </c>
      <c r="O730" s="108" t="str">
        <f t="shared" si="43"/>
        <v>10.1037--0022-3514.45.4.805.pdf</v>
      </c>
      <c r="P730" s="48" t="str">
        <f t="array" ref="P730">HYPERLINK(INDEX('File Links'!B:B, MATCH(O730, 'File Links'!C:C, 0)))
</f>
        <v>https://drive.google.com/file/d/1VbP_Ewf88OEuvCt9ZwvGSNNhhGDSj19O/view?usp=drivesdk</v>
      </c>
      <c r="Q730" s="98"/>
      <c r="R730" s="98"/>
      <c r="S730" s="98"/>
      <c r="T730" s="98"/>
      <c r="U730" s="98"/>
      <c r="V730" s="98"/>
      <c r="W730" s="98"/>
      <c r="Y730" s="108" t="s">
        <v>220</v>
      </c>
      <c r="Z730" s="98"/>
      <c r="AA730" s="98"/>
      <c r="AB730" s="98"/>
      <c r="AC730" s="108" t="s">
        <v>4021</v>
      </c>
      <c r="AD730" s="482">
        <v>809.0</v>
      </c>
      <c r="AE730" s="482">
        <v>115.0</v>
      </c>
      <c r="AF730" s="482">
        <v>0.17</v>
      </c>
      <c r="AG730" s="108" t="s">
        <v>4022</v>
      </c>
      <c r="AH730" s="98"/>
      <c r="AI730" s="342">
        <v>0.001</v>
      </c>
      <c r="AJ730" s="99" t="s">
        <v>127</v>
      </c>
      <c r="AK730" s="99" t="s">
        <v>179</v>
      </c>
      <c r="AL730" s="98" t="s">
        <v>132</v>
      </c>
      <c r="AM730" s="101"/>
      <c r="AN730" s="482">
        <v>2365.0</v>
      </c>
      <c r="AO730" s="482">
        <v>5.0E-5</v>
      </c>
      <c r="AP730" s="108" t="s">
        <v>4022</v>
      </c>
      <c r="AQ730" s="98"/>
      <c r="AR730" s="482">
        <v>0.72</v>
      </c>
      <c r="AS730" s="108" t="s">
        <v>164</v>
      </c>
      <c r="AT730" s="98"/>
      <c r="AU730" s="98" t="s">
        <v>129</v>
      </c>
      <c r="AV730" s="98"/>
      <c r="AW730" s="98" t="s">
        <v>134</v>
      </c>
      <c r="AX730" s="64"/>
      <c r="AY730" s="64"/>
    </row>
    <row r="731" ht="20.25" customHeight="1">
      <c r="A731" s="41" t="s">
        <v>279</v>
      </c>
      <c r="B731" s="41" t="s">
        <v>107</v>
      </c>
      <c r="C731" s="41" t="s">
        <v>2637</v>
      </c>
      <c r="E731" s="60" t="s">
        <v>4023</v>
      </c>
      <c r="F731" s="52" t="s">
        <v>4024</v>
      </c>
      <c r="G731" s="147" t="s">
        <v>3656</v>
      </c>
      <c r="H731" s="1064">
        <v>45292.0</v>
      </c>
      <c r="I731" s="409">
        <v>45654.0</v>
      </c>
      <c r="J731" s="60"/>
      <c r="K731" s="147"/>
      <c r="L731" s="139" t="s">
        <v>4025</v>
      </c>
      <c r="M731" s="412" t="s">
        <v>4026</v>
      </c>
      <c r="N731" s="144">
        <v>3.0</v>
      </c>
      <c r="O731" s="145" t="s">
        <v>4027</v>
      </c>
      <c r="P731" s="48" t="str">
        <f t="array" ref="P731">HYPERLINK(INDEX('File Links'!B:B, MATCH(O731, 'File Links'!C:C, 0)))
</f>
        <v>https://drive.google.com/file/d/1acuUVGe9a1FY0NzYPbpq8pAnbZKrjA2v/view?usp=drivesdk</v>
      </c>
      <c r="Q731" s="147" t="s">
        <v>4028</v>
      </c>
      <c r="R731" s="412" t="s">
        <v>4029</v>
      </c>
      <c r="S731" s="60"/>
      <c r="T731" s="144">
        <v>1.0</v>
      </c>
      <c r="U731" s="145" t="s">
        <v>4030</v>
      </c>
      <c r="V731" s="412" t="s">
        <v>155</v>
      </c>
      <c r="W731" s="50" t="str">
        <f t="array" ref="W731">HYPERLINK(INDEX('File Links'!B:B, MATCH(U731, 'File Links'!C:C, 0)))
</f>
        <v>https://drive.google.com/file/d/1-xurSGJuM3s6RBApJqwPJeMlgGlC3K_D/view?usp=drivesdk</v>
      </c>
      <c r="X731" s="60"/>
      <c r="Y731" s="412" t="s">
        <v>220</v>
      </c>
      <c r="Z731" s="412" t="s">
        <v>4031</v>
      </c>
      <c r="AA731" s="412" t="s">
        <v>4032</v>
      </c>
      <c r="AB731" s="412" t="s">
        <v>4033</v>
      </c>
      <c r="AC731" s="412" t="s">
        <v>4034</v>
      </c>
      <c r="AD731" s="777">
        <v>470.0</v>
      </c>
      <c r="AE731" s="777">
        <v>145.0</v>
      </c>
      <c r="AF731" s="777">
        <v>0.767</v>
      </c>
      <c r="AG731" s="778" t="s">
        <v>2651</v>
      </c>
      <c r="AH731" s="779" t="s">
        <v>4035</v>
      </c>
      <c r="AI731" s="451">
        <v>0.03</v>
      </c>
      <c r="AJ731" s="412" t="s">
        <v>164</v>
      </c>
      <c r="AK731" s="352" t="s">
        <v>128</v>
      </c>
      <c r="AL731" s="780" t="s">
        <v>129</v>
      </c>
      <c r="AM731" s="60"/>
      <c r="AN731" s="777">
        <v>266.0</v>
      </c>
      <c r="AO731" s="777">
        <v>0.35</v>
      </c>
      <c r="AP731" s="412" t="s">
        <v>166</v>
      </c>
      <c r="AQ731" s="412" t="s">
        <v>4036</v>
      </c>
      <c r="AR731" s="777">
        <v>0.04</v>
      </c>
      <c r="AS731" s="412" t="s">
        <v>164</v>
      </c>
      <c r="AT731" s="412" t="s">
        <v>128</v>
      </c>
      <c r="AU731" s="780" t="s">
        <v>129</v>
      </c>
      <c r="AV731" s="1065" t="s">
        <v>4037</v>
      </c>
      <c r="AW731" s="1066" t="s">
        <v>134</v>
      </c>
      <c r="AZ731" s="178"/>
    </row>
    <row r="732" ht="20.25" customHeight="1">
      <c r="A732" s="41" t="s">
        <v>279</v>
      </c>
      <c r="B732" s="41" t="s">
        <v>107</v>
      </c>
      <c r="C732" s="41" t="s">
        <v>1471</v>
      </c>
      <c r="E732" s="1067" t="s">
        <v>4023</v>
      </c>
      <c r="F732" s="1068" t="s">
        <v>4024</v>
      </c>
      <c r="G732" s="1069" t="s">
        <v>1530</v>
      </c>
      <c r="H732" s="1070" t="s">
        <v>112</v>
      </c>
      <c r="I732" s="1071">
        <v>45682.0</v>
      </c>
      <c r="J732" s="1069" t="s">
        <v>4038</v>
      </c>
      <c r="K732" s="1069" t="s">
        <v>3765</v>
      </c>
      <c r="L732" s="1072" t="s">
        <v>4039</v>
      </c>
      <c r="M732" s="1069" t="s">
        <v>4026</v>
      </c>
      <c r="N732" s="1073">
        <v>3.0</v>
      </c>
      <c r="O732" s="1069" t="s">
        <v>4027</v>
      </c>
      <c r="P732" s="48" t="str">
        <f t="array" ref="P732">HYPERLINK(INDEX('File Links'!B:B, MATCH(O732, 'File Links'!C:C, 0)))
</f>
        <v>https://drive.google.com/file/d/1acuUVGe9a1FY0NzYPbpq8pAnbZKrjA2v/view?usp=drivesdk</v>
      </c>
      <c r="Q732" s="1069" t="s">
        <v>4040</v>
      </c>
      <c r="R732" s="1069" t="s">
        <v>4029</v>
      </c>
      <c r="S732" s="1067"/>
      <c r="T732" s="1073">
        <v>1.0</v>
      </c>
      <c r="U732" s="1069" t="s">
        <v>4030</v>
      </c>
      <c r="V732" s="1068" t="s">
        <v>4041</v>
      </c>
      <c r="W732" s="50" t="str">
        <f t="array" ref="W732">HYPERLINK(INDEX('File Links'!B:B, MATCH(U732, 'File Links'!C:C, 0)))
</f>
        <v>https://drive.google.com/file/d/1-xurSGJuM3s6RBApJqwPJeMlgGlC3K_D/view?usp=drivesdk</v>
      </c>
      <c r="Y732" s="1069" t="s">
        <v>220</v>
      </c>
      <c r="Z732" s="1069" t="s">
        <v>4042</v>
      </c>
      <c r="AA732" s="1069" t="s">
        <v>4043</v>
      </c>
      <c r="AB732" s="1069" t="s">
        <v>4044</v>
      </c>
      <c r="AC732" s="1069" t="s">
        <v>4045</v>
      </c>
      <c r="AD732" s="1073">
        <v>6.0</v>
      </c>
      <c r="AE732" s="1073">
        <v>145.0</v>
      </c>
      <c r="AF732" s="1073">
        <v>0.033</v>
      </c>
      <c r="AG732" s="1074" t="s">
        <v>1785</v>
      </c>
      <c r="AH732" s="1074" t="s">
        <v>1062</v>
      </c>
      <c r="AI732" s="1075">
        <v>0.03</v>
      </c>
      <c r="AJ732" s="1069" t="s">
        <v>164</v>
      </c>
      <c r="AK732" s="1068" t="s">
        <v>179</v>
      </c>
      <c r="AL732" s="1067" t="s">
        <v>129</v>
      </c>
      <c r="AM732" s="1067"/>
      <c r="AN732" s="1073">
        <v>520.0</v>
      </c>
      <c r="AO732" s="1073">
        <v>0.006</v>
      </c>
      <c r="AP732" s="1069" t="s">
        <v>130</v>
      </c>
      <c r="AQ732" s="1069" t="s">
        <v>4046</v>
      </c>
      <c r="AR732" s="1073">
        <v>0.079</v>
      </c>
      <c r="AS732" s="1069" t="s">
        <v>164</v>
      </c>
      <c r="AT732" s="1069" t="s">
        <v>179</v>
      </c>
      <c r="AU732" s="1067" t="s">
        <v>129</v>
      </c>
      <c r="AV732" s="1076" t="s">
        <v>4047</v>
      </c>
      <c r="AW732" s="1067" t="s">
        <v>134</v>
      </c>
      <c r="AX732" s="1067"/>
      <c r="AY732" s="1067"/>
      <c r="AZ732" s="1067"/>
      <c r="BA732" s="1067"/>
      <c r="BB732" s="1067"/>
      <c r="BC732" s="1067"/>
      <c r="BD732" s="1067"/>
      <c r="BE732" s="1067"/>
      <c r="BF732" s="1067"/>
      <c r="BG732" s="1067"/>
      <c r="BH732" s="1067"/>
      <c r="BI732" s="1067"/>
      <c r="BJ732" s="1067"/>
      <c r="BK732" s="1067"/>
      <c r="BL732" s="1067"/>
      <c r="BM732" s="1067"/>
      <c r="BN732" s="1067"/>
      <c r="BO732" s="1067"/>
      <c r="BP732" s="1067"/>
      <c r="BQ732" s="1067"/>
      <c r="BR732" s="1067"/>
      <c r="BS732" s="1067"/>
      <c r="BT732" s="1067"/>
      <c r="BU732" s="1067"/>
      <c r="BV732" s="1067"/>
      <c r="BW732" s="1067"/>
      <c r="BX732" s="1067"/>
      <c r="BY732" s="1067"/>
      <c r="BZ732" s="1067"/>
      <c r="CA732" s="1067"/>
      <c r="CB732" s="1067"/>
      <c r="CC732" s="1067"/>
      <c r="CD732" s="1067"/>
      <c r="CE732" s="1067"/>
      <c r="CF732" s="1067"/>
      <c r="CG732" s="1067"/>
      <c r="CH732" s="1067"/>
      <c r="CI732" s="1067"/>
      <c r="CJ732" s="1067"/>
      <c r="CK732" s="1067"/>
      <c r="CL732" s="1067"/>
      <c r="CM732" s="1067"/>
      <c r="CN732" s="1067"/>
      <c r="CO732" s="1067"/>
      <c r="CP732" s="1067"/>
      <c r="CQ732" s="1067"/>
      <c r="CR732" s="1067"/>
      <c r="CS732" s="1067"/>
      <c r="CT732" s="1067"/>
      <c r="CU732" s="1067"/>
      <c r="CV732" s="1067"/>
      <c r="CW732" s="1067"/>
      <c r="CX732" s="1067"/>
      <c r="CY732" s="1067"/>
      <c r="CZ732" s="1067"/>
      <c r="DA732" s="1067"/>
      <c r="DB732" s="1067"/>
    </row>
    <row r="733" ht="20.25" customHeight="1">
      <c r="A733" s="41" t="s">
        <v>279</v>
      </c>
      <c r="B733" s="41" t="s">
        <v>107</v>
      </c>
      <c r="C733" s="41" t="s">
        <v>1471</v>
      </c>
      <c r="E733" s="1067" t="s">
        <v>4023</v>
      </c>
      <c r="F733" s="1068" t="s">
        <v>4048</v>
      </c>
      <c r="G733" s="1069" t="s">
        <v>1530</v>
      </c>
      <c r="H733" s="1077"/>
      <c r="I733" s="1071">
        <v>45682.0</v>
      </c>
      <c r="J733" s="1067"/>
      <c r="K733" s="1069" t="s">
        <v>3765</v>
      </c>
      <c r="L733" s="1072" t="s">
        <v>4039</v>
      </c>
      <c r="M733" s="1069" t="s">
        <v>4026</v>
      </c>
      <c r="N733" s="1073">
        <v>3.0</v>
      </c>
      <c r="O733" s="1069" t="s">
        <v>4027</v>
      </c>
      <c r="P733" s="48" t="str">
        <f t="array" ref="P733">HYPERLINK(INDEX('File Links'!B:B, MATCH(O733, 'File Links'!C:C, 0)))
</f>
        <v>https://drive.google.com/file/d/1acuUVGe9a1FY0NzYPbpq8pAnbZKrjA2v/view?usp=drivesdk</v>
      </c>
      <c r="Q733" s="1069" t="s">
        <v>4040</v>
      </c>
      <c r="R733" s="1069" t="s">
        <v>4029</v>
      </c>
      <c r="S733" s="1067"/>
      <c r="T733" s="1073">
        <v>1.0</v>
      </c>
      <c r="U733" s="1069" t="s">
        <v>4030</v>
      </c>
      <c r="V733" s="1068" t="s">
        <v>4041</v>
      </c>
      <c r="W733" s="50" t="str">
        <f t="array" ref="W733">HYPERLINK(INDEX('File Links'!B:B, MATCH(U733, 'File Links'!C:C, 0)))
</f>
        <v>https://drive.google.com/file/d/1-xurSGJuM3s6RBApJqwPJeMlgGlC3K_D/view?usp=drivesdk</v>
      </c>
      <c r="Y733" s="1069" t="s">
        <v>220</v>
      </c>
      <c r="Z733" s="1069" t="s">
        <v>4049</v>
      </c>
      <c r="AA733" s="1069" t="s">
        <v>4043</v>
      </c>
      <c r="AB733" s="1069" t="s">
        <v>4044</v>
      </c>
      <c r="AC733" s="1069" t="s">
        <v>4050</v>
      </c>
      <c r="AD733" s="1073">
        <v>6.0</v>
      </c>
      <c r="AE733" s="1073">
        <v>145.0</v>
      </c>
      <c r="AF733" s="1073">
        <v>0.048</v>
      </c>
      <c r="AG733" s="1074" t="s">
        <v>1785</v>
      </c>
      <c r="AH733" s="1074" t="s">
        <v>1062</v>
      </c>
      <c r="AI733" s="1075">
        <v>0.008</v>
      </c>
      <c r="AJ733" s="1069" t="s">
        <v>164</v>
      </c>
      <c r="AK733" s="1068" t="s">
        <v>179</v>
      </c>
      <c r="AL733" s="1067" t="s">
        <v>129</v>
      </c>
      <c r="AM733" s="1067"/>
      <c r="AN733" s="1073">
        <v>520.0</v>
      </c>
      <c r="AO733" s="1073">
        <v>0.001</v>
      </c>
      <c r="AP733" s="1069" t="s">
        <v>130</v>
      </c>
      <c r="AQ733" s="1069" t="s">
        <v>4051</v>
      </c>
      <c r="AR733" s="1073">
        <v>0.494</v>
      </c>
      <c r="AS733" s="1069" t="s">
        <v>164</v>
      </c>
      <c r="AT733" s="1069" t="s">
        <v>179</v>
      </c>
      <c r="AU733" s="1067" t="s">
        <v>129</v>
      </c>
      <c r="AV733" s="1076" t="s">
        <v>4047</v>
      </c>
      <c r="AW733" s="1067" t="s">
        <v>134</v>
      </c>
      <c r="AX733" s="1067"/>
      <c r="AY733" s="1067"/>
      <c r="AZ733" s="1067"/>
      <c r="BA733" s="1067"/>
      <c r="BB733" s="1067"/>
      <c r="BC733" s="1067"/>
      <c r="BD733" s="1067"/>
      <c r="BE733" s="1067"/>
      <c r="BF733" s="1067"/>
      <c r="BG733" s="1067"/>
      <c r="BH733" s="1067"/>
      <c r="BI733" s="1067"/>
      <c r="BJ733" s="1067"/>
      <c r="BK733" s="1067"/>
      <c r="BL733" s="1067"/>
      <c r="BM733" s="1067"/>
      <c r="BN733" s="1067"/>
      <c r="BO733" s="1067"/>
      <c r="BP733" s="1067"/>
      <c r="BQ733" s="1067"/>
      <c r="BR733" s="1067"/>
      <c r="BS733" s="1067"/>
      <c r="BT733" s="1067"/>
      <c r="BU733" s="1067"/>
      <c r="BV733" s="1067"/>
      <c r="BW733" s="1067"/>
      <c r="BX733" s="1067"/>
      <c r="BY733" s="1067"/>
      <c r="BZ733" s="1067"/>
      <c r="CA733" s="1067"/>
      <c r="CB733" s="1067"/>
      <c r="CC733" s="1067"/>
      <c r="CD733" s="1067"/>
      <c r="CE733" s="1067"/>
      <c r="CF733" s="1067"/>
      <c r="CG733" s="1067"/>
      <c r="CH733" s="1067"/>
      <c r="CI733" s="1067"/>
      <c r="CJ733" s="1067"/>
      <c r="CK733" s="1067"/>
      <c r="CL733" s="1067"/>
      <c r="CM733" s="1067"/>
      <c r="CN733" s="1067"/>
      <c r="CO733" s="1067"/>
      <c r="CP733" s="1067"/>
      <c r="CQ733" s="1067"/>
      <c r="CR733" s="1067"/>
      <c r="CS733" s="1067"/>
      <c r="CT733" s="1067"/>
      <c r="CU733" s="1067"/>
      <c r="CV733" s="1067"/>
      <c r="CW733" s="1067"/>
      <c r="CX733" s="1067"/>
      <c r="CY733" s="1067"/>
      <c r="CZ733" s="1067"/>
      <c r="DA733" s="1067"/>
      <c r="DB733" s="1067"/>
    </row>
    <row r="734" ht="20.25" customHeight="1">
      <c r="A734" s="177" t="s">
        <v>520</v>
      </c>
      <c r="B734" s="157" t="s">
        <v>107</v>
      </c>
      <c r="C734" s="157" t="s">
        <v>2637</v>
      </c>
      <c r="D734" s="152"/>
      <c r="E734" s="1078" t="s">
        <v>4052</v>
      </c>
      <c r="F734" s="1079" t="str">
        <f t="shared" ref="F734:F735" si="44">E734&amp;"_"&amp;COUNTIF($A$3:E734, E734)</f>
        <v>curatescience578_1</v>
      </c>
      <c r="G734" s="1078" t="s">
        <v>3739</v>
      </c>
      <c r="H734" s="1080">
        <v>45675.0</v>
      </c>
      <c r="I734" s="1080">
        <v>45676.0</v>
      </c>
      <c r="J734" s="169"/>
      <c r="K734" s="169"/>
      <c r="L734" s="1081" t="s">
        <v>4053</v>
      </c>
      <c r="M734" s="1078" t="s">
        <v>4054</v>
      </c>
      <c r="N734" s="164">
        <v>2.0</v>
      </c>
      <c r="O734" s="1078" t="str">
        <f t="shared" ref="O734:O735" si="45"> SUBSTITUTE(lower(M734), "/", "--") &amp;  ".pdf"</f>
        <v>10.1037--0022-3514.82.5.792.pdf</v>
      </c>
      <c r="P734" s="48" t="str">
        <f t="array" ref="P734">HYPERLINK(INDEX('File Links'!B:B, MATCH(O734, 'File Links'!C:C, 0)))
</f>
        <v>https://drive.google.com/file/d/1yhJ17uggr6j5uXr73Jms5KP35M6RDUxL/view?usp=drivesdk</v>
      </c>
      <c r="Q734" s="1078" t="s">
        <v>3982</v>
      </c>
      <c r="R734" s="1078" t="s">
        <v>3983</v>
      </c>
      <c r="S734" s="1082" t="s">
        <v>3984</v>
      </c>
      <c r="T734" s="1078" t="s">
        <v>4055</v>
      </c>
      <c r="U734" s="1078" t="s">
        <v>3986</v>
      </c>
      <c r="V734" s="1082" t="s">
        <v>3984</v>
      </c>
      <c r="W734" s="1078" t="s">
        <v>3748</v>
      </c>
      <c r="X734" s="169"/>
      <c r="Y734" s="1078" t="s">
        <v>220</v>
      </c>
      <c r="Z734" s="1078" t="s">
        <v>4056</v>
      </c>
      <c r="AA734" s="1078" t="s">
        <v>4057</v>
      </c>
      <c r="AB734" s="1078" t="s">
        <v>4058</v>
      </c>
      <c r="AC734" s="1078" t="s">
        <v>4059</v>
      </c>
      <c r="AD734" s="1078" t="s">
        <v>4060</v>
      </c>
      <c r="AE734" s="1083">
        <v>357.0</v>
      </c>
      <c r="AF734" s="1083">
        <v>0.45</v>
      </c>
      <c r="AG734" s="1078" t="s">
        <v>181</v>
      </c>
      <c r="AH734" s="1078" t="s">
        <v>4061</v>
      </c>
      <c r="AI734" s="1084">
        <v>0.001</v>
      </c>
      <c r="AJ734" s="1079" t="s">
        <v>164</v>
      </c>
      <c r="AK734" s="1079" t="s">
        <v>128</v>
      </c>
      <c r="AL734" s="1085" t="s">
        <v>129</v>
      </c>
      <c r="AM734" s="1079" t="s">
        <v>3756</v>
      </c>
      <c r="AN734" s="1086">
        <v>1200.0</v>
      </c>
      <c r="AO734" s="1083">
        <v>0.15</v>
      </c>
      <c r="AP734" s="1078" t="s">
        <v>166</v>
      </c>
      <c r="AQ734" s="1078" t="s">
        <v>4062</v>
      </c>
      <c r="AR734" s="1083">
        <v>0.02</v>
      </c>
      <c r="AS734" s="1078" t="s">
        <v>127</v>
      </c>
      <c r="AT734" s="1078" t="s">
        <v>128</v>
      </c>
      <c r="AU734" s="1085" t="s">
        <v>129</v>
      </c>
      <c r="AV734" s="1085" t="s">
        <v>3756</v>
      </c>
      <c r="AW734" s="1085" t="s">
        <v>134</v>
      </c>
      <c r="AX734" s="152"/>
      <c r="AY734" s="152"/>
    </row>
    <row r="735" ht="20.25" customHeight="1">
      <c r="A735" s="177" t="s">
        <v>520</v>
      </c>
      <c r="B735" s="157" t="s">
        <v>107</v>
      </c>
      <c r="C735" s="157" t="s">
        <v>1251</v>
      </c>
      <c r="D735" s="152"/>
      <c r="E735" s="669" t="s">
        <v>4052</v>
      </c>
      <c r="F735" s="175" t="str">
        <f t="shared" si="44"/>
        <v>curatescience578_2</v>
      </c>
      <c r="G735" s="669" t="s">
        <v>3758</v>
      </c>
      <c r="H735" s="670">
        <v>45901.0</v>
      </c>
      <c r="I735" s="670">
        <v>45901.0</v>
      </c>
      <c r="J735" s="169"/>
      <c r="K735" s="169"/>
      <c r="L735" s="1081" t="s">
        <v>4053</v>
      </c>
      <c r="M735" s="669" t="s">
        <v>4054</v>
      </c>
      <c r="N735" s="172">
        <v>2.0</v>
      </c>
      <c r="O735" s="669" t="str">
        <f t="shared" si="45"/>
        <v>10.1037--0022-3514.82.5.792.pdf</v>
      </c>
      <c r="P735" s="48" t="str">
        <f t="array" ref="P735">HYPERLINK(INDEX('File Links'!B:B, MATCH(O735, 'File Links'!C:C, 0)))
</f>
        <v>https://drive.google.com/file/d/1yhJ17uggr6j5uXr73Jms5KP35M6RDUxL/view?usp=drivesdk</v>
      </c>
      <c r="Q735" s="169"/>
      <c r="R735" s="169"/>
      <c r="S735" s="169"/>
      <c r="T735" s="169"/>
      <c r="U735" s="169"/>
      <c r="V735" s="169"/>
      <c r="W735" s="169"/>
      <c r="X735" s="169"/>
      <c r="Y735" s="669" t="s">
        <v>220</v>
      </c>
      <c r="Z735" s="169"/>
      <c r="AA735" s="169"/>
      <c r="AB735" s="169"/>
      <c r="AC735" s="669" t="s">
        <v>4063</v>
      </c>
      <c r="AD735" s="172">
        <v>796.0</v>
      </c>
      <c r="AE735" s="172">
        <v>357.0</v>
      </c>
      <c r="AF735" s="172">
        <v>0.21</v>
      </c>
      <c r="AG735" s="669" t="s">
        <v>166</v>
      </c>
      <c r="AH735" s="169"/>
      <c r="AI735" s="1087">
        <v>0.001</v>
      </c>
      <c r="AJ735" s="175" t="s">
        <v>127</v>
      </c>
      <c r="AK735" s="674"/>
      <c r="AL735" s="169" t="s">
        <v>129</v>
      </c>
      <c r="AM735" s="674"/>
      <c r="AN735" s="172">
        <v>3136.0</v>
      </c>
      <c r="AO735" s="172">
        <v>0.001</v>
      </c>
      <c r="AP735" s="669" t="s">
        <v>4022</v>
      </c>
      <c r="AQ735" s="169"/>
      <c r="AR735" s="172">
        <v>0.16</v>
      </c>
      <c r="AS735" s="669" t="s">
        <v>164</v>
      </c>
      <c r="AT735" s="169"/>
      <c r="AU735" s="169"/>
      <c r="AV735" s="169"/>
      <c r="AW735" s="169" t="s">
        <v>134</v>
      </c>
      <c r="AX735" s="152"/>
      <c r="AY735" s="152"/>
    </row>
    <row r="736" ht="20.25" customHeight="1">
      <c r="A736" s="41" t="s">
        <v>279</v>
      </c>
      <c r="B736" s="41" t="s">
        <v>107</v>
      </c>
      <c r="C736" s="41" t="s">
        <v>2637</v>
      </c>
      <c r="E736" s="60" t="s">
        <v>4064</v>
      </c>
      <c r="F736" s="52" t="s">
        <v>4065</v>
      </c>
      <c r="G736" s="147" t="s">
        <v>3656</v>
      </c>
      <c r="H736" s="1064">
        <v>45292.0</v>
      </c>
      <c r="I736" s="409">
        <v>45654.0</v>
      </c>
      <c r="J736" s="60"/>
      <c r="K736" s="147"/>
      <c r="L736" s="139" t="s">
        <v>4025</v>
      </c>
      <c r="M736" s="412" t="s">
        <v>4026</v>
      </c>
      <c r="N736" s="144">
        <v>3.0</v>
      </c>
      <c r="O736" s="145" t="s">
        <v>4027</v>
      </c>
      <c r="P736" s="48" t="str">
        <f t="array" ref="P736">HYPERLINK(INDEX('File Links'!B:B, MATCH(O736, 'File Links'!C:C, 0)))
</f>
        <v>https://drive.google.com/file/d/1acuUVGe9a1FY0NzYPbpq8pAnbZKrjA2v/view?usp=drivesdk</v>
      </c>
      <c r="Q736" s="147" t="s">
        <v>4066</v>
      </c>
      <c r="R736" s="412" t="s">
        <v>4029</v>
      </c>
      <c r="S736" s="60"/>
      <c r="T736" s="144">
        <v>3.0</v>
      </c>
      <c r="U736" s="145" t="s">
        <v>4030</v>
      </c>
      <c r="V736" s="412" t="s">
        <v>155</v>
      </c>
      <c r="W736" s="50" t="str">
        <f t="array" ref="W736">HYPERLINK(INDEX('File Links'!B:B, MATCH(U736, 'File Links'!C:C, 0)))
</f>
        <v>https://drive.google.com/file/d/1-xurSGJuM3s6RBApJqwPJeMlgGlC3K_D/view?usp=drivesdk</v>
      </c>
      <c r="X736" s="60"/>
      <c r="Y736" s="412" t="s">
        <v>220</v>
      </c>
      <c r="Z736" s="412" t="s">
        <v>4031</v>
      </c>
      <c r="AA736" s="412" t="s">
        <v>4032</v>
      </c>
      <c r="AB736" s="412" t="s">
        <v>4033</v>
      </c>
      <c r="AC736" s="412" t="s">
        <v>4034</v>
      </c>
      <c r="AD736" s="777">
        <v>470.0</v>
      </c>
      <c r="AE736" s="777">
        <v>145.0</v>
      </c>
      <c r="AF736" s="777">
        <v>0.767</v>
      </c>
      <c r="AG736" s="778" t="s">
        <v>2651</v>
      </c>
      <c r="AH736" s="779" t="s">
        <v>4035</v>
      </c>
      <c r="AI736" s="451">
        <v>0.03</v>
      </c>
      <c r="AJ736" s="412" t="s">
        <v>164</v>
      </c>
      <c r="AK736" s="352" t="s">
        <v>128</v>
      </c>
      <c r="AL736" s="780" t="s">
        <v>129</v>
      </c>
      <c r="AM736" s="60"/>
      <c r="AN736" s="777">
        <v>254.0</v>
      </c>
      <c r="AO736" s="777">
        <v>0.15</v>
      </c>
      <c r="AP736" s="412" t="s">
        <v>166</v>
      </c>
      <c r="AQ736" s="412" t="s">
        <v>4067</v>
      </c>
      <c r="AR736" s="777">
        <v>0.15</v>
      </c>
      <c r="AS736" s="412" t="s">
        <v>164</v>
      </c>
      <c r="AT736" s="412" t="s">
        <v>128</v>
      </c>
      <c r="AU736" s="780" t="s">
        <v>129</v>
      </c>
      <c r="AV736" s="1065" t="s">
        <v>4037</v>
      </c>
      <c r="AW736" s="1066" t="s">
        <v>134</v>
      </c>
    </row>
    <row r="737" ht="20.25" hidden="1" customHeight="1">
      <c r="A737" s="41" t="s">
        <v>279</v>
      </c>
      <c r="B737" s="41" t="s">
        <v>107</v>
      </c>
      <c r="C737" s="41" t="s">
        <v>1471</v>
      </c>
      <c r="E737" s="60" t="s">
        <v>4064</v>
      </c>
      <c r="F737" s="52" t="s">
        <v>4065</v>
      </c>
      <c r="G737" s="60"/>
      <c r="H737" s="1088" t="s">
        <v>112</v>
      </c>
      <c r="I737" s="806"/>
      <c r="J737" s="60"/>
      <c r="K737" s="147" t="s">
        <v>3765</v>
      </c>
      <c r="L737" s="330" t="s">
        <v>4068</v>
      </c>
      <c r="M737" s="147" t="s">
        <v>4026</v>
      </c>
      <c r="N737" s="144">
        <v>3.0</v>
      </c>
      <c r="O737" s="145" t="s">
        <v>4027</v>
      </c>
      <c r="P737" s="48" t="str">
        <f t="array" ref="P737">HYPERLINK(INDEX('File Links'!B:B, MATCH(O737, 'File Links'!C:C, 0)))
</f>
        <v>https://drive.google.com/file/d/1acuUVGe9a1FY0NzYPbpq8pAnbZKrjA2v/view?usp=drivesdk</v>
      </c>
      <c r="Q737" s="147" t="s">
        <v>4066</v>
      </c>
      <c r="R737" s="147" t="s">
        <v>4029</v>
      </c>
      <c r="S737" s="60"/>
      <c r="T737" s="144">
        <v>3.0</v>
      </c>
      <c r="U737" s="145" t="s">
        <v>4030</v>
      </c>
      <c r="W737" s="50" t="str">
        <f t="array" ref="W737">HYPERLINK(INDEX('File Links'!B:B, MATCH(U737, 'File Links'!C:C, 0)))
</f>
        <v>https://drive.google.com/file/d/1-xurSGJuM3s6RBApJqwPJeMlgGlC3K_D/view?usp=drivesdk</v>
      </c>
      <c r="X737" s="147" t="s">
        <v>3814</v>
      </c>
      <c r="Y737" s="60"/>
      <c r="Z737" s="60"/>
      <c r="AA737" s="60"/>
      <c r="AB737" s="60"/>
      <c r="AC737" s="60"/>
      <c r="AD737" s="60"/>
      <c r="AE737" s="60"/>
      <c r="AF737" s="60"/>
      <c r="AG737" s="1089"/>
      <c r="AH737" s="1089"/>
      <c r="AI737" s="55"/>
      <c r="AJ737" s="60"/>
      <c r="AK737" s="55"/>
      <c r="AL737" s="60"/>
      <c r="AM737" s="60"/>
      <c r="AN737" s="60"/>
      <c r="AO737" s="60"/>
      <c r="AP737" s="60"/>
      <c r="AQ737" s="60"/>
      <c r="AR737" s="60"/>
      <c r="AS737" s="60"/>
      <c r="AT737" s="60"/>
      <c r="AU737" s="60"/>
      <c r="AV737" s="60"/>
      <c r="AW737" s="60"/>
      <c r="AX737" s="60"/>
      <c r="AY737" s="60"/>
      <c r="AZ737" s="60"/>
      <c r="BA737" s="60"/>
      <c r="BB737" s="60"/>
      <c r="BC737" s="60"/>
    </row>
    <row r="738" ht="20.25" customHeight="1">
      <c r="A738" s="41" t="s">
        <v>279</v>
      </c>
      <c r="B738" s="41" t="s">
        <v>107</v>
      </c>
      <c r="C738" s="41" t="s">
        <v>2637</v>
      </c>
      <c r="E738" s="60" t="s">
        <v>4069</v>
      </c>
      <c r="F738" s="52" t="s">
        <v>4070</v>
      </c>
      <c r="G738" s="147" t="s">
        <v>3656</v>
      </c>
      <c r="H738" s="1064">
        <v>45292.0</v>
      </c>
      <c r="I738" s="409">
        <v>45654.0</v>
      </c>
      <c r="J738" s="60"/>
      <c r="K738" s="147"/>
      <c r="L738" s="139" t="s">
        <v>4071</v>
      </c>
      <c r="M738" s="412" t="s">
        <v>4026</v>
      </c>
      <c r="N738" s="144">
        <v>2.0</v>
      </c>
      <c r="O738" s="145" t="s">
        <v>4027</v>
      </c>
      <c r="P738" s="48" t="str">
        <f t="array" ref="P738">HYPERLINK(INDEX('File Links'!B:B, MATCH(O738, 'File Links'!C:C, 0)))
</f>
        <v>https://drive.google.com/file/d/1acuUVGe9a1FY0NzYPbpq8pAnbZKrjA2v/view?usp=drivesdk</v>
      </c>
      <c r="Q738" s="453" t="s">
        <v>4072</v>
      </c>
      <c r="R738" s="454" t="s">
        <v>4073</v>
      </c>
      <c r="S738" s="60"/>
      <c r="T738" s="775">
        <v>3.0</v>
      </c>
      <c r="U738" s="145" t="s">
        <v>4074</v>
      </c>
      <c r="V738" s="412" t="s">
        <v>155</v>
      </c>
      <c r="W738" s="50" t="str">
        <f t="array" ref="W738">HYPERLINK(INDEX('File Links'!B:B, MATCH(U738, 'File Links'!C:C, 0)))
</f>
        <v>https://drive.google.com/file/d/1gyeq5B_qi3Jnlf4Z_IsX5vLD1Nya92z0/view?usp=drivesdk</v>
      </c>
      <c r="X738" s="60"/>
      <c r="Y738" s="412" t="s">
        <v>220</v>
      </c>
      <c r="Z738" s="412" t="s">
        <v>4075</v>
      </c>
      <c r="AA738" s="412" t="s">
        <v>4076</v>
      </c>
      <c r="AB738" s="412" t="s">
        <v>4077</v>
      </c>
      <c r="AC738" s="412" t="s">
        <v>4078</v>
      </c>
      <c r="AD738" s="777">
        <v>1215.0</v>
      </c>
      <c r="AE738" s="777">
        <v>77.0</v>
      </c>
      <c r="AF738" s="777">
        <v>0.28</v>
      </c>
      <c r="AG738" s="779" t="s">
        <v>4079</v>
      </c>
      <c r="AH738" s="352" t="s">
        <v>4080</v>
      </c>
      <c r="AI738" s="451">
        <v>0.001</v>
      </c>
      <c r="AJ738" s="412" t="s">
        <v>164</v>
      </c>
      <c r="AK738" s="352" t="s">
        <v>128</v>
      </c>
      <c r="AL738" s="780" t="s">
        <v>129</v>
      </c>
      <c r="AM738" s="60"/>
      <c r="AN738" s="777">
        <v>90.0</v>
      </c>
      <c r="AO738" s="777">
        <v>0.12</v>
      </c>
      <c r="AP738" s="412" t="s">
        <v>166</v>
      </c>
      <c r="AQ738" s="412" t="s">
        <v>4081</v>
      </c>
      <c r="AR738" s="777">
        <v>0.15</v>
      </c>
      <c r="AS738" s="412" t="s">
        <v>164</v>
      </c>
      <c r="AT738" s="412" t="s">
        <v>128</v>
      </c>
      <c r="AU738" s="780" t="s">
        <v>129</v>
      </c>
      <c r="AV738" s="60"/>
      <c r="AW738" s="780" t="s">
        <v>134</v>
      </c>
    </row>
    <row r="739" ht="20.25" customHeight="1">
      <c r="A739" s="41" t="s">
        <v>279</v>
      </c>
      <c r="B739" s="41" t="s">
        <v>107</v>
      </c>
      <c r="C739" s="41" t="s">
        <v>2637</v>
      </c>
      <c r="E739" s="60" t="s">
        <v>4069</v>
      </c>
      <c r="F739" s="52" t="s">
        <v>4070</v>
      </c>
      <c r="G739" s="147" t="s">
        <v>3656</v>
      </c>
      <c r="H739" s="1064">
        <v>45292.0</v>
      </c>
      <c r="I739" s="409">
        <v>45654.0</v>
      </c>
      <c r="J739" s="60"/>
      <c r="K739" s="147" t="s">
        <v>3765</v>
      </c>
      <c r="L739" s="139" t="s">
        <v>4071</v>
      </c>
      <c r="M739" s="412" t="s">
        <v>4026</v>
      </c>
      <c r="N739" s="144">
        <v>2.0</v>
      </c>
      <c r="O739" s="145" t="s">
        <v>4027</v>
      </c>
      <c r="P739" s="48" t="str">
        <f t="array" ref="P739">HYPERLINK(INDEX('File Links'!B:B, MATCH(O739, 'File Links'!C:C, 0)))
</f>
        <v>https://drive.google.com/file/d/1acuUVGe9a1FY0NzYPbpq8pAnbZKrjA2v/view?usp=drivesdk</v>
      </c>
      <c r="Q739" s="453" t="s">
        <v>4082</v>
      </c>
      <c r="R739" s="454" t="s">
        <v>4073</v>
      </c>
      <c r="S739" s="60"/>
      <c r="T739" s="775">
        <v>3.0</v>
      </c>
      <c r="U739" s="145" t="s">
        <v>4074</v>
      </c>
      <c r="V739" s="412" t="s">
        <v>155</v>
      </c>
      <c r="W739" s="50" t="str">
        <f t="array" ref="W739">HYPERLINK(INDEX('File Links'!B:B, MATCH(U739, 'File Links'!C:C, 0)))
</f>
        <v>https://drive.google.com/file/d/1gyeq5B_qi3Jnlf4Z_IsX5vLD1Nya92z0/view?usp=drivesdk</v>
      </c>
      <c r="X739" s="60"/>
      <c r="Y739" s="412" t="s">
        <v>220</v>
      </c>
      <c r="Z739" s="412" t="s">
        <v>4075</v>
      </c>
      <c r="AA739" s="412" t="s">
        <v>4076</v>
      </c>
      <c r="AB739" s="412" t="s">
        <v>4077</v>
      </c>
      <c r="AC739" s="412" t="s">
        <v>4078</v>
      </c>
      <c r="AD739" s="777">
        <v>1215.0</v>
      </c>
      <c r="AE739" s="777">
        <v>77.0</v>
      </c>
      <c r="AF739" s="777">
        <v>0.28</v>
      </c>
      <c r="AG739" s="779" t="s">
        <v>4079</v>
      </c>
      <c r="AH739" s="352" t="s">
        <v>4080</v>
      </c>
      <c r="AI739" s="451">
        <v>0.001</v>
      </c>
      <c r="AJ739" s="412" t="s">
        <v>164</v>
      </c>
      <c r="AK739" s="352" t="s">
        <v>128</v>
      </c>
      <c r="AL739" s="780" t="s">
        <v>129</v>
      </c>
      <c r="AM739" s="60"/>
      <c r="AN739" s="777">
        <v>96.0</v>
      </c>
      <c r="AO739" s="777">
        <v>0.09</v>
      </c>
      <c r="AP739" s="412" t="s">
        <v>166</v>
      </c>
      <c r="AQ739" s="412" t="s">
        <v>4083</v>
      </c>
      <c r="AR739" s="1090">
        <v>0.2</v>
      </c>
      <c r="AS739" s="412" t="s">
        <v>164</v>
      </c>
      <c r="AT739" s="412" t="s">
        <v>128</v>
      </c>
      <c r="AU739" s="780" t="s">
        <v>129</v>
      </c>
      <c r="AV739" s="60"/>
      <c r="AW739" s="780" t="s">
        <v>134</v>
      </c>
      <c r="AZ739" s="647"/>
    </row>
    <row r="740" ht="20.25" customHeight="1">
      <c r="A740" s="41" t="s">
        <v>279</v>
      </c>
      <c r="B740" s="41" t="s">
        <v>107</v>
      </c>
      <c r="C740" s="41" t="s">
        <v>2637</v>
      </c>
      <c r="E740" s="60" t="s">
        <v>4069</v>
      </c>
      <c r="F740" s="52" t="s">
        <v>4070</v>
      </c>
      <c r="G740" s="147" t="s">
        <v>3656</v>
      </c>
      <c r="H740" s="1064">
        <v>45292.0</v>
      </c>
      <c r="I740" s="409">
        <v>45654.0</v>
      </c>
      <c r="J740" s="60"/>
      <c r="K740" s="147" t="s">
        <v>3765</v>
      </c>
      <c r="L740" s="139" t="s">
        <v>4071</v>
      </c>
      <c r="M740" s="412" t="s">
        <v>4026</v>
      </c>
      <c r="N740" s="144">
        <v>2.0</v>
      </c>
      <c r="O740" s="145" t="s">
        <v>4027</v>
      </c>
      <c r="P740" s="48" t="str">
        <f t="array" ref="P740">HYPERLINK(INDEX('File Links'!B:B, MATCH(O740, 'File Links'!C:C, 0)))
</f>
        <v>https://drive.google.com/file/d/1acuUVGe9a1FY0NzYPbpq8pAnbZKrjA2v/view?usp=drivesdk</v>
      </c>
      <c r="Q740" s="453" t="s">
        <v>4084</v>
      </c>
      <c r="R740" s="454" t="s">
        <v>4073</v>
      </c>
      <c r="S740" s="60"/>
      <c r="T740" s="775">
        <v>3.0</v>
      </c>
      <c r="U740" s="145" t="s">
        <v>4074</v>
      </c>
      <c r="V740" s="412" t="s">
        <v>155</v>
      </c>
      <c r="W740" s="50" t="str">
        <f t="array" ref="W740">HYPERLINK(INDEX('File Links'!B:B, MATCH(U740, 'File Links'!C:C, 0)))
</f>
        <v>https://drive.google.com/file/d/1gyeq5B_qi3Jnlf4Z_IsX5vLD1Nya92z0/view?usp=drivesdk</v>
      </c>
      <c r="X740" s="60"/>
      <c r="Y740" s="412" t="s">
        <v>220</v>
      </c>
      <c r="Z740" s="412" t="s">
        <v>4075</v>
      </c>
      <c r="AA740" s="412" t="s">
        <v>4076</v>
      </c>
      <c r="AB740" s="412" t="s">
        <v>4077</v>
      </c>
      <c r="AC740" s="412" t="s">
        <v>4078</v>
      </c>
      <c r="AD740" s="777">
        <v>1215.0</v>
      </c>
      <c r="AE740" s="777">
        <v>77.0</v>
      </c>
      <c r="AF740" s="777">
        <v>0.28</v>
      </c>
      <c r="AG740" s="779" t="s">
        <v>4079</v>
      </c>
      <c r="AH740" s="352" t="s">
        <v>4080</v>
      </c>
      <c r="AI740" s="451">
        <v>0.001</v>
      </c>
      <c r="AJ740" s="412" t="s">
        <v>164</v>
      </c>
      <c r="AK740" s="352" t="s">
        <v>128</v>
      </c>
      <c r="AL740" s="780" t="s">
        <v>129</v>
      </c>
      <c r="AM740" s="60"/>
      <c r="AN740" s="777">
        <v>110.0</v>
      </c>
      <c r="AO740" s="1090">
        <v>0.05</v>
      </c>
      <c r="AP740" s="412" t="s">
        <v>166</v>
      </c>
      <c r="AQ740" s="412" t="s">
        <v>4085</v>
      </c>
      <c r="AR740" s="1090">
        <v>0.3</v>
      </c>
      <c r="AS740" s="412" t="s">
        <v>164</v>
      </c>
      <c r="AT740" s="412" t="s">
        <v>128</v>
      </c>
      <c r="AU740" s="780" t="s">
        <v>129</v>
      </c>
      <c r="AV740" s="60"/>
      <c r="AW740" s="780" t="s">
        <v>134</v>
      </c>
      <c r="AZ740" s="333"/>
    </row>
    <row r="741" ht="20.25" customHeight="1">
      <c r="A741" s="1091" t="s">
        <v>279</v>
      </c>
      <c r="B741" s="1091" t="s">
        <v>107</v>
      </c>
      <c r="C741" s="1091" t="s">
        <v>1471</v>
      </c>
      <c r="D741" s="1092"/>
      <c r="E741" s="1093" t="s">
        <v>4069</v>
      </c>
      <c r="F741" s="1094" t="s">
        <v>4070</v>
      </c>
      <c r="G741" s="1095" t="s">
        <v>1530</v>
      </c>
      <c r="H741" s="1096" t="s">
        <v>112</v>
      </c>
      <c r="I741" s="1097">
        <v>45683.0</v>
      </c>
      <c r="J741" s="1095" t="s">
        <v>4086</v>
      </c>
      <c r="K741" s="1095" t="s">
        <v>3765</v>
      </c>
      <c r="L741" s="1098" t="s">
        <v>4087</v>
      </c>
      <c r="M741" s="1095" t="s">
        <v>4088</v>
      </c>
      <c r="N741" s="1099">
        <v>4.0</v>
      </c>
      <c r="O741" s="1095" t="s">
        <v>4089</v>
      </c>
      <c r="P741" s="1100" t="str">
        <f t="array" ref="P741">HYPERLINK(INDEX('File Links'!B:B, MATCH(O741, 'File Links'!C:C, 0)))
</f>
        <v>https://drive.google.com/file/d/1QDNRrzD1VCOwR4bsx3QJgYLm2e6VV-no/view?usp=drivesdk</v>
      </c>
      <c r="Q741" s="1101" t="s">
        <v>4090</v>
      </c>
      <c r="R741" s="1095" t="s">
        <v>4073</v>
      </c>
      <c r="S741" s="1093"/>
      <c r="T741" s="1099">
        <v>1.0</v>
      </c>
      <c r="U741" s="1095" t="s">
        <v>4074</v>
      </c>
      <c r="V741" s="1102" t="str">
        <f> hyperlink(vlookup(lower(R741),'File Links'!D:E, 2, FALSE), "LINK")</f>
        <v>LINK</v>
      </c>
      <c r="W741" s="1094" t="s">
        <v>4091</v>
      </c>
      <c r="X741" s="1093"/>
      <c r="Y741" s="1095" t="s">
        <v>220</v>
      </c>
      <c r="Z741" s="1095" t="s">
        <v>4092</v>
      </c>
      <c r="AA741" s="1095" t="s">
        <v>4093</v>
      </c>
      <c r="AB741" s="1095" t="s">
        <v>4094</v>
      </c>
      <c r="AC741" s="1095" t="s">
        <v>4095</v>
      </c>
      <c r="AD741" s="1099">
        <v>4.0</v>
      </c>
      <c r="AE741" s="1099">
        <v>75.0</v>
      </c>
      <c r="AF741" s="1095" t="s">
        <v>4096</v>
      </c>
      <c r="AG741" s="1103" t="s">
        <v>162</v>
      </c>
      <c r="AH741" s="1094" t="s">
        <v>494</v>
      </c>
      <c r="AI741" s="1104">
        <v>0.04</v>
      </c>
      <c r="AJ741" s="1095" t="s">
        <v>164</v>
      </c>
      <c r="AK741" s="1094" t="s">
        <v>179</v>
      </c>
      <c r="AL741" s="1093" t="s">
        <v>129</v>
      </c>
      <c r="AM741" s="1093"/>
      <c r="AN741" s="1099">
        <v>260.0</v>
      </c>
      <c r="AO741" s="1105">
        <v>0.02</v>
      </c>
      <c r="AP741" s="1095" t="s">
        <v>166</v>
      </c>
      <c r="AQ741" s="1095" t="s">
        <v>494</v>
      </c>
      <c r="AR741" s="1105">
        <v>0.995</v>
      </c>
      <c r="AS741" s="1095" t="s">
        <v>164</v>
      </c>
      <c r="AT741" s="1095" t="s">
        <v>179</v>
      </c>
      <c r="AU741" s="1093" t="s">
        <v>129</v>
      </c>
      <c r="AV741" s="1093"/>
      <c r="AW741" s="1093" t="s">
        <v>134</v>
      </c>
      <c r="AX741" s="1093"/>
      <c r="AY741" s="1092"/>
      <c r="AZ741" s="1092"/>
      <c r="BA741" s="1092"/>
      <c r="BB741" s="1092"/>
      <c r="BC741" s="1092"/>
      <c r="BD741" s="1092"/>
      <c r="BE741" s="1092"/>
      <c r="BF741" s="1092"/>
      <c r="BG741" s="1092"/>
      <c r="BH741" s="1092"/>
      <c r="BI741" s="1092"/>
      <c r="BJ741" s="1092"/>
      <c r="BK741" s="1092"/>
      <c r="BL741" s="1092"/>
      <c r="BM741" s="1092"/>
      <c r="BN741" s="1092"/>
      <c r="BO741" s="1092"/>
      <c r="BP741" s="1092"/>
      <c r="BQ741" s="1092"/>
      <c r="BR741" s="1092"/>
      <c r="BS741" s="1092"/>
      <c r="BT741" s="1092"/>
      <c r="BU741" s="1092"/>
      <c r="BV741" s="1092"/>
      <c r="BW741" s="1092"/>
      <c r="BX741" s="1092"/>
      <c r="BY741" s="1092"/>
      <c r="BZ741" s="1092"/>
      <c r="CA741" s="1092"/>
      <c r="CB741" s="1092"/>
      <c r="CC741" s="1092"/>
      <c r="CD741" s="1092"/>
      <c r="CE741" s="1092"/>
      <c r="CF741" s="1092"/>
      <c r="CG741" s="1092"/>
      <c r="CH741" s="1092"/>
      <c r="CI741" s="1092"/>
      <c r="CJ741" s="1092"/>
      <c r="CK741" s="1092"/>
      <c r="CL741" s="1092"/>
      <c r="CM741" s="1092"/>
      <c r="CN741" s="1092"/>
      <c r="CO741" s="1092"/>
      <c r="CP741" s="1092"/>
      <c r="CQ741" s="1092"/>
      <c r="CR741" s="1092"/>
      <c r="CS741" s="1092"/>
      <c r="CT741" s="1092"/>
      <c r="CU741" s="1092"/>
      <c r="CV741" s="1092"/>
      <c r="CW741" s="1092"/>
      <c r="CX741" s="1092"/>
      <c r="CY741" s="1092"/>
      <c r="CZ741" s="1092"/>
      <c r="DA741" s="1092"/>
      <c r="DB741" s="1092"/>
      <c r="DC741" s="1092"/>
      <c r="DD741" s="1092"/>
      <c r="DE741" s="1092"/>
      <c r="DF741" s="1092"/>
      <c r="DG741" s="1092"/>
    </row>
    <row r="742" ht="20.25" customHeight="1">
      <c r="A742" s="1106" t="s">
        <v>143</v>
      </c>
      <c r="B742" s="1107" t="s">
        <v>107</v>
      </c>
      <c r="C742" s="1107" t="s">
        <v>2637</v>
      </c>
      <c r="D742" s="1108"/>
      <c r="E742" s="1109" t="s">
        <v>4097</v>
      </c>
      <c r="F742" s="1110" t="str">
        <f t="shared" ref="F742:F749" si="46">E742&amp;"_"&amp;COUNTIF($A$3:E742, E742)</f>
        <v>curatescience599_1</v>
      </c>
      <c r="G742" s="1109" t="s">
        <v>3739</v>
      </c>
      <c r="H742" s="1111">
        <v>45675.0</v>
      </c>
      <c r="I742" s="1111">
        <v>45676.0</v>
      </c>
      <c r="J742" s="42"/>
      <c r="K742" s="954" t="s">
        <v>4098</v>
      </c>
      <c r="L742" s="985" t="s">
        <v>4099</v>
      </c>
      <c r="M742" s="1109" t="s">
        <v>4100</v>
      </c>
      <c r="N742" s="954">
        <v>2.0</v>
      </c>
      <c r="O742" s="1109" t="str">
        <f t="shared" ref="O742:O749" si="47"> SUBSTITUTE(lower(M742), "/", "--") &amp;  ".pdf"</f>
        <v>10.1037--h0054651.pdf</v>
      </c>
      <c r="P742" s="749" t="str">
        <f t="array" ref="P742">HYPERLINK(INDEX('File Links'!B:B, MATCH(O742, 'File Links'!C:C, 0)))
</f>
        <v>https://drive.google.com/file/d/16SOoUfTCSMe7mtchsl8axpkAxtRIR28i/view?usp=drivesdk</v>
      </c>
      <c r="Q742" s="1109" t="s">
        <v>3982</v>
      </c>
      <c r="R742" s="1109" t="s">
        <v>3983</v>
      </c>
      <c r="S742" s="1112" t="s">
        <v>3984</v>
      </c>
      <c r="T742" s="1109" t="s">
        <v>4101</v>
      </c>
      <c r="U742" s="1109" t="s">
        <v>3986</v>
      </c>
      <c r="V742" s="1109" t="s">
        <v>3748</v>
      </c>
      <c r="W742" s="1112" t="s">
        <v>3984</v>
      </c>
      <c r="X742" s="1108"/>
      <c r="Y742" s="1109" t="s">
        <v>139</v>
      </c>
      <c r="Z742" s="1109" t="s">
        <v>4102</v>
      </c>
      <c r="AA742" s="1109" t="s">
        <v>4103</v>
      </c>
      <c r="AB742" s="1109" t="s">
        <v>4104</v>
      </c>
      <c r="AC742" s="1109" t="s">
        <v>4105</v>
      </c>
      <c r="AD742" s="1113" t="s">
        <v>4106</v>
      </c>
      <c r="AE742" s="1114">
        <v>100.0</v>
      </c>
      <c r="AF742" s="1115">
        <v>4.35</v>
      </c>
      <c r="AG742" s="1109" t="s">
        <v>4107</v>
      </c>
      <c r="AH742" s="1113" t="s">
        <v>4108</v>
      </c>
      <c r="AI742" s="1116" t="s">
        <v>165</v>
      </c>
      <c r="AJ742" s="1117" t="s">
        <v>165</v>
      </c>
      <c r="AK742" s="1117" t="s">
        <v>165</v>
      </c>
      <c r="AL742" s="1115" t="s">
        <v>165</v>
      </c>
      <c r="AM742" s="1110" t="s">
        <v>3756</v>
      </c>
      <c r="AN742" s="1118">
        <v>3279.0</v>
      </c>
      <c r="AO742" s="1114">
        <v>0.88</v>
      </c>
      <c r="AP742" s="1109" t="s">
        <v>166</v>
      </c>
      <c r="AQ742" s="1109" t="s">
        <v>4109</v>
      </c>
      <c r="AR742" s="1115">
        <v>0.001</v>
      </c>
      <c r="AS742" s="1109" t="s">
        <v>127</v>
      </c>
      <c r="AT742" s="1113" t="s">
        <v>179</v>
      </c>
      <c r="AU742" s="1119" t="s">
        <v>129</v>
      </c>
      <c r="AV742" s="1119" t="s">
        <v>3756</v>
      </c>
      <c r="AW742" s="1119" t="s">
        <v>134</v>
      </c>
      <c r="AX742" s="1107" t="s">
        <v>4110</v>
      </c>
      <c r="AY742" s="1107" t="s">
        <v>4111</v>
      </c>
      <c r="AZ742" s="1108"/>
      <c r="BA742" s="1108"/>
      <c r="BB742" s="1108"/>
      <c r="BC742" s="1108"/>
      <c r="BD742" s="1108"/>
      <c r="BE742" s="1108"/>
      <c r="BF742" s="1108"/>
      <c r="BG742" s="1108"/>
      <c r="BH742" s="1108"/>
      <c r="BI742" s="1108"/>
      <c r="BJ742" s="1108"/>
      <c r="BK742" s="1108"/>
      <c r="BL742" s="1108"/>
      <c r="BM742" s="1108"/>
      <c r="BN742" s="1108"/>
      <c r="BO742" s="1108"/>
      <c r="BP742" s="1108"/>
      <c r="BQ742" s="1108"/>
      <c r="BR742" s="1108"/>
      <c r="BS742" s="1108"/>
      <c r="BT742" s="1108"/>
      <c r="BU742" s="1108"/>
      <c r="BV742" s="1108"/>
      <c r="BW742" s="1108"/>
      <c r="BX742" s="1108"/>
      <c r="BY742" s="1108"/>
      <c r="BZ742" s="1108"/>
      <c r="CA742" s="1108"/>
      <c r="CB742" s="1108"/>
      <c r="CC742" s="1108"/>
      <c r="CD742" s="1108"/>
      <c r="CE742" s="1108"/>
      <c r="CF742" s="1108"/>
      <c r="CG742" s="1108"/>
      <c r="CH742" s="1108"/>
      <c r="CI742" s="1108"/>
      <c r="CJ742" s="1108"/>
      <c r="CK742" s="1108"/>
      <c r="CL742" s="1108"/>
      <c r="CM742" s="1108"/>
      <c r="CN742" s="1108"/>
      <c r="CO742" s="1108"/>
      <c r="CP742" s="1108"/>
      <c r="CQ742" s="1108"/>
      <c r="CR742" s="1108"/>
      <c r="CS742" s="1108"/>
      <c r="CT742" s="1108"/>
      <c r="CU742" s="1108"/>
      <c r="CV742" s="1108"/>
      <c r="CW742" s="1108"/>
      <c r="CX742" s="1108"/>
      <c r="CY742" s="1108"/>
      <c r="CZ742" s="1108"/>
      <c r="DA742" s="1108"/>
      <c r="DB742" s="1108"/>
      <c r="DC742" s="1108"/>
      <c r="DD742" s="1108"/>
      <c r="DE742" s="1108"/>
      <c r="DF742" s="1108"/>
      <c r="DG742" s="1108"/>
    </row>
    <row r="743" ht="20.25" customHeight="1">
      <c r="A743" s="1120" t="s">
        <v>106</v>
      </c>
      <c r="B743" s="1107" t="s">
        <v>107</v>
      </c>
      <c r="C743" s="1107" t="s">
        <v>1251</v>
      </c>
      <c r="D743" s="1108"/>
      <c r="E743" s="356" t="s">
        <v>4097</v>
      </c>
      <c r="F743" s="43" t="str">
        <f t="shared" si="46"/>
        <v>curatescience599_2</v>
      </c>
      <c r="G743" s="356" t="s">
        <v>3758</v>
      </c>
      <c r="H743" s="357">
        <v>45901.0</v>
      </c>
      <c r="I743" s="357">
        <v>45901.0</v>
      </c>
      <c r="J743" s="42"/>
      <c r="K743" s="954" t="s">
        <v>4112</v>
      </c>
      <c r="L743" s="989" t="s">
        <v>4099</v>
      </c>
      <c r="M743" s="356" t="s">
        <v>4100</v>
      </c>
      <c r="N743" s="360">
        <v>1.0</v>
      </c>
      <c r="O743" s="356" t="str">
        <f t="shared" si="47"/>
        <v>10.1037--h0054651.pdf</v>
      </c>
      <c r="P743" s="749" t="str">
        <f t="array" ref="P743">HYPERLINK(INDEX('File Links'!B:B, MATCH(O743, 'File Links'!C:C, 0)))
</f>
        <v>https://drive.google.com/file/d/16SOoUfTCSMe7mtchsl8axpkAxtRIR28i/view?usp=drivesdk</v>
      </c>
      <c r="Q743" s="42"/>
      <c r="R743" s="42"/>
      <c r="S743" s="42"/>
      <c r="T743" s="42"/>
      <c r="U743" s="42"/>
      <c r="V743" s="42"/>
      <c r="W743" s="42"/>
      <c r="X743" s="1108"/>
      <c r="Y743" s="356" t="s">
        <v>139</v>
      </c>
      <c r="Z743" s="356" t="s">
        <v>4113</v>
      </c>
      <c r="AA743" s="60"/>
      <c r="AB743" s="60"/>
      <c r="AC743" s="356" t="s">
        <v>4114</v>
      </c>
      <c r="AD743" s="360">
        <v>649.0</v>
      </c>
      <c r="AE743" s="360">
        <v>70.0</v>
      </c>
      <c r="AF743" s="360">
        <v>2.04</v>
      </c>
      <c r="AG743" s="356" t="s">
        <v>166</v>
      </c>
      <c r="AH743" s="42"/>
      <c r="AI743" s="51"/>
      <c r="AJ743" s="45"/>
      <c r="AK743" s="45"/>
      <c r="AL743" s="42"/>
      <c r="AM743" s="45"/>
      <c r="AN743" s="360">
        <v>3337.0</v>
      </c>
      <c r="AO743" s="360">
        <v>0.88</v>
      </c>
      <c r="AP743" s="356" t="s">
        <v>166</v>
      </c>
      <c r="AQ743" s="42"/>
      <c r="AR743" s="360">
        <v>0.001</v>
      </c>
      <c r="AS743" s="356" t="s">
        <v>127</v>
      </c>
      <c r="AT743" s="356" t="s">
        <v>179</v>
      </c>
      <c r="AU743" s="42" t="s">
        <v>132</v>
      </c>
      <c r="AV743" s="42"/>
      <c r="AW743" s="42" t="s">
        <v>134</v>
      </c>
      <c r="AX743" s="1108"/>
      <c r="AY743" s="1107" t="s">
        <v>4111</v>
      </c>
      <c r="AZ743" s="1108"/>
      <c r="BA743" s="1108"/>
      <c r="BB743" s="1108"/>
      <c r="BC743" s="1108"/>
      <c r="BD743" s="1108"/>
      <c r="BE743" s="1108"/>
      <c r="BF743" s="1108"/>
      <c r="BG743" s="1108"/>
      <c r="BH743" s="1108"/>
      <c r="BI743" s="1108"/>
      <c r="BJ743" s="1108"/>
      <c r="BK743" s="1108"/>
      <c r="BL743" s="1108"/>
      <c r="BM743" s="1108"/>
      <c r="BN743" s="1108"/>
      <c r="BO743" s="1108"/>
      <c r="BP743" s="1108"/>
      <c r="BQ743" s="1108"/>
      <c r="BR743" s="1108"/>
      <c r="BS743" s="1108"/>
      <c r="BT743" s="1108"/>
      <c r="BU743" s="1108"/>
      <c r="BV743" s="1108"/>
      <c r="BW743" s="1108"/>
      <c r="BX743" s="1108"/>
      <c r="BY743" s="1108"/>
      <c r="BZ743" s="1108"/>
      <c r="CA743" s="1108"/>
      <c r="CB743" s="1108"/>
      <c r="CC743" s="1108"/>
      <c r="CD743" s="1108"/>
      <c r="CE743" s="1108"/>
      <c r="CF743" s="1108"/>
      <c r="CG743" s="1108"/>
      <c r="CH743" s="1108"/>
      <c r="CI743" s="1108"/>
      <c r="CJ743" s="1108"/>
      <c r="CK743" s="1108"/>
      <c r="CL743" s="1108"/>
      <c r="CM743" s="1108"/>
      <c r="CN743" s="1108"/>
      <c r="CO743" s="1108"/>
      <c r="CP743" s="1108"/>
      <c r="CQ743" s="1108"/>
      <c r="CR743" s="1108"/>
      <c r="CS743" s="1108"/>
      <c r="CT743" s="1108"/>
      <c r="CU743" s="1108"/>
      <c r="CV743" s="1108"/>
      <c r="CW743" s="1108"/>
      <c r="CX743" s="1108"/>
      <c r="CY743" s="1108"/>
      <c r="CZ743" s="1108"/>
      <c r="DA743" s="1108"/>
      <c r="DB743" s="1108"/>
      <c r="DC743" s="1108"/>
      <c r="DD743" s="1108"/>
      <c r="DE743" s="1108"/>
      <c r="DF743" s="1108"/>
      <c r="DG743" s="1108"/>
    </row>
    <row r="744" ht="20.25" customHeight="1">
      <c r="A744" s="1120" t="s">
        <v>106</v>
      </c>
      <c r="B744" s="1107" t="s">
        <v>107</v>
      </c>
      <c r="C744" s="1107" t="s">
        <v>2637</v>
      </c>
      <c r="D744" s="1108"/>
      <c r="E744" s="1109" t="s">
        <v>4115</v>
      </c>
      <c r="F744" s="1110" t="str">
        <f t="shared" si="46"/>
        <v>curatescience600_1</v>
      </c>
      <c r="G744" s="1109" t="s">
        <v>3739</v>
      </c>
      <c r="H744" s="1111">
        <v>45675.0</v>
      </c>
      <c r="I744" s="1111">
        <v>45676.0</v>
      </c>
      <c r="J744" s="42"/>
      <c r="K744" s="954" t="s">
        <v>4116</v>
      </c>
      <c r="L744" s="985" t="s">
        <v>4117</v>
      </c>
      <c r="M744" s="1109" t="s">
        <v>4118</v>
      </c>
      <c r="N744" s="360"/>
      <c r="O744" s="1109" t="str">
        <f t="shared" si="47"/>
        <v>10.1016--s0010-0277(99)00073-6.pdf</v>
      </c>
      <c r="P744" s="749" t="str">
        <f t="array" ref="P744">HYPERLINK(INDEX('File Links'!B:B, MATCH(O744, 'File Links'!C:C, 0)))
</f>
        <v>https://drive.google.com/file/d/1-SOOgACp6dnzzYdlh2PFI-ANnAwmf5c6/view?usp=drivesdk</v>
      </c>
      <c r="Q744" s="1109" t="s">
        <v>3982</v>
      </c>
      <c r="R744" s="1109" t="s">
        <v>3983</v>
      </c>
      <c r="S744" s="1112" t="s">
        <v>3984</v>
      </c>
      <c r="T744" s="1109" t="s">
        <v>4119</v>
      </c>
      <c r="U744" s="1109" t="s">
        <v>3986</v>
      </c>
      <c r="V744" s="1109" t="s">
        <v>3748</v>
      </c>
      <c r="W744" s="1112" t="s">
        <v>3984</v>
      </c>
      <c r="X744" s="1108"/>
      <c r="Y744" s="1109" t="s">
        <v>139</v>
      </c>
      <c r="Z744" s="1109" t="s">
        <v>4120</v>
      </c>
      <c r="AA744" s="1109" t="s">
        <v>4121</v>
      </c>
      <c r="AB744" s="1109" t="s">
        <v>4122</v>
      </c>
      <c r="AC744" s="1109" t="s">
        <v>4123</v>
      </c>
      <c r="AD744" s="1109" t="s">
        <v>4124</v>
      </c>
      <c r="AE744" s="1115">
        <v>98.0</v>
      </c>
      <c r="AF744" s="1109" t="s">
        <v>1211</v>
      </c>
      <c r="AG744" s="1109" t="s">
        <v>165</v>
      </c>
      <c r="AH744" s="1109" t="s">
        <v>4125</v>
      </c>
      <c r="AI744" s="1116">
        <v>0.05</v>
      </c>
      <c r="AJ744" s="1110" t="s">
        <v>127</v>
      </c>
      <c r="AK744" s="1110" t="s">
        <v>128</v>
      </c>
      <c r="AL744" s="1119" t="s">
        <v>129</v>
      </c>
      <c r="AM744" s="1110" t="s">
        <v>3756</v>
      </c>
      <c r="AN744" s="1121">
        <v>1200.0</v>
      </c>
      <c r="AO744" s="1115">
        <v>0.12</v>
      </c>
      <c r="AP744" s="1109" t="s">
        <v>166</v>
      </c>
      <c r="AQ744" s="1109" t="s">
        <v>4126</v>
      </c>
      <c r="AR744" s="1115">
        <v>0.03</v>
      </c>
      <c r="AS744" s="1109" t="s">
        <v>127</v>
      </c>
      <c r="AT744" s="1109" t="s">
        <v>128</v>
      </c>
      <c r="AU744" s="1119" t="s">
        <v>129</v>
      </c>
      <c r="AV744" s="1119" t="s">
        <v>3756</v>
      </c>
      <c r="AW744" s="1119" t="s">
        <v>134</v>
      </c>
      <c r="AX744" s="1107" t="s">
        <v>4127</v>
      </c>
      <c r="AY744" s="1107" t="s">
        <v>4111</v>
      </c>
      <c r="AZ744" s="1108"/>
      <c r="BA744" s="1108"/>
      <c r="BB744" s="1108"/>
      <c r="BC744" s="1108"/>
      <c r="BD744" s="1108"/>
      <c r="BE744" s="1108"/>
      <c r="BF744" s="1108"/>
      <c r="BG744" s="1108"/>
      <c r="BH744" s="1108"/>
      <c r="BI744" s="1108"/>
      <c r="BJ744" s="1108"/>
      <c r="BK744" s="1108"/>
      <c r="BL744" s="1108"/>
      <c r="BM744" s="1108"/>
      <c r="BN744" s="1108"/>
      <c r="BO744" s="1108"/>
      <c r="BP744" s="1108"/>
      <c r="BQ744" s="1108"/>
      <c r="BR744" s="1108"/>
      <c r="BS744" s="1108"/>
      <c r="BT744" s="1108"/>
      <c r="BU744" s="1108"/>
      <c r="BV744" s="1108"/>
      <c r="BW744" s="1108"/>
      <c r="BX744" s="1108"/>
      <c r="BY744" s="1108"/>
      <c r="BZ744" s="1108"/>
      <c r="CA744" s="1108"/>
      <c r="CB744" s="1108"/>
      <c r="CC744" s="1108"/>
      <c r="CD744" s="1108"/>
      <c r="CE744" s="1108"/>
      <c r="CF744" s="1108"/>
      <c r="CG744" s="1108"/>
      <c r="CH744" s="1108"/>
      <c r="CI744" s="1108"/>
      <c r="CJ744" s="1108"/>
      <c r="CK744" s="1108"/>
      <c r="CL744" s="1108"/>
      <c r="CM744" s="1108"/>
      <c r="CN744" s="1108"/>
      <c r="CO744" s="1108"/>
      <c r="CP744" s="1108"/>
      <c r="CQ744" s="1108"/>
      <c r="CR744" s="1108"/>
      <c r="CS744" s="1108"/>
      <c r="CT744" s="1108"/>
      <c r="CU744" s="1108"/>
      <c r="CV744" s="1108"/>
      <c r="CW744" s="1108"/>
      <c r="CX744" s="1108"/>
      <c r="CY744" s="1108"/>
      <c r="CZ744" s="1108"/>
      <c r="DA744" s="1108"/>
      <c r="DB744" s="1108"/>
      <c r="DC744" s="1108"/>
      <c r="DD744" s="1108"/>
      <c r="DE744" s="1108"/>
      <c r="DF744" s="1108"/>
      <c r="DG744" s="1108"/>
    </row>
    <row r="745" ht="20.25" customHeight="1">
      <c r="A745" s="1120" t="s">
        <v>143</v>
      </c>
      <c r="B745" s="1107" t="s">
        <v>107</v>
      </c>
      <c r="C745" s="1107" t="s">
        <v>1251</v>
      </c>
      <c r="D745" s="1108"/>
      <c r="E745" s="356" t="s">
        <v>4115</v>
      </c>
      <c r="F745" s="43" t="str">
        <f t="shared" si="46"/>
        <v>curatescience600_2</v>
      </c>
      <c r="G745" s="356" t="s">
        <v>3758</v>
      </c>
      <c r="H745" s="357">
        <v>45901.0</v>
      </c>
      <c r="I745" s="357">
        <v>45901.0</v>
      </c>
      <c r="J745" s="42"/>
      <c r="K745" s="954" t="s">
        <v>4128</v>
      </c>
      <c r="L745" s="989" t="s">
        <v>4117</v>
      </c>
      <c r="M745" s="356" t="s">
        <v>4118</v>
      </c>
      <c r="N745" s="360">
        <v>1.0</v>
      </c>
      <c r="O745" s="356" t="str">
        <f t="shared" si="47"/>
        <v>10.1016--s0010-0277(99)00073-6.pdf</v>
      </c>
      <c r="P745" s="749" t="str">
        <f t="array" ref="P745">HYPERLINK(INDEX('File Links'!B:B, MATCH(O745, 'File Links'!C:C, 0)))
</f>
        <v>https://drive.google.com/file/d/1-SOOgACp6dnzzYdlh2PFI-ANnAwmf5c6/view?usp=drivesdk</v>
      </c>
      <c r="Q745" s="1109" t="s">
        <v>3982</v>
      </c>
      <c r="R745" s="1122" t="s">
        <v>3983</v>
      </c>
      <c r="S745" s="42"/>
      <c r="T745" s="42"/>
      <c r="U745" s="42"/>
      <c r="V745" s="42"/>
      <c r="W745" s="42"/>
      <c r="X745" s="1108"/>
      <c r="Y745" s="356" t="s">
        <v>139</v>
      </c>
      <c r="Z745" s="356" t="s">
        <v>4129</v>
      </c>
      <c r="AA745" s="511"/>
      <c r="AB745" s="511"/>
      <c r="AC745" s="1123" t="s">
        <v>4130</v>
      </c>
      <c r="AD745" s="360">
        <v>9.0</v>
      </c>
      <c r="AE745" s="360">
        <v>56.0</v>
      </c>
      <c r="AF745" s="360">
        <v>0.63</v>
      </c>
      <c r="AG745" s="356" t="s">
        <v>166</v>
      </c>
      <c r="AH745" s="954" t="s">
        <v>4131</v>
      </c>
      <c r="AI745" s="359">
        <v>0.05</v>
      </c>
      <c r="AJ745" s="43" t="s">
        <v>127</v>
      </c>
      <c r="AK745" s="45"/>
      <c r="AL745" s="42" t="s">
        <v>129</v>
      </c>
      <c r="AM745" s="45"/>
      <c r="AN745" s="360">
        <v>1335.0</v>
      </c>
      <c r="AO745" s="360">
        <v>0.26</v>
      </c>
      <c r="AP745" s="356" t="s">
        <v>166</v>
      </c>
      <c r="AQ745" s="42"/>
      <c r="AR745" s="360">
        <v>0.001</v>
      </c>
      <c r="AS745" s="356" t="s">
        <v>127</v>
      </c>
      <c r="AT745" s="42"/>
      <c r="AU745" s="42" t="s">
        <v>129</v>
      </c>
      <c r="AV745" s="42"/>
      <c r="AW745" s="42" t="s">
        <v>134</v>
      </c>
      <c r="AX745" s="1107" t="s">
        <v>4132</v>
      </c>
      <c r="AY745" s="1107" t="s">
        <v>4111</v>
      </c>
      <c r="AZ745" s="1108"/>
      <c r="BA745" s="1108"/>
      <c r="BB745" s="1108"/>
      <c r="BC745" s="1108"/>
      <c r="BD745" s="1108"/>
      <c r="BE745" s="1108"/>
      <c r="BF745" s="1108"/>
      <c r="BG745" s="1108"/>
      <c r="BH745" s="1108"/>
      <c r="BI745" s="1108"/>
      <c r="BJ745" s="1108"/>
      <c r="BK745" s="1108"/>
      <c r="BL745" s="1108"/>
      <c r="BM745" s="1108"/>
      <c r="BN745" s="1108"/>
      <c r="BO745" s="1108"/>
      <c r="BP745" s="1108"/>
      <c r="BQ745" s="1108"/>
      <c r="BR745" s="1108"/>
      <c r="BS745" s="1108"/>
      <c r="BT745" s="1108"/>
      <c r="BU745" s="1108"/>
      <c r="BV745" s="1108"/>
      <c r="BW745" s="1108"/>
      <c r="BX745" s="1108"/>
      <c r="BY745" s="1108"/>
      <c r="BZ745" s="1108"/>
      <c r="CA745" s="1108"/>
      <c r="CB745" s="1108"/>
      <c r="CC745" s="1108"/>
      <c r="CD745" s="1108"/>
      <c r="CE745" s="1108"/>
      <c r="CF745" s="1108"/>
      <c r="CG745" s="1108"/>
      <c r="CH745" s="1108"/>
      <c r="CI745" s="1108"/>
      <c r="CJ745" s="1108"/>
      <c r="CK745" s="1108"/>
      <c r="CL745" s="1108"/>
      <c r="CM745" s="1108"/>
      <c r="CN745" s="1108"/>
      <c r="CO745" s="1108"/>
      <c r="CP745" s="1108"/>
      <c r="CQ745" s="1108"/>
      <c r="CR745" s="1108"/>
      <c r="CS745" s="1108"/>
      <c r="CT745" s="1108"/>
      <c r="CU745" s="1108"/>
      <c r="CV745" s="1108"/>
      <c r="CW745" s="1108"/>
      <c r="CX745" s="1108"/>
      <c r="CY745" s="1108"/>
      <c r="CZ745" s="1108"/>
      <c r="DA745" s="1108"/>
      <c r="DB745" s="1108"/>
      <c r="DC745" s="1108"/>
      <c r="DD745" s="1108"/>
      <c r="DE745" s="1108"/>
      <c r="DF745" s="1108"/>
      <c r="DG745" s="1108"/>
    </row>
    <row r="746" ht="20.25" customHeight="1">
      <c r="A746" s="1120" t="s">
        <v>106</v>
      </c>
      <c r="B746" s="1107" t="s">
        <v>107</v>
      </c>
      <c r="C746" s="1107" t="s">
        <v>2637</v>
      </c>
      <c r="D746" s="1108"/>
      <c r="E746" s="1109" t="s">
        <v>4133</v>
      </c>
      <c r="F746" s="1110" t="str">
        <f t="shared" si="46"/>
        <v>curatescience620_1</v>
      </c>
      <c r="G746" s="1109" t="s">
        <v>3739</v>
      </c>
      <c r="H746" s="1111">
        <v>45675.0</v>
      </c>
      <c r="I746" s="1111">
        <v>45676.0</v>
      </c>
      <c r="J746" s="42"/>
      <c r="K746" s="42"/>
      <c r="L746" s="985" t="s">
        <v>4134</v>
      </c>
      <c r="M746" s="1109" t="s">
        <v>4135</v>
      </c>
      <c r="N746" s="954">
        <v>3.0</v>
      </c>
      <c r="O746" s="1109" t="str">
        <f t="shared" si="47"/>
        <v>10.1016--0010-0285(73)90033-9.pdf</v>
      </c>
      <c r="P746" s="749" t="str">
        <f t="array" ref="P746">HYPERLINK(INDEX('File Links'!B:B, MATCH(O746, 'File Links'!C:C, 0)))
</f>
        <v>https://drive.google.com/file/d/1p9X3tD24EWbnOA_5MSM9HTgujzLisIGn/view?usp=drivesdk</v>
      </c>
      <c r="Q746" s="1109" t="s">
        <v>3982</v>
      </c>
      <c r="R746" s="1109" t="s">
        <v>3983</v>
      </c>
      <c r="S746" s="1112" t="s">
        <v>3984</v>
      </c>
      <c r="T746" s="1109" t="s">
        <v>4136</v>
      </c>
      <c r="U746" s="1109" t="s">
        <v>3986</v>
      </c>
      <c r="V746" s="1109" t="s">
        <v>3748</v>
      </c>
      <c r="W746" s="1112" t="s">
        <v>3984</v>
      </c>
      <c r="X746" s="1108"/>
      <c r="Y746" s="1109" t="s">
        <v>139</v>
      </c>
      <c r="Z746" s="1109" t="s">
        <v>4137</v>
      </c>
      <c r="AA746" s="1109" t="s">
        <v>4138</v>
      </c>
      <c r="AB746" s="1109" t="s">
        <v>4139</v>
      </c>
      <c r="AC746" s="1109" t="s">
        <v>4140</v>
      </c>
      <c r="AD746" s="1109" t="s">
        <v>4141</v>
      </c>
      <c r="AE746" s="1115">
        <v>152.0</v>
      </c>
      <c r="AF746" s="1115">
        <v>0.82</v>
      </c>
      <c r="AG746" s="1113" t="s">
        <v>166</v>
      </c>
      <c r="AH746" s="1109" t="s">
        <v>4142</v>
      </c>
      <c r="AI746" s="1116">
        <v>0.001</v>
      </c>
      <c r="AJ746" s="1110" t="s">
        <v>127</v>
      </c>
      <c r="AK746" s="1110" t="s">
        <v>128</v>
      </c>
      <c r="AL746" s="1119" t="s">
        <v>129</v>
      </c>
      <c r="AM746" s="1110" t="s">
        <v>3756</v>
      </c>
      <c r="AN746" s="1121">
        <v>1450.0</v>
      </c>
      <c r="AO746" s="1115">
        <v>0.78</v>
      </c>
      <c r="AP746" s="1109" t="s">
        <v>166</v>
      </c>
      <c r="AQ746" s="1109" t="s">
        <v>4143</v>
      </c>
      <c r="AR746" s="1115">
        <v>0.001</v>
      </c>
      <c r="AS746" s="1109" t="s">
        <v>127</v>
      </c>
      <c r="AT746" s="1109" t="s">
        <v>128</v>
      </c>
      <c r="AU746" s="1119" t="s">
        <v>129</v>
      </c>
      <c r="AV746" s="1119" t="s">
        <v>3756</v>
      </c>
      <c r="AW746" s="1119" t="s">
        <v>134</v>
      </c>
      <c r="AX746" s="1107" t="s">
        <v>4144</v>
      </c>
      <c r="AY746" s="1107" t="s">
        <v>4111</v>
      </c>
      <c r="AZ746" s="1108"/>
      <c r="BA746" s="1108"/>
      <c r="BB746" s="1108"/>
      <c r="BC746" s="1108"/>
      <c r="BD746" s="1108"/>
      <c r="BE746" s="1108"/>
      <c r="BF746" s="1108"/>
      <c r="BG746" s="1108"/>
      <c r="BH746" s="1108"/>
      <c r="BI746" s="1108"/>
      <c r="BJ746" s="1108"/>
      <c r="BK746" s="1108"/>
      <c r="BL746" s="1108"/>
      <c r="BM746" s="1108"/>
      <c r="BN746" s="1108"/>
      <c r="BO746" s="1108"/>
      <c r="BP746" s="1108"/>
      <c r="BQ746" s="1108"/>
      <c r="BR746" s="1108"/>
      <c r="BS746" s="1108"/>
      <c r="BT746" s="1108"/>
      <c r="BU746" s="1108"/>
      <c r="BV746" s="1108"/>
      <c r="BW746" s="1108"/>
      <c r="BX746" s="1108"/>
      <c r="BY746" s="1108"/>
      <c r="BZ746" s="1108"/>
      <c r="CA746" s="1108"/>
      <c r="CB746" s="1108"/>
      <c r="CC746" s="1108"/>
      <c r="CD746" s="1108"/>
      <c r="CE746" s="1108"/>
      <c r="CF746" s="1108"/>
      <c r="CG746" s="1108"/>
      <c r="CH746" s="1108"/>
      <c r="CI746" s="1108"/>
      <c r="CJ746" s="1108"/>
      <c r="CK746" s="1108"/>
      <c r="CL746" s="1108"/>
      <c r="CM746" s="1108"/>
      <c r="CN746" s="1108"/>
      <c r="CO746" s="1108"/>
      <c r="CP746" s="1108"/>
      <c r="CQ746" s="1108"/>
      <c r="CR746" s="1108"/>
      <c r="CS746" s="1108"/>
      <c r="CT746" s="1108"/>
      <c r="CU746" s="1108"/>
      <c r="CV746" s="1108"/>
      <c r="CW746" s="1108"/>
      <c r="CX746" s="1108"/>
      <c r="CY746" s="1108"/>
      <c r="CZ746" s="1108"/>
      <c r="DA746" s="1108"/>
      <c r="DB746" s="1108"/>
      <c r="DC746" s="1108"/>
      <c r="DD746" s="1108"/>
      <c r="DE746" s="1108"/>
      <c r="DF746" s="1108"/>
      <c r="DG746" s="1108"/>
    </row>
    <row r="747" ht="20.25" customHeight="1">
      <c r="A747" s="1120" t="s">
        <v>143</v>
      </c>
      <c r="B747" s="1107" t="s">
        <v>107</v>
      </c>
      <c r="C747" s="1107" t="s">
        <v>1251</v>
      </c>
      <c r="D747" s="1108"/>
      <c r="E747" s="356" t="s">
        <v>4133</v>
      </c>
      <c r="F747" s="43" t="str">
        <f t="shared" si="46"/>
        <v>curatescience620_2</v>
      </c>
      <c r="G747" s="356" t="s">
        <v>3758</v>
      </c>
      <c r="H747" s="357">
        <v>45901.0</v>
      </c>
      <c r="I747" s="357">
        <v>45901.0</v>
      </c>
      <c r="J747" s="42"/>
      <c r="K747" s="954" t="s">
        <v>4145</v>
      </c>
      <c r="L747" s="985" t="s">
        <v>4134</v>
      </c>
      <c r="M747" s="356" t="s">
        <v>4135</v>
      </c>
      <c r="N747" s="360">
        <v>3.0</v>
      </c>
      <c r="O747" s="356" t="str">
        <f t="shared" si="47"/>
        <v>10.1016--0010-0285(73)90033-9.pdf</v>
      </c>
      <c r="P747" s="749" t="str">
        <f t="array" ref="P747">HYPERLINK(INDEX('File Links'!B:B, MATCH(O747, 'File Links'!C:C, 0)))
</f>
        <v>https://drive.google.com/file/d/1p9X3tD24EWbnOA_5MSM9HTgujzLisIGn/view?usp=drivesdk</v>
      </c>
      <c r="Q747" s="1109" t="s">
        <v>3982</v>
      </c>
      <c r="R747" s="1122" t="s">
        <v>3983</v>
      </c>
      <c r="S747" s="42"/>
      <c r="T747" s="42"/>
      <c r="U747" s="42"/>
      <c r="V747" s="42"/>
      <c r="W747" s="42"/>
      <c r="X747" s="1108"/>
      <c r="Y747" s="356" t="s">
        <v>203</v>
      </c>
      <c r="Z747" s="356" t="s">
        <v>4146</v>
      </c>
      <c r="AA747" s="511"/>
      <c r="AB747" s="511"/>
      <c r="AC747" s="356" t="s">
        <v>4147</v>
      </c>
      <c r="AD747" s="360">
        <v>212.0</v>
      </c>
      <c r="AE747" s="360">
        <v>152.0</v>
      </c>
      <c r="AF747" s="360">
        <v>0.82</v>
      </c>
      <c r="AG747" s="356" t="s">
        <v>166</v>
      </c>
      <c r="AH747" s="42"/>
      <c r="AI747" s="359">
        <v>0.001</v>
      </c>
      <c r="AJ747" s="43" t="s">
        <v>127</v>
      </c>
      <c r="AK747" s="43" t="s">
        <v>211</v>
      </c>
      <c r="AL747" s="42" t="s">
        <v>129</v>
      </c>
      <c r="AM747" s="45"/>
      <c r="AN747" s="360">
        <v>3088.0</v>
      </c>
      <c r="AO747" s="360">
        <v>0.09</v>
      </c>
      <c r="AP747" s="356" t="s">
        <v>166</v>
      </c>
      <c r="AQ747" s="42"/>
      <c r="AR747" s="360">
        <v>0.015</v>
      </c>
      <c r="AS747" s="356" t="s">
        <v>164</v>
      </c>
      <c r="AT747" s="42"/>
      <c r="AU747" s="42"/>
      <c r="AV747" s="42"/>
      <c r="AW747" s="42" t="s">
        <v>134</v>
      </c>
      <c r="AX747" s="1108"/>
      <c r="AY747" s="1107" t="s">
        <v>4111</v>
      </c>
      <c r="AZ747" s="1108"/>
      <c r="BA747" s="1108"/>
      <c r="BB747" s="1108"/>
      <c r="BC747" s="1108"/>
      <c r="BD747" s="1108"/>
      <c r="BE747" s="1108"/>
      <c r="BF747" s="1108"/>
      <c r="BG747" s="1108"/>
      <c r="BH747" s="1108"/>
      <c r="BI747" s="1108"/>
      <c r="BJ747" s="1108"/>
      <c r="BK747" s="1108"/>
      <c r="BL747" s="1108"/>
      <c r="BM747" s="1108"/>
      <c r="BN747" s="1108"/>
      <c r="BO747" s="1108"/>
      <c r="BP747" s="1108"/>
      <c r="BQ747" s="1108"/>
      <c r="BR747" s="1108"/>
      <c r="BS747" s="1108"/>
      <c r="BT747" s="1108"/>
      <c r="BU747" s="1108"/>
      <c r="BV747" s="1108"/>
      <c r="BW747" s="1108"/>
      <c r="BX747" s="1108"/>
      <c r="BY747" s="1108"/>
      <c r="BZ747" s="1108"/>
      <c r="CA747" s="1108"/>
      <c r="CB747" s="1108"/>
      <c r="CC747" s="1108"/>
      <c r="CD747" s="1108"/>
      <c r="CE747" s="1108"/>
      <c r="CF747" s="1108"/>
      <c r="CG747" s="1108"/>
      <c r="CH747" s="1108"/>
      <c r="CI747" s="1108"/>
      <c r="CJ747" s="1108"/>
      <c r="CK747" s="1108"/>
      <c r="CL747" s="1108"/>
      <c r="CM747" s="1108"/>
      <c r="CN747" s="1108"/>
      <c r="CO747" s="1108"/>
      <c r="CP747" s="1108"/>
      <c r="CQ747" s="1108"/>
      <c r="CR747" s="1108"/>
      <c r="CS747" s="1108"/>
      <c r="CT747" s="1108"/>
      <c r="CU747" s="1108"/>
      <c r="CV747" s="1108"/>
      <c r="CW747" s="1108"/>
      <c r="CX747" s="1108"/>
      <c r="CY747" s="1108"/>
      <c r="CZ747" s="1108"/>
      <c r="DA747" s="1108"/>
      <c r="DB747" s="1108"/>
      <c r="DC747" s="1108"/>
      <c r="DD747" s="1108"/>
      <c r="DE747" s="1108"/>
      <c r="DF747" s="1108"/>
      <c r="DG747" s="1108"/>
    </row>
    <row r="748" ht="20.25" customHeight="1">
      <c r="A748" s="1124" t="s">
        <v>106</v>
      </c>
      <c r="B748" s="371" t="s">
        <v>107</v>
      </c>
      <c r="C748" s="371" t="s">
        <v>2637</v>
      </c>
      <c r="D748" s="209"/>
      <c r="E748" s="1122" t="s">
        <v>4148</v>
      </c>
      <c r="F748" s="375" t="str">
        <f t="shared" si="46"/>
        <v>curatescience641_1</v>
      </c>
      <c r="G748" s="1122" t="s">
        <v>3739</v>
      </c>
      <c r="H748" s="1125">
        <v>45675.0</v>
      </c>
      <c r="I748" s="1125">
        <v>45676.0</v>
      </c>
      <c r="J748" s="372"/>
      <c r="K748" s="372"/>
      <c r="L748" s="1126" t="s">
        <v>4149</v>
      </c>
      <c r="M748" s="1122" t="s">
        <v>4150</v>
      </c>
      <c r="N748" s="568" t="s">
        <v>3511</v>
      </c>
      <c r="O748" s="1122" t="str">
        <f t="shared" si="47"/>
        <v>10.1111--j.1467-9280.2006.01824.x.pdf</v>
      </c>
      <c r="P748" s="378" t="str">
        <f t="array" ref="P748">HYPERLINK(INDEX('File Links'!B:B, MATCH(O748, 'File Links'!C:C, 0)))
</f>
        <v>https://drive.google.com/file/d/14h-UnLvc59XK91wSbRiIAUMtz5chtiz5/view?usp=drivesdk</v>
      </c>
      <c r="Q748" s="1122" t="s">
        <v>3982</v>
      </c>
      <c r="R748" s="1122" t="s">
        <v>3983</v>
      </c>
      <c r="S748" s="1127" t="s">
        <v>3984</v>
      </c>
      <c r="T748" s="1122" t="s">
        <v>4151</v>
      </c>
      <c r="U748" s="1122" t="s">
        <v>3986</v>
      </c>
      <c r="V748" s="1122" t="s">
        <v>3748</v>
      </c>
      <c r="W748" s="1127" t="s">
        <v>3984</v>
      </c>
      <c r="X748" s="209"/>
      <c r="Y748" s="1122" t="s">
        <v>220</v>
      </c>
      <c r="Z748" s="1122" t="s">
        <v>4152</v>
      </c>
      <c r="AA748" s="1122" t="s">
        <v>4153</v>
      </c>
      <c r="AB748" s="1122" t="s">
        <v>4154</v>
      </c>
      <c r="AC748" s="1122" t="s">
        <v>4155</v>
      </c>
      <c r="AD748" s="1122" t="s">
        <v>4156</v>
      </c>
      <c r="AE748" s="1128">
        <v>42.0</v>
      </c>
      <c r="AF748" s="1128">
        <v>0.77</v>
      </c>
      <c r="AG748" s="1122" t="s">
        <v>181</v>
      </c>
      <c r="AH748" s="1122" t="s">
        <v>4157</v>
      </c>
      <c r="AI748" s="1129">
        <v>0.02</v>
      </c>
      <c r="AJ748" s="375" t="s">
        <v>164</v>
      </c>
      <c r="AK748" s="375" t="s">
        <v>128</v>
      </c>
      <c r="AL748" s="1130" t="s">
        <v>129</v>
      </c>
      <c r="AM748" s="375" t="s">
        <v>3756</v>
      </c>
      <c r="AN748" s="1131">
        <v>1200.0</v>
      </c>
      <c r="AO748" s="1128">
        <v>0.18</v>
      </c>
      <c r="AP748" s="1122" t="s">
        <v>166</v>
      </c>
      <c r="AQ748" s="1132" t="s">
        <v>4158</v>
      </c>
      <c r="AR748" s="1128">
        <v>0.04</v>
      </c>
      <c r="AS748" s="1122" t="s">
        <v>127</v>
      </c>
      <c r="AT748" s="1122" t="s">
        <v>128</v>
      </c>
      <c r="AU748" s="1130" t="s">
        <v>129</v>
      </c>
      <c r="AV748" s="1130" t="s">
        <v>3756</v>
      </c>
      <c r="AW748" s="1130" t="s">
        <v>134</v>
      </c>
      <c r="AX748" s="209"/>
      <c r="AY748" s="371" t="s">
        <v>4111</v>
      </c>
      <c r="AZ748" s="209"/>
      <c r="BA748" s="209"/>
      <c r="BB748" s="209"/>
      <c r="BC748" s="209"/>
      <c r="BD748" s="209"/>
      <c r="BE748" s="209"/>
      <c r="BF748" s="209"/>
      <c r="BG748" s="209"/>
      <c r="BH748" s="209"/>
      <c r="BI748" s="209"/>
      <c r="BJ748" s="209"/>
      <c r="BK748" s="209"/>
      <c r="BL748" s="209"/>
      <c r="BM748" s="209"/>
      <c r="BN748" s="209"/>
      <c r="BO748" s="209"/>
      <c r="BP748" s="209"/>
      <c r="BQ748" s="209"/>
      <c r="BR748" s="209"/>
      <c r="BS748" s="209"/>
      <c r="BT748" s="209"/>
      <c r="BU748" s="209"/>
      <c r="BV748" s="209"/>
      <c r="BW748" s="209"/>
      <c r="BX748" s="209"/>
      <c r="BY748" s="209"/>
      <c r="BZ748" s="209"/>
      <c r="CA748" s="209"/>
      <c r="CB748" s="209"/>
      <c r="CC748" s="209"/>
      <c r="CD748" s="209"/>
      <c r="CE748" s="209"/>
      <c r="CF748" s="209"/>
      <c r="CG748" s="209"/>
      <c r="CH748" s="209"/>
      <c r="CI748" s="209"/>
      <c r="CJ748" s="209"/>
      <c r="CK748" s="209"/>
      <c r="CL748" s="209"/>
      <c r="CM748" s="209"/>
      <c r="CN748" s="209"/>
      <c r="CO748" s="209"/>
      <c r="CP748" s="209"/>
      <c r="CQ748" s="209"/>
      <c r="CR748" s="209"/>
      <c r="CS748" s="209"/>
      <c r="CT748" s="209"/>
      <c r="CU748" s="209"/>
      <c r="CV748" s="209"/>
      <c r="CW748" s="209"/>
      <c r="CX748" s="209"/>
      <c r="CY748" s="209"/>
      <c r="CZ748" s="209"/>
      <c r="DA748" s="209"/>
      <c r="DB748" s="209"/>
      <c r="DC748" s="209"/>
      <c r="DD748" s="209"/>
      <c r="DE748" s="209"/>
      <c r="DF748" s="209"/>
      <c r="DG748" s="209"/>
    </row>
    <row r="749" ht="20.25" customHeight="1">
      <c r="A749" s="1133" t="s">
        <v>143</v>
      </c>
      <c r="B749" s="371" t="s">
        <v>107</v>
      </c>
      <c r="C749" s="371" t="s">
        <v>1251</v>
      </c>
      <c r="D749" s="209"/>
      <c r="E749" s="381" t="s">
        <v>4148</v>
      </c>
      <c r="F749" s="373" t="str">
        <f t="shared" si="46"/>
        <v>curatescience641_2</v>
      </c>
      <c r="G749" s="381" t="s">
        <v>3758</v>
      </c>
      <c r="H749" s="374">
        <v>45901.0</v>
      </c>
      <c r="I749" s="374">
        <v>45901.0</v>
      </c>
      <c r="J749" s="372"/>
      <c r="K749" s="954" t="s">
        <v>4159</v>
      </c>
      <c r="L749" s="1126" t="s">
        <v>4149</v>
      </c>
      <c r="M749" s="381" t="s">
        <v>4150</v>
      </c>
      <c r="N749" s="579" t="s">
        <v>3511</v>
      </c>
      <c r="O749" s="381" t="str">
        <f t="shared" si="47"/>
        <v>10.1111--j.1467-9280.2006.01824.x.pdf</v>
      </c>
      <c r="P749" s="378" t="str">
        <f t="array" ref="P749">HYPERLINK(INDEX('File Links'!B:B, MATCH(O749, 'File Links'!C:C, 0)))
</f>
        <v>https://drive.google.com/file/d/14h-UnLvc59XK91wSbRiIAUMtz5chtiz5/view?usp=drivesdk</v>
      </c>
      <c r="Q749" s="1122" t="s">
        <v>3982</v>
      </c>
      <c r="R749" s="1122" t="s">
        <v>3983</v>
      </c>
      <c r="S749" s="372"/>
      <c r="T749" s="98"/>
      <c r="U749" s="98"/>
      <c r="V749" s="98"/>
      <c r="W749" s="98"/>
      <c r="X749" s="98"/>
      <c r="Y749" s="381" t="s">
        <v>287</v>
      </c>
      <c r="Z749" s="1122" t="s">
        <v>4152</v>
      </c>
      <c r="AA749" s="1122" t="s">
        <v>4153</v>
      </c>
      <c r="AB749" s="1122" t="s">
        <v>4154</v>
      </c>
      <c r="AC749" s="381" t="s">
        <v>4160</v>
      </c>
      <c r="AD749" s="665">
        <v>1071.0</v>
      </c>
      <c r="AE749" s="665">
        <v>42.0</v>
      </c>
      <c r="AF749" s="665">
        <v>0.77</v>
      </c>
      <c r="AG749" s="381" t="s">
        <v>166</v>
      </c>
      <c r="AH749" s="98"/>
      <c r="AI749" s="1134">
        <v>0.02</v>
      </c>
      <c r="AJ749" s="373" t="s">
        <v>164</v>
      </c>
      <c r="AK749" s="373" t="s">
        <v>179</v>
      </c>
      <c r="AL749" s="372" t="s">
        <v>129</v>
      </c>
      <c r="AM749" s="101"/>
      <c r="AN749" s="665">
        <v>2969.0</v>
      </c>
      <c r="AO749" s="665">
        <v>0.03</v>
      </c>
      <c r="AP749" s="381" t="s">
        <v>166</v>
      </c>
      <c r="AQ749" s="98"/>
      <c r="AR749" s="665">
        <v>0.37</v>
      </c>
      <c r="AS749" s="381" t="s">
        <v>164</v>
      </c>
      <c r="AT749" s="381" t="s">
        <v>179</v>
      </c>
      <c r="AU749" s="372" t="s">
        <v>129</v>
      </c>
      <c r="AV749" s="98"/>
      <c r="AW749" s="372" t="s">
        <v>134</v>
      </c>
      <c r="AX749" s="371" t="s">
        <v>4161</v>
      </c>
      <c r="AY749" s="371" t="s">
        <v>4111</v>
      </c>
      <c r="AZ749" s="209"/>
      <c r="BA749" s="209"/>
      <c r="BB749" s="209"/>
      <c r="BC749" s="209"/>
      <c r="BD749" s="209"/>
      <c r="BE749" s="209"/>
      <c r="BF749" s="209"/>
      <c r="BG749" s="209"/>
      <c r="BH749" s="209"/>
      <c r="BI749" s="209"/>
      <c r="BJ749" s="209"/>
      <c r="BK749" s="209"/>
      <c r="BL749" s="209"/>
      <c r="BM749" s="209"/>
      <c r="BN749" s="209"/>
      <c r="BO749" s="209"/>
      <c r="BP749" s="209"/>
      <c r="BQ749" s="209"/>
      <c r="BR749" s="209"/>
      <c r="BS749" s="209"/>
      <c r="BT749" s="209"/>
      <c r="BU749" s="209"/>
      <c r="BV749" s="209"/>
      <c r="BW749" s="209"/>
      <c r="BX749" s="209"/>
      <c r="BY749" s="209"/>
      <c r="BZ749" s="209"/>
      <c r="CA749" s="209"/>
      <c r="CB749" s="209"/>
      <c r="CC749" s="209"/>
      <c r="CD749" s="209"/>
      <c r="CE749" s="209"/>
      <c r="CF749" s="209"/>
      <c r="CG749" s="209"/>
      <c r="CH749" s="209"/>
      <c r="CI749" s="209"/>
      <c r="CJ749" s="209"/>
      <c r="CK749" s="209"/>
      <c r="CL749" s="209"/>
      <c r="CM749" s="209"/>
      <c r="CN749" s="209"/>
      <c r="CO749" s="209"/>
      <c r="CP749" s="209"/>
      <c r="CQ749" s="209"/>
      <c r="CR749" s="209"/>
      <c r="CS749" s="209"/>
      <c r="CT749" s="209"/>
      <c r="CU749" s="209"/>
      <c r="CV749" s="209"/>
      <c r="CW749" s="209"/>
      <c r="CX749" s="209"/>
      <c r="CY749" s="209"/>
      <c r="CZ749" s="209"/>
      <c r="DA749" s="209"/>
      <c r="DB749" s="209"/>
      <c r="DC749" s="209"/>
      <c r="DD749" s="209"/>
      <c r="DE749" s="209"/>
      <c r="DF749" s="209"/>
      <c r="DG749" s="209"/>
    </row>
    <row r="750" ht="20.25" customHeight="1">
      <c r="A750" s="314" t="s">
        <v>143</v>
      </c>
      <c r="B750" s="314" t="s">
        <v>107</v>
      </c>
      <c r="C750" s="314" t="s">
        <v>144</v>
      </c>
      <c r="D750" s="319"/>
      <c r="E750" s="322" t="s">
        <v>4162</v>
      </c>
      <c r="F750" s="386" t="s">
        <v>4163</v>
      </c>
      <c r="G750" s="386" t="s">
        <v>144</v>
      </c>
      <c r="H750" s="598">
        <v>45638.0</v>
      </c>
      <c r="I750" s="1135">
        <v>45674.0</v>
      </c>
      <c r="J750" s="364"/>
      <c r="K750" s="364"/>
      <c r="L750" s="315" t="s">
        <v>4164</v>
      </c>
      <c r="M750" s="386" t="s">
        <v>4165</v>
      </c>
      <c r="N750" s="1136">
        <v>1.0</v>
      </c>
      <c r="O750" s="599" t="s">
        <v>4166</v>
      </c>
      <c r="P750" s="48" t="str">
        <f t="array" ref="P750">HYPERLINK(INDEX('File Links'!B:B, MATCH(O750, 'File Links'!C:C, 0)))
</f>
        <v>https://drive.google.com/file/d/1VcKqsyqYAl_exqLf4Zk_sKFNXaU3WlBH/view?usp=drivesdk</v>
      </c>
      <c r="Q750" s="386" t="s">
        <v>4167</v>
      </c>
      <c r="R750" s="386" t="s">
        <v>4168</v>
      </c>
      <c r="S750" s="364"/>
      <c r="T750" s="1137">
        <v>1.0</v>
      </c>
      <c r="U750" s="386" t="s">
        <v>4169</v>
      </c>
      <c r="V750" s="386" t="s">
        <v>3501</v>
      </c>
      <c r="W750" s="50" t="str">
        <f t="array" ref="W750">HYPERLINK(INDEX('File Links'!B:B, MATCH(U750, 'File Links'!C:C, 0)))
</f>
        <v>https://drive.google.com/file/d/1GB5oPjHVuDXBTZ2__Had-zRIf9ZK4G7S/view?usp=drivesdk</v>
      </c>
      <c r="X750" s="364"/>
      <c r="Y750" s="386" t="s">
        <v>220</v>
      </c>
      <c r="Z750" s="362" t="s">
        <v>4170</v>
      </c>
      <c r="AA750" s="362" t="s">
        <v>4171</v>
      </c>
      <c r="AB750" s="362" t="s">
        <v>4172</v>
      </c>
      <c r="AC750" s="362" t="s">
        <v>4173</v>
      </c>
      <c r="AD750" s="368">
        <v>1.0</v>
      </c>
      <c r="AE750" s="957">
        <v>56.0</v>
      </c>
      <c r="AF750" s="386" t="s">
        <v>4174</v>
      </c>
      <c r="AG750" s="599" t="s">
        <v>162</v>
      </c>
      <c r="AH750" s="368">
        <v>1.0</v>
      </c>
      <c r="AI750" s="368">
        <v>0.028</v>
      </c>
      <c r="AJ750" s="232" t="s">
        <v>164</v>
      </c>
      <c r="AK750" s="386" t="s">
        <v>128</v>
      </c>
      <c r="AL750" s="364" t="s">
        <v>129</v>
      </c>
      <c r="AM750" s="321" t="s">
        <v>165</v>
      </c>
      <c r="AN750" s="368">
        <v>105.0</v>
      </c>
      <c r="AO750" s="368">
        <v>2.28E-4</v>
      </c>
      <c r="AP750" s="103" t="s">
        <v>4175</v>
      </c>
      <c r="AQ750" s="386" t="s">
        <v>2748</v>
      </c>
      <c r="AR750" s="368">
        <v>0.826</v>
      </c>
      <c r="AS750" s="232" t="s">
        <v>164</v>
      </c>
      <c r="AT750" s="1138" t="s">
        <v>179</v>
      </c>
      <c r="AU750" s="322" t="s">
        <v>132</v>
      </c>
      <c r="AV750" s="945" t="s">
        <v>4176</v>
      </c>
      <c r="AW750" s="947" t="s">
        <v>134</v>
      </c>
      <c r="AX750" s="215"/>
      <c r="AY750" s="811" t="s">
        <v>135</v>
      </c>
      <c r="AZ750" s="84"/>
    </row>
    <row r="751" ht="20.25" customHeight="1">
      <c r="A751" s="811" t="s">
        <v>106</v>
      </c>
      <c r="B751" s="811" t="s">
        <v>107</v>
      </c>
      <c r="C751" s="811" t="s">
        <v>169</v>
      </c>
      <c r="D751" s="763"/>
      <c r="E751" s="983" t="s">
        <v>4162</v>
      </c>
      <c r="F751" s="1139" t="s">
        <v>4163</v>
      </c>
      <c r="G751" s="1138" t="s">
        <v>169</v>
      </c>
      <c r="H751" s="1140">
        <v>45653.0</v>
      </c>
      <c r="I751" s="1135">
        <v>45674.0</v>
      </c>
      <c r="J751" s="1138" t="s">
        <v>4177</v>
      </c>
      <c r="K751" s="983"/>
      <c r="L751" s="1141" t="s">
        <v>4164</v>
      </c>
      <c r="M751" s="1138" t="s">
        <v>4165</v>
      </c>
      <c r="N751" s="1142">
        <v>1.0</v>
      </c>
      <c r="O751" s="1138" t="s">
        <v>4166</v>
      </c>
      <c r="P751" s="48" t="str">
        <f t="array" ref="P751">HYPERLINK(INDEX('File Links'!B:B, MATCH(O751, 'File Links'!C:C, 0)))
</f>
        <v>https://drive.google.com/file/d/1VcKqsyqYAl_exqLf4Zk_sKFNXaU3WlBH/view?usp=drivesdk</v>
      </c>
      <c r="Q751" s="1138" t="s">
        <v>4167</v>
      </c>
      <c r="R751" s="1138" t="s">
        <v>4168</v>
      </c>
      <c r="S751" s="983"/>
      <c r="T751" s="1142">
        <v>1.0</v>
      </c>
      <c r="U751" s="1138" t="s">
        <v>4169</v>
      </c>
      <c r="V751" s="1138" t="s">
        <v>2129</v>
      </c>
      <c r="W751" s="50" t="str">
        <f t="array" ref="W751">HYPERLINK(INDEX('File Links'!B:B, MATCH(U751, 'File Links'!C:C, 0)))
</f>
        <v>https://drive.google.com/file/d/1GB5oPjHVuDXBTZ2__Had-zRIf9ZK4G7S/view?usp=drivesdk</v>
      </c>
      <c r="X751" s="983"/>
      <c r="Y751" s="1138" t="s">
        <v>220</v>
      </c>
      <c r="Z751" s="1138" t="s">
        <v>4178</v>
      </c>
      <c r="AA751" s="362" t="s">
        <v>4171</v>
      </c>
      <c r="AB751" s="1138" t="s">
        <v>4179</v>
      </c>
      <c r="AC751" s="1138" t="s">
        <v>4180</v>
      </c>
      <c r="AD751" s="1138" t="s">
        <v>2401</v>
      </c>
      <c r="AE751" s="1142">
        <v>56.0</v>
      </c>
      <c r="AF751" s="1138" t="s">
        <v>4181</v>
      </c>
      <c r="AG751" s="1143" t="s">
        <v>4182</v>
      </c>
      <c r="AH751" s="1139" t="s">
        <v>4183</v>
      </c>
      <c r="AI751" s="1139" t="s">
        <v>4184</v>
      </c>
      <c r="AJ751" s="1138" t="s">
        <v>164</v>
      </c>
      <c r="AK751" s="1139" t="s">
        <v>179</v>
      </c>
      <c r="AL751" s="983" t="s">
        <v>129</v>
      </c>
      <c r="AM751" s="983"/>
      <c r="AN751" s="1142">
        <v>219.0</v>
      </c>
      <c r="AO751" s="1138" t="s">
        <v>4185</v>
      </c>
      <c r="AP751" s="1138" t="s">
        <v>4186</v>
      </c>
      <c r="AQ751" s="1138" t="s">
        <v>886</v>
      </c>
      <c r="AR751" s="1138" t="s">
        <v>4187</v>
      </c>
      <c r="AS751" s="1138" t="s">
        <v>164</v>
      </c>
      <c r="AT751" s="1138" t="s">
        <v>179</v>
      </c>
      <c r="AU751" s="1144" t="s">
        <v>132</v>
      </c>
      <c r="AV751" s="945" t="s">
        <v>4176</v>
      </c>
      <c r="AW751" s="1145" t="s">
        <v>434</v>
      </c>
      <c r="AX751" s="763"/>
      <c r="AY751" s="811" t="s">
        <v>135</v>
      </c>
      <c r="AZ751" s="84"/>
    </row>
    <row r="752" ht="20.25" customHeight="1">
      <c r="A752" s="811" t="s">
        <v>106</v>
      </c>
      <c r="B752" s="811" t="s">
        <v>107</v>
      </c>
      <c r="C752" s="811" t="s">
        <v>169</v>
      </c>
      <c r="D752" s="763"/>
      <c r="E752" s="983" t="s">
        <v>4162</v>
      </c>
      <c r="F752" s="1139" t="s">
        <v>4188</v>
      </c>
      <c r="G752" s="1138" t="s">
        <v>169</v>
      </c>
      <c r="H752" s="1140">
        <v>45653.0</v>
      </c>
      <c r="I752" s="1135">
        <v>45674.0</v>
      </c>
      <c r="J752" s="1138" t="s">
        <v>4177</v>
      </c>
      <c r="K752" s="983"/>
      <c r="L752" s="1141" t="s">
        <v>4164</v>
      </c>
      <c r="M752" s="1138" t="s">
        <v>4165</v>
      </c>
      <c r="N752" s="1142">
        <v>1.0</v>
      </c>
      <c r="O752" s="1138" t="s">
        <v>4166</v>
      </c>
      <c r="P752" s="48" t="str">
        <f t="array" ref="P752">HYPERLINK(INDEX('File Links'!B:B, MATCH(O752, 'File Links'!C:C, 0)))
</f>
        <v>https://drive.google.com/file/d/1VcKqsyqYAl_exqLf4Zk_sKFNXaU3WlBH/view?usp=drivesdk</v>
      </c>
      <c r="Q752" s="1138" t="s">
        <v>4167</v>
      </c>
      <c r="R752" s="1138" t="s">
        <v>4168</v>
      </c>
      <c r="S752" s="983"/>
      <c r="T752" s="1142">
        <v>1.0</v>
      </c>
      <c r="U752" s="1138" t="s">
        <v>4169</v>
      </c>
      <c r="V752" s="1138" t="s">
        <v>2129</v>
      </c>
      <c r="W752" s="50" t="str">
        <f t="array" ref="W752">HYPERLINK(INDEX('File Links'!B:B, MATCH(U752, 'File Links'!C:C, 0)))
</f>
        <v>https://drive.google.com/file/d/1GB5oPjHVuDXBTZ2__Had-zRIf9ZK4G7S/view?usp=drivesdk</v>
      </c>
      <c r="X752" s="983"/>
      <c r="Y752" s="1138" t="s">
        <v>220</v>
      </c>
      <c r="Z752" s="1138" t="s">
        <v>4178</v>
      </c>
      <c r="AA752" s="362" t="s">
        <v>4171</v>
      </c>
      <c r="AB752" s="1138" t="s">
        <v>4189</v>
      </c>
      <c r="AC752" s="1138" t="s">
        <v>4190</v>
      </c>
      <c r="AD752" s="1138" t="s">
        <v>2401</v>
      </c>
      <c r="AE752" s="1142">
        <v>56.0</v>
      </c>
      <c r="AF752" s="1138" t="s">
        <v>4191</v>
      </c>
      <c r="AG752" s="1143" t="s">
        <v>4182</v>
      </c>
      <c r="AH752" s="1139" t="s">
        <v>4183</v>
      </c>
      <c r="AI752" s="1139" t="s">
        <v>4192</v>
      </c>
      <c r="AJ752" s="1138" t="s">
        <v>164</v>
      </c>
      <c r="AK752" s="1139" t="s">
        <v>179</v>
      </c>
      <c r="AL752" s="983" t="s">
        <v>129</v>
      </c>
      <c r="AM752" s="983"/>
      <c r="AN752" s="1142">
        <v>105.0</v>
      </c>
      <c r="AO752" s="1138" t="s">
        <v>4193</v>
      </c>
      <c r="AP752" s="1146" t="s">
        <v>4182</v>
      </c>
      <c r="AQ752" s="1138" t="s">
        <v>886</v>
      </c>
      <c r="AR752" s="983"/>
      <c r="AS752" s="983"/>
      <c r="AT752" s="983"/>
      <c r="AU752" s="1144" t="s">
        <v>132</v>
      </c>
      <c r="AV752" s="945" t="s">
        <v>4176</v>
      </c>
      <c r="AW752" s="1145" t="s">
        <v>434</v>
      </c>
      <c r="AX752" s="763"/>
      <c r="AY752" s="811" t="s">
        <v>135</v>
      </c>
      <c r="AZ752" s="84"/>
    </row>
    <row r="753" ht="20.25" customHeight="1">
      <c r="A753" s="811" t="s">
        <v>106</v>
      </c>
      <c r="B753" s="811" t="s">
        <v>107</v>
      </c>
      <c r="C753" s="811" t="s">
        <v>169</v>
      </c>
      <c r="D753" s="763"/>
      <c r="E753" s="983" t="s">
        <v>4162</v>
      </c>
      <c r="F753" s="1139" t="s">
        <v>4194</v>
      </c>
      <c r="G753" s="1138" t="s">
        <v>169</v>
      </c>
      <c r="H753" s="1140">
        <v>45653.0</v>
      </c>
      <c r="I753" s="1135">
        <v>45674.0</v>
      </c>
      <c r="J753" s="1138" t="s">
        <v>4177</v>
      </c>
      <c r="K753" s="983"/>
      <c r="L753" s="1141" t="s">
        <v>4164</v>
      </c>
      <c r="M753" s="1138" t="s">
        <v>4165</v>
      </c>
      <c r="N753" s="1142">
        <v>1.0</v>
      </c>
      <c r="O753" s="1138" t="s">
        <v>4166</v>
      </c>
      <c r="P753" s="48" t="str">
        <f t="array" ref="P753">HYPERLINK(INDEX('File Links'!B:B, MATCH(O753, 'File Links'!C:C, 0)))
</f>
        <v>https://drive.google.com/file/d/1VcKqsyqYAl_exqLf4Zk_sKFNXaU3WlBH/view?usp=drivesdk</v>
      </c>
      <c r="Q753" s="1138" t="s">
        <v>4167</v>
      </c>
      <c r="R753" s="1138" t="s">
        <v>4168</v>
      </c>
      <c r="S753" s="983"/>
      <c r="T753" s="1142">
        <v>1.0</v>
      </c>
      <c r="U753" s="1138" t="s">
        <v>4169</v>
      </c>
      <c r="V753" s="1138" t="s">
        <v>2129</v>
      </c>
      <c r="W753" s="50" t="str">
        <f t="array" ref="W753">HYPERLINK(INDEX('File Links'!B:B, MATCH(U753, 'File Links'!C:C, 0)))
</f>
        <v>https://drive.google.com/file/d/1GB5oPjHVuDXBTZ2__Had-zRIf9ZK4G7S/view?usp=drivesdk</v>
      </c>
      <c r="X753" s="983"/>
      <c r="Y753" s="1138" t="s">
        <v>220</v>
      </c>
      <c r="Z753" s="1138" t="s">
        <v>4178</v>
      </c>
      <c r="AA753" s="362" t="s">
        <v>4171</v>
      </c>
      <c r="AB753" s="1138" t="s">
        <v>4195</v>
      </c>
      <c r="AC753" s="1138" t="s">
        <v>4190</v>
      </c>
      <c r="AD753" s="1138" t="s">
        <v>2401</v>
      </c>
      <c r="AE753" s="1142">
        <v>56.0</v>
      </c>
      <c r="AF753" s="1138" t="s">
        <v>4196</v>
      </c>
      <c r="AG753" s="1143" t="s">
        <v>4182</v>
      </c>
      <c r="AH753" s="1139" t="s">
        <v>4183</v>
      </c>
      <c r="AI753" s="1139" t="s">
        <v>4197</v>
      </c>
      <c r="AJ753" s="1138" t="s">
        <v>164</v>
      </c>
      <c r="AK753" s="1139" t="s">
        <v>179</v>
      </c>
      <c r="AL753" s="983" t="s">
        <v>129</v>
      </c>
      <c r="AM753" s="983"/>
      <c r="AN753" s="1142">
        <v>114.0</v>
      </c>
      <c r="AO753" s="1138" t="s">
        <v>4198</v>
      </c>
      <c r="AP753" s="1146" t="s">
        <v>4182</v>
      </c>
      <c r="AQ753" s="1138" t="s">
        <v>886</v>
      </c>
      <c r="AR753" s="983"/>
      <c r="AS753" s="983"/>
      <c r="AT753" s="983"/>
      <c r="AU753" s="1144" t="s">
        <v>132</v>
      </c>
      <c r="AV753" s="945" t="s">
        <v>4176</v>
      </c>
      <c r="AW753" s="1145" t="s">
        <v>434</v>
      </c>
      <c r="AX753" s="811" t="s">
        <v>4199</v>
      </c>
      <c r="AY753" s="811" t="s">
        <v>135</v>
      </c>
      <c r="AZ753" s="84"/>
    </row>
    <row r="754" ht="20.25" customHeight="1">
      <c r="A754" s="314" t="s">
        <v>143</v>
      </c>
      <c r="B754" s="314" t="s">
        <v>107</v>
      </c>
      <c r="C754" s="314" t="s">
        <v>144</v>
      </c>
      <c r="D754" s="319"/>
      <c r="E754" s="322" t="s">
        <v>4162</v>
      </c>
      <c r="F754" s="386" t="s">
        <v>4200</v>
      </c>
      <c r="G754" s="386" t="s">
        <v>144</v>
      </c>
      <c r="H754" s="598">
        <v>45638.0</v>
      </c>
      <c r="I754" s="1135">
        <v>45674.0</v>
      </c>
      <c r="J754" s="362" t="s">
        <v>4201</v>
      </c>
      <c r="K754" s="321" t="s">
        <v>4202</v>
      </c>
      <c r="L754" s="315" t="s">
        <v>4164</v>
      </c>
      <c r="M754" s="386" t="s">
        <v>4165</v>
      </c>
      <c r="N754" s="1136">
        <v>1.0</v>
      </c>
      <c r="O754" s="599" t="s">
        <v>4166</v>
      </c>
      <c r="P754" s="48" t="str">
        <f t="array" ref="P754">HYPERLINK(INDEX('File Links'!B:B, MATCH(O754, 'File Links'!C:C, 0)))
</f>
        <v>https://drive.google.com/file/d/1VcKqsyqYAl_exqLf4Zk_sKFNXaU3WlBH/view?usp=drivesdk</v>
      </c>
      <c r="Q754" s="386" t="s">
        <v>4167</v>
      </c>
      <c r="R754" s="386" t="s">
        <v>4168</v>
      </c>
      <c r="S754" s="364"/>
      <c r="T754" s="1147">
        <v>2.0</v>
      </c>
      <c r="U754" s="386" t="s">
        <v>4169</v>
      </c>
      <c r="V754" s="386" t="s">
        <v>3501</v>
      </c>
      <c r="W754" s="50" t="str">
        <f t="array" ref="W754">HYPERLINK(INDEX('File Links'!B:B, MATCH(U754, 'File Links'!C:C, 0)))
</f>
        <v>https://drive.google.com/file/d/1GB5oPjHVuDXBTZ2__Had-zRIf9ZK4G7S/view?usp=drivesdk</v>
      </c>
      <c r="X754" s="364"/>
      <c r="Y754" s="386" t="s">
        <v>220</v>
      </c>
      <c r="Z754" s="362" t="s">
        <v>4170</v>
      </c>
      <c r="AA754" s="362" t="s">
        <v>4171</v>
      </c>
      <c r="AB754" s="366" t="s">
        <v>4203</v>
      </c>
      <c r="AC754" s="362" t="s">
        <v>4173</v>
      </c>
      <c r="AD754" s="368">
        <v>1.0</v>
      </c>
      <c r="AE754" s="957">
        <v>56.0</v>
      </c>
      <c r="AF754" s="386" t="s">
        <v>4174</v>
      </c>
      <c r="AG754" s="599" t="s">
        <v>162</v>
      </c>
      <c r="AH754" s="368">
        <v>1.0</v>
      </c>
      <c r="AI754" s="368">
        <v>0.028</v>
      </c>
      <c r="AJ754" s="232" t="s">
        <v>164</v>
      </c>
      <c r="AK754" s="386" t="s">
        <v>128</v>
      </c>
      <c r="AL754" s="364" t="s">
        <v>129</v>
      </c>
      <c r="AM754" s="321" t="s">
        <v>165</v>
      </c>
      <c r="AN754" s="1046">
        <v>233.0</v>
      </c>
      <c r="AO754" s="1046">
        <v>5.63E-4</v>
      </c>
      <c r="AP754" s="103" t="s">
        <v>4175</v>
      </c>
      <c r="AQ754" s="386" t="s">
        <v>2748</v>
      </c>
      <c r="AR754" s="1046">
        <v>0.72</v>
      </c>
      <c r="AS754" s="232" t="s">
        <v>164</v>
      </c>
      <c r="AT754" s="1138" t="s">
        <v>179</v>
      </c>
      <c r="AU754" s="322" t="s">
        <v>132</v>
      </c>
      <c r="AV754" s="945" t="s">
        <v>4176</v>
      </c>
      <c r="AW754" s="322" t="s">
        <v>134</v>
      </c>
      <c r="AX754" s="215"/>
      <c r="AY754" s="811" t="s">
        <v>135</v>
      </c>
      <c r="AZ754" s="84"/>
    </row>
    <row r="755" ht="20.25" customHeight="1">
      <c r="A755" s="85" t="s">
        <v>520</v>
      </c>
      <c r="B755" s="85" t="s">
        <v>107</v>
      </c>
      <c r="C755" s="85" t="s">
        <v>2637</v>
      </c>
      <c r="D755" s="84"/>
      <c r="E755" s="78" t="s">
        <v>4204</v>
      </c>
      <c r="F755" s="68" t="str">
        <f t="shared" ref="F755:F758" si="48">E755&amp;"_"&amp;COUNTIF($A$3:E755, E755)</f>
        <v>curatescience73_1</v>
      </c>
      <c r="G755" s="78" t="s">
        <v>3739</v>
      </c>
      <c r="H755" s="1148">
        <v>45675.0</v>
      </c>
      <c r="I755" s="1148">
        <v>45676.0</v>
      </c>
      <c r="J755" s="86"/>
      <c r="K755" s="86"/>
      <c r="L755" s="1149" t="s">
        <v>4205</v>
      </c>
      <c r="M755" s="78" t="s">
        <v>4206</v>
      </c>
      <c r="N755" s="72">
        <v>1.0</v>
      </c>
      <c r="O755" s="78" t="str">
        <f t="shared" ref="O755:O758" si="49"> SUBSTITUTE(lower(M755), "/", "--") &amp;  ".pdf"</f>
        <v>10.1037--a0029288.pdf</v>
      </c>
      <c r="P755" s="48" t="str">
        <f t="array" ref="P755">HYPERLINK(INDEX('File Links'!B:B, MATCH(O755, 'File Links'!C:C, 0)))
</f>
        <v>https://drive.google.com/file/d/1vcCVkrjNwZHH8glmh9tGMygAb5DPf3dE/view?usp=drivesdk</v>
      </c>
      <c r="Q755" s="78" t="s">
        <v>3743</v>
      </c>
      <c r="R755" s="78" t="s">
        <v>3744</v>
      </c>
      <c r="S755" s="1150" t="s">
        <v>3745</v>
      </c>
      <c r="T755" s="78" t="s">
        <v>4207</v>
      </c>
      <c r="U755" s="78" t="s">
        <v>3747</v>
      </c>
      <c r="V755" s="78" t="s">
        <v>3748</v>
      </c>
      <c r="W755" s="78" t="s">
        <v>3745</v>
      </c>
      <c r="Y755" s="78" t="s">
        <v>220</v>
      </c>
      <c r="Z755" s="78" t="s">
        <v>4208</v>
      </c>
      <c r="AA755" s="78" t="s">
        <v>4209</v>
      </c>
      <c r="AB755" s="78" t="s">
        <v>4210</v>
      </c>
      <c r="AC755" s="78" t="s">
        <v>4211</v>
      </c>
      <c r="AD755" s="78" t="s">
        <v>4212</v>
      </c>
      <c r="AE755" s="1151">
        <v>30.0</v>
      </c>
      <c r="AF755" s="1152">
        <v>0.8</v>
      </c>
      <c r="AG755" s="78" t="s">
        <v>181</v>
      </c>
      <c r="AH755" s="78" t="s">
        <v>4213</v>
      </c>
      <c r="AI755" s="1153">
        <v>0.043</v>
      </c>
      <c r="AJ755" s="68" t="s">
        <v>164</v>
      </c>
      <c r="AK755" s="68" t="s">
        <v>128</v>
      </c>
      <c r="AL755" s="67" t="s">
        <v>129</v>
      </c>
      <c r="AM755" s="68" t="s">
        <v>3756</v>
      </c>
      <c r="AN755" s="1154">
        <v>6340.0</v>
      </c>
      <c r="AO755" s="1151">
        <v>-0.02</v>
      </c>
      <c r="AP755" s="78" t="s">
        <v>166</v>
      </c>
      <c r="AQ755" s="78" t="s">
        <v>4214</v>
      </c>
      <c r="AR755" s="1151">
        <v>0.44</v>
      </c>
      <c r="AS755" s="78" t="s">
        <v>164</v>
      </c>
      <c r="AT755" s="78" t="s">
        <v>128</v>
      </c>
      <c r="AU755" s="67" t="s">
        <v>129</v>
      </c>
      <c r="AV755" s="67" t="s">
        <v>3756</v>
      </c>
      <c r="AW755" s="67" t="s">
        <v>134</v>
      </c>
      <c r="AX755" s="84"/>
      <c r="AY755" s="84"/>
      <c r="AZ755" s="84"/>
    </row>
    <row r="756" ht="20.25" customHeight="1">
      <c r="A756" s="85" t="s">
        <v>520</v>
      </c>
      <c r="B756" s="85" t="s">
        <v>107</v>
      </c>
      <c r="C756" s="85" t="s">
        <v>1251</v>
      </c>
      <c r="D756" s="84"/>
      <c r="E756" s="87" t="s">
        <v>4204</v>
      </c>
      <c r="F756" s="69" t="str">
        <f t="shared" si="48"/>
        <v>curatescience73_2</v>
      </c>
      <c r="G756" s="87" t="s">
        <v>3758</v>
      </c>
      <c r="H756" s="798">
        <v>45901.0</v>
      </c>
      <c r="I756" s="798">
        <v>45901.0</v>
      </c>
      <c r="J756" s="86"/>
      <c r="K756" s="86"/>
      <c r="L756" s="1155" t="s">
        <v>4205</v>
      </c>
      <c r="M756" s="87" t="s">
        <v>4206</v>
      </c>
      <c r="N756" s="89">
        <v>1.0</v>
      </c>
      <c r="O756" s="87" t="str">
        <f t="shared" si="49"/>
        <v>10.1037--a0029288.pdf</v>
      </c>
      <c r="P756" s="48" t="str">
        <f t="array" ref="P756">HYPERLINK(INDEX('File Links'!B:B, MATCH(O756, 'File Links'!C:C, 0)))
</f>
        <v>https://drive.google.com/file/d/1vcCVkrjNwZHH8glmh9tGMygAb5DPf3dE/view?usp=drivesdk</v>
      </c>
      <c r="Q756" s="86"/>
      <c r="R756" s="86"/>
      <c r="S756" s="86"/>
      <c r="T756" s="86"/>
      <c r="U756" s="86"/>
      <c r="V756" s="86"/>
      <c r="W756" s="86"/>
      <c r="X756" s="86"/>
      <c r="Y756" s="87" t="s">
        <v>1820</v>
      </c>
      <c r="Z756" s="87" t="s">
        <v>4215</v>
      </c>
      <c r="AA756" s="86"/>
      <c r="AB756" s="86"/>
      <c r="AC756" s="87" t="s">
        <v>4216</v>
      </c>
      <c r="AD756" s="89">
        <v>302.0</v>
      </c>
      <c r="AE756" s="89">
        <v>30.0</v>
      </c>
      <c r="AF756" s="89">
        <v>0.8</v>
      </c>
      <c r="AG756" s="87" t="s">
        <v>166</v>
      </c>
      <c r="AH756" s="86"/>
      <c r="AI756" s="571">
        <v>0.043</v>
      </c>
      <c r="AJ756" s="69" t="s">
        <v>164</v>
      </c>
      <c r="AK756" s="75"/>
      <c r="AL756" s="86" t="s">
        <v>129</v>
      </c>
      <c r="AM756" s="75"/>
      <c r="AN756" s="1156">
        <v>6333.0</v>
      </c>
      <c r="AO756" s="89">
        <v>-0.02</v>
      </c>
      <c r="AP756" s="87" t="s">
        <v>166</v>
      </c>
      <c r="AQ756" s="86"/>
      <c r="AR756" s="89">
        <v>0.83</v>
      </c>
      <c r="AS756" s="87" t="s">
        <v>164</v>
      </c>
      <c r="AT756" s="87" t="s">
        <v>179</v>
      </c>
      <c r="AU756" s="86" t="s">
        <v>129</v>
      </c>
      <c r="AV756" s="86"/>
      <c r="AW756" s="86" t="s">
        <v>134</v>
      </c>
      <c r="AX756" s="84"/>
      <c r="AY756" s="84"/>
      <c r="AZ756" s="84"/>
    </row>
    <row r="757">
      <c r="A757" s="483" t="s">
        <v>520</v>
      </c>
      <c r="B757" s="483" t="s">
        <v>107</v>
      </c>
      <c r="C757" s="483" t="s">
        <v>2637</v>
      </c>
      <c r="D757" s="484"/>
      <c r="E757" s="1157" t="s">
        <v>4217</v>
      </c>
      <c r="F757" s="1158" t="str">
        <f t="shared" si="48"/>
        <v>curatescience75_1</v>
      </c>
      <c r="G757" s="1157" t="s">
        <v>3739</v>
      </c>
      <c r="H757" s="1159">
        <v>45675.0</v>
      </c>
      <c r="I757" s="1159">
        <v>45676.0</v>
      </c>
      <c r="J757" s="936"/>
      <c r="K757" s="936"/>
      <c r="L757" s="1160" t="s">
        <v>4218</v>
      </c>
      <c r="M757" s="1157" t="s">
        <v>4219</v>
      </c>
      <c r="N757" s="936"/>
      <c r="O757" s="1157" t="str">
        <f t="shared" si="49"/>
        <v>10.1016--j.jesp.2010.05.014.pdf</v>
      </c>
      <c r="P757" s="48" t="str">
        <f t="array" ref="P757">HYPERLINK(INDEX('File Links'!B:B, MATCH(O757, 'File Links'!C:C, 0)))
</f>
        <v>https://drive.google.com/file/d/1eGcl00TFvqtXToShjh3zwuqo-qNHAocO/view?usp=drivesdk</v>
      </c>
      <c r="Q757" s="1157" t="s">
        <v>3743</v>
      </c>
      <c r="R757" s="1157" t="s">
        <v>3744</v>
      </c>
      <c r="S757" s="1161" t="s">
        <v>3745</v>
      </c>
      <c r="T757" s="1157" t="s">
        <v>4220</v>
      </c>
      <c r="U757" s="1157" t="s">
        <v>3747</v>
      </c>
      <c r="V757" s="1157" t="s">
        <v>3748</v>
      </c>
      <c r="W757" s="45" t="str">
        <f t="array" ref="W757">HYPERLINK(INDEX('File Links'!B:B, MATCH(U757, 'File Links'!C:C, 0)))
</f>
        <v>#N/A</v>
      </c>
      <c r="X757" s="936"/>
      <c r="Y757" s="1157" t="s">
        <v>220</v>
      </c>
      <c r="Z757" s="1157" t="s">
        <v>4221</v>
      </c>
      <c r="AA757" s="1157" t="s">
        <v>4222</v>
      </c>
      <c r="AB757" s="1157" t="s">
        <v>4223</v>
      </c>
      <c r="AC757" s="1157" t="s">
        <v>4224</v>
      </c>
      <c r="AD757" s="1157" t="s">
        <v>4225</v>
      </c>
      <c r="AE757" s="1162">
        <v>33.0</v>
      </c>
      <c r="AF757" s="1162">
        <v>0.85</v>
      </c>
      <c r="AG757" s="1157" t="s">
        <v>181</v>
      </c>
      <c r="AH757" s="1157" t="s">
        <v>4226</v>
      </c>
      <c r="AI757" s="1163">
        <v>0.024</v>
      </c>
      <c r="AJ757" s="1158" t="s">
        <v>164</v>
      </c>
      <c r="AK757" s="1158" t="s">
        <v>128</v>
      </c>
      <c r="AL757" s="1164" t="s">
        <v>129</v>
      </c>
      <c r="AM757" s="1158" t="s">
        <v>3756</v>
      </c>
      <c r="AN757" s="1165">
        <v>6335.0</v>
      </c>
      <c r="AO757" s="1162">
        <v>0.13</v>
      </c>
      <c r="AP757" s="1157" t="s">
        <v>166</v>
      </c>
      <c r="AQ757" s="1157" t="s">
        <v>4227</v>
      </c>
      <c r="AR757" s="1162">
        <v>0.001</v>
      </c>
      <c r="AS757" s="1157" t="s">
        <v>127</v>
      </c>
      <c r="AT757" s="1157" t="s">
        <v>128</v>
      </c>
      <c r="AU757" s="1164" t="s">
        <v>129</v>
      </c>
      <c r="AV757" s="1164" t="s">
        <v>3756</v>
      </c>
      <c r="AW757" s="1164" t="s">
        <v>134</v>
      </c>
      <c r="AX757" s="484"/>
      <c r="AY757" s="484"/>
      <c r="AZ757" s="84"/>
    </row>
    <row r="758">
      <c r="A758" s="483" t="s">
        <v>520</v>
      </c>
      <c r="B758" s="483" t="s">
        <v>107</v>
      </c>
      <c r="C758" s="483" t="s">
        <v>1251</v>
      </c>
      <c r="D758" s="484"/>
      <c r="E758" s="934" t="s">
        <v>4217</v>
      </c>
      <c r="F758" s="891" t="str">
        <f t="shared" si="48"/>
        <v>curatescience75_2</v>
      </c>
      <c r="G758" s="934" t="s">
        <v>3758</v>
      </c>
      <c r="H758" s="935">
        <v>45901.0</v>
      </c>
      <c r="I758" s="935">
        <v>45901.0</v>
      </c>
      <c r="J758" s="936"/>
      <c r="K758" s="936"/>
      <c r="L758" s="1166" t="s">
        <v>4218</v>
      </c>
      <c r="M758" s="934" t="s">
        <v>4219</v>
      </c>
      <c r="N758" s="938">
        <v>1.0</v>
      </c>
      <c r="O758" s="934" t="str">
        <f t="shared" si="49"/>
        <v>10.1016--j.jesp.2010.05.014.pdf</v>
      </c>
      <c r="P758" s="48" t="str">
        <f t="array" ref="P758">HYPERLINK(INDEX('File Links'!B:B, MATCH(O758, 'File Links'!C:C, 0)))
</f>
        <v>https://drive.google.com/file/d/1eGcl00TFvqtXToShjh3zwuqo-qNHAocO/view?usp=drivesdk</v>
      </c>
      <c r="Q758" s="936"/>
      <c r="R758" s="936"/>
      <c r="S758" s="936"/>
      <c r="T758" s="936"/>
      <c r="U758" s="936"/>
      <c r="W758" s="45" t="str">
        <f t="array" ref="W758">HYPERLINK(INDEX('File Links'!B:B, MATCH(U758, 'File Links'!C:C, 0)))
</f>
        <v>#N/A</v>
      </c>
      <c r="X758" s="936"/>
      <c r="Y758" s="934" t="s">
        <v>220</v>
      </c>
      <c r="Z758" s="934" t="s">
        <v>4228</v>
      </c>
      <c r="AA758" s="936"/>
      <c r="AB758" s="936"/>
      <c r="AC758" s="934" t="s">
        <v>4229</v>
      </c>
      <c r="AD758" s="938">
        <v>945.0</v>
      </c>
      <c r="AE758" s="938">
        <v>60.0</v>
      </c>
      <c r="AF758" s="938">
        <v>0.86</v>
      </c>
      <c r="AG758" s="934" t="s">
        <v>166</v>
      </c>
      <c r="AH758" s="936"/>
      <c r="AI758" s="1167">
        <v>0.023</v>
      </c>
      <c r="AJ758" s="891" t="s">
        <v>164</v>
      </c>
      <c r="AK758" s="891" t="s">
        <v>179</v>
      </c>
      <c r="AL758" s="936" t="s">
        <v>129</v>
      </c>
      <c r="AM758" s="1168"/>
      <c r="AN758" s="938">
        <v>6336.0</v>
      </c>
      <c r="AO758" s="938">
        <v>0.13</v>
      </c>
      <c r="AP758" s="934" t="s">
        <v>166</v>
      </c>
      <c r="AQ758" s="936"/>
      <c r="AR758" s="938">
        <v>0.001</v>
      </c>
      <c r="AS758" s="934" t="s">
        <v>127</v>
      </c>
      <c r="AT758" s="934" t="s">
        <v>179</v>
      </c>
      <c r="AU758" s="936" t="s">
        <v>129</v>
      </c>
      <c r="AV758" s="936"/>
      <c r="AW758" s="936" t="s">
        <v>134</v>
      </c>
      <c r="AX758" s="484"/>
      <c r="AY758" s="484"/>
      <c r="AZ758" s="84"/>
    </row>
    <row r="759">
      <c r="A759" s="441" t="s">
        <v>143</v>
      </c>
      <c r="B759" s="441" t="s">
        <v>107</v>
      </c>
      <c r="C759" s="441" t="s">
        <v>144</v>
      </c>
      <c r="D759" s="442"/>
      <c r="E759" s="111" t="s">
        <v>4230</v>
      </c>
      <c r="F759" s="112" t="s">
        <v>4231</v>
      </c>
      <c r="G759" s="112" t="s">
        <v>144</v>
      </c>
      <c r="H759" s="117" t="s">
        <v>112</v>
      </c>
      <c r="I759" s="113">
        <v>45638.0</v>
      </c>
      <c r="J759" s="119"/>
      <c r="K759" s="119"/>
      <c r="L759" s="116" t="s">
        <v>4164</v>
      </c>
      <c r="M759" s="112" t="s">
        <v>4165</v>
      </c>
      <c r="N759" s="1169">
        <v>1.0</v>
      </c>
      <c r="O759" s="212" t="s">
        <v>4166</v>
      </c>
      <c r="P759" s="48" t="str">
        <f t="array" ref="P759">HYPERLINK(INDEX('File Links'!B:B, MATCH(O759, 'File Links'!C:C, 0)))
</f>
        <v>https://drive.google.com/file/d/1VcKqsyqYAl_exqLf4Zk_sKFNXaU3WlBH/view?usp=drivesdk</v>
      </c>
      <c r="Q759" s="112" t="s">
        <v>4167</v>
      </c>
      <c r="R759" s="112" t="s">
        <v>4168</v>
      </c>
      <c r="S759" s="119"/>
      <c r="T759" s="1170">
        <v>2.0</v>
      </c>
      <c r="U759" s="112" t="s">
        <v>4169</v>
      </c>
      <c r="V759" s="112" t="s">
        <v>3501</v>
      </c>
      <c r="W759" s="50" t="str">
        <f t="array" ref="W759">HYPERLINK(INDEX('File Links'!B:B, MATCH(U759, 'File Links'!C:C, 0)))
</f>
        <v>https://drive.google.com/file/d/1GB5oPjHVuDXBTZ2__Had-zRIf9ZK4G7S/view?usp=drivesdk</v>
      </c>
      <c r="X759" s="119"/>
      <c r="Y759" s="112" t="s">
        <v>220</v>
      </c>
      <c r="Z759" s="211" t="s">
        <v>4170</v>
      </c>
      <c r="AA759" s="211" t="s">
        <v>4171</v>
      </c>
      <c r="AB759" s="211" t="s">
        <v>4232</v>
      </c>
      <c r="AC759" s="211" t="s">
        <v>4173</v>
      </c>
      <c r="AD759" s="117">
        <v>1.0</v>
      </c>
      <c r="AE759" s="313">
        <v>56.0</v>
      </c>
      <c r="AF759" s="112" t="s">
        <v>4174</v>
      </c>
      <c r="AG759" s="212" t="s">
        <v>162</v>
      </c>
      <c r="AH759" s="117">
        <v>1.0</v>
      </c>
      <c r="AI759" s="117">
        <v>0.028</v>
      </c>
      <c r="AJ759" s="127" t="s">
        <v>164</v>
      </c>
      <c r="AK759" s="112" t="s">
        <v>128</v>
      </c>
      <c r="AL759" s="119" t="s">
        <v>129</v>
      </c>
      <c r="AM759" s="321" t="s">
        <v>165</v>
      </c>
      <c r="AN759" s="117">
        <v>125.0</v>
      </c>
      <c r="AO759" s="117">
        <v>5.63E-4</v>
      </c>
      <c r="AP759" s="103" t="s">
        <v>4175</v>
      </c>
      <c r="AQ759" s="112" t="s">
        <v>2748</v>
      </c>
      <c r="AR759" s="117">
        <v>0.72</v>
      </c>
      <c r="AS759" s="127" t="s">
        <v>164</v>
      </c>
      <c r="AT759" s="108" t="s">
        <v>179</v>
      </c>
      <c r="AU759" s="111" t="s">
        <v>132</v>
      </c>
      <c r="AV759" s="605" t="s">
        <v>4233</v>
      </c>
      <c r="AW759" s="1055" t="s">
        <v>134</v>
      </c>
      <c r="AX759" s="95"/>
      <c r="AY759" s="811" t="s">
        <v>135</v>
      </c>
      <c r="AZ759" s="84"/>
    </row>
    <row r="760">
      <c r="A760" s="136" t="s">
        <v>106</v>
      </c>
      <c r="B760" s="136" t="s">
        <v>107</v>
      </c>
      <c r="C760" s="136" t="s">
        <v>169</v>
      </c>
      <c r="D760" s="64"/>
      <c r="E760" s="98" t="s">
        <v>4230</v>
      </c>
      <c r="F760" s="99" t="s">
        <v>4231</v>
      </c>
      <c r="G760" s="108" t="s">
        <v>169</v>
      </c>
      <c r="H760" s="521">
        <v>45653.0</v>
      </c>
      <c r="I760" s="98"/>
      <c r="J760" s="108" t="s">
        <v>4177</v>
      </c>
      <c r="K760" s="98"/>
      <c r="L760" s="103" t="s">
        <v>4164</v>
      </c>
      <c r="M760" s="108" t="s">
        <v>4165</v>
      </c>
      <c r="N760" s="482">
        <v>1.0</v>
      </c>
      <c r="O760" s="108" t="s">
        <v>4166</v>
      </c>
      <c r="P760" s="48" t="str">
        <f t="array" ref="P760">HYPERLINK(INDEX('File Links'!B:B, MATCH(O760, 'File Links'!C:C, 0)))
</f>
        <v>https://drive.google.com/file/d/1VcKqsyqYAl_exqLf4Zk_sKFNXaU3WlBH/view?usp=drivesdk</v>
      </c>
      <c r="Q760" s="108" t="s">
        <v>4234</v>
      </c>
      <c r="R760" s="108" t="s">
        <v>4168</v>
      </c>
      <c r="S760" s="98"/>
      <c r="T760" s="482">
        <v>2.0</v>
      </c>
      <c r="U760" s="108" t="s">
        <v>4169</v>
      </c>
      <c r="V760" s="108" t="s">
        <v>2129</v>
      </c>
      <c r="W760" s="50" t="str">
        <f t="array" ref="W760">HYPERLINK(INDEX('File Links'!B:B, MATCH(U760, 'File Links'!C:C, 0)))
</f>
        <v>https://drive.google.com/file/d/1GB5oPjHVuDXBTZ2__Had-zRIf9ZK4G7S/view?usp=drivesdk</v>
      </c>
      <c r="X760" s="98"/>
      <c r="Y760" s="108" t="s">
        <v>220</v>
      </c>
      <c r="Z760" s="108" t="s">
        <v>4178</v>
      </c>
      <c r="AA760" s="98"/>
      <c r="AB760" s="108" t="s">
        <v>4179</v>
      </c>
      <c r="AC760" s="108" t="s">
        <v>4180</v>
      </c>
      <c r="AD760" s="108" t="s">
        <v>2401</v>
      </c>
      <c r="AE760" s="482">
        <v>56.0</v>
      </c>
      <c r="AF760" s="108" t="s">
        <v>4181</v>
      </c>
      <c r="AG760" s="1171" t="s">
        <v>4235</v>
      </c>
      <c r="AH760" s="99" t="s">
        <v>4183</v>
      </c>
      <c r="AI760" s="99" t="s">
        <v>4184</v>
      </c>
      <c r="AJ760" s="108" t="s">
        <v>164</v>
      </c>
      <c r="AK760" s="99" t="s">
        <v>179</v>
      </c>
      <c r="AL760" s="98" t="s">
        <v>129</v>
      </c>
      <c r="AM760" s="98"/>
      <c r="AN760" s="482">
        <v>233.0</v>
      </c>
      <c r="AO760" s="108" t="s">
        <v>4236</v>
      </c>
      <c r="AP760" s="108" t="s">
        <v>4186</v>
      </c>
      <c r="AQ760" s="108" t="s">
        <v>886</v>
      </c>
      <c r="AR760" s="108" t="s">
        <v>4237</v>
      </c>
      <c r="AS760" s="108" t="s">
        <v>164</v>
      </c>
      <c r="AT760" s="108" t="s">
        <v>179</v>
      </c>
      <c r="AU760" s="98" t="s">
        <v>129</v>
      </c>
      <c r="AV760" s="595" t="s">
        <v>4238</v>
      </c>
      <c r="AW760" s="450" t="s">
        <v>434</v>
      </c>
      <c r="AX760" s="136" t="s">
        <v>4239</v>
      </c>
      <c r="AY760" s="811" t="s">
        <v>135</v>
      </c>
      <c r="AZ760" s="84"/>
    </row>
    <row r="761">
      <c r="A761" s="136" t="s">
        <v>106</v>
      </c>
      <c r="B761" s="136" t="s">
        <v>107</v>
      </c>
      <c r="C761" s="136" t="s">
        <v>169</v>
      </c>
      <c r="D761" s="64"/>
      <c r="E761" s="98" t="s">
        <v>4230</v>
      </c>
      <c r="F761" s="99" t="s">
        <v>4240</v>
      </c>
      <c r="G761" s="108" t="s">
        <v>169</v>
      </c>
      <c r="H761" s="521">
        <v>45653.0</v>
      </c>
      <c r="I761" s="98"/>
      <c r="J761" s="108" t="s">
        <v>4177</v>
      </c>
      <c r="K761" s="98"/>
      <c r="L761" s="103" t="s">
        <v>4164</v>
      </c>
      <c r="M761" s="108" t="s">
        <v>4165</v>
      </c>
      <c r="N761" s="482">
        <v>1.0</v>
      </c>
      <c r="O761" s="108" t="s">
        <v>4166</v>
      </c>
      <c r="P761" s="48" t="str">
        <f t="array" ref="P761">HYPERLINK(INDEX('File Links'!B:B, MATCH(O761, 'File Links'!C:C, 0)))
</f>
        <v>https://drive.google.com/file/d/1VcKqsyqYAl_exqLf4Zk_sKFNXaU3WlBH/view?usp=drivesdk</v>
      </c>
      <c r="Q761" s="108" t="s">
        <v>4234</v>
      </c>
      <c r="R761" s="108" t="s">
        <v>4168</v>
      </c>
      <c r="S761" s="98"/>
      <c r="T761" s="482">
        <v>2.0</v>
      </c>
      <c r="U761" s="108" t="s">
        <v>4169</v>
      </c>
      <c r="V761" s="108" t="s">
        <v>2129</v>
      </c>
      <c r="W761" s="50" t="str">
        <f t="array" ref="W761">HYPERLINK(INDEX('File Links'!B:B, MATCH(U761, 'File Links'!C:C, 0)))
</f>
        <v>https://drive.google.com/file/d/1GB5oPjHVuDXBTZ2__Had-zRIf9ZK4G7S/view?usp=drivesdk</v>
      </c>
      <c r="X761" s="98"/>
      <c r="Y761" s="108" t="s">
        <v>220</v>
      </c>
      <c r="Z761" s="108" t="s">
        <v>4178</v>
      </c>
      <c r="AA761" s="98"/>
      <c r="AB761" s="108" t="s">
        <v>4189</v>
      </c>
      <c r="AC761" s="108" t="s">
        <v>4190</v>
      </c>
      <c r="AD761" s="108" t="s">
        <v>2401</v>
      </c>
      <c r="AE761" s="482">
        <v>56.0</v>
      </c>
      <c r="AF761" s="108" t="s">
        <v>4191</v>
      </c>
      <c r="AG761" s="1171" t="s">
        <v>4235</v>
      </c>
      <c r="AH761" s="99" t="s">
        <v>4183</v>
      </c>
      <c r="AI761" s="99" t="s">
        <v>4192</v>
      </c>
      <c r="AJ761" s="108" t="s">
        <v>164</v>
      </c>
      <c r="AK761" s="99" t="s">
        <v>179</v>
      </c>
      <c r="AL761" s="98" t="s">
        <v>129</v>
      </c>
      <c r="AM761" s="98"/>
      <c r="AN761" s="482">
        <v>125.0</v>
      </c>
      <c r="AO761" s="108" t="s">
        <v>4241</v>
      </c>
      <c r="AP761" s="1172" t="s">
        <v>4182</v>
      </c>
      <c r="AQ761" s="108" t="s">
        <v>886</v>
      </c>
      <c r="AR761" s="98"/>
      <c r="AS761" s="98"/>
      <c r="AT761" s="98"/>
      <c r="AU761" s="98"/>
      <c r="AV761" s="595" t="s">
        <v>4238</v>
      </c>
      <c r="AW761" s="450" t="s">
        <v>434</v>
      </c>
      <c r="AX761" s="64"/>
      <c r="AY761" s="811" t="s">
        <v>135</v>
      </c>
      <c r="AZ761" s="84"/>
    </row>
    <row r="762" ht="18.75" customHeight="1">
      <c r="A762" s="136" t="s">
        <v>106</v>
      </c>
      <c r="B762" s="136" t="s">
        <v>107</v>
      </c>
      <c r="C762" s="136" t="s">
        <v>169</v>
      </c>
      <c r="D762" s="64"/>
      <c r="E762" s="98" t="s">
        <v>4230</v>
      </c>
      <c r="F762" s="99" t="s">
        <v>4242</v>
      </c>
      <c r="G762" s="108" t="s">
        <v>169</v>
      </c>
      <c r="H762" s="521">
        <v>45653.0</v>
      </c>
      <c r="I762" s="98"/>
      <c r="J762" s="108" t="s">
        <v>4177</v>
      </c>
      <c r="K762" s="98"/>
      <c r="L762" s="103" t="s">
        <v>4164</v>
      </c>
      <c r="M762" s="108" t="s">
        <v>4165</v>
      </c>
      <c r="N762" s="482">
        <v>1.0</v>
      </c>
      <c r="O762" s="108" t="s">
        <v>4166</v>
      </c>
      <c r="P762" s="48" t="str">
        <f t="array" ref="P762">HYPERLINK(INDEX('File Links'!B:B, MATCH(O762, 'File Links'!C:C, 0)))
</f>
        <v>https://drive.google.com/file/d/1VcKqsyqYAl_exqLf4Zk_sKFNXaU3WlBH/view?usp=drivesdk</v>
      </c>
      <c r="Q762" s="108" t="s">
        <v>4234</v>
      </c>
      <c r="R762" s="108" t="s">
        <v>4168</v>
      </c>
      <c r="S762" s="98"/>
      <c r="T762" s="482">
        <v>2.0</v>
      </c>
      <c r="U762" s="108" t="s">
        <v>4169</v>
      </c>
      <c r="V762" s="108" t="s">
        <v>2129</v>
      </c>
      <c r="W762" s="50" t="str">
        <f t="array" ref="W762">HYPERLINK(INDEX('File Links'!B:B, MATCH(U762, 'File Links'!C:C, 0)))
</f>
        <v>https://drive.google.com/file/d/1GB5oPjHVuDXBTZ2__Had-zRIf9ZK4G7S/view?usp=drivesdk</v>
      </c>
      <c r="X762" s="98"/>
      <c r="Y762" s="108" t="s">
        <v>220</v>
      </c>
      <c r="Z762" s="108" t="s">
        <v>4178</v>
      </c>
      <c r="AA762" s="98"/>
      <c r="AB762" s="108" t="s">
        <v>4195</v>
      </c>
      <c r="AC762" s="108" t="s">
        <v>4190</v>
      </c>
      <c r="AD762" s="108" t="s">
        <v>2401</v>
      </c>
      <c r="AE762" s="482">
        <v>56.0</v>
      </c>
      <c r="AF762" s="108" t="s">
        <v>4196</v>
      </c>
      <c r="AG762" s="1171" t="s">
        <v>4235</v>
      </c>
      <c r="AH762" s="99" t="s">
        <v>4183</v>
      </c>
      <c r="AI762" s="99" t="s">
        <v>4197</v>
      </c>
      <c r="AJ762" s="108" t="s">
        <v>164</v>
      </c>
      <c r="AK762" s="99" t="s">
        <v>179</v>
      </c>
      <c r="AL762" s="98" t="s">
        <v>129</v>
      </c>
      <c r="AM762" s="98"/>
      <c r="AN762" s="482">
        <v>108.0</v>
      </c>
      <c r="AO762" s="108" t="s">
        <v>4243</v>
      </c>
      <c r="AP762" s="1172" t="s">
        <v>4182</v>
      </c>
      <c r="AQ762" s="108" t="s">
        <v>886</v>
      </c>
      <c r="AR762" s="98"/>
      <c r="AS762" s="98"/>
      <c r="AT762" s="98"/>
      <c r="AU762" s="98"/>
      <c r="AV762" s="595" t="s">
        <v>4238</v>
      </c>
      <c r="AW762" s="450" t="s">
        <v>434</v>
      </c>
      <c r="AX762" s="64"/>
      <c r="AY762" s="811" t="s">
        <v>135</v>
      </c>
      <c r="AZ762" s="84"/>
    </row>
    <row r="763" ht="25.5" customHeight="1">
      <c r="A763" s="177" t="s">
        <v>520</v>
      </c>
      <c r="B763" s="177" t="s">
        <v>107</v>
      </c>
      <c r="C763" s="177" t="s">
        <v>2637</v>
      </c>
      <c r="D763" s="178"/>
      <c r="E763" s="345" t="s">
        <v>4244</v>
      </c>
      <c r="F763" s="182" t="str">
        <f t="shared" ref="F763:F764" si="50">E763&amp;"_"&amp;COUNTIF($A$3:E763, E763)</f>
        <v>curatescience86_1</v>
      </c>
      <c r="G763" s="345" t="s">
        <v>3739</v>
      </c>
      <c r="H763" s="346">
        <v>45675.0</v>
      </c>
      <c r="I763" s="346">
        <v>45676.0</v>
      </c>
      <c r="J763" s="179"/>
      <c r="K763" s="179"/>
      <c r="L763" s="1020" t="s">
        <v>4245</v>
      </c>
      <c r="M763" s="345" t="s">
        <v>4246</v>
      </c>
      <c r="N763" s="350">
        <v>1.0</v>
      </c>
      <c r="O763" s="345" t="str">
        <f t="shared" ref="O763:O764" si="51"> SUBSTITUTE(lower(M763), "/", "--") &amp;  ".pdf"</f>
        <v>10.1016--j.jesp.2009.03.009.pdf</v>
      </c>
      <c r="P763" s="48" t="str">
        <f t="array" ref="P763">HYPERLINK(INDEX('File Links'!B:B, MATCH(O763, 'File Links'!C:C, 0)))
</f>
        <v>https://drive.google.com/file/d/13E6exELEtdG2RSbqcPYafnphBAN0Qwtm/view?usp=drivesdk</v>
      </c>
      <c r="Q763" s="345" t="s">
        <v>3743</v>
      </c>
      <c r="R763" s="345" t="s">
        <v>3744</v>
      </c>
      <c r="S763" s="1021" t="s">
        <v>3745</v>
      </c>
      <c r="T763" s="345" t="s">
        <v>4247</v>
      </c>
      <c r="U763" s="345" t="s">
        <v>3747</v>
      </c>
      <c r="V763" s="345" t="s">
        <v>3748</v>
      </c>
      <c r="W763" s="45" t="str">
        <f t="array" ref="W763">HYPERLINK(INDEX('File Links'!B:B, MATCH(U763, 'File Links'!C:C, 0)))
</f>
        <v>#N/A</v>
      </c>
      <c r="X763" s="179"/>
      <c r="Y763" s="345" t="s">
        <v>139</v>
      </c>
      <c r="Z763" s="345" t="s">
        <v>4248</v>
      </c>
      <c r="AA763" s="345" t="s">
        <v>4249</v>
      </c>
      <c r="AB763" s="345" t="s">
        <v>4250</v>
      </c>
      <c r="AC763" s="345" t="s">
        <v>4251</v>
      </c>
      <c r="AD763" s="345" t="s">
        <v>4252</v>
      </c>
      <c r="AE763" s="1025">
        <v>213.0</v>
      </c>
      <c r="AF763" s="1025">
        <v>0.06</v>
      </c>
      <c r="AG763" s="345" t="s">
        <v>3754</v>
      </c>
      <c r="AH763" s="345" t="s">
        <v>4253</v>
      </c>
      <c r="AI763" s="1022">
        <v>0.01</v>
      </c>
      <c r="AJ763" s="182" t="s">
        <v>127</v>
      </c>
      <c r="AK763" s="182" t="s">
        <v>128</v>
      </c>
      <c r="AL763" s="1023" t="s">
        <v>129</v>
      </c>
      <c r="AM763" s="182" t="s">
        <v>3756</v>
      </c>
      <c r="AN763" s="1024">
        <v>6120.0</v>
      </c>
      <c r="AO763" s="1025">
        <v>0.03</v>
      </c>
      <c r="AP763" s="345" t="s">
        <v>130</v>
      </c>
      <c r="AQ763" s="345" t="s">
        <v>4254</v>
      </c>
      <c r="AR763" s="1025">
        <v>0.05</v>
      </c>
      <c r="AS763" s="345" t="s">
        <v>127</v>
      </c>
      <c r="AT763" s="345" t="s">
        <v>128</v>
      </c>
      <c r="AU763" s="1023" t="s">
        <v>129</v>
      </c>
      <c r="AV763" s="1023" t="s">
        <v>3756</v>
      </c>
      <c r="AW763" s="1023" t="s">
        <v>134</v>
      </c>
      <c r="AX763" s="178"/>
      <c r="AY763" s="178"/>
      <c r="AZ763" s="84"/>
    </row>
    <row r="764">
      <c r="A764" s="177" t="s">
        <v>520</v>
      </c>
      <c r="B764" s="177" t="s">
        <v>107</v>
      </c>
      <c r="C764" s="177" t="s">
        <v>1251</v>
      </c>
      <c r="D764" s="178"/>
      <c r="E764" s="188" t="s">
        <v>4244</v>
      </c>
      <c r="F764" s="180" t="str">
        <f t="shared" si="50"/>
        <v>curatescience86_2</v>
      </c>
      <c r="G764" s="188" t="s">
        <v>3758</v>
      </c>
      <c r="H764" s="181">
        <v>45901.0</v>
      </c>
      <c r="I764" s="181">
        <v>45901.0</v>
      </c>
      <c r="J764" s="179"/>
      <c r="K764" s="179"/>
      <c r="L764" s="1173" t="s">
        <v>4245</v>
      </c>
      <c r="M764" s="188" t="s">
        <v>4246</v>
      </c>
      <c r="N764" s="695">
        <v>1.0</v>
      </c>
      <c r="O764" s="188" t="str">
        <f t="shared" si="51"/>
        <v>10.1016--j.jesp.2009.03.009.pdf</v>
      </c>
      <c r="P764" s="48" t="str">
        <f t="array" ref="P764">HYPERLINK(INDEX('File Links'!B:B, MATCH(O764, 'File Links'!C:C, 0)))
</f>
        <v>https://drive.google.com/file/d/13E6exELEtdG2RSbqcPYafnphBAN0Qwtm/view?usp=drivesdk</v>
      </c>
      <c r="Q764" s="179"/>
      <c r="R764" s="179"/>
      <c r="S764" s="179"/>
      <c r="T764" s="179"/>
      <c r="U764" s="179"/>
      <c r="W764" s="45" t="str">
        <f t="array" ref="W764">HYPERLINK(INDEX('File Links'!B:B, MATCH(U764, 'File Links'!C:C, 0)))
</f>
        <v>#N/A</v>
      </c>
      <c r="X764" s="179"/>
      <c r="Y764" s="188" t="s">
        <v>220</v>
      </c>
      <c r="Z764" s="188" t="s">
        <v>4255</v>
      </c>
      <c r="AA764" s="179"/>
      <c r="AB764" s="179"/>
      <c r="AC764" s="188" t="s">
        <v>4256</v>
      </c>
      <c r="AD764" s="695">
        <v>868.0</v>
      </c>
      <c r="AE764" s="695">
        <v>213.0</v>
      </c>
      <c r="AF764" s="179"/>
      <c r="AG764" s="179"/>
      <c r="AH764" s="179"/>
      <c r="AI764" s="185"/>
      <c r="AJ764" s="183"/>
      <c r="AK764" s="183"/>
      <c r="AL764" s="179"/>
      <c r="AM764" s="183"/>
      <c r="AN764" s="179"/>
      <c r="AO764" s="179"/>
      <c r="AP764" s="179"/>
      <c r="AQ764" s="179"/>
      <c r="AR764" s="179"/>
      <c r="AS764" s="179"/>
      <c r="AT764" s="179"/>
      <c r="AU764" s="179"/>
      <c r="AV764" s="179"/>
      <c r="AW764" s="179" t="s">
        <v>134</v>
      </c>
      <c r="AX764" s="178"/>
      <c r="AY764" s="178"/>
      <c r="AZ764" s="84"/>
    </row>
    <row r="765">
      <c r="A765" s="1174" t="s">
        <v>143</v>
      </c>
      <c r="B765" s="1174" t="s">
        <v>107</v>
      </c>
      <c r="C765" s="654" t="s">
        <v>108</v>
      </c>
      <c r="D765" s="632"/>
      <c r="E765" s="965" t="s">
        <v>4257</v>
      </c>
      <c r="F765" s="656" t="s">
        <v>4258</v>
      </c>
      <c r="G765" s="656" t="s">
        <v>4259</v>
      </c>
      <c r="H765" s="1175">
        <v>45641.0</v>
      </c>
      <c r="I765" s="159">
        <v>45684.0</v>
      </c>
      <c r="J765" s="660"/>
      <c r="K765" s="658" t="s">
        <v>4260</v>
      </c>
      <c r="L765" s="656" t="s">
        <v>4261</v>
      </c>
      <c r="M765" s="656" t="s">
        <v>4262</v>
      </c>
      <c r="N765" s="1176">
        <v>3.0</v>
      </c>
      <c r="O765" s="659" t="s">
        <v>4263</v>
      </c>
      <c r="P765" s="48" t="str">
        <f t="array" ref="P765">HYPERLINK(INDEX('File Links'!B:B, MATCH(O765, 'File Links'!C:C, 0)))
</f>
        <v>https://drive.google.com/file/d/1_IO4PdoMe7l8Q03W9hLBkKiHGidC5w-t/view?usp=drivesdk</v>
      </c>
      <c r="Q765" s="702" t="s">
        <v>4264</v>
      </c>
      <c r="R765" s="656" t="s">
        <v>4265</v>
      </c>
      <c r="S765" s="660"/>
      <c r="T765" s="1177">
        <v>3.0</v>
      </c>
      <c r="U765" s="656" t="s">
        <v>4266</v>
      </c>
      <c r="V765" s="658" t="s">
        <v>202</v>
      </c>
      <c r="W765" s="45" t="str">
        <f t="array" ref="W765">HYPERLINK(INDEX('File Links'!B:B, MATCH(U765, 'File Links'!C:C, 0)))
</f>
        <v>#N/A</v>
      </c>
      <c r="X765" s="660"/>
      <c r="Y765" s="660" t="s">
        <v>220</v>
      </c>
      <c r="Z765" s="65" t="s">
        <v>4267</v>
      </c>
      <c r="AA765" s="660" t="s">
        <v>4268</v>
      </c>
      <c r="AB765" s="660" t="s">
        <v>4269</v>
      </c>
      <c r="AC765" s="660" t="s">
        <v>4270</v>
      </c>
      <c r="AD765" s="660" t="s">
        <v>125</v>
      </c>
      <c r="AE765" s="1176">
        <v>33.0</v>
      </c>
      <c r="AF765" s="1176">
        <v>0.86</v>
      </c>
      <c r="AG765" s="703" t="s">
        <v>166</v>
      </c>
      <c r="AH765" s="660" t="s">
        <v>125</v>
      </c>
      <c r="AI765" s="1176">
        <v>0.05</v>
      </c>
      <c r="AJ765" s="965" t="s">
        <v>127</v>
      </c>
      <c r="AK765" s="660" t="s">
        <v>128</v>
      </c>
      <c r="AL765" s="660" t="s">
        <v>129</v>
      </c>
      <c r="AM765" s="321" t="s">
        <v>165</v>
      </c>
      <c r="AN765" s="1176">
        <v>28.0</v>
      </c>
      <c r="AO765" s="1176">
        <v>0.06</v>
      </c>
      <c r="AP765" s="660" t="s">
        <v>166</v>
      </c>
      <c r="AQ765" s="1178" t="s">
        <v>4271</v>
      </c>
      <c r="AR765" s="658" t="s">
        <v>165</v>
      </c>
      <c r="AS765" s="658" t="s">
        <v>165</v>
      </c>
      <c r="AT765" s="658" t="s">
        <v>165</v>
      </c>
      <c r="AU765" s="1023" t="s">
        <v>129</v>
      </c>
      <c r="AV765" s="1179" t="s">
        <v>4272</v>
      </c>
      <c r="AW765" s="1180" t="s">
        <v>134</v>
      </c>
      <c r="AX765" s="632"/>
      <c r="AY765" s="654" t="s">
        <v>135</v>
      </c>
      <c r="AZ765" s="84"/>
    </row>
    <row r="766" hidden="1">
      <c r="A766" s="1174" t="s">
        <v>106</v>
      </c>
      <c r="B766" s="85" t="s">
        <v>107</v>
      </c>
      <c r="C766" s="85" t="s">
        <v>136</v>
      </c>
      <c r="D766" s="84"/>
      <c r="E766" s="85" t="s">
        <v>4257</v>
      </c>
      <c r="F766" s="65" t="s">
        <v>4258</v>
      </c>
      <c r="G766" s="65" t="s">
        <v>4273</v>
      </c>
      <c r="H766" s="1181">
        <v>45644.0</v>
      </c>
      <c r="I766" s="159">
        <v>45684.0</v>
      </c>
      <c r="J766" s="66"/>
      <c r="K766" s="66"/>
      <c r="L766" s="65" t="s">
        <v>4261</v>
      </c>
      <c r="M766" s="65" t="s">
        <v>4262</v>
      </c>
      <c r="N766" s="65">
        <v>3.0</v>
      </c>
      <c r="O766" s="65" t="s">
        <v>4263</v>
      </c>
      <c r="P766" s="48" t="str">
        <f t="array" ref="P766">HYPERLINK(INDEX('File Links'!B:B, MATCH(O766, 'File Links'!C:C, 0)))
</f>
        <v>https://drive.google.com/file/d/1_IO4PdoMe7l8Q03W9hLBkKiHGidC5w-t/view?usp=drivesdk</v>
      </c>
      <c r="Q766" s="65" t="s">
        <v>4274</v>
      </c>
      <c r="R766" s="65" t="s">
        <v>4265</v>
      </c>
      <c r="S766" s="66"/>
      <c r="T766" s="65"/>
      <c r="U766" s="65" t="s">
        <v>4266</v>
      </c>
      <c r="V766" s="658" t="s">
        <v>202</v>
      </c>
      <c r="W766" s="45" t="str">
        <f t="array" ref="W766">HYPERLINK(INDEX('File Links'!B:B, MATCH(U766, 'File Links'!C:C, 0)))
</f>
        <v>#N/A</v>
      </c>
      <c r="X766" s="65" t="s">
        <v>138</v>
      </c>
      <c r="Y766" s="65" t="s">
        <v>220</v>
      </c>
      <c r="Z766" s="65" t="s">
        <v>4275</v>
      </c>
      <c r="AA766" s="65" t="s">
        <v>4268</v>
      </c>
      <c r="AB766" s="65" t="s">
        <v>4276</v>
      </c>
      <c r="AC766" s="66"/>
      <c r="AD766" s="66"/>
      <c r="AE766" s="65">
        <v>33.0</v>
      </c>
      <c r="AF766" s="65">
        <v>2.44</v>
      </c>
      <c r="AG766" s="65" t="s">
        <v>4277</v>
      </c>
      <c r="AH766" s="65" t="s">
        <v>4278</v>
      </c>
      <c r="AI766" s="65">
        <v>0.05</v>
      </c>
      <c r="AJ766" s="85" t="s">
        <v>127</v>
      </c>
      <c r="AK766" s="66"/>
      <c r="AL766" s="66"/>
      <c r="AM766" s="66"/>
      <c r="AN766" s="66"/>
      <c r="AO766" s="65">
        <v>0.06</v>
      </c>
      <c r="AP766" s="66"/>
      <c r="AQ766" s="66"/>
      <c r="AR766" s="65" t="s">
        <v>141</v>
      </c>
      <c r="AS766" s="84"/>
      <c r="AT766" s="84"/>
      <c r="AU766" s="86"/>
      <c r="AV766" s="84"/>
      <c r="AW766" s="84"/>
      <c r="AX766" s="84"/>
      <c r="AY766" s="654" t="s">
        <v>135</v>
      </c>
      <c r="AZ766" s="84"/>
    </row>
    <row r="767" hidden="1">
      <c r="A767" s="1174" t="s">
        <v>106</v>
      </c>
      <c r="B767" s="85" t="s">
        <v>107</v>
      </c>
      <c r="C767" s="85" t="s">
        <v>136</v>
      </c>
      <c r="D767" s="84"/>
      <c r="E767" s="85" t="s">
        <v>4257</v>
      </c>
      <c r="F767" s="65" t="s">
        <v>4258</v>
      </c>
      <c r="G767" s="65" t="s">
        <v>4273</v>
      </c>
      <c r="H767" s="1181">
        <v>45644.0</v>
      </c>
      <c r="I767" s="159">
        <v>45684.0</v>
      </c>
      <c r="J767" s="66"/>
      <c r="K767" s="66"/>
      <c r="L767" s="65" t="s">
        <v>4261</v>
      </c>
      <c r="M767" s="65" t="s">
        <v>4262</v>
      </c>
      <c r="N767" s="65">
        <v>3.0</v>
      </c>
      <c r="O767" s="65" t="s">
        <v>4263</v>
      </c>
      <c r="P767" s="48" t="str">
        <f t="array" ref="P767">HYPERLINK(INDEX('File Links'!B:B, MATCH(O767, 'File Links'!C:C, 0)))
</f>
        <v>https://drive.google.com/file/d/1_IO4PdoMe7l8Q03W9hLBkKiHGidC5w-t/view?usp=drivesdk</v>
      </c>
      <c r="Q767" s="65" t="s">
        <v>4274</v>
      </c>
      <c r="R767" s="65" t="s">
        <v>4265</v>
      </c>
      <c r="S767" s="66"/>
      <c r="T767" s="65"/>
      <c r="U767" s="65" t="s">
        <v>4266</v>
      </c>
      <c r="V767" s="658" t="s">
        <v>202</v>
      </c>
      <c r="W767" s="45" t="str">
        <f t="array" ref="W767">HYPERLINK(INDEX('File Links'!B:B, MATCH(U767, 'File Links'!C:C, 0)))
</f>
        <v>#N/A</v>
      </c>
      <c r="X767" s="65" t="s">
        <v>138</v>
      </c>
      <c r="Y767" s="65" t="s">
        <v>220</v>
      </c>
      <c r="Z767" s="65" t="s">
        <v>4279</v>
      </c>
      <c r="AA767" s="65" t="s">
        <v>4268</v>
      </c>
      <c r="AB767" s="65" t="s">
        <v>4276</v>
      </c>
      <c r="AC767" s="66"/>
      <c r="AD767" s="66"/>
      <c r="AE767" s="65">
        <v>33.0</v>
      </c>
      <c r="AF767" s="65">
        <v>2.43</v>
      </c>
      <c r="AG767" s="65" t="s">
        <v>4277</v>
      </c>
      <c r="AH767" s="65" t="s">
        <v>4280</v>
      </c>
      <c r="AI767" s="65">
        <v>0.05</v>
      </c>
      <c r="AJ767" s="85" t="s">
        <v>127</v>
      </c>
      <c r="AK767" s="66"/>
      <c r="AL767" s="66"/>
      <c r="AM767" s="66"/>
      <c r="AN767" s="66"/>
      <c r="AO767" s="65">
        <v>-0.23</v>
      </c>
      <c r="AP767" s="66"/>
      <c r="AQ767" s="66"/>
      <c r="AR767" s="65" t="s">
        <v>141</v>
      </c>
      <c r="AS767" s="84"/>
      <c r="AT767" s="84"/>
      <c r="AU767" s="86"/>
      <c r="AV767" s="84"/>
      <c r="AW767" s="84"/>
      <c r="AX767" s="84"/>
      <c r="AY767" s="654" t="s">
        <v>135</v>
      </c>
      <c r="AZ767" s="84"/>
    </row>
    <row r="768" hidden="1">
      <c r="A768" s="1174" t="s">
        <v>106</v>
      </c>
      <c r="B768" s="85" t="s">
        <v>107</v>
      </c>
      <c r="C768" s="85" t="s">
        <v>136</v>
      </c>
      <c r="D768" s="84"/>
      <c r="E768" s="85" t="s">
        <v>4257</v>
      </c>
      <c r="F768" s="65" t="s">
        <v>4258</v>
      </c>
      <c r="G768" s="65" t="s">
        <v>4273</v>
      </c>
      <c r="H768" s="1181">
        <v>45644.0</v>
      </c>
      <c r="I768" s="159">
        <v>45684.0</v>
      </c>
      <c r="J768" s="66"/>
      <c r="K768" s="66"/>
      <c r="L768" s="65" t="s">
        <v>4261</v>
      </c>
      <c r="M768" s="65" t="s">
        <v>4262</v>
      </c>
      <c r="N768" s="65">
        <v>3.0</v>
      </c>
      <c r="O768" s="65" t="s">
        <v>4263</v>
      </c>
      <c r="P768" s="48" t="str">
        <f t="array" ref="P768">HYPERLINK(INDEX('File Links'!B:B, MATCH(O768, 'File Links'!C:C, 0)))
</f>
        <v>https://drive.google.com/file/d/1_IO4PdoMe7l8Q03W9hLBkKiHGidC5w-t/view?usp=drivesdk</v>
      </c>
      <c r="Q768" s="65" t="s">
        <v>4274</v>
      </c>
      <c r="R768" s="65" t="s">
        <v>4265</v>
      </c>
      <c r="S768" s="66"/>
      <c r="T768" s="65"/>
      <c r="U768" s="65" t="s">
        <v>4266</v>
      </c>
      <c r="V768" s="658" t="s">
        <v>202</v>
      </c>
      <c r="W768" s="45" t="str">
        <f t="array" ref="W768">HYPERLINK(INDEX('File Links'!B:B, MATCH(U768, 'File Links'!C:C, 0)))
</f>
        <v>#N/A</v>
      </c>
      <c r="X768" s="65" t="s">
        <v>138</v>
      </c>
      <c r="Y768" s="65" t="s">
        <v>220</v>
      </c>
      <c r="Z768" s="65" t="s">
        <v>4281</v>
      </c>
      <c r="AA768" s="65" t="s">
        <v>4268</v>
      </c>
      <c r="AB768" s="65" t="s">
        <v>4276</v>
      </c>
      <c r="AC768" s="66"/>
      <c r="AD768" s="66"/>
      <c r="AE768" s="65">
        <v>33.0</v>
      </c>
      <c r="AF768" s="65" t="s">
        <v>4282</v>
      </c>
      <c r="AG768" s="65" t="s">
        <v>4277</v>
      </c>
      <c r="AH768" s="65" t="s">
        <v>4283</v>
      </c>
      <c r="AI768" s="65">
        <v>0.63</v>
      </c>
      <c r="AJ768" s="85" t="s">
        <v>329</v>
      </c>
      <c r="AK768" s="66"/>
      <c r="AL768" s="66"/>
      <c r="AM768" s="66"/>
      <c r="AN768" s="66"/>
      <c r="AO768" s="65">
        <v>-0.1</v>
      </c>
      <c r="AP768" s="66"/>
      <c r="AQ768" s="66"/>
      <c r="AR768" s="65" t="s">
        <v>141</v>
      </c>
      <c r="AS768" s="84"/>
      <c r="AT768" s="84"/>
      <c r="AU768" s="86"/>
      <c r="AV768" s="84"/>
      <c r="AW768" s="84"/>
      <c r="AX768" s="84"/>
      <c r="AY768" s="654" t="s">
        <v>135</v>
      </c>
      <c r="AZ768" s="84"/>
    </row>
    <row r="769">
      <c r="A769" s="1174" t="s">
        <v>143</v>
      </c>
      <c r="B769" s="1174" t="s">
        <v>107</v>
      </c>
      <c r="C769" s="654" t="s">
        <v>108</v>
      </c>
      <c r="D769" s="632"/>
      <c r="E769" s="85" t="s">
        <v>4257</v>
      </c>
      <c r="F769" s="656" t="s">
        <v>4284</v>
      </c>
      <c r="G769" s="656" t="s">
        <v>4259</v>
      </c>
      <c r="H769" s="1175">
        <v>45641.0</v>
      </c>
      <c r="I769" s="159">
        <v>45684.0</v>
      </c>
      <c r="J769" s="660"/>
      <c r="K769" s="658" t="s">
        <v>4260</v>
      </c>
      <c r="L769" s="656" t="s">
        <v>4261</v>
      </c>
      <c r="M769" s="656" t="s">
        <v>4262</v>
      </c>
      <c r="N769" s="1176">
        <v>3.0</v>
      </c>
      <c r="O769" s="659" t="s">
        <v>4263</v>
      </c>
      <c r="P769" s="48" t="str">
        <f t="array" ref="P769">HYPERLINK(INDEX('File Links'!B:B, MATCH(O769, 'File Links'!C:C, 0)))
</f>
        <v>https://drive.google.com/file/d/1_IO4PdoMe7l8Q03W9hLBkKiHGidC5w-t/view?usp=drivesdk</v>
      </c>
      <c r="Q769" s="1182" t="s">
        <v>4285</v>
      </c>
      <c r="R769" s="656" t="s">
        <v>4265</v>
      </c>
      <c r="S769" s="660"/>
      <c r="T769" s="1177">
        <v>3.0</v>
      </c>
      <c r="U769" s="656" t="s">
        <v>4266</v>
      </c>
      <c r="V769" s="658" t="s">
        <v>202</v>
      </c>
      <c r="W769" s="45" t="str">
        <f t="array" ref="W769">HYPERLINK(INDEX('File Links'!B:B, MATCH(U769, 'File Links'!C:C, 0)))
</f>
        <v>#N/A</v>
      </c>
      <c r="X769" s="660"/>
      <c r="Y769" s="660" t="s">
        <v>220</v>
      </c>
      <c r="Z769" s="65" t="s">
        <v>4267</v>
      </c>
      <c r="AA769" s="660" t="s">
        <v>4268</v>
      </c>
      <c r="AB769" s="660" t="s">
        <v>4286</v>
      </c>
      <c r="AC769" s="660" t="s">
        <v>4287</v>
      </c>
      <c r="AD769" s="660" t="s">
        <v>125</v>
      </c>
      <c r="AE769" s="1176">
        <v>33.0</v>
      </c>
      <c r="AF769" s="1176">
        <v>0.85</v>
      </c>
      <c r="AG769" s="703" t="s">
        <v>166</v>
      </c>
      <c r="AH769" s="660" t="s">
        <v>125</v>
      </c>
      <c r="AI769" s="1176">
        <v>0.05</v>
      </c>
      <c r="AJ769" s="965" t="s">
        <v>127</v>
      </c>
      <c r="AK769" s="660" t="s">
        <v>128</v>
      </c>
      <c r="AL769" s="660" t="s">
        <v>129</v>
      </c>
      <c r="AM769" s="321" t="s">
        <v>165</v>
      </c>
      <c r="AN769" s="1176">
        <v>28.0</v>
      </c>
      <c r="AO769" s="1176">
        <v>-0.23</v>
      </c>
      <c r="AP769" s="660" t="s">
        <v>166</v>
      </c>
      <c r="AQ769" s="1178" t="s">
        <v>4271</v>
      </c>
      <c r="AR769" s="658" t="s">
        <v>165</v>
      </c>
      <c r="AS769" s="658" t="s">
        <v>165</v>
      </c>
      <c r="AT769" s="658" t="s">
        <v>165</v>
      </c>
      <c r="AU769" s="1023" t="s">
        <v>129</v>
      </c>
      <c r="AV769" s="1179" t="s">
        <v>4272</v>
      </c>
      <c r="AW769" s="1180" t="s">
        <v>134</v>
      </c>
      <c r="AX769" s="632"/>
      <c r="AY769" s="654" t="s">
        <v>135</v>
      </c>
      <c r="AZ769" s="84"/>
    </row>
    <row r="770">
      <c r="A770" s="1174" t="s">
        <v>143</v>
      </c>
      <c r="B770" s="1174" t="s">
        <v>107</v>
      </c>
      <c r="C770" s="654" t="s">
        <v>108</v>
      </c>
      <c r="D770" s="632"/>
      <c r="E770" s="85" t="s">
        <v>4257</v>
      </c>
      <c r="F770" s="656" t="s">
        <v>4288</v>
      </c>
      <c r="G770" s="656" t="s">
        <v>4259</v>
      </c>
      <c r="H770" s="1175">
        <v>45641.0</v>
      </c>
      <c r="I770" s="159">
        <v>45684.0</v>
      </c>
      <c r="J770" s="660"/>
      <c r="K770" s="658" t="s">
        <v>4260</v>
      </c>
      <c r="L770" s="656" t="s">
        <v>4261</v>
      </c>
      <c r="M770" s="656" t="s">
        <v>4262</v>
      </c>
      <c r="N770" s="1176">
        <v>3.0</v>
      </c>
      <c r="O770" s="659" t="s">
        <v>4263</v>
      </c>
      <c r="P770" s="48" t="str">
        <f t="array" ref="P770">HYPERLINK(INDEX('File Links'!B:B, MATCH(O770, 'File Links'!C:C, 0)))
</f>
        <v>https://drive.google.com/file/d/1_IO4PdoMe7l8Q03W9hLBkKiHGidC5w-t/view?usp=drivesdk</v>
      </c>
      <c r="Q770" s="1182" t="s">
        <v>4285</v>
      </c>
      <c r="R770" s="656" t="s">
        <v>4265</v>
      </c>
      <c r="S770" s="660"/>
      <c r="T770" s="1177">
        <v>3.0</v>
      </c>
      <c r="U770" s="656" t="s">
        <v>4266</v>
      </c>
      <c r="V770" s="658" t="s">
        <v>202</v>
      </c>
      <c r="W770" s="45" t="str">
        <f t="array" ref="W770">HYPERLINK(INDEX('File Links'!B:B, MATCH(U770, 'File Links'!C:C, 0)))
</f>
        <v>#N/A</v>
      </c>
      <c r="X770" s="660"/>
      <c r="Y770" s="660" t="s">
        <v>220</v>
      </c>
      <c r="Z770" s="65" t="s">
        <v>4267</v>
      </c>
      <c r="AA770" s="660" t="s">
        <v>4268</v>
      </c>
      <c r="AB770" s="660" t="s">
        <v>4289</v>
      </c>
      <c r="AC770" s="660" t="s">
        <v>4290</v>
      </c>
      <c r="AD770" s="660" t="s">
        <v>125</v>
      </c>
      <c r="AE770" s="1176">
        <v>33.0</v>
      </c>
      <c r="AF770" s="1183" t="s">
        <v>165</v>
      </c>
      <c r="AG770" s="658" t="s">
        <v>165</v>
      </c>
      <c r="AH770" s="660" t="s">
        <v>125</v>
      </c>
      <c r="AI770" s="1176">
        <v>0.63</v>
      </c>
      <c r="AJ770" s="965" t="s">
        <v>329</v>
      </c>
      <c r="AK770" s="660" t="s">
        <v>128</v>
      </c>
      <c r="AL770" s="660" t="s">
        <v>129</v>
      </c>
      <c r="AM770" s="321" t="s">
        <v>165</v>
      </c>
      <c r="AN770" s="1176">
        <v>28.0</v>
      </c>
      <c r="AO770" s="1176">
        <v>-0.1</v>
      </c>
      <c r="AP770" s="660" t="s">
        <v>166</v>
      </c>
      <c r="AQ770" s="1178" t="s">
        <v>4271</v>
      </c>
      <c r="AR770" s="658" t="s">
        <v>165</v>
      </c>
      <c r="AS770" s="658" t="s">
        <v>165</v>
      </c>
      <c r="AT770" s="658" t="s">
        <v>165</v>
      </c>
      <c r="AU770" s="1023" t="s">
        <v>129</v>
      </c>
      <c r="AV770" s="1179" t="s">
        <v>4272</v>
      </c>
      <c r="AW770" s="1180" t="s">
        <v>134</v>
      </c>
      <c r="AX770" s="632"/>
      <c r="AY770" s="654" t="s">
        <v>135</v>
      </c>
      <c r="AZ770" s="84"/>
    </row>
    <row r="771">
      <c r="A771" s="40" t="s">
        <v>279</v>
      </c>
      <c r="B771" s="40" t="s">
        <v>107</v>
      </c>
      <c r="C771" s="41" t="s">
        <v>108</v>
      </c>
      <c r="E771" s="42" t="s">
        <v>4291</v>
      </c>
      <c r="F771" s="43" t="s">
        <v>4292</v>
      </c>
      <c r="G771" s="43" t="s">
        <v>4293</v>
      </c>
      <c r="H771" s="43" t="s">
        <v>112</v>
      </c>
      <c r="I771" s="44">
        <v>45641.0</v>
      </c>
      <c r="J771" s="45"/>
      <c r="K771" s="45"/>
      <c r="L771" s="534" t="s">
        <v>4294</v>
      </c>
      <c r="M771" s="43" t="s">
        <v>4295</v>
      </c>
      <c r="N771" s="640">
        <v>3.0</v>
      </c>
      <c r="O771" s="47" t="s">
        <v>4296</v>
      </c>
      <c r="P771" s="48" t="str">
        <f t="array" ref="P771">HYPERLINK(INDEX('File Links'!B:B, MATCH(O771, 'File Links'!C:C, 0)))
</f>
        <v>https://drive.google.com/file/d/1xUlRe3MC-gZV8Zhd6NQNLSAYxUKd-bXT/view?usp=drivesdk</v>
      </c>
      <c r="Q771" s="43" t="s">
        <v>4297</v>
      </c>
      <c r="R771" s="43" t="s">
        <v>4298</v>
      </c>
      <c r="S771" s="45"/>
      <c r="T771" s="49">
        <v>3.0</v>
      </c>
      <c r="U771" s="43" t="s">
        <v>4299</v>
      </c>
      <c r="V771" s="45" t="s">
        <v>120</v>
      </c>
      <c r="W771" s="50" t="str">
        <f t="array" ref="W771">HYPERLINK(INDEX('File Links'!B:B, MATCH(U771, 'File Links'!C:C, 0)))
</f>
        <v>https://drive.google.com/file/d/1VipPphabn-Kfe9AzHC0j5FX1Fqp3bd0q/view?usp=drivesdk</v>
      </c>
      <c r="X771" s="45"/>
      <c r="Y771" s="45" t="s">
        <v>220</v>
      </c>
      <c r="Z771" s="45" t="s">
        <v>4300</v>
      </c>
      <c r="AA771" s="45" t="s">
        <v>4301</v>
      </c>
      <c r="AB771" s="45" t="s">
        <v>4302</v>
      </c>
      <c r="AC771" s="45" t="s">
        <v>4303</v>
      </c>
      <c r="AD771" s="45" t="s">
        <v>625</v>
      </c>
      <c r="AE771" s="46">
        <v>298.0</v>
      </c>
      <c r="AF771" s="46">
        <v>0.04</v>
      </c>
      <c r="AG771" s="47" t="s">
        <v>130</v>
      </c>
      <c r="AH771" s="45" t="s">
        <v>625</v>
      </c>
      <c r="AI771" s="46">
        <v>0.004</v>
      </c>
      <c r="AJ771" s="42" t="s">
        <v>164</v>
      </c>
      <c r="AK771" s="45" t="s">
        <v>128</v>
      </c>
      <c r="AL771" s="45" t="s">
        <v>129</v>
      </c>
      <c r="AM771" s="45"/>
      <c r="AN771" s="46">
        <v>743.0</v>
      </c>
      <c r="AO771" s="46">
        <v>0.04</v>
      </c>
      <c r="AP771" s="45" t="s">
        <v>130</v>
      </c>
      <c r="AQ771" s="45" t="s">
        <v>210</v>
      </c>
      <c r="AR771" s="46">
        <v>0.001</v>
      </c>
      <c r="AS771" s="42" t="s">
        <v>127</v>
      </c>
      <c r="AT771" s="42" t="s">
        <v>128</v>
      </c>
      <c r="AU771" s="42" t="s">
        <v>129</v>
      </c>
      <c r="AV771" s="53" t="s">
        <v>4304</v>
      </c>
      <c r="AW771" s="54" t="s">
        <v>134</v>
      </c>
      <c r="AZ771" s="84"/>
    </row>
    <row r="772">
      <c r="A772" s="475" t="s">
        <v>279</v>
      </c>
      <c r="B772" s="475" t="s">
        <v>107</v>
      </c>
      <c r="C772" s="475" t="s">
        <v>136</v>
      </c>
      <c r="D772" s="476"/>
      <c r="E772" s="475" t="s">
        <v>4291</v>
      </c>
      <c r="F772" s="40" t="s">
        <v>4292</v>
      </c>
      <c r="G772" s="40" t="s">
        <v>4305</v>
      </c>
      <c r="H772" s="56">
        <v>45078.0</v>
      </c>
      <c r="I772" s="57">
        <v>45644.0</v>
      </c>
      <c r="J772" s="58"/>
      <c r="K772" s="58"/>
      <c r="L772" s="534" t="s">
        <v>4294</v>
      </c>
      <c r="M772" s="40" t="s">
        <v>4295</v>
      </c>
      <c r="N772" s="40">
        <v>3.0</v>
      </c>
      <c r="O772" s="59" t="s">
        <v>4296</v>
      </c>
      <c r="P772" s="48" t="str">
        <f t="array" ref="P772">HYPERLINK(INDEX('File Links'!B:B, MATCH(O772, 'File Links'!C:C, 0)))
</f>
        <v>https://drive.google.com/file/d/1xUlRe3MC-gZV8Zhd6NQNLSAYxUKd-bXT/view?usp=drivesdk</v>
      </c>
      <c r="Q772" s="40" t="s">
        <v>4297</v>
      </c>
      <c r="R772" s="40" t="s">
        <v>4298</v>
      </c>
      <c r="S772" s="58"/>
      <c r="T772" s="59"/>
      <c r="U772" s="40" t="s">
        <v>4299</v>
      </c>
      <c r="V772" s="40" t="s">
        <v>202</v>
      </c>
      <c r="W772" s="50" t="str">
        <f t="array" ref="W772">HYPERLINK(INDEX('File Links'!B:B, MATCH(U772, 'File Links'!C:C, 0)))
</f>
        <v>https://drive.google.com/file/d/1VipPphabn-Kfe9AzHC0j5FX1Fqp3bd0q/view?usp=drivesdk</v>
      </c>
      <c r="X772" s="58"/>
      <c r="Y772" s="40" t="s">
        <v>220</v>
      </c>
      <c r="Z772" s="58"/>
      <c r="AA772" s="40" t="s">
        <v>4301</v>
      </c>
      <c r="AB772" s="40" t="s">
        <v>4306</v>
      </c>
      <c r="AC772" s="58"/>
      <c r="AD772" s="58"/>
      <c r="AE772" s="58"/>
      <c r="AF772" s="58"/>
      <c r="AG772" s="40"/>
      <c r="AH772" s="58"/>
      <c r="AI772" s="58"/>
      <c r="AJ772" s="25"/>
      <c r="AK772" s="58"/>
      <c r="AL772" s="58"/>
      <c r="AM772" s="58"/>
      <c r="AN772" s="58"/>
      <c r="AO772" s="58"/>
      <c r="AP772" s="58"/>
      <c r="AQ772" s="58"/>
      <c r="AR772" s="58"/>
      <c r="AS772" s="25"/>
      <c r="AT772" s="25"/>
      <c r="AU772" s="60"/>
      <c r="AW772" s="25"/>
      <c r="AZ772" s="84"/>
    </row>
    <row r="773">
      <c r="A773" s="40" t="s">
        <v>279</v>
      </c>
      <c r="B773" s="40" t="s">
        <v>107</v>
      </c>
      <c r="C773" s="41" t="s">
        <v>108</v>
      </c>
      <c r="E773" s="475" t="s">
        <v>4291</v>
      </c>
      <c r="F773" s="43" t="s">
        <v>4307</v>
      </c>
      <c r="G773" s="43" t="s">
        <v>4293</v>
      </c>
      <c r="H773" s="43" t="s">
        <v>112</v>
      </c>
      <c r="I773" s="44">
        <v>45641.0</v>
      </c>
      <c r="J773" s="45"/>
      <c r="K773" s="45"/>
      <c r="L773" s="534" t="s">
        <v>4294</v>
      </c>
      <c r="M773" s="43" t="s">
        <v>4295</v>
      </c>
      <c r="N773" s="640">
        <v>3.0</v>
      </c>
      <c r="O773" s="47" t="s">
        <v>4296</v>
      </c>
      <c r="P773" s="48" t="str">
        <f t="array" ref="P773">HYPERLINK(INDEX('File Links'!B:B, MATCH(O773, 'File Links'!C:C, 0)))
</f>
        <v>https://drive.google.com/file/d/1xUlRe3MC-gZV8Zhd6NQNLSAYxUKd-bXT/view?usp=drivesdk</v>
      </c>
      <c r="Q773" s="43" t="s">
        <v>4297</v>
      </c>
      <c r="R773" s="43" t="s">
        <v>4298</v>
      </c>
      <c r="S773" s="45"/>
      <c r="T773" s="49">
        <v>3.0</v>
      </c>
      <c r="U773" s="43" t="s">
        <v>4299</v>
      </c>
      <c r="V773" s="45" t="s">
        <v>120</v>
      </c>
      <c r="W773" s="50" t="str">
        <f t="array" ref="W773">HYPERLINK(INDEX('File Links'!B:B, MATCH(U773, 'File Links'!C:C, 0)))
</f>
        <v>https://drive.google.com/file/d/1VipPphabn-Kfe9AzHC0j5FX1Fqp3bd0q/view?usp=drivesdk</v>
      </c>
      <c r="X773" s="45"/>
      <c r="Y773" s="45" t="s">
        <v>220</v>
      </c>
      <c r="Z773" s="45" t="s">
        <v>4300</v>
      </c>
      <c r="AA773" s="45" t="s">
        <v>4301</v>
      </c>
      <c r="AB773" s="45" t="s">
        <v>4308</v>
      </c>
      <c r="AC773" s="45" t="s">
        <v>4309</v>
      </c>
      <c r="AD773" s="45" t="s">
        <v>625</v>
      </c>
      <c r="AE773" s="46">
        <v>298.0</v>
      </c>
      <c r="AF773" s="46">
        <v>0.12</v>
      </c>
      <c r="AG773" s="47" t="s">
        <v>130</v>
      </c>
      <c r="AH773" s="45" t="s">
        <v>625</v>
      </c>
      <c r="AI773" s="46">
        <v>0.001</v>
      </c>
      <c r="AJ773" s="42" t="s">
        <v>127</v>
      </c>
      <c r="AK773" s="45" t="s">
        <v>128</v>
      </c>
      <c r="AL773" s="45" t="s">
        <v>129</v>
      </c>
      <c r="AM773" s="45"/>
      <c r="AN773" s="46">
        <v>743.0</v>
      </c>
      <c r="AO773" s="46">
        <v>0.07</v>
      </c>
      <c r="AP773" s="45" t="s">
        <v>130</v>
      </c>
      <c r="AQ773" s="45" t="s">
        <v>210</v>
      </c>
      <c r="AR773" s="46">
        <v>0.001</v>
      </c>
      <c r="AS773" s="42" t="s">
        <v>127</v>
      </c>
      <c r="AT773" s="42" t="s">
        <v>128</v>
      </c>
      <c r="AU773" s="42" t="s">
        <v>129</v>
      </c>
      <c r="AV773" s="53" t="s">
        <v>4304</v>
      </c>
      <c r="AW773" s="54" t="s">
        <v>134</v>
      </c>
      <c r="AZ773" s="84"/>
    </row>
    <row r="774">
      <c r="A774" s="40" t="s">
        <v>279</v>
      </c>
      <c r="B774" s="40" t="s">
        <v>107</v>
      </c>
      <c r="C774" s="41" t="s">
        <v>108</v>
      </c>
      <c r="E774" s="475" t="s">
        <v>4291</v>
      </c>
      <c r="F774" s="43" t="s">
        <v>4310</v>
      </c>
      <c r="G774" s="43" t="s">
        <v>4293</v>
      </c>
      <c r="H774" s="43" t="s">
        <v>112</v>
      </c>
      <c r="I774" s="44">
        <v>45641.0</v>
      </c>
      <c r="J774" s="45"/>
      <c r="K774" s="45"/>
      <c r="L774" s="534" t="s">
        <v>4294</v>
      </c>
      <c r="M774" s="43" t="s">
        <v>4295</v>
      </c>
      <c r="N774" s="640">
        <v>3.0</v>
      </c>
      <c r="O774" s="47" t="s">
        <v>4296</v>
      </c>
      <c r="P774" s="48" t="str">
        <f t="array" ref="P774">HYPERLINK(INDEX('File Links'!B:B, MATCH(O774, 'File Links'!C:C, 0)))
</f>
        <v>https://drive.google.com/file/d/1xUlRe3MC-gZV8Zhd6NQNLSAYxUKd-bXT/view?usp=drivesdk</v>
      </c>
      <c r="Q774" s="43" t="s">
        <v>4297</v>
      </c>
      <c r="R774" s="43" t="s">
        <v>4298</v>
      </c>
      <c r="S774" s="45"/>
      <c r="T774" s="49">
        <v>3.0</v>
      </c>
      <c r="U774" s="43" t="s">
        <v>4299</v>
      </c>
      <c r="V774" s="45" t="s">
        <v>120</v>
      </c>
      <c r="W774" s="50" t="str">
        <f t="array" ref="W774">HYPERLINK(INDEX('File Links'!B:B, MATCH(U774, 'File Links'!C:C, 0)))
</f>
        <v>https://drive.google.com/file/d/1VipPphabn-Kfe9AzHC0j5FX1Fqp3bd0q/view?usp=drivesdk</v>
      </c>
      <c r="X774" s="45"/>
      <c r="Y774" s="45" t="s">
        <v>220</v>
      </c>
      <c r="Z774" s="45" t="s">
        <v>4300</v>
      </c>
      <c r="AA774" s="45" t="s">
        <v>4301</v>
      </c>
      <c r="AB774" s="45" t="s">
        <v>4311</v>
      </c>
      <c r="AC774" s="45" t="s">
        <v>4312</v>
      </c>
      <c r="AD774" s="45" t="s">
        <v>625</v>
      </c>
      <c r="AE774" s="46">
        <v>298.0</v>
      </c>
      <c r="AF774" s="46">
        <v>0.01</v>
      </c>
      <c r="AG774" s="47" t="s">
        <v>130</v>
      </c>
      <c r="AH774" s="45" t="s">
        <v>625</v>
      </c>
      <c r="AI774" s="46">
        <v>0.349</v>
      </c>
      <c r="AJ774" s="42" t="s">
        <v>164</v>
      </c>
      <c r="AK774" s="45" t="s">
        <v>128</v>
      </c>
      <c r="AL774" s="45" t="s">
        <v>129</v>
      </c>
      <c r="AM774" s="45"/>
      <c r="AN774" s="46">
        <v>743.0</v>
      </c>
      <c r="AO774" s="46">
        <v>0.01</v>
      </c>
      <c r="AP774" s="45" t="s">
        <v>130</v>
      </c>
      <c r="AQ774" s="45" t="s">
        <v>210</v>
      </c>
      <c r="AR774" s="46">
        <v>0.349</v>
      </c>
      <c r="AS774" s="42" t="s">
        <v>164</v>
      </c>
      <c r="AT774" s="42" t="s">
        <v>128</v>
      </c>
      <c r="AU774" s="42" t="s">
        <v>129</v>
      </c>
      <c r="AV774" s="53" t="s">
        <v>4304</v>
      </c>
      <c r="AW774" s="54" t="s">
        <v>134</v>
      </c>
      <c r="AZ774" s="84"/>
    </row>
    <row r="775">
      <c r="A775" s="40" t="s">
        <v>279</v>
      </c>
      <c r="B775" s="40" t="s">
        <v>107</v>
      </c>
      <c r="C775" s="41" t="s">
        <v>108</v>
      </c>
      <c r="E775" s="475" t="s">
        <v>4291</v>
      </c>
      <c r="F775" s="43" t="s">
        <v>4313</v>
      </c>
      <c r="G775" s="43" t="s">
        <v>4293</v>
      </c>
      <c r="H775" s="43" t="s">
        <v>112</v>
      </c>
      <c r="I775" s="44">
        <v>45641.0</v>
      </c>
      <c r="J775" s="45"/>
      <c r="K775" s="45"/>
      <c r="L775" s="534" t="s">
        <v>4294</v>
      </c>
      <c r="M775" s="43" t="s">
        <v>4295</v>
      </c>
      <c r="N775" s="640">
        <v>3.0</v>
      </c>
      <c r="O775" s="47" t="s">
        <v>4296</v>
      </c>
      <c r="P775" s="48" t="str">
        <f t="array" ref="P775">HYPERLINK(INDEX('File Links'!B:B, MATCH(O775, 'File Links'!C:C, 0)))
</f>
        <v>https://drive.google.com/file/d/1xUlRe3MC-gZV8Zhd6NQNLSAYxUKd-bXT/view?usp=drivesdk</v>
      </c>
      <c r="Q775" s="43" t="s">
        <v>4297</v>
      </c>
      <c r="R775" s="43" t="s">
        <v>4298</v>
      </c>
      <c r="S775" s="45"/>
      <c r="T775" s="49">
        <v>3.0</v>
      </c>
      <c r="U775" s="43" t="s">
        <v>4299</v>
      </c>
      <c r="V775" s="45" t="s">
        <v>120</v>
      </c>
      <c r="W775" s="50" t="str">
        <f t="array" ref="W775">HYPERLINK(INDEX('File Links'!B:B, MATCH(U775, 'File Links'!C:C, 0)))
</f>
        <v>https://drive.google.com/file/d/1VipPphabn-Kfe9AzHC0j5FX1Fqp3bd0q/view?usp=drivesdk</v>
      </c>
      <c r="X775" s="45"/>
      <c r="Y775" s="45" t="s">
        <v>220</v>
      </c>
      <c r="Z775" s="45" t="s">
        <v>4300</v>
      </c>
      <c r="AA775" s="45" t="s">
        <v>4301</v>
      </c>
      <c r="AB775" s="45" t="s">
        <v>4314</v>
      </c>
      <c r="AC775" s="45" t="s">
        <v>4315</v>
      </c>
      <c r="AD775" s="45" t="s">
        <v>625</v>
      </c>
      <c r="AE775" s="46">
        <v>298.0</v>
      </c>
      <c r="AF775" s="46">
        <v>0.07</v>
      </c>
      <c r="AG775" s="47" t="s">
        <v>130</v>
      </c>
      <c r="AH775" s="45" t="s">
        <v>625</v>
      </c>
      <c r="AI775" s="46">
        <v>0.001</v>
      </c>
      <c r="AJ775" s="42" t="s">
        <v>127</v>
      </c>
      <c r="AK775" s="45" t="s">
        <v>128</v>
      </c>
      <c r="AL775" s="45" t="s">
        <v>129</v>
      </c>
      <c r="AM775" s="45"/>
      <c r="AN775" s="46">
        <v>743.0</v>
      </c>
      <c r="AO775" s="46">
        <v>0.02</v>
      </c>
      <c r="AP775" s="45" t="s">
        <v>130</v>
      </c>
      <c r="AQ775" s="45" t="s">
        <v>861</v>
      </c>
      <c r="AR775" s="46">
        <v>0.01</v>
      </c>
      <c r="AS775" s="42" t="s">
        <v>127</v>
      </c>
      <c r="AT775" s="42" t="s">
        <v>128</v>
      </c>
      <c r="AU775" s="42" t="s">
        <v>129</v>
      </c>
      <c r="AV775" s="53" t="s">
        <v>4304</v>
      </c>
      <c r="AW775" s="54" t="s">
        <v>134</v>
      </c>
      <c r="AZ775" s="84"/>
      <c r="BA775" s="64"/>
      <c r="BB775" s="64"/>
      <c r="BC775" s="64"/>
      <c r="BD775" s="64"/>
      <c r="BE775" s="64"/>
      <c r="BF775" s="64"/>
      <c r="BG775" s="64"/>
      <c r="BH775" s="64"/>
      <c r="BI775" s="64"/>
      <c r="BJ775" s="64"/>
      <c r="BK775" s="64"/>
      <c r="BL775" s="64"/>
      <c r="BM775" s="64"/>
      <c r="BN775" s="64"/>
      <c r="BO775" s="64"/>
      <c r="BP775" s="64"/>
      <c r="BQ775" s="64"/>
      <c r="BR775" s="64"/>
      <c r="BS775" s="64"/>
      <c r="BT775" s="64"/>
      <c r="BU775" s="64"/>
      <c r="BV775" s="64"/>
      <c r="BW775" s="64"/>
      <c r="BX775" s="64"/>
      <c r="BY775" s="64"/>
      <c r="BZ775" s="64"/>
      <c r="CA775" s="64"/>
      <c r="CB775" s="64"/>
      <c r="CC775" s="64"/>
      <c r="CD775" s="64"/>
      <c r="CE775" s="64"/>
      <c r="CF775" s="64"/>
      <c r="CG775" s="64"/>
      <c r="CH775" s="64"/>
      <c r="CI775" s="64"/>
      <c r="CJ775" s="64"/>
      <c r="CK775" s="64"/>
      <c r="CL775" s="64"/>
      <c r="CM775" s="64"/>
      <c r="CN775" s="64"/>
      <c r="CO775" s="64"/>
      <c r="CP775" s="64"/>
      <c r="CQ775" s="64"/>
      <c r="CR775" s="64"/>
      <c r="CS775" s="64"/>
      <c r="CT775" s="64"/>
      <c r="CU775" s="64"/>
      <c r="CV775" s="64"/>
      <c r="CW775" s="64"/>
      <c r="CX775" s="64"/>
      <c r="CY775" s="64"/>
      <c r="CZ775" s="64"/>
      <c r="DA775" s="64"/>
      <c r="DB775" s="64"/>
      <c r="DC775" s="64"/>
      <c r="DD775" s="64"/>
      <c r="DE775" s="64"/>
      <c r="DF775" s="64"/>
      <c r="DG775" s="64"/>
    </row>
    <row r="776">
      <c r="A776" s="40" t="s">
        <v>279</v>
      </c>
      <c r="B776" s="40" t="s">
        <v>107</v>
      </c>
      <c r="C776" s="41" t="s">
        <v>108</v>
      </c>
      <c r="E776" s="475" t="s">
        <v>4291</v>
      </c>
      <c r="F776" s="43" t="s">
        <v>4316</v>
      </c>
      <c r="G776" s="43" t="s">
        <v>4293</v>
      </c>
      <c r="H776" s="43" t="s">
        <v>112</v>
      </c>
      <c r="I776" s="44">
        <v>45641.0</v>
      </c>
      <c r="J776" s="45"/>
      <c r="K776" s="45"/>
      <c r="L776" s="534" t="s">
        <v>4294</v>
      </c>
      <c r="M776" s="43" t="s">
        <v>4295</v>
      </c>
      <c r="N776" s="640">
        <v>3.0</v>
      </c>
      <c r="O776" s="47" t="s">
        <v>4296</v>
      </c>
      <c r="P776" s="48" t="str">
        <f t="array" ref="P776">HYPERLINK(INDEX('File Links'!B:B, MATCH(O776, 'File Links'!C:C, 0)))
</f>
        <v>https://drive.google.com/file/d/1xUlRe3MC-gZV8Zhd6NQNLSAYxUKd-bXT/view?usp=drivesdk</v>
      </c>
      <c r="Q776" s="43" t="s">
        <v>4297</v>
      </c>
      <c r="R776" s="43" t="s">
        <v>4298</v>
      </c>
      <c r="S776" s="45"/>
      <c r="T776" s="49">
        <v>3.0</v>
      </c>
      <c r="U776" s="43" t="s">
        <v>4299</v>
      </c>
      <c r="V776" s="45" t="s">
        <v>120</v>
      </c>
      <c r="W776" s="50" t="str">
        <f t="array" ref="W776">HYPERLINK(INDEX('File Links'!B:B, MATCH(U776, 'File Links'!C:C, 0)))
</f>
        <v>https://drive.google.com/file/d/1VipPphabn-Kfe9AzHC0j5FX1Fqp3bd0q/view?usp=drivesdk</v>
      </c>
      <c r="X776" s="45"/>
      <c r="Y776" s="45" t="s">
        <v>220</v>
      </c>
      <c r="Z776" s="45" t="s">
        <v>4300</v>
      </c>
      <c r="AA776" s="45" t="s">
        <v>4301</v>
      </c>
      <c r="AB776" s="45" t="s">
        <v>4317</v>
      </c>
      <c r="AC776" s="45" t="s">
        <v>4318</v>
      </c>
      <c r="AD776" s="45" t="s">
        <v>625</v>
      </c>
      <c r="AE776" s="46">
        <v>298.0</v>
      </c>
      <c r="AF776" s="46">
        <v>0.1</v>
      </c>
      <c r="AG776" s="47" t="s">
        <v>130</v>
      </c>
      <c r="AH776" s="45" t="s">
        <v>625</v>
      </c>
      <c r="AI776" s="46">
        <v>0.001</v>
      </c>
      <c r="AJ776" s="42" t="s">
        <v>127</v>
      </c>
      <c r="AK776" s="45" t="s">
        <v>128</v>
      </c>
      <c r="AL776" s="45" t="s">
        <v>129</v>
      </c>
      <c r="AM776" s="45"/>
      <c r="AN776" s="46">
        <v>743.0</v>
      </c>
      <c r="AO776" s="46">
        <v>0.1</v>
      </c>
      <c r="AP776" s="45" t="s">
        <v>130</v>
      </c>
      <c r="AQ776" s="45" t="s">
        <v>861</v>
      </c>
      <c r="AR776" s="46">
        <v>0.001</v>
      </c>
      <c r="AS776" s="42" t="s">
        <v>127</v>
      </c>
      <c r="AT776" s="42" t="s">
        <v>128</v>
      </c>
      <c r="AU776" s="42" t="s">
        <v>129</v>
      </c>
      <c r="AV776" s="53" t="s">
        <v>4304</v>
      </c>
      <c r="AW776" s="54" t="s">
        <v>134</v>
      </c>
      <c r="AZ776" s="84"/>
      <c r="BA776" s="64"/>
      <c r="BB776" s="64"/>
      <c r="BC776" s="64"/>
      <c r="BD776" s="64"/>
      <c r="BE776" s="64"/>
      <c r="BF776" s="64"/>
      <c r="BG776" s="64"/>
      <c r="BH776" s="64"/>
      <c r="BI776" s="64"/>
      <c r="BJ776" s="64"/>
      <c r="BK776" s="64"/>
      <c r="BL776" s="64"/>
      <c r="BM776" s="64"/>
      <c r="BN776" s="64"/>
      <c r="BO776" s="64"/>
      <c r="BP776" s="64"/>
      <c r="BQ776" s="64"/>
      <c r="BR776" s="64"/>
      <c r="BS776" s="64"/>
      <c r="BT776" s="64"/>
      <c r="BU776" s="64"/>
      <c r="BV776" s="64"/>
      <c r="BW776" s="64"/>
      <c r="BX776" s="64"/>
      <c r="BY776" s="64"/>
      <c r="BZ776" s="64"/>
      <c r="CA776" s="64"/>
      <c r="CB776" s="64"/>
      <c r="CC776" s="64"/>
      <c r="CD776" s="64"/>
      <c r="CE776" s="64"/>
      <c r="CF776" s="64"/>
      <c r="CG776" s="64"/>
      <c r="CH776" s="64"/>
      <c r="CI776" s="64"/>
      <c r="CJ776" s="64"/>
      <c r="CK776" s="64"/>
      <c r="CL776" s="64"/>
      <c r="CM776" s="64"/>
      <c r="CN776" s="64"/>
      <c r="CO776" s="64"/>
      <c r="CP776" s="64"/>
      <c r="CQ776" s="64"/>
      <c r="CR776" s="64"/>
      <c r="CS776" s="64"/>
      <c r="CT776" s="64"/>
      <c r="CU776" s="64"/>
      <c r="CV776" s="64"/>
      <c r="CW776" s="64"/>
      <c r="CX776" s="64"/>
      <c r="CY776" s="64"/>
      <c r="CZ776" s="64"/>
      <c r="DA776" s="64"/>
      <c r="DB776" s="64"/>
      <c r="DC776" s="64"/>
      <c r="DD776" s="64"/>
      <c r="DE776" s="64"/>
      <c r="DF776" s="64"/>
      <c r="DG776" s="64"/>
    </row>
    <row r="777">
      <c r="A777" s="40" t="s">
        <v>279</v>
      </c>
      <c r="B777" s="40" t="s">
        <v>107</v>
      </c>
      <c r="C777" s="41" t="s">
        <v>108</v>
      </c>
      <c r="E777" s="475" t="s">
        <v>4291</v>
      </c>
      <c r="F777" s="43" t="s">
        <v>4319</v>
      </c>
      <c r="G777" s="43" t="s">
        <v>4293</v>
      </c>
      <c r="H777" s="43" t="s">
        <v>112</v>
      </c>
      <c r="I777" s="44">
        <v>45641.0</v>
      </c>
      <c r="J777" s="45"/>
      <c r="K777" s="45"/>
      <c r="L777" s="534" t="s">
        <v>4294</v>
      </c>
      <c r="M777" s="43" t="s">
        <v>4295</v>
      </c>
      <c r="N777" s="640">
        <v>3.0</v>
      </c>
      <c r="O777" s="47" t="s">
        <v>4296</v>
      </c>
      <c r="P777" s="48" t="str">
        <f t="array" ref="P777">HYPERLINK(INDEX('File Links'!B:B, MATCH(O777, 'File Links'!C:C, 0)))
</f>
        <v>https://drive.google.com/file/d/1xUlRe3MC-gZV8Zhd6NQNLSAYxUKd-bXT/view?usp=drivesdk</v>
      </c>
      <c r="Q777" s="43" t="s">
        <v>4297</v>
      </c>
      <c r="R777" s="43" t="s">
        <v>4298</v>
      </c>
      <c r="S777" s="45"/>
      <c r="T777" s="49">
        <v>3.0</v>
      </c>
      <c r="U777" s="43" t="s">
        <v>4299</v>
      </c>
      <c r="V777" s="45" t="s">
        <v>120</v>
      </c>
      <c r="W777" s="50" t="str">
        <f t="array" ref="W777">HYPERLINK(INDEX('File Links'!B:B, MATCH(U777, 'File Links'!C:C, 0)))
</f>
        <v>https://drive.google.com/file/d/1VipPphabn-Kfe9AzHC0j5FX1Fqp3bd0q/view?usp=drivesdk</v>
      </c>
      <c r="X777" s="45"/>
      <c r="Y777" s="45" t="s">
        <v>220</v>
      </c>
      <c r="Z777" s="45" t="s">
        <v>4300</v>
      </c>
      <c r="AA777" s="45" t="s">
        <v>4301</v>
      </c>
      <c r="AB777" s="45" t="s">
        <v>4320</v>
      </c>
      <c r="AC777" s="45" t="s">
        <v>4321</v>
      </c>
      <c r="AD777" s="45" t="s">
        <v>625</v>
      </c>
      <c r="AE777" s="46">
        <v>298.0</v>
      </c>
      <c r="AF777" s="46">
        <v>0.01</v>
      </c>
      <c r="AG777" s="47" t="s">
        <v>130</v>
      </c>
      <c r="AH777" s="45" t="s">
        <v>625</v>
      </c>
      <c r="AI777" s="46">
        <v>0.2</v>
      </c>
      <c r="AJ777" s="42" t="s">
        <v>329</v>
      </c>
      <c r="AK777" s="45" t="s">
        <v>128</v>
      </c>
      <c r="AL777" s="45" t="s">
        <v>129</v>
      </c>
      <c r="AM777" s="45"/>
      <c r="AN777" s="46">
        <v>743.0</v>
      </c>
      <c r="AO777" s="46">
        <v>0.01</v>
      </c>
      <c r="AP777" s="45" t="s">
        <v>130</v>
      </c>
      <c r="AQ777" s="45" t="s">
        <v>861</v>
      </c>
      <c r="AR777" s="46">
        <v>0.24</v>
      </c>
      <c r="AS777" s="42" t="s">
        <v>164</v>
      </c>
      <c r="AT777" s="42" t="s">
        <v>128</v>
      </c>
      <c r="AU777" s="42" t="s">
        <v>129</v>
      </c>
      <c r="AV777" s="53" t="s">
        <v>4304</v>
      </c>
      <c r="AW777" s="54" t="s">
        <v>134</v>
      </c>
      <c r="AZ777" s="84"/>
      <c r="BA777" s="333"/>
      <c r="BB777" s="333"/>
      <c r="BC777" s="333"/>
      <c r="BD777" s="333"/>
      <c r="BE777" s="333"/>
      <c r="BF777" s="333"/>
      <c r="BG777" s="333"/>
      <c r="BH777" s="333"/>
      <c r="BI777" s="333"/>
      <c r="BJ777" s="333"/>
      <c r="BK777" s="333"/>
      <c r="BL777" s="333"/>
      <c r="BM777" s="333"/>
      <c r="BN777" s="333"/>
      <c r="BO777" s="333"/>
      <c r="BP777" s="333"/>
      <c r="BQ777" s="333"/>
      <c r="BR777" s="333"/>
      <c r="BS777" s="333"/>
      <c r="BT777" s="333"/>
      <c r="BU777" s="333"/>
      <c r="BV777" s="333"/>
      <c r="BW777" s="333"/>
      <c r="BX777" s="333"/>
      <c r="BY777" s="333"/>
      <c r="BZ777" s="333"/>
      <c r="CA777" s="333"/>
      <c r="CB777" s="333"/>
      <c r="CC777" s="333"/>
      <c r="CD777" s="333"/>
      <c r="CE777" s="333"/>
      <c r="CF777" s="333"/>
      <c r="CG777" s="333"/>
      <c r="CH777" s="333"/>
      <c r="CI777" s="333"/>
      <c r="CJ777" s="333"/>
      <c r="CK777" s="333"/>
      <c r="CL777" s="333"/>
      <c r="CM777" s="333"/>
      <c r="CN777" s="333"/>
      <c r="CO777" s="333"/>
      <c r="CP777" s="333"/>
      <c r="CQ777" s="333"/>
      <c r="CR777" s="333"/>
      <c r="CS777" s="333"/>
      <c r="CT777" s="333"/>
      <c r="CU777" s="333"/>
      <c r="CV777" s="333"/>
      <c r="CW777" s="333"/>
      <c r="CX777" s="333"/>
      <c r="CY777" s="333"/>
      <c r="CZ777" s="333"/>
      <c r="DA777" s="333"/>
      <c r="DB777" s="333"/>
      <c r="DC777" s="333"/>
      <c r="DD777" s="333"/>
      <c r="DE777" s="333"/>
      <c r="DF777" s="333"/>
      <c r="DG777" s="333"/>
    </row>
    <row r="778">
      <c r="A778" s="40" t="s">
        <v>279</v>
      </c>
      <c r="B778" s="40" t="s">
        <v>107</v>
      </c>
      <c r="C778" s="41" t="s">
        <v>108</v>
      </c>
      <c r="E778" s="475" t="s">
        <v>4291</v>
      </c>
      <c r="F778" s="43" t="s">
        <v>4322</v>
      </c>
      <c r="G778" s="43" t="s">
        <v>4293</v>
      </c>
      <c r="H778" s="43" t="s">
        <v>112</v>
      </c>
      <c r="I778" s="44">
        <v>45641.0</v>
      </c>
      <c r="J778" s="45"/>
      <c r="K778" s="45"/>
      <c r="L778" s="534" t="s">
        <v>4294</v>
      </c>
      <c r="M778" s="43" t="s">
        <v>4295</v>
      </c>
      <c r="N778" s="640">
        <v>3.0</v>
      </c>
      <c r="O778" s="47" t="s">
        <v>4296</v>
      </c>
      <c r="P778" s="48" t="str">
        <f t="array" ref="P778">HYPERLINK(INDEX('File Links'!B:B, MATCH(O778, 'File Links'!C:C, 0)))
</f>
        <v>https://drive.google.com/file/d/1xUlRe3MC-gZV8Zhd6NQNLSAYxUKd-bXT/view?usp=drivesdk</v>
      </c>
      <c r="Q778" s="43" t="s">
        <v>4297</v>
      </c>
      <c r="R778" s="43" t="s">
        <v>4298</v>
      </c>
      <c r="S778" s="45"/>
      <c r="T778" s="49">
        <v>3.0</v>
      </c>
      <c r="U778" s="43" t="s">
        <v>4299</v>
      </c>
      <c r="V778" s="45" t="s">
        <v>120</v>
      </c>
      <c r="W778" s="50" t="str">
        <f t="array" ref="W778">HYPERLINK(INDEX('File Links'!B:B, MATCH(U778, 'File Links'!C:C, 0)))
</f>
        <v>https://drive.google.com/file/d/1VipPphabn-Kfe9AzHC0j5FX1Fqp3bd0q/view?usp=drivesdk</v>
      </c>
      <c r="X778" s="45"/>
      <c r="Y778" s="45" t="s">
        <v>220</v>
      </c>
      <c r="Z778" s="45" t="s">
        <v>4300</v>
      </c>
      <c r="AA778" s="45" t="s">
        <v>4301</v>
      </c>
      <c r="AB778" s="45" t="s">
        <v>4323</v>
      </c>
      <c r="AC778" s="45" t="s">
        <v>4321</v>
      </c>
      <c r="AD778" s="45" t="s">
        <v>625</v>
      </c>
      <c r="AE778" s="46">
        <v>298.0</v>
      </c>
      <c r="AF778" s="46">
        <v>0.01</v>
      </c>
      <c r="AG778" s="47" t="s">
        <v>130</v>
      </c>
      <c r="AH778" s="45" t="s">
        <v>625</v>
      </c>
      <c r="AI778" s="46">
        <v>0.2</v>
      </c>
      <c r="AJ778" s="42" t="s">
        <v>329</v>
      </c>
      <c r="AK778" s="45" t="s">
        <v>128</v>
      </c>
      <c r="AL778" s="45" t="s">
        <v>129</v>
      </c>
      <c r="AM778" s="45"/>
      <c r="AN778" s="46">
        <v>743.0</v>
      </c>
      <c r="AO778" s="46">
        <v>0.02</v>
      </c>
      <c r="AP778" s="45" t="s">
        <v>130</v>
      </c>
      <c r="AQ778" s="45" t="s">
        <v>861</v>
      </c>
      <c r="AR778" s="46">
        <v>0.01</v>
      </c>
      <c r="AS778" s="42" t="s">
        <v>127</v>
      </c>
      <c r="AT778" s="42" t="s">
        <v>128</v>
      </c>
      <c r="AU778" s="42" t="s">
        <v>129</v>
      </c>
      <c r="AV778" s="53" t="s">
        <v>4304</v>
      </c>
      <c r="AW778" s="54" t="s">
        <v>134</v>
      </c>
      <c r="AZ778" s="84"/>
      <c r="BA778" s="333"/>
      <c r="BB778" s="333"/>
      <c r="BC778" s="333"/>
      <c r="BD778" s="333"/>
      <c r="BE778" s="333"/>
      <c r="BF778" s="333"/>
      <c r="BG778" s="333"/>
      <c r="BH778" s="333"/>
      <c r="BI778" s="333"/>
      <c r="BJ778" s="333"/>
      <c r="BK778" s="333"/>
      <c r="BL778" s="333"/>
      <c r="BM778" s="333"/>
      <c r="BN778" s="333"/>
      <c r="BO778" s="333"/>
      <c r="BP778" s="333"/>
      <c r="BQ778" s="333"/>
      <c r="BR778" s="333"/>
      <c r="BS778" s="333"/>
      <c r="BT778" s="333"/>
      <c r="BU778" s="333"/>
      <c r="BV778" s="333"/>
      <c r="BW778" s="333"/>
      <c r="BX778" s="333"/>
      <c r="BY778" s="333"/>
      <c r="BZ778" s="333"/>
      <c r="CA778" s="333"/>
      <c r="CB778" s="333"/>
      <c r="CC778" s="333"/>
      <c r="CD778" s="333"/>
      <c r="CE778" s="333"/>
      <c r="CF778" s="333"/>
      <c r="CG778" s="333"/>
      <c r="CH778" s="333"/>
      <c r="CI778" s="333"/>
      <c r="CJ778" s="333"/>
      <c r="CK778" s="333"/>
      <c r="CL778" s="333"/>
      <c r="CM778" s="333"/>
      <c r="CN778" s="333"/>
      <c r="CO778" s="333"/>
      <c r="CP778" s="333"/>
      <c r="CQ778" s="333"/>
      <c r="CR778" s="333"/>
      <c r="CS778" s="333"/>
      <c r="CT778" s="333"/>
      <c r="CU778" s="333"/>
      <c r="CV778" s="333"/>
      <c r="CW778" s="333"/>
      <c r="CX778" s="333"/>
      <c r="CY778" s="333"/>
      <c r="CZ778" s="333"/>
      <c r="DA778" s="333"/>
      <c r="DB778" s="333"/>
      <c r="DC778" s="333"/>
      <c r="DD778" s="333"/>
      <c r="DE778" s="333"/>
      <c r="DF778" s="333"/>
      <c r="DG778" s="333"/>
    </row>
    <row r="779">
      <c r="A779" s="40" t="s">
        <v>279</v>
      </c>
      <c r="B779" s="40" t="s">
        <v>107</v>
      </c>
      <c r="C779" s="41" t="s">
        <v>108</v>
      </c>
      <c r="E779" s="475" t="s">
        <v>4291</v>
      </c>
      <c r="F779" s="43" t="s">
        <v>4324</v>
      </c>
      <c r="G779" s="43" t="s">
        <v>4293</v>
      </c>
      <c r="H779" s="43" t="s">
        <v>112</v>
      </c>
      <c r="I779" s="44">
        <v>45641.0</v>
      </c>
      <c r="J779" s="45"/>
      <c r="K779" s="45"/>
      <c r="L779" s="534" t="s">
        <v>4294</v>
      </c>
      <c r="M779" s="43" t="s">
        <v>4295</v>
      </c>
      <c r="N779" s="640">
        <v>3.0</v>
      </c>
      <c r="O779" s="47" t="s">
        <v>4296</v>
      </c>
      <c r="P779" s="48" t="str">
        <f t="array" ref="P779">HYPERLINK(INDEX('File Links'!B:B, MATCH(O779, 'File Links'!C:C, 0)))
</f>
        <v>https://drive.google.com/file/d/1xUlRe3MC-gZV8Zhd6NQNLSAYxUKd-bXT/view?usp=drivesdk</v>
      </c>
      <c r="Q779" s="43" t="s">
        <v>4297</v>
      </c>
      <c r="R779" s="43" t="s">
        <v>4298</v>
      </c>
      <c r="S779" s="45"/>
      <c r="T779" s="49">
        <v>3.0</v>
      </c>
      <c r="U779" s="43" t="s">
        <v>4299</v>
      </c>
      <c r="V779" s="45" t="s">
        <v>120</v>
      </c>
      <c r="W779" s="50" t="str">
        <f t="array" ref="W779">HYPERLINK(INDEX('File Links'!B:B, MATCH(U779, 'File Links'!C:C, 0)))
</f>
        <v>https://drive.google.com/file/d/1VipPphabn-Kfe9AzHC0j5FX1Fqp3bd0q/view?usp=drivesdk</v>
      </c>
      <c r="X779" s="45"/>
      <c r="Y779" s="45" t="s">
        <v>220</v>
      </c>
      <c r="Z779" s="45" t="s">
        <v>4300</v>
      </c>
      <c r="AA779" s="45" t="s">
        <v>4301</v>
      </c>
      <c r="AB779" s="45" t="s">
        <v>4325</v>
      </c>
      <c r="AC779" s="45" t="s">
        <v>4326</v>
      </c>
      <c r="AD779" s="45" t="s">
        <v>625</v>
      </c>
      <c r="AE779" s="46">
        <v>298.0</v>
      </c>
      <c r="AF779" s="46">
        <v>0.04</v>
      </c>
      <c r="AG779" s="47" t="s">
        <v>130</v>
      </c>
      <c r="AH779" s="45" t="s">
        <v>625</v>
      </c>
      <c r="AI779" s="46">
        <v>0.005</v>
      </c>
      <c r="AJ779" s="42" t="s">
        <v>164</v>
      </c>
      <c r="AK779" s="45" t="s">
        <v>128</v>
      </c>
      <c r="AL779" s="45" t="s">
        <v>129</v>
      </c>
      <c r="AM779" s="45"/>
      <c r="AN779" s="46">
        <v>743.0</v>
      </c>
      <c r="AO779" s="46">
        <v>0.04</v>
      </c>
      <c r="AP779" s="45" t="s">
        <v>130</v>
      </c>
      <c r="AQ779" s="45" t="s">
        <v>892</v>
      </c>
      <c r="AR779" s="46">
        <v>0.001</v>
      </c>
      <c r="AS779" s="42" t="s">
        <v>127</v>
      </c>
      <c r="AT779" s="42" t="s">
        <v>128</v>
      </c>
      <c r="AU779" s="42" t="s">
        <v>129</v>
      </c>
      <c r="AV779" s="53" t="s">
        <v>4304</v>
      </c>
      <c r="AW779" s="54" t="s">
        <v>134</v>
      </c>
      <c r="AZ779" s="84"/>
    </row>
    <row r="780">
      <c r="A780" s="40" t="s">
        <v>279</v>
      </c>
      <c r="B780" s="40" t="s">
        <v>107</v>
      </c>
      <c r="C780" s="41" t="s">
        <v>108</v>
      </c>
      <c r="E780" s="475" t="s">
        <v>4291</v>
      </c>
      <c r="F780" s="43" t="s">
        <v>4327</v>
      </c>
      <c r="G780" s="43" t="s">
        <v>4293</v>
      </c>
      <c r="H780" s="43" t="s">
        <v>112</v>
      </c>
      <c r="I780" s="44">
        <v>45641.0</v>
      </c>
      <c r="J780" s="45"/>
      <c r="K780" s="45"/>
      <c r="L780" s="534" t="s">
        <v>4294</v>
      </c>
      <c r="M780" s="43" t="s">
        <v>4295</v>
      </c>
      <c r="N780" s="640">
        <v>3.0</v>
      </c>
      <c r="O780" s="47" t="s">
        <v>4296</v>
      </c>
      <c r="P780" s="48" t="str">
        <f t="array" ref="P780">HYPERLINK(INDEX('File Links'!B:B, MATCH(O780, 'File Links'!C:C, 0)))
</f>
        <v>https://drive.google.com/file/d/1xUlRe3MC-gZV8Zhd6NQNLSAYxUKd-bXT/view?usp=drivesdk</v>
      </c>
      <c r="Q780" s="43" t="s">
        <v>4297</v>
      </c>
      <c r="R780" s="43" t="s">
        <v>4298</v>
      </c>
      <c r="S780" s="45"/>
      <c r="T780" s="49">
        <v>3.0</v>
      </c>
      <c r="U780" s="43" t="s">
        <v>4299</v>
      </c>
      <c r="V780" s="45" t="s">
        <v>120</v>
      </c>
      <c r="W780" s="50" t="str">
        <f t="array" ref="W780">HYPERLINK(INDEX('File Links'!B:B, MATCH(U780, 'File Links'!C:C, 0)))
</f>
        <v>https://drive.google.com/file/d/1VipPphabn-Kfe9AzHC0j5FX1Fqp3bd0q/view?usp=drivesdk</v>
      </c>
      <c r="X780" s="45"/>
      <c r="Y780" s="45" t="s">
        <v>220</v>
      </c>
      <c r="Z780" s="45" t="s">
        <v>4300</v>
      </c>
      <c r="AA780" s="45" t="s">
        <v>4301</v>
      </c>
      <c r="AB780" s="45" t="s">
        <v>4328</v>
      </c>
      <c r="AC780" s="45" t="s">
        <v>4329</v>
      </c>
      <c r="AD780" s="45" t="s">
        <v>625</v>
      </c>
      <c r="AE780" s="46">
        <v>298.0</v>
      </c>
      <c r="AF780" s="46">
        <v>0.08</v>
      </c>
      <c r="AG780" s="47" t="s">
        <v>130</v>
      </c>
      <c r="AH780" s="45" t="s">
        <v>625</v>
      </c>
      <c r="AI780" s="46">
        <v>0.001</v>
      </c>
      <c r="AJ780" s="42" t="s">
        <v>127</v>
      </c>
      <c r="AK780" s="45" t="s">
        <v>128</v>
      </c>
      <c r="AL780" s="45" t="s">
        <v>129</v>
      </c>
      <c r="AM780" s="45"/>
      <c r="AN780" s="46">
        <v>743.0</v>
      </c>
      <c r="AO780" s="46">
        <v>0.08</v>
      </c>
      <c r="AP780" s="45" t="s">
        <v>130</v>
      </c>
      <c r="AQ780" s="45" t="s">
        <v>892</v>
      </c>
      <c r="AR780" s="46">
        <v>0.08</v>
      </c>
      <c r="AS780" s="42" t="s">
        <v>164</v>
      </c>
      <c r="AT780" s="42" t="s">
        <v>128</v>
      </c>
      <c r="AU780" s="42" t="s">
        <v>129</v>
      </c>
      <c r="AV780" s="53" t="s">
        <v>4304</v>
      </c>
      <c r="AW780" s="54" t="s">
        <v>134</v>
      </c>
      <c r="AZ780" s="84"/>
    </row>
    <row r="781">
      <c r="A781" s="40" t="s">
        <v>279</v>
      </c>
      <c r="B781" s="40" t="s">
        <v>107</v>
      </c>
      <c r="C781" s="41" t="s">
        <v>108</v>
      </c>
      <c r="E781" s="475" t="s">
        <v>4291</v>
      </c>
      <c r="F781" s="43" t="s">
        <v>4330</v>
      </c>
      <c r="G781" s="43" t="s">
        <v>4293</v>
      </c>
      <c r="H781" s="43" t="s">
        <v>112</v>
      </c>
      <c r="I781" s="44">
        <v>45641.0</v>
      </c>
      <c r="J781" s="45"/>
      <c r="K781" s="45"/>
      <c r="L781" s="534" t="s">
        <v>4294</v>
      </c>
      <c r="M781" s="43" t="s">
        <v>4295</v>
      </c>
      <c r="N781" s="640">
        <v>3.0</v>
      </c>
      <c r="O781" s="47" t="s">
        <v>4296</v>
      </c>
      <c r="P781" s="48" t="str">
        <f t="array" ref="P781">HYPERLINK(INDEX('File Links'!B:B, MATCH(O781, 'File Links'!C:C, 0)))
</f>
        <v>https://drive.google.com/file/d/1xUlRe3MC-gZV8Zhd6NQNLSAYxUKd-bXT/view?usp=drivesdk</v>
      </c>
      <c r="Q781" s="43" t="s">
        <v>4297</v>
      </c>
      <c r="R781" s="43" t="s">
        <v>4298</v>
      </c>
      <c r="S781" s="45"/>
      <c r="T781" s="49">
        <v>3.0</v>
      </c>
      <c r="U781" s="43" t="s">
        <v>4299</v>
      </c>
      <c r="V781" s="45" t="s">
        <v>120</v>
      </c>
      <c r="W781" s="50" t="str">
        <f t="array" ref="W781">HYPERLINK(INDEX('File Links'!B:B, MATCH(U781, 'File Links'!C:C, 0)))
</f>
        <v>https://drive.google.com/file/d/1VipPphabn-Kfe9AzHC0j5FX1Fqp3bd0q/view?usp=drivesdk</v>
      </c>
      <c r="X781" s="45"/>
      <c r="Y781" s="45" t="s">
        <v>220</v>
      </c>
      <c r="Z781" s="45" t="s">
        <v>4300</v>
      </c>
      <c r="AA781" s="45" t="s">
        <v>4301</v>
      </c>
      <c r="AB781" s="45" t="s">
        <v>4331</v>
      </c>
      <c r="AC781" s="45" t="s">
        <v>4332</v>
      </c>
      <c r="AD781" s="45" t="s">
        <v>625</v>
      </c>
      <c r="AE781" s="46">
        <v>298.0</v>
      </c>
      <c r="AF781" s="46">
        <v>0.01</v>
      </c>
      <c r="AG781" s="47" t="s">
        <v>130</v>
      </c>
      <c r="AH781" s="45" t="s">
        <v>625</v>
      </c>
      <c r="AI781" s="46">
        <v>0.568</v>
      </c>
      <c r="AJ781" s="42" t="s">
        <v>164</v>
      </c>
      <c r="AK781" s="45" t="s">
        <v>128</v>
      </c>
      <c r="AL781" s="45" t="s">
        <v>129</v>
      </c>
      <c r="AM781" s="45"/>
      <c r="AN781" s="46">
        <v>743.0</v>
      </c>
      <c r="AO781" s="46">
        <v>0.0</v>
      </c>
      <c r="AP781" s="45" t="s">
        <v>130</v>
      </c>
      <c r="AQ781" s="45" t="s">
        <v>892</v>
      </c>
      <c r="AR781" s="46">
        <v>0.77</v>
      </c>
      <c r="AS781" s="42" t="s">
        <v>164</v>
      </c>
      <c r="AT781" s="42" t="s">
        <v>128</v>
      </c>
      <c r="AU781" s="42" t="s">
        <v>129</v>
      </c>
      <c r="AV781" s="53" t="s">
        <v>4304</v>
      </c>
      <c r="AW781" s="54" t="s">
        <v>134</v>
      </c>
      <c r="AZ781" s="84"/>
    </row>
    <row r="782">
      <c r="A782" s="40" t="s">
        <v>279</v>
      </c>
      <c r="B782" s="40" t="s">
        <v>107</v>
      </c>
      <c r="C782" s="41" t="s">
        <v>108</v>
      </c>
      <c r="E782" s="475" t="s">
        <v>4291</v>
      </c>
      <c r="F782" s="43" t="s">
        <v>4333</v>
      </c>
      <c r="G782" s="43" t="s">
        <v>4293</v>
      </c>
      <c r="H782" s="43" t="s">
        <v>112</v>
      </c>
      <c r="I782" s="44">
        <v>45641.0</v>
      </c>
      <c r="J782" s="45"/>
      <c r="K782" s="45"/>
      <c r="L782" s="534" t="s">
        <v>4294</v>
      </c>
      <c r="M782" s="43" t="s">
        <v>4295</v>
      </c>
      <c r="N782" s="640">
        <v>3.0</v>
      </c>
      <c r="O782" s="47" t="s">
        <v>4296</v>
      </c>
      <c r="P782" s="48" t="str">
        <f t="array" ref="P782">HYPERLINK(INDEX('File Links'!B:B, MATCH(O782, 'File Links'!C:C, 0)))
</f>
        <v>https://drive.google.com/file/d/1xUlRe3MC-gZV8Zhd6NQNLSAYxUKd-bXT/view?usp=drivesdk</v>
      </c>
      <c r="Q782" s="43" t="s">
        <v>4297</v>
      </c>
      <c r="R782" s="43" t="s">
        <v>4298</v>
      </c>
      <c r="S782" s="45"/>
      <c r="T782" s="49">
        <v>3.0</v>
      </c>
      <c r="U782" s="43" t="s">
        <v>4299</v>
      </c>
      <c r="V782" s="45" t="s">
        <v>120</v>
      </c>
      <c r="W782" s="50" t="str">
        <f t="array" ref="W782">HYPERLINK(INDEX('File Links'!B:B, MATCH(U782, 'File Links'!C:C, 0)))
</f>
        <v>https://drive.google.com/file/d/1VipPphabn-Kfe9AzHC0j5FX1Fqp3bd0q/view?usp=drivesdk</v>
      </c>
      <c r="X782" s="45"/>
      <c r="Y782" s="45" t="s">
        <v>220</v>
      </c>
      <c r="Z782" s="45" t="s">
        <v>4300</v>
      </c>
      <c r="AA782" s="45" t="s">
        <v>4301</v>
      </c>
      <c r="AB782" s="45" t="s">
        <v>4334</v>
      </c>
      <c r="AC782" s="45" t="s">
        <v>4335</v>
      </c>
      <c r="AD782" s="45" t="s">
        <v>4336</v>
      </c>
      <c r="AE782" s="46">
        <v>298.0</v>
      </c>
      <c r="AF782" s="46">
        <v>0.11</v>
      </c>
      <c r="AG782" s="47" t="s">
        <v>130</v>
      </c>
      <c r="AH782" s="45" t="s">
        <v>625</v>
      </c>
      <c r="AI782" s="46">
        <v>0.001</v>
      </c>
      <c r="AJ782" s="42" t="s">
        <v>127</v>
      </c>
      <c r="AK782" s="45" t="s">
        <v>128</v>
      </c>
      <c r="AL782" s="45" t="s">
        <v>129</v>
      </c>
      <c r="AM782" s="45"/>
      <c r="AN782" s="46">
        <v>743.0</v>
      </c>
      <c r="AO782" s="46">
        <v>0.04</v>
      </c>
      <c r="AP782" s="45" t="s">
        <v>130</v>
      </c>
      <c r="AQ782" s="45" t="s">
        <v>892</v>
      </c>
      <c r="AR782" s="46">
        <v>0.001</v>
      </c>
      <c r="AS782" s="42" t="s">
        <v>127</v>
      </c>
      <c r="AT782" s="42" t="s">
        <v>128</v>
      </c>
      <c r="AU782" s="42" t="s">
        <v>129</v>
      </c>
      <c r="AV782" s="53" t="s">
        <v>4304</v>
      </c>
      <c r="AW782" s="54" t="s">
        <v>134</v>
      </c>
      <c r="AZ782" s="84"/>
    </row>
    <row r="783">
      <c r="A783" s="40" t="s">
        <v>279</v>
      </c>
      <c r="B783" s="40" t="s">
        <v>107</v>
      </c>
      <c r="C783" s="41" t="s">
        <v>108</v>
      </c>
      <c r="E783" s="475" t="s">
        <v>4291</v>
      </c>
      <c r="F783" s="43" t="s">
        <v>4337</v>
      </c>
      <c r="G783" s="43" t="s">
        <v>4293</v>
      </c>
      <c r="H783" s="43" t="s">
        <v>112</v>
      </c>
      <c r="I783" s="44">
        <v>45641.0</v>
      </c>
      <c r="J783" s="45"/>
      <c r="K783" s="45"/>
      <c r="L783" s="534" t="s">
        <v>4294</v>
      </c>
      <c r="M783" s="43" t="s">
        <v>4295</v>
      </c>
      <c r="N783" s="640">
        <v>3.0</v>
      </c>
      <c r="O783" s="47" t="s">
        <v>4296</v>
      </c>
      <c r="P783" s="48" t="str">
        <f t="array" ref="P783">HYPERLINK(INDEX('File Links'!B:B, MATCH(O783, 'File Links'!C:C, 0)))
</f>
        <v>https://drive.google.com/file/d/1xUlRe3MC-gZV8Zhd6NQNLSAYxUKd-bXT/view?usp=drivesdk</v>
      </c>
      <c r="Q783" s="43" t="s">
        <v>4297</v>
      </c>
      <c r="R783" s="43" t="s">
        <v>4298</v>
      </c>
      <c r="S783" s="45"/>
      <c r="T783" s="49">
        <v>3.0</v>
      </c>
      <c r="U783" s="43" t="s">
        <v>4299</v>
      </c>
      <c r="V783" s="45" t="s">
        <v>120</v>
      </c>
      <c r="W783" s="50" t="str">
        <f t="array" ref="W783">HYPERLINK(INDEX('File Links'!B:B, MATCH(U783, 'File Links'!C:C, 0)))
</f>
        <v>https://drive.google.com/file/d/1VipPphabn-Kfe9AzHC0j5FX1Fqp3bd0q/view?usp=drivesdk</v>
      </c>
      <c r="X783" s="45"/>
      <c r="Y783" s="45" t="s">
        <v>220</v>
      </c>
      <c r="Z783" s="45" t="s">
        <v>4300</v>
      </c>
      <c r="AA783" s="45" t="s">
        <v>4301</v>
      </c>
      <c r="AB783" s="45" t="s">
        <v>4338</v>
      </c>
      <c r="AC783" s="45" t="s">
        <v>4339</v>
      </c>
      <c r="AD783" s="45" t="s">
        <v>629</v>
      </c>
      <c r="AE783" s="46">
        <v>298.0</v>
      </c>
      <c r="AF783" s="46">
        <v>0.01</v>
      </c>
      <c r="AG783" s="47" t="s">
        <v>130</v>
      </c>
      <c r="AH783" s="45" t="s">
        <v>629</v>
      </c>
      <c r="AI783" s="46">
        <v>0.613</v>
      </c>
      <c r="AJ783" s="42" t="s">
        <v>164</v>
      </c>
      <c r="AK783" s="45" t="s">
        <v>128</v>
      </c>
      <c r="AL783" s="45" t="s">
        <v>129</v>
      </c>
      <c r="AM783" s="45"/>
      <c r="AN783" s="46">
        <v>743.0</v>
      </c>
      <c r="AO783" s="46">
        <v>0.0</v>
      </c>
      <c r="AP783" s="45" t="s">
        <v>130</v>
      </c>
      <c r="AQ783" s="45" t="s">
        <v>892</v>
      </c>
      <c r="AR783" s="46">
        <v>0.32</v>
      </c>
      <c r="AS783" s="42" t="s">
        <v>164</v>
      </c>
      <c r="AT783" s="42" t="s">
        <v>128</v>
      </c>
      <c r="AU783" s="42" t="s">
        <v>129</v>
      </c>
      <c r="AV783" s="53" t="s">
        <v>4304</v>
      </c>
      <c r="AW783" s="54" t="s">
        <v>134</v>
      </c>
      <c r="AZ783" s="84"/>
    </row>
    <row r="784">
      <c r="A784" s="40" t="s">
        <v>279</v>
      </c>
      <c r="B784" s="40" t="s">
        <v>107</v>
      </c>
      <c r="C784" s="41" t="s">
        <v>108</v>
      </c>
      <c r="E784" s="475" t="s">
        <v>4291</v>
      </c>
      <c r="F784" s="43" t="s">
        <v>4340</v>
      </c>
      <c r="G784" s="43" t="s">
        <v>4293</v>
      </c>
      <c r="H784" s="43" t="s">
        <v>112</v>
      </c>
      <c r="I784" s="44">
        <v>45641.0</v>
      </c>
      <c r="J784" s="45"/>
      <c r="K784" s="45"/>
      <c r="L784" s="534" t="s">
        <v>4294</v>
      </c>
      <c r="M784" s="43" t="s">
        <v>4295</v>
      </c>
      <c r="N784" s="640">
        <v>3.0</v>
      </c>
      <c r="O784" s="47" t="s">
        <v>4296</v>
      </c>
      <c r="P784" s="48" t="str">
        <f t="array" ref="P784">HYPERLINK(INDEX('File Links'!B:B, MATCH(O784, 'File Links'!C:C, 0)))
</f>
        <v>https://drive.google.com/file/d/1xUlRe3MC-gZV8Zhd6NQNLSAYxUKd-bXT/view?usp=drivesdk</v>
      </c>
      <c r="Q784" s="43" t="s">
        <v>4297</v>
      </c>
      <c r="R784" s="43" t="s">
        <v>4298</v>
      </c>
      <c r="S784" s="45"/>
      <c r="T784" s="49">
        <v>3.0</v>
      </c>
      <c r="U784" s="43" t="s">
        <v>4299</v>
      </c>
      <c r="V784" s="45" t="s">
        <v>120</v>
      </c>
      <c r="W784" s="50" t="str">
        <f t="array" ref="W784">HYPERLINK(INDEX('File Links'!B:B, MATCH(U784, 'File Links'!C:C, 0)))
</f>
        <v>https://drive.google.com/file/d/1VipPphabn-Kfe9AzHC0j5FX1Fqp3bd0q/view?usp=drivesdk</v>
      </c>
      <c r="X784" s="45"/>
      <c r="Y784" s="45" t="s">
        <v>220</v>
      </c>
      <c r="Z784" s="45" t="s">
        <v>4300</v>
      </c>
      <c r="AA784" s="45" t="s">
        <v>4301</v>
      </c>
      <c r="AB784" s="45" t="s">
        <v>4341</v>
      </c>
      <c r="AC784" s="45" t="s">
        <v>4342</v>
      </c>
      <c r="AD784" s="45" t="s">
        <v>629</v>
      </c>
      <c r="AE784" s="46">
        <v>298.0</v>
      </c>
      <c r="AF784" s="46">
        <v>0.02</v>
      </c>
      <c r="AG784" s="47" t="s">
        <v>130</v>
      </c>
      <c r="AH784" s="45" t="s">
        <v>629</v>
      </c>
      <c r="AI784" s="46">
        <v>0.095</v>
      </c>
      <c r="AJ784" s="42" t="s">
        <v>164</v>
      </c>
      <c r="AK784" s="45" t="s">
        <v>128</v>
      </c>
      <c r="AL784" s="45" t="s">
        <v>129</v>
      </c>
      <c r="AM784" s="45"/>
      <c r="AN784" s="46">
        <v>743.0</v>
      </c>
      <c r="AO784" s="46">
        <v>0.04</v>
      </c>
      <c r="AP784" s="45" t="s">
        <v>130</v>
      </c>
      <c r="AQ784" s="45" t="s">
        <v>131</v>
      </c>
      <c r="AR784" s="46">
        <v>0.01</v>
      </c>
      <c r="AS784" s="42" t="s">
        <v>127</v>
      </c>
      <c r="AT784" s="42" t="s">
        <v>128</v>
      </c>
      <c r="AU784" s="42" t="s">
        <v>129</v>
      </c>
      <c r="AV784" s="53" t="s">
        <v>4304</v>
      </c>
      <c r="AW784" s="54" t="s">
        <v>134</v>
      </c>
      <c r="AZ784" s="84"/>
    </row>
    <row r="785">
      <c r="A785" s="96" t="s">
        <v>520</v>
      </c>
      <c r="B785" s="96" t="s">
        <v>107</v>
      </c>
      <c r="C785" s="96" t="s">
        <v>144</v>
      </c>
      <c r="D785" s="97"/>
      <c r="E785" s="98" t="s">
        <v>4343</v>
      </c>
      <c r="F785" s="99" t="s">
        <v>4344</v>
      </c>
      <c r="G785" s="99" t="s">
        <v>144</v>
      </c>
      <c r="H785" s="104" t="s">
        <v>112</v>
      </c>
      <c r="I785" s="100">
        <v>45638.0</v>
      </c>
      <c r="J785" s="200" t="s">
        <v>4345</v>
      </c>
      <c r="K785" s="101"/>
      <c r="L785" s="103" t="s">
        <v>4346</v>
      </c>
      <c r="M785" s="99" t="s">
        <v>4347</v>
      </c>
      <c r="N785" s="1184" t="s">
        <v>3511</v>
      </c>
      <c r="O785" s="107" t="s">
        <v>4348</v>
      </c>
      <c r="P785" s="48" t="str">
        <f t="array" ref="P785">HYPERLINK(INDEX('File Links'!B:B, MATCH(O785, 'File Links'!C:C, 0)))
</f>
        <v>https://drive.google.com/file/d/1-8o-L3-LBDg-R5swBEF53YfzOD1dWuZJ/view?usp=drivesdk</v>
      </c>
      <c r="Q785" s="392" t="s">
        <v>4349</v>
      </c>
      <c r="R785" s="392" t="s">
        <v>4350</v>
      </c>
      <c r="S785" s="101"/>
      <c r="T785" s="1185">
        <v>1.0</v>
      </c>
      <c r="U785" s="99" t="s">
        <v>4351</v>
      </c>
      <c r="V785" s="99" t="s">
        <v>155</v>
      </c>
      <c r="W785" s="50" t="str">
        <f t="array" ref="W785">HYPERLINK(INDEX('File Links'!B:B, MATCH(U785, 'File Links'!C:C, 0)))
</f>
        <v>https://drive.google.com/file/d/1ricWbnnQ27T1O2HoAIXHZb1YA8sK8_s2/view?usp=drivesdk</v>
      </c>
      <c r="X785" s="101"/>
      <c r="Y785" s="99" t="s">
        <v>220</v>
      </c>
      <c r="Z785" s="200" t="s">
        <v>4352</v>
      </c>
      <c r="AA785" s="200" t="s">
        <v>4353</v>
      </c>
      <c r="AB785" s="99" t="s">
        <v>4354</v>
      </c>
      <c r="AC785" s="99" t="s">
        <v>4355</v>
      </c>
      <c r="AD785" s="433">
        <v>7.0</v>
      </c>
      <c r="AE785" s="104">
        <v>81.0</v>
      </c>
      <c r="AF785" s="104">
        <v>0.49</v>
      </c>
      <c r="AG785" s="107" t="s">
        <v>166</v>
      </c>
      <c r="AH785" s="104">
        <v>7.0</v>
      </c>
      <c r="AI785" s="104">
        <v>0.05</v>
      </c>
      <c r="AJ785" s="108" t="s">
        <v>127</v>
      </c>
      <c r="AK785" s="99" t="s">
        <v>128</v>
      </c>
      <c r="AL785" s="101" t="s">
        <v>129</v>
      </c>
      <c r="AM785" s="101"/>
      <c r="AN785" s="104">
        <v>300.0</v>
      </c>
      <c r="AO785" s="99" t="s">
        <v>4356</v>
      </c>
      <c r="AP785" s="99" t="s">
        <v>162</v>
      </c>
      <c r="AQ785" s="99" t="s">
        <v>1186</v>
      </c>
      <c r="AR785" s="104">
        <v>0.383</v>
      </c>
      <c r="AS785" s="108" t="s">
        <v>164</v>
      </c>
      <c r="AT785" s="108" t="s">
        <v>128</v>
      </c>
      <c r="AU785" s="98" t="s">
        <v>129</v>
      </c>
      <c r="AV785" s="595" t="s">
        <v>4357</v>
      </c>
      <c r="AW785" s="450" t="s">
        <v>142</v>
      </c>
      <c r="AX785" s="64"/>
      <c r="AY785" s="64"/>
      <c r="AZ785" s="84"/>
      <c r="BA785" s="178"/>
      <c r="BB785" s="178"/>
      <c r="BC785" s="178"/>
      <c r="BD785" s="178"/>
      <c r="BE785" s="178"/>
      <c r="BF785" s="178"/>
      <c r="BG785" s="178"/>
      <c r="BH785" s="178"/>
      <c r="BI785" s="178"/>
      <c r="BJ785" s="178"/>
      <c r="BK785" s="178"/>
      <c r="BL785" s="178"/>
      <c r="BM785" s="178"/>
      <c r="BN785" s="178"/>
      <c r="BO785" s="178"/>
      <c r="BP785" s="178"/>
      <c r="BQ785" s="178"/>
      <c r="BR785" s="178"/>
      <c r="BS785" s="178"/>
      <c r="BT785" s="178"/>
      <c r="BU785" s="178"/>
      <c r="BV785" s="178"/>
      <c r="BW785" s="178"/>
      <c r="BX785" s="178"/>
      <c r="BY785" s="178"/>
      <c r="BZ785" s="178"/>
      <c r="CA785" s="178"/>
      <c r="CB785" s="178"/>
      <c r="CC785" s="178"/>
      <c r="CD785" s="178"/>
      <c r="CE785" s="178"/>
      <c r="CF785" s="178"/>
      <c r="CG785" s="178"/>
      <c r="CH785" s="178"/>
      <c r="CI785" s="178"/>
      <c r="CJ785" s="178"/>
      <c r="CK785" s="178"/>
      <c r="CL785" s="178"/>
      <c r="CM785" s="178"/>
      <c r="CN785" s="178"/>
      <c r="CO785" s="178"/>
      <c r="CP785" s="178"/>
      <c r="CQ785" s="178"/>
      <c r="CR785" s="178"/>
      <c r="CS785" s="178"/>
      <c r="CT785" s="178"/>
      <c r="CU785" s="178"/>
      <c r="CV785" s="178"/>
      <c r="CW785" s="178"/>
      <c r="CX785" s="178"/>
      <c r="CY785" s="178"/>
      <c r="CZ785" s="178"/>
      <c r="DA785" s="178"/>
      <c r="DB785" s="178"/>
      <c r="DC785" s="178"/>
      <c r="DD785" s="178"/>
      <c r="DE785" s="178"/>
      <c r="DF785" s="178"/>
      <c r="DG785" s="178"/>
    </row>
    <row r="786">
      <c r="A786" s="96" t="s">
        <v>520</v>
      </c>
      <c r="B786" s="136" t="s">
        <v>107</v>
      </c>
      <c r="C786" s="136" t="s">
        <v>169</v>
      </c>
      <c r="D786" s="64"/>
      <c r="E786" s="98" t="s">
        <v>4343</v>
      </c>
      <c r="F786" s="99" t="s">
        <v>4344</v>
      </c>
      <c r="G786" s="108" t="s">
        <v>169</v>
      </c>
      <c r="H786" s="521">
        <v>45637.0</v>
      </c>
      <c r="I786" s="98"/>
      <c r="J786" s="108" t="s">
        <v>4358</v>
      </c>
      <c r="K786" s="98"/>
      <c r="L786" s="103" t="s">
        <v>4346</v>
      </c>
      <c r="M786" s="108" t="s">
        <v>4347</v>
      </c>
      <c r="N786" s="108" t="s">
        <v>3511</v>
      </c>
      <c r="O786" s="108" t="s">
        <v>4348</v>
      </c>
      <c r="P786" s="48" t="str">
        <f t="array" ref="P786">HYPERLINK(INDEX('File Links'!B:B, MATCH(O786, 'File Links'!C:C, 0)))
</f>
        <v>https://drive.google.com/file/d/1-8o-L3-LBDg-R5swBEF53YfzOD1dWuZJ/view?usp=drivesdk</v>
      </c>
      <c r="Q786" s="108" t="s">
        <v>4359</v>
      </c>
      <c r="R786" s="108" t="s">
        <v>4350</v>
      </c>
      <c r="S786" s="98"/>
      <c r="T786" s="482">
        <v>1.0</v>
      </c>
      <c r="U786" s="108" t="s">
        <v>4351</v>
      </c>
      <c r="V786" s="108" t="s">
        <v>155</v>
      </c>
      <c r="W786" s="50" t="str">
        <f t="array" ref="W786">HYPERLINK(INDEX('File Links'!B:B, MATCH(U786, 'File Links'!C:C, 0)))
</f>
        <v>https://drive.google.com/file/d/1ricWbnnQ27T1O2HoAIXHZb1YA8sK8_s2/view?usp=drivesdk</v>
      </c>
      <c r="X786" s="98"/>
      <c r="Y786" s="108" t="s">
        <v>139</v>
      </c>
      <c r="Z786" s="108" t="s">
        <v>4360</v>
      </c>
      <c r="AA786" s="108" t="s">
        <v>4361</v>
      </c>
      <c r="AB786" s="108" t="s">
        <v>4362</v>
      </c>
      <c r="AC786" s="108" t="s">
        <v>4363</v>
      </c>
      <c r="AD786" s="108" t="s">
        <v>125</v>
      </c>
      <c r="AE786" s="482">
        <v>81.0</v>
      </c>
      <c r="AF786" s="108" t="s">
        <v>4364</v>
      </c>
      <c r="AG786" s="107" t="s">
        <v>166</v>
      </c>
      <c r="AH786" s="99" t="s">
        <v>4365</v>
      </c>
      <c r="AI786" s="99" t="s">
        <v>4366</v>
      </c>
      <c r="AJ786" s="108" t="s">
        <v>127</v>
      </c>
      <c r="AK786" s="99" t="s">
        <v>179</v>
      </c>
      <c r="AL786" s="98" t="s">
        <v>129</v>
      </c>
      <c r="AM786" s="98"/>
      <c r="AN786" s="482">
        <v>300.0</v>
      </c>
      <c r="AO786" s="108" t="s">
        <v>4367</v>
      </c>
      <c r="AP786" s="108" t="s">
        <v>208</v>
      </c>
      <c r="AQ786" s="108" t="s">
        <v>175</v>
      </c>
      <c r="AR786" s="108" t="s">
        <v>4368</v>
      </c>
      <c r="AS786" s="108" t="s">
        <v>164</v>
      </c>
      <c r="AT786" s="108" t="s">
        <v>211</v>
      </c>
      <c r="AU786" s="98" t="s">
        <v>129</v>
      </c>
      <c r="AV786" s="595" t="s">
        <v>4369</v>
      </c>
      <c r="AW786" s="450" t="s">
        <v>134</v>
      </c>
      <c r="AX786" s="64"/>
      <c r="AY786" s="64"/>
      <c r="AZ786" s="84"/>
      <c r="BA786" s="178"/>
      <c r="BB786" s="178"/>
      <c r="BC786" s="178"/>
      <c r="BD786" s="178"/>
      <c r="BE786" s="178"/>
      <c r="BF786" s="178"/>
      <c r="BG786" s="178"/>
      <c r="BH786" s="178"/>
      <c r="BI786" s="178"/>
      <c r="BJ786" s="178"/>
      <c r="BK786" s="178"/>
      <c r="BL786" s="178"/>
      <c r="BM786" s="178"/>
      <c r="BN786" s="178"/>
      <c r="BO786" s="178"/>
      <c r="BP786" s="178"/>
      <c r="BQ786" s="178"/>
      <c r="BR786" s="178"/>
      <c r="BS786" s="178"/>
      <c r="BT786" s="178"/>
      <c r="BU786" s="178"/>
      <c r="BV786" s="178"/>
      <c r="BW786" s="178"/>
      <c r="BX786" s="178"/>
      <c r="BY786" s="178"/>
      <c r="BZ786" s="178"/>
      <c r="CA786" s="178"/>
      <c r="CB786" s="178"/>
      <c r="CC786" s="178"/>
      <c r="CD786" s="178"/>
      <c r="CE786" s="178"/>
      <c r="CF786" s="178"/>
      <c r="CG786" s="178"/>
      <c r="CH786" s="178"/>
      <c r="CI786" s="178"/>
      <c r="CJ786" s="178"/>
      <c r="CK786" s="178"/>
      <c r="CL786" s="178"/>
      <c r="CM786" s="178"/>
      <c r="CN786" s="178"/>
      <c r="CO786" s="178"/>
      <c r="CP786" s="178"/>
      <c r="CQ786" s="178"/>
      <c r="CR786" s="178"/>
      <c r="CS786" s="178"/>
      <c r="CT786" s="178"/>
      <c r="CU786" s="178"/>
      <c r="CV786" s="178"/>
      <c r="CW786" s="178"/>
      <c r="CX786" s="178"/>
      <c r="CY786" s="178"/>
      <c r="CZ786" s="178"/>
      <c r="DA786" s="178"/>
      <c r="DB786" s="178"/>
      <c r="DC786" s="178"/>
      <c r="DD786" s="178"/>
      <c r="DE786" s="178"/>
      <c r="DF786" s="178"/>
      <c r="DG786" s="178"/>
    </row>
    <row r="787">
      <c r="A787" s="314" t="s">
        <v>143</v>
      </c>
      <c r="B787" s="314" t="s">
        <v>107</v>
      </c>
      <c r="C787" s="316" t="s">
        <v>1455</v>
      </c>
      <c r="D787" s="215"/>
      <c r="E787" s="322" t="s">
        <v>4370</v>
      </c>
      <c r="F787" s="386" t="s">
        <v>4371</v>
      </c>
      <c r="G787" s="386" t="s">
        <v>4372</v>
      </c>
      <c r="H787" s="1186">
        <v>45639.0</v>
      </c>
      <c r="I787" s="1187">
        <v>45684.0</v>
      </c>
      <c r="J787" s="364"/>
      <c r="K787" s="364"/>
      <c r="L787" s="386" t="s">
        <v>4373</v>
      </c>
      <c r="M787" s="386" t="s">
        <v>4374</v>
      </c>
      <c r="N787" s="321">
        <v>1.0</v>
      </c>
      <c r="O787" s="599" t="s">
        <v>4375</v>
      </c>
      <c r="P787" s="48" t="str">
        <f t="array" ref="P787">HYPERLINK(INDEX('File Links'!B:B, MATCH(O787, 'File Links'!C:C, 0)))
</f>
        <v>https://drive.google.com/file/d/1y_lQGjVlo6Fl18TxXjJCuEtRwnUYubwf/view?usp=drivesdk</v>
      </c>
      <c r="Q787" s="386" t="s">
        <v>4376</v>
      </c>
      <c r="R787" s="386" t="s">
        <v>4377</v>
      </c>
      <c r="S787" s="364"/>
      <c r="T787" s="326">
        <v>2.0</v>
      </c>
      <c r="U787" s="386" t="s">
        <v>4378</v>
      </c>
      <c r="V787" s="1139" t="s">
        <v>314</v>
      </c>
      <c r="W787" s="45" t="str">
        <f t="array" ref="W787">HYPERLINK(INDEX('File Links'!B:B, MATCH(U787, 'File Links'!C:C, 0)))
</f>
        <v>#N/A</v>
      </c>
      <c r="X787" s="364"/>
      <c r="Y787" s="386" t="s">
        <v>4379</v>
      </c>
      <c r="Z787" s="386" t="s">
        <v>4380</v>
      </c>
      <c r="AA787" s="386" t="s">
        <v>4381</v>
      </c>
      <c r="AB787" s="1188" t="s">
        <v>4382</v>
      </c>
      <c r="AC787" s="386" t="s">
        <v>4383</v>
      </c>
      <c r="AD787" s="368">
        <v>5.0</v>
      </c>
      <c r="AE787" s="368">
        <v>62.0</v>
      </c>
      <c r="AF787" s="386" t="s">
        <v>4384</v>
      </c>
      <c r="AG787" s="600" t="s">
        <v>162</v>
      </c>
      <c r="AH787" s="321" t="s">
        <v>892</v>
      </c>
      <c r="AI787" s="368">
        <v>0.01</v>
      </c>
      <c r="AJ787" s="322" t="s">
        <v>127</v>
      </c>
      <c r="AK787" s="364" t="s">
        <v>179</v>
      </c>
      <c r="AL787" s="364" t="s">
        <v>132</v>
      </c>
      <c r="AM787" s="1139" t="s">
        <v>165</v>
      </c>
      <c r="AN787" s="368">
        <v>170.0</v>
      </c>
      <c r="AO787" s="368">
        <v>0.019</v>
      </c>
      <c r="AP787" s="321" t="s">
        <v>3494</v>
      </c>
      <c r="AQ787" s="508" t="s">
        <v>894</v>
      </c>
      <c r="AR787" s="368">
        <v>0.81</v>
      </c>
      <c r="AS787" s="322" t="s">
        <v>164</v>
      </c>
      <c r="AT787" s="322" t="s">
        <v>179</v>
      </c>
      <c r="AU787" s="322" t="s">
        <v>132</v>
      </c>
      <c r="AV787" s="945" t="s">
        <v>4385</v>
      </c>
      <c r="AW787" s="385" t="s">
        <v>134</v>
      </c>
      <c r="AX787" s="215"/>
      <c r="AY787" s="316" t="s">
        <v>135</v>
      </c>
      <c r="AZ787" s="84"/>
    </row>
    <row r="788">
      <c r="A788" s="809" t="s">
        <v>106</v>
      </c>
      <c r="B788" s="811" t="s">
        <v>107</v>
      </c>
      <c r="C788" s="811" t="s">
        <v>1821</v>
      </c>
      <c r="D788" s="763"/>
      <c r="E788" s="1138" t="s">
        <v>4370</v>
      </c>
      <c r="F788" s="1139" t="s">
        <v>4371</v>
      </c>
      <c r="G788" s="1139" t="s">
        <v>4386</v>
      </c>
      <c r="H788" s="1189">
        <v>45642.0</v>
      </c>
      <c r="I788" s="1190">
        <v>45684.0</v>
      </c>
      <c r="J788" s="1139" t="s">
        <v>4387</v>
      </c>
      <c r="K788" s="1191"/>
      <c r="L788" s="1139" t="s">
        <v>4373</v>
      </c>
      <c r="M788" s="1139" t="s">
        <v>4374</v>
      </c>
      <c r="N788" s="1191"/>
      <c r="O788" s="1143" t="s">
        <v>4375</v>
      </c>
      <c r="P788" s="48" t="str">
        <f t="array" ref="P788">HYPERLINK(INDEX('File Links'!B:B, MATCH(O788, 'File Links'!C:C, 0)))
</f>
        <v>https://drive.google.com/file/d/1y_lQGjVlo6Fl18TxXjJCuEtRwnUYubwf/view?usp=drivesdk</v>
      </c>
      <c r="Q788" s="1139" t="s">
        <v>4376</v>
      </c>
      <c r="R788" s="1139" t="s">
        <v>4377</v>
      </c>
      <c r="S788" s="1191"/>
      <c r="T788" s="1192">
        <v>2.0</v>
      </c>
      <c r="U788" s="1139" t="s">
        <v>4378</v>
      </c>
      <c r="V788" s="1139" t="s">
        <v>314</v>
      </c>
      <c r="W788" s="45" t="str">
        <f t="array" ref="W788">HYPERLINK(INDEX('File Links'!B:B, MATCH(U788, 'File Links'!C:C, 0)))
</f>
        <v>#N/A</v>
      </c>
      <c r="X788" s="1191"/>
      <c r="Y788" s="1193" t="s">
        <v>4379</v>
      </c>
      <c r="Z788" s="1139" t="s">
        <v>204</v>
      </c>
      <c r="AA788" s="1193" t="s">
        <v>4381</v>
      </c>
      <c r="AB788" s="1139" t="s">
        <v>4382</v>
      </c>
      <c r="AC788" s="1139" t="s">
        <v>4388</v>
      </c>
      <c r="AE788" s="1194">
        <v>62.0</v>
      </c>
      <c r="AF788" s="1194">
        <v>8.56</v>
      </c>
      <c r="AG788" s="1143" t="s">
        <v>1051</v>
      </c>
      <c r="AH788" s="1139" t="s">
        <v>4389</v>
      </c>
      <c r="AI788" s="1194">
        <v>0.01</v>
      </c>
      <c r="AJ788" s="1138" t="s">
        <v>127</v>
      </c>
      <c r="AK788" s="1195" t="s">
        <v>165</v>
      </c>
      <c r="AL788" s="1195" t="s">
        <v>165</v>
      </c>
      <c r="AM788" s="1139" t="s">
        <v>165</v>
      </c>
      <c r="AN788" s="1196">
        <v>175.0</v>
      </c>
      <c r="AO788" s="1194">
        <v>0.11</v>
      </c>
      <c r="AP788" s="321" t="s">
        <v>3494</v>
      </c>
      <c r="AQ788" s="1197" t="s">
        <v>4390</v>
      </c>
      <c r="AR788" s="1198">
        <v>0.743</v>
      </c>
      <c r="AS788" s="1199" t="s">
        <v>164</v>
      </c>
      <c r="AT788" s="1200" t="s">
        <v>165</v>
      </c>
      <c r="AU788" s="1200" t="s">
        <v>165</v>
      </c>
      <c r="AV788" s="1199" t="s">
        <v>4385</v>
      </c>
      <c r="AW788" s="1199" t="s">
        <v>134</v>
      </c>
      <c r="AX788" s="763"/>
      <c r="AY788" s="316" t="s">
        <v>135</v>
      </c>
      <c r="AZ788" s="84"/>
    </row>
    <row r="789">
      <c r="A789" s="314" t="s">
        <v>143</v>
      </c>
      <c r="B789" s="314" t="s">
        <v>107</v>
      </c>
      <c r="C789" s="316" t="s">
        <v>1455</v>
      </c>
      <c r="D789" s="215"/>
      <c r="E789" s="1138" t="s">
        <v>4370</v>
      </c>
      <c r="F789" s="386" t="s">
        <v>4391</v>
      </c>
      <c r="G789" s="386" t="s">
        <v>4372</v>
      </c>
      <c r="H789" s="1186">
        <v>45639.0</v>
      </c>
      <c r="I789" s="1187">
        <v>45684.0</v>
      </c>
      <c r="J789" s="364"/>
      <c r="K789" s="364"/>
      <c r="L789" s="386" t="s">
        <v>4373</v>
      </c>
      <c r="M789" s="386" t="s">
        <v>4374</v>
      </c>
      <c r="N789" s="321">
        <v>1.0</v>
      </c>
      <c r="O789" s="599" t="s">
        <v>4375</v>
      </c>
      <c r="P789" s="48" t="str">
        <f t="array" ref="P789">HYPERLINK(INDEX('File Links'!B:B, MATCH(O789, 'File Links'!C:C, 0)))
</f>
        <v>https://drive.google.com/file/d/1y_lQGjVlo6Fl18TxXjJCuEtRwnUYubwf/view?usp=drivesdk</v>
      </c>
      <c r="Q789" s="386" t="s">
        <v>4376</v>
      </c>
      <c r="R789" s="386" t="s">
        <v>4377</v>
      </c>
      <c r="S789" s="364"/>
      <c r="T789" s="326">
        <v>2.0</v>
      </c>
      <c r="U789" s="386" t="s">
        <v>4378</v>
      </c>
      <c r="V789" s="1139" t="s">
        <v>314</v>
      </c>
      <c r="W789" s="45" t="str">
        <f t="array" ref="W789">HYPERLINK(INDEX('File Links'!B:B, MATCH(U789, 'File Links'!C:C, 0)))
</f>
        <v>#N/A</v>
      </c>
      <c r="X789" s="364"/>
      <c r="Y789" s="386" t="s">
        <v>4379</v>
      </c>
      <c r="Z789" s="386" t="s">
        <v>4380</v>
      </c>
      <c r="AA789" s="386" t="s">
        <v>4381</v>
      </c>
      <c r="AB789" s="1188" t="s">
        <v>4382</v>
      </c>
      <c r="AC789" s="386" t="s">
        <v>4392</v>
      </c>
      <c r="AD789" s="368">
        <v>6.0</v>
      </c>
      <c r="AE789" s="368">
        <v>62.0</v>
      </c>
      <c r="AF789" s="315" t="s">
        <v>4393</v>
      </c>
      <c r="AG789" s="600" t="s">
        <v>162</v>
      </c>
      <c r="AH789" s="321" t="s">
        <v>892</v>
      </c>
      <c r="AI789" s="315" t="s">
        <v>165</v>
      </c>
      <c r="AJ789" s="315" t="s">
        <v>165</v>
      </c>
      <c r="AK789" s="364" t="s">
        <v>179</v>
      </c>
      <c r="AL789" s="364" t="s">
        <v>132</v>
      </c>
      <c r="AM789" s="1139" t="s">
        <v>165</v>
      </c>
      <c r="AN789" s="368">
        <v>170.0</v>
      </c>
      <c r="AO789" s="368">
        <v>0.079</v>
      </c>
      <c r="AP789" s="321" t="s">
        <v>3494</v>
      </c>
      <c r="AQ789" s="508" t="s">
        <v>894</v>
      </c>
      <c r="AR789" s="368">
        <v>0.31</v>
      </c>
      <c r="AS789" s="322" t="s">
        <v>164</v>
      </c>
      <c r="AT789" s="322" t="s">
        <v>179</v>
      </c>
      <c r="AU789" s="322" t="s">
        <v>132</v>
      </c>
      <c r="AV789" s="945" t="s">
        <v>4385</v>
      </c>
      <c r="AW789" s="385" t="s">
        <v>134</v>
      </c>
      <c r="AX789" s="215"/>
      <c r="AY789" s="316" t="s">
        <v>135</v>
      </c>
      <c r="AZ789" s="84"/>
      <c r="BA789" s="64"/>
      <c r="BB789" s="64"/>
      <c r="BC789" s="64"/>
      <c r="BD789" s="64"/>
      <c r="BE789" s="64"/>
      <c r="BF789" s="64"/>
      <c r="BG789" s="64"/>
      <c r="BH789" s="64"/>
      <c r="BI789" s="64"/>
      <c r="BJ789" s="64"/>
      <c r="BK789" s="64"/>
      <c r="BL789" s="64"/>
      <c r="BM789" s="64"/>
      <c r="BN789" s="64"/>
      <c r="BO789" s="64"/>
      <c r="BP789" s="64"/>
      <c r="BQ789" s="64"/>
      <c r="BR789" s="64"/>
      <c r="BS789" s="64"/>
      <c r="BT789" s="64"/>
      <c r="BU789" s="64"/>
      <c r="BV789" s="64"/>
      <c r="BW789" s="64"/>
      <c r="BX789" s="64"/>
      <c r="BY789" s="64"/>
      <c r="BZ789" s="64"/>
      <c r="CA789" s="64"/>
      <c r="CB789" s="64"/>
      <c r="CC789" s="64"/>
      <c r="CD789" s="64"/>
      <c r="CE789" s="64"/>
      <c r="CF789" s="64"/>
      <c r="CG789" s="64"/>
      <c r="CH789" s="64"/>
      <c r="CI789" s="64"/>
      <c r="CJ789" s="64"/>
      <c r="CK789" s="64"/>
      <c r="CL789" s="64"/>
      <c r="CM789" s="64"/>
      <c r="CN789" s="64"/>
      <c r="CO789" s="64"/>
      <c r="CP789" s="64"/>
      <c r="CQ789" s="64"/>
      <c r="CR789" s="64"/>
      <c r="CS789" s="64"/>
      <c r="CT789" s="64"/>
      <c r="CU789" s="64"/>
      <c r="CV789" s="64"/>
      <c r="CW789" s="64"/>
      <c r="CX789" s="64"/>
      <c r="CY789" s="64"/>
      <c r="CZ789" s="64"/>
      <c r="DA789" s="64"/>
      <c r="DB789" s="64"/>
      <c r="DC789" s="64"/>
      <c r="DD789" s="64"/>
      <c r="DE789" s="64"/>
      <c r="DF789" s="64"/>
      <c r="DG789" s="64"/>
    </row>
    <row r="790">
      <c r="A790" s="314" t="s">
        <v>143</v>
      </c>
      <c r="B790" s="314" t="s">
        <v>107</v>
      </c>
      <c r="C790" s="316" t="s">
        <v>1455</v>
      </c>
      <c r="D790" s="215"/>
      <c r="E790" s="1138" t="s">
        <v>4370</v>
      </c>
      <c r="F790" s="386" t="s">
        <v>4394</v>
      </c>
      <c r="G790" s="386" t="s">
        <v>4372</v>
      </c>
      <c r="H790" s="1186">
        <v>45639.0</v>
      </c>
      <c r="I790" s="1187">
        <v>45684.0</v>
      </c>
      <c r="J790" s="364"/>
      <c r="K790" s="364"/>
      <c r="L790" s="386" t="s">
        <v>4373</v>
      </c>
      <c r="M790" s="386" t="s">
        <v>4374</v>
      </c>
      <c r="N790" s="321">
        <v>1.0</v>
      </c>
      <c r="O790" s="599" t="s">
        <v>4375</v>
      </c>
      <c r="P790" s="48" t="str">
        <f t="array" ref="P790">HYPERLINK(INDEX('File Links'!B:B, MATCH(O790, 'File Links'!C:C, 0)))
</f>
        <v>https://drive.google.com/file/d/1y_lQGjVlo6Fl18TxXjJCuEtRwnUYubwf/view?usp=drivesdk</v>
      </c>
      <c r="Q790" s="386" t="s">
        <v>4376</v>
      </c>
      <c r="R790" s="386" t="s">
        <v>4377</v>
      </c>
      <c r="S790" s="364"/>
      <c r="T790" s="326">
        <v>2.0</v>
      </c>
      <c r="U790" s="386" t="s">
        <v>4378</v>
      </c>
      <c r="V790" s="1139" t="s">
        <v>314</v>
      </c>
      <c r="W790" s="45" t="str">
        <f t="array" ref="W790">HYPERLINK(INDEX('File Links'!B:B, MATCH(U790, 'File Links'!C:C, 0)))
</f>
        <v>#N/A</v>
      </c>
      <c r="X790" s="364"/>
      <c r="Y790" s="386" t="s">
        <v>4379</v>
      </c>
      <c r="Z790" s="386" t="s">
        <v>4380</v>
      </c>
      <c r="AA790" s="386" t="s">
        <v>4381</v>
      </c>
      <c r="AB790" s="1188" t="s">
        <v>4382</v>
      </c>
      <c r="AC790" s="386" t="s">
        <v>4395</v>
      </c>
      <c r="AD790" s="368">
        <v>5.0</v>
      </c>
      <c r="AE790" s="368">
        <v>62.0</v>
      </c>
      <c r="AF790" s="386" t="s">
        <v>4396</v>
      </c>
      <c r="AG790" s="600" t="s">
        <v>162</v>
      </c>
      <c r="AH790" s="321" t="s">
        <v>892</v>
      </c>
      <c r="AI790" s="368">
        <v>0.05</v>
      </c>
      <c r="AJ790" s="322" t="s">
        <v>127</v>
      </c>
      <c r="AK790" s="364" t="s">
        <v>179</v>
      </c>
      <c r="AL790" s="364" t="s">
        <v>132</v>
      </c>
      <c r="AM790" s="1139" t="s">
        <v>165</v>
      </c>
      <c r="AN790" s="368">
        <v>170.0</v>
      </c>
      <c r="AO790" s="368">
        <v>0.025</v>
      </c>
      <c r="AP790" s="321" t="s">
        <v>3494</v>
      </c>
      <c r="AQ790" s="508" t="s">
        <v>894</v>
      </c>
      <c r="AR790" s="368">
        <v>0.743</v>
      </c>
      <c r="AS790" s="322" t="s">
        <v>164</v>
      </c>
      <c r="AT790" s="322" t="s">
        <v>179</v>
      </c>
      <c r="AU790" s="322" t="s">
        <v>132</v>
      </c>
      <c r="AV790" s="945" t="s">
        <v>4385</v>
      </c>
      <c r="AW790" s="385" t="s">
        <v>134</v>
      </c>
      <c r="AX790" s="215"/>
      <c r="AY790" s="316" t="s">
        <v>135</v>
      </c>
      <c r="AZ790" s="84"/>
      <c r="BA790" s="64"/>
      <c r="BB790" s="64"/>
      <c r="BC790" s="64"/>
      <c r="BD790" s="64"/>
      <c r="BE790" s="64"/>
      <c r="BF790" s="64"/>
      <c r="BG790" s="64"/>
      <c r="BH790" s="64"/>
      <c r="BI790" s="64"/>
      <c r="BJ790" s="64"/>
      <c r="BK790" s="64"/>
      <c r="BL790" s="64"/>
      <c r="BM790" s="64"/>
      <c r="BN790" s="64"/>
      <c r="BO790" s="64"/>
      <c r="BP790" s="64"/>
      <c r="BQ790" s="64"/>
      <c r="BR790" s="64"/>
      <c r="BS790" s="64"/>
      <c r="BT790" s="64"/>
      <c r="BU790" s="64"/>
      <c r="BV790" s="64"/>
      <c r="BW790" s="64"/>
      <c r="BX790" s="64"/>
      <c r="BY790" s="64"/>
      <c r="BZ790" s="64"/>
      <c r="CA790" s="64"/>
      <c r="CB790" s="64"/>
      <c r="CC790" s="64"/>
      <c r="CD790" s="64"/>
      <c r="CE790" s="64"/>
      <c r="CF790" s="64"/>
      <c r="CG790" s="64"/>
      <c r="CH790" s="64"/>
      <c r="CI790" s="64"/>
      <c r="CJ790" s="64"/>
      <c r="CK790" s="64"/>
      <c r="CL790" s="64"/>
      <c r="CM790" s="64"/>
      <c r="CN790" s="64"/>
      <c r="CO790" s="64"/>
      <c r="CP790" s="64"/>
      <c r="CQ790" s="64"/>
      <c r="CR790" s="64"/>
      <c r="CS790" s="64"/>
      <c r="CT790" s="64"/>
      <c r="CU790" s="64"/>
      <c r="CV790" s="64"/>
      <c r="CW790" s="64"/>
      <c r="CX790" s="64"/>
      <c r="CY790" s="64"/>
      <c r="CZ790" s="64"/>
      <c r="DA790" s="64"/>
      <c r="DB790" s="64"/>
      <c r="DC790" s="64"/>
      <c r="DD790" s="64"/>
      <c r="DE790" s="64"/>
      <c r="DF790" s="64"/>
      <c r="DG790" s="64"/>
    </row>
    <row r="791">
      <c r="A791" s="177" t="s">
        <v>143</v>
      </c>
      <c r="B791" s="177" t="s">
        <v>107</v>
      </c>
      <c r="C791" s="177" t="s">
        <v>1471</v>
      </c>
      <c r="D791" s="178"/>
      <c r="E791" s="179" t="s">
        <v>4397</v>
      </c>
      <c r="F791" s="183" t="s">
        <v>4397</v>
      </c>
      <c r="G791" s="188" t="s">
        <v>1530</v>
      </c>
      <c r="H791" s="181">
        <v>45668.0</v>
      </c>
      <c r="I791" s="1201">
        <v>45677.0</v>
      </c>
      <c r="J791" s="1202" t="s">
        <v>4398</v>
      </c>
      <c r="K791" s="179"/>
      <c r="L791" s="829" t="s">
        <v>4399</v>
      </c>
      <c r="M791" s="1203" t="s">
        <v>4400</v>
      </c>
      <c r="N791" s="695">
        <v>5.0</v>
      </c>
      <c r="O791" s="188" t="str">
        <f> SUBSTITUTE(lower(M791), "/", "--") &amp;  ".pdf"</f>
        <v>10.1073--pnas.1519401113.pdf</v>
      </c>
      <c r="P791" s="48" t="str">
        <f t="array" ref="P791">HYPERLINK(INDEX('File Links'!B:B, MATCH(O791, 'File Links'!C:C, 0)))
</f>
        <v>https://drive.google.com/file/d/105cRk7vC72JK1EA9WyGiYPQkLW7C53Ad/view?usp=drivesdk</v>
      </c>
      <c r="Q791" s="185" t="s">
        <v>4401</v>
      </c>
      <c r="R791" s="179"/>
      <c r="S791" s="829" t="s">
        <v>4402</v>
      </c>
      <c r="T791" s="695">
        <v>1.0</v>
      </c>
      <c r="U791" s="188" t="s">
        <v>4403</v>
      </c>
      <c r="V791" s="188" t="s">
        <v>4404</v>
      </c>
      <c r="W791" s="45" t="str">
        <f t="array" ref="W791">HYPERLINK(INDEX('File Links'!B:B, MATCH(U791, 'File Links'!C:C, 0)))
</f>
        <v>#N/A</v>
      </c>
      <c r="Y791" s="188" t="s">
        <v>220</v>
      </c>
      <c r="Z791" s="188" t="s">
        <v>4405</v>
      </c>
      <c r="AA791" s="188" t="s">
        <v>4406</v>
      </c>
      <c r="AB791" s="188" t="s">
        <v>4407</v>
      </c>
      <c r="AC791" s="188" t="s">
        <v>4408</v>
      </c>
      <c r="AD791" s="695">
        <v>3.0</v>
      </c>
      <c r="AE791" s="695">
        <v>96.0</v>
      </c>
      <c r="AF791" s="687">
        <v>0.951</v>
      </c>
      <c r="AG791" s="188" t="s">
        <v>166</v>
      </c>
      <c r="AH791" s="511"/>
      <c r="AI791" s="184" t="s">
        <v>4409</v>
      </c>
      <c r="AJ791" s="180" t="s">
        <v>127</v>
      </c>
      <c r="AK791" s="180" t="s">
        <v>179</v>
      </c>
      <c r="AL791" s="179" t="s">
        <v>129</v>
      </c>
      <c r="AM791" s="350" t="s">
        <v>165</v>
      </c>
      <c r="AN791" s="695">
        <v>112.0</v>
      </c>
      <c r="AO791" s="695">
        <v>0.621</v>
      </c>
      <c r="AP791" s="188" t="s">
        <v>166</v>
      </c>
      <c r="AQ791" s="188" t="s">
        <v>505</v>
      </c>
      <c r="AR791" s="695">
        <v>0.001</v>
      </c>
      <c r="AS791" s="188" t="s">
        <v>164</v>
      </c>
      <c r="AT791" s="188" t="s">
        <v>128</v>
      </c>
      <c r="AU791" s="179" t="s">
        <v>129</v>
      </c>
      <c r="AV791" s="829" t="s">
        <v>4410</v>
      </c>
      <c r="AW791" s="179" t="s">
        <v>142</v>
      </c>
      <c r="AX791" s="178"/>
      <c r="AY791" s="177" t="s">
        <v>135</v>
      </c>
      <c r="AZ791" s="84"/>
      <c r="BA791" s="763"/>
      <c r="BB791" s="763"/>
      <c r="BC791" s="763"/>
      <c r="BD791" s="763"/>
      <c r="BE791" s="763"/>
      <c r="BF791" s="763"/>
      <c r="BG791" s="763"/>
      <c r="BH791" s="763"/>
      <c r="BI791" s="763"/>
      <c r="BJ791" s="763"/>
      <c r="BK791" s="763"/>
      <c r="BL791" s="763"/>
      <c r="BM791" s="763"/>
      <c r="BN791" s="763"/>
      <c r="BO791" s="763"/>
      <c r="BP791" s="763"/>
      <c r="BQ791" s="763"/>
      <c r="BR791" s="763"/>
      <c r="BS791" s="763"/>
      <c r="BT791" s="763"/>
      <c r="BU791" s="763"/>
      <c r="BV791" s="763"/>
      <c r="BW791" s="763"/>
      <c r="BX791" s="763"/>
      <c r="BY791" s="763"/>
      <c r="BZ791" s="763"/>
      <c r="CA791" s="763"/>
      <c r="CB791" s="763"/>
      <c r="CC791" s="763"/>
      <c r="CD791" s="763"/>
      <c r="CE791" s="763"/>
      <c r="CF791" s="763"/>
      <c r="CG791" s="763"/>
      <c r="CH791" s="763"/>
      <c r="CI791" s="763"/>
      <c r="CJ791" s="763"/>
      <c r="CK791" s="763"/>
      <c r="CL791" s="763"/>
      <c r="CM791" s="763"/>
      <c r="CN791" s="763"/>
      <c r="CO791" s="763"/>
      <c r="CP791" s="763"/>
      <c r="CQ791" s="763"/>
      <c r="CR791" s="763"/>
      <c r="CS791" s="763"/>
      <c r="CT791" s="763"/>
      <c r="CU791" s="763"/>
      <c r="CV791" s="763"/>
      <c r="CW791" s="763"/>
      <c r="CX791" s="763"/>
      <c r="CY791" s="763"/>
      <c r="CZ791" s="763"/>
      <c r="DA791" s="763"/>
      <c r="DB791" s="763"/>
      <c r="DC791" s="763"/>
      <c r="DD791" s="763"/>
      <c r="DE791" s="763"/>
      <c r="DF791" s="763"/>
      <c r="DG791" s="763"/>
    </row>
    <row r="792">
      <c r="A792" s="41" t="s">
        <v>106</v>
      </c>
      <c r="B792" s="41" t="s">
        <v>107</v>
      </c>
      <c r="C792" s="41" t="s">
        <v>1455</v>
      </c>
      <c r="E792" s="60" t="s">
        <v>4397</v>
      </c>
      <c r="F792" s="55" t="s">
        <v>4397</v>
      </c>
      <c r="G792" s="147" t="s">
        <v>1458</v>
      </c>
      <c r="H792" s="60"/>
      <c r="I792" s="1201">
        <v>45677.0</v>
      </c>
      <c r="J792" s="147" t="s">
        <v>4411</v>
      </c>
      <c r="K792" s="60"/>
      <c r="L792" s="410" t="s">
        <v>4412</v>
      </c>
      <c r="M792" s="1204" t="s">
        <v>4413</v>
      </c>
      <c r="N792" s="144">
        <v>5.0</v>
      </c>
      <c r="O792" s="145" t="str">
        <f>SUBSTITUTE(LOWER(M792), "/", "--") &amp;  ".pdf"</f>
        <v>10.1073--pnas.1519401113.pdf</v>
      </c>
      <c r="P792" s="48" t="str">
        <f t="array" ref="P792">HYPERLINK(INDEX('File Links'!B:B, MATCH(O792, 'File Links'!C:C, 0)))
</f>
        <v>https://drive.google.com/file/d/105cRk7vC72JK1EA9WyGiYPQkLW7C53Ad/view?usp=drivesdk</v>
      </c>
      <c r="Q792" s="60" t="s">
        <v>4414</v>
      </c>
      <c r="R792" s="60"/>
      <c r="S792" s="410" t="s">
        <v>4402</v>
      </c>
      <c r="T792" s="60"/>
      <c r="U792" s="506"/>
      <c r="V792" s="147" t="s">
        <v>4415</v>
      </c>
      <c r="W792" s="45" t="str">
        <f t="array" ref="W792">HYPERLINK(INDEX('File Links'!B:B, MATCH(U792, 'File Links'!C:C, 0)))
</f>
        <v>#N/A</v>
      </c>
      <c r="Y792" s="147" t="s">
        <v>220</v>
      </c>
      <c r="Z792" s="147" t="s">
        <v>4416</v>
      </c>
      <c r="AA792" s="147" t="s">
        <v>4417</v>
      </c>
      <c r="AB792" s="147" t="s">
        <v>4418</v>
      </c>
      <c r="AC792" s="147" t="s">
        <v>4419</v>
      </c>
      <c r="AD792" s="144">
        <v>4.0</v>
      </c>
      <c r="AE792" s="144">
        <v>96.0</v>
      </c>
      <c r="AF792" s="60" t="s">
        <v>4420</v>
      </c>
      <c r="AG792" s="147" t="s">
        <v>162</v>
      </c>
      <c r="AH792" s="60"/>
      <c r="AI792" s="646">
        <v>0.001</v>
      </c>
      <c r="AJ792" s="55" t="s">
        <v>127</v>
      </c>
      <c r="AK792" s="52" t="s">
        <v>179</v>
      </c>
      <c r="AL792" s="60" t="s">
        <v>129</v>
      </c>
      <c r="AM792" s="55"/>
      <c r="AN792" s="144">
        <v>112.0</v>
      </c>
      <c r="AO792" s="144">
        <v>0.621</v>
      </c>
      <c r="AP792" s="147" t="s">
        <v>166</v>
      </c>
      <c r="AQ792" s="147" t="s">
        <v>505</v>
      </c>
      <c r="AR792" s="144">
        <v>0.001</v>
      </c>
      <c r="AS792" s="60" t="s">
        <v>164</v>
      </c>
      <c r="AT792" s="147" t="s">
        <v>128</v>
      </c>
      <c r="AU792" s="60" t="s">
        <v>129</v>
      </c>
      <c r="AV792" s="60"/>
      <c r="AW792" s="60" t="s">
        <v>134</v>
      </c>
      <c r="AX792" s="1205" t="s">
        <v>4421</v>
      </c>
      <c r="AY792" s="177" t="s">
        <v>135</v>
      </c>
      <c r="AZ792" s="84"/>
      <c r="BA792" s="215"/>
      <c r="BB792" s="215"/>
      <c r="BC792" s="215"/>
      <c r="BD792" s="215"/>
      <c r="BE792" s="215"/>
      <c r="BF792" s="215"/>
      <c r="BG792" s="215"/>
      <c r="BH792" s="215"/>
      <c r="BI792" s="215"/>
      <c r="BJ792" s="215"/>
      <c r="BK792" s="215"/>
      <c r="BL792" s="215"/>
      <c r="BM792" s="215"/>
      <c r="BN792" s="215"/>
      <c r="BO792" s="215"/>
      <c r="BP792" s="215"/>
      <c r="BQ792" s="215"/>
      <c r="BR792" s="215"/>
      <c r="BS792" s="215"/>
      <c r="BT792" s="215"/>
      <c r="BU792" s="215"/>
      <c r="BV792" s="215"/>
      <c r="BW792" s="215"/>
      <c r="BX792" s="215"/>
      <c r="BY792" s="215"/>
      <c r="BZ792" s="215"/>
      <c r="CA792" s="215"/>
      <c r="CB792" s="215"/>
      <c r="CC792" s="215"/>
      <c r="CD792" s="215"/>
      <c r="CE792" s="215"/>
      <c r="CF792" s="215"/>
      <c r="CG792" s="215"/>
      <c r="CH792" s="215"/>
      <c r="CI792" s="215"/>
      <c r="CJ792" s="215"/>
      <c r="CK792" s="215"/>
      <c r="CL792" s="215"/>
      <c r="CM792" s="215"/>
      <c r="CN792" s="215"/>
      <c r="CO792" s="215"/>
      <c r="CP792" s="215"/>
      <c r="CQ792" s="215"/>
      <c r="CR792" s="215"/>
      <c r="CS792" s="215"/>
      <c r="CT792" s="215"/>
      <c r="CU792" s="215"/>
      <c r="CV792" s="215"/>
      <c r="CW792" s="215"/>
      <c r="CX792" s="215"/>
      <c r="CY792" s="215"/>
      <c r="CZ792" s="215"/>
      <c r="DA792" s="215"/>
      <c r="DB792" s="215"/>
      <c r="DC792" s="215"/>
      <c r="DD792" s="215"/>
      <c r="DE792" s="215"/>
      <c r="DF792" s="215"/>
      <c r="DG792" s="215"/>
    </row>
    <row r="793">
      <c r="A793" s="177" t="s">
        <v>143</v>
      </c>
      <c r="B793" s="177" t="s">
        <v>107</v>
      </c>
      <c r="C793" s="177" t="s">
        <v>1471</v>
      </c>
      <c r="D793" s="178"/>
      <c r="E793" s="179" t="s">
        <v>4422</v>
      </c>
      <c r="F793" s="183" t="s">
        <v>4422</v>
      </c>
      <c r="G793" s="188" t="s">
        <v>1530</v>
      </c>
      <c r="H793" s="181">
        <v>45669.0</v>
      </c>
      <c r="I793" s="1201">
        <v>45677.0</v>
      </c>
      <c r="J793" s="188" t="s">
        <v>4423</v>
      </c>
      <c r="K793" s="179"/>
      <c r="L793" s="829" t="s">
        <v>4424</v>
      </c>
      <c r="M793" s="1203" t="s">
        <v>4425</v>
      </c>
      <c r="N793" s="695">
        <v>7.0</v>
      </c>
      <c r="O793" s="188" t="str">
        <f> SUBSTITUTE(lower(M793), "/", "--") &amp;  ".pdf"</f>
        <v>10.1073--pnas.1805327115.pdf</v>
      </c>
      <c r="P793" s="48" t="str">
        <f t="array" ref="P793">HYPERLINK(INDEX('File Links'!B:B, MATCH(O793, 'File Links'!C:C, 0)))
</f>
        <v>https://drive.google.com/file/d/1DQ-5qEEOtHAV_EO0dtcKuZKTfy6PHQQl/view?usp=drivesdk</v>
      </c>
      <c r="Q793" s="185" t="s">
        <v>4426</v>
      </c>
      <c r="R793" s="179"/>
      <c r="S793" s="829" t="s">
        <v>4402</v>
      </c>
      <c r="T793" s="695">
        <v>1.0</v>
      </c>
      <c r="U793" s="188" t="s">
        <v>4427</v>
      </c>
      <c r="V793" s="188" t="s">
        <v>4428</v>
      </c>
      <c r="W793" s="45" t="str">
        <f t="array" ref="W793">HYPERLINK(INDEX('File Links'!B:B, MATCH(U793, 'File Links'!C:C, 0)))
</f>
        <v>#N/A</v>
      </c>
      <c r="Y793" s="188" t="s">
        <v>203</v>
      </c>
      <c r="Z793" s="188" t="s">
        <v>4429</v>
      </c>
      <c r="AA793" s="188" t="s">
        <v>4430</v>
      </c>
      <c r="AB793" s="188" t="s">
        <v>4431</v>
      </c>
      <c r="AC793" s="188" t="s">
        <v>4432</v>
      </c>
      <c r="AD793" s="695">
        <v>2.0</v>
      </c>
      <c r="AE793" s="695">
        <v>207.0</v>
      </c>
      <c r="AF793" s="695">
        <v>1.45</v>
      </c>
      <c r="AG793" s="188" t="s">
        <v>166</v>
      </c>
      <c r="AH793" s="188" t="s">
        <v>2748</v>
      </c>
      <c r="AI793" s="827">
        <v>0.001</v>
      </c>
      <c r="AJ793" s="180" t="s">
        <v>127</v>
      </c>
      <c r="AK793" s="180" t="s">
        <v>179</v>
      </c>
      <c r="AL793" s="179" t="s">
        <v>129</v>
      </c>
      <c r="AM793" s="350" t="s">
        <v>165</v>
      </c>
      <c r="AN793" s="695">
        <v>214.0</v>
      </c>
      <c r="AO793" s="695">
        <v>1.386</v>
      </c>
      <c r="AP793" s="188" t="s">
        <v>166</v>
      </c>
      <c r="AQ793" s="188" t="s">
        <v>2748</v>
      </c>
      <c r="AR793" s="695">
        <v>1.0E-4</v>
      </c>
      <c r="AS793" s="188" t="s">
        <v>127</v>
      </c>
      <c r="AT793" s="188" t="s">
        <v>128</v>
      </c>
      <c r="AU793" s="179" t="s">
        <v>129</v>
      </c>
      <c r="AV793" s="829" t="s">
        <v>4433</v>
      </c>
      <c r="AW793" s="179" t="s">
        <v>134</v>
      </c>
      <c r="AX793" s="178"/>
      <c r="AY793" s="177" t="s">
        <v>135</v>
      </c>
      <c r="AZ793" s="84"/>
      <c r="BA793" s="215"/>
      <c r="BB793" s="215"/>
      <c r="BC793" s="215"/>
      <c r="BD793" s="215"/>
      <c r="BE793" s="215"/>
      <c r="BF793" s="215"/>
      <c r="BG793" s="215"/>
      <c r="BH793" s="215"/>
      <c r="BI793" s="215"/>
      <c r="BJ793" s="215"/>
      <c r="BK793" s="215"/>
      <c r="BL793" s="215"/>
      <c r="BM793" s="215"/>
      <c r="BN793" s="215"/>
      <c r="BO793" s="215"/>
      <c r="BP793" s="215"/>
      <c r="BQ793" s="215"/>
      <c r="BR793" s="215"/>
      <c r="BS793" s="215"/>
      <c r="BT793" s="215"/>
      <c r="BU793" s="215"/>
      <c r="BV793" s="215"/>
      <c r="BW793" s="215"/>
      <c r="BX793" s="215"/>
      <c r="BY793" s="215"/>
      <c r="BZ793" s="215"/>
      <c r="CA793" s="215"/>
      <c r="CB793" s="215"/>
      <c r="CC793" s="215"/>
      <c r="CD793" s="215"/>
      <c r="CE793" s="215"/>
      <c r="CF793" s="215"/>
      <c r="CG793" s="215"/>
      <c r="CH793" s="215"/>
      <c r="CI793" s="215"/>
      <c r="CJ793" s="215"/>
      <c r="CK793" s="215"/>
      <c r="CL793" s="215"/>
      <c r="CM793" s="215"/>
      <c r="CN793" s="215"/>
      <c r="CO793" s="215"/>
      <c r="CP793" s="215"/>
      <c r="CQ793" s="215"/>
      <c r="CR793" s="215"/>
      <c r="CS793" s="215"/>
      <c r="CT793" s="215"/>
      <c r="CU793" s="215"/>
      <c r="CV793" s="215"/>
      <c r="CW793" s="215"/>
      <c r="CX793" s="215"/>
      <c r="CY793" s="215"/>
      <c r="CZ793" s="215"/>
      <c r="DA793" s="215"/>
      <c r="DB793" s="215"/>
      <c r="DC793" s="215"/>
      <c r="DD793" s="215"/>
      <c r="DE793" s="215"/>
      <c r="DF793" s="215"/>
      <c r="DG793" s="215"/>
    </row>
    <row r="794">
      <c r="A794" s="41" t="s">
        <v>106</v>
      </c>
      <c r="B794" s="41" t="s">
        <v>107</v>
      </c>
      <c r="C794" s="41" t="s">
        <v>1455</v>
      </c>
      <c r="E794" s="60" t="s">
        <v>4422</v>
      </c>
      <c r="F794" s="55" t="s">
        <v>4422</v>
      </c>
      <c r="G794" s="147" t="s">
        <v>1458</v>
      </c>
      <c r="H794" s="60"/>
      <c r="I794" s="1201">
        <v>45677.0</v>
      </c>
      <c r="J794" s="60"/>
      <c r="K794" s="60"/>
      <c r="L794" s="410" t="s">
        <v>4434</v>
      </c>
      <c r="M794" s="1204" t="s">
        <v>4435</v>
      </c>
      <c r="N794" s="60"/>
      <c r="O794" s="145" t="str">
        <f>SUBSTITUTE(LOWER(M794), "/", "--") &amp;  ".pdf"</f>
        <v>10.1073--pnas.1805327115.pdf</v>
      </c>
      <c r="P794" s="48" t="str">
        <f t="array" ref="P794">HYPERLINK(INDEX('File Links'!B:B, MATCH(O794, 'File Links'!C:C, 0)))
</f>
        <v>https://drive.google.com/file/d/1DQ-5qEEOtHAV_EO0dtcKuZKTfy6PHQQl/view?usp=drivesdk</v>
      </c>
      <c r="Q794" s="60" t="s">
        <v>4436</v>
      </c>
      <c r="R794" s="60"/>
      <c r="S794" s="410" t="s">
        <v>4402</v>
      </c>
      <c r="T794" s="144">
        <v>1.0</v>
      </c>
      <c r="U794" s="506"/>
      <c r="V794" s="147" t="s">
        <v>4415</v>
      </c>
      <c r="W794" s="45" t="str">
        <f t="array" ref="W794">HYPERLINK(INDEX('File Links'!B:B, MATCH(U794, 'File Links'!C:C, 0)))
</f>
        <v>#N/A</v>
      </c>
      <c r="Y794" s="147" t="s">
        <v>203</v>
      </c>
      <c r="Z794" s="147" t="s">
        <v>4437</v>
      </c>
      <c r="AA794" s="147" t="s">
        <v>4438</v>
      </c>
      <c r="AB794" s="147" t="s">
        <v>4439</v>
      </c>
      <c r="AC794" s="147" t="s">
        <v>4440</v>
      </c>
      <c r="AD794" s="144">
        <v>2.0</v>
      </c>
      <c r="AE794" s="144">
        <v>207.0</v>
      </c>
      <c r="AF794" s="147" t="s">
        <v>4441</v>
      </c>
      <c r="AG794" s="147" t="s">
        <v>162</v>
      </c>
      <c r="AH794" s="60"/>
      <c r="AI794" s="646">
        <v>0.001</v>
      </c>
      <c r="AJ794" s="52" t="s">
        <v>127</v>
      </c>
      <c r="AK794" s="52" t="s">
        <v>179</v>
      </c>
      <c r="AL794" s="1206" t="s">
        <v>129</v>
      </c>
      <c r="AM794" s="55"/>
      <c r="AN794" s="144">
        <v>214.0</v>
      </c>
      <c r="AO794" s="144">
        <v>1.386</v>
      </c>
      <c r="AP794" s="147" t="s">
        <v>166</v>
      </c>
      <c r="AQ794" s="147" t="s">
        <v>2748</v>
      </c>
      <c r="AR794" s="1207">
        <v>6.2E-20</v>
      </c>
      <c r="AS794" s="147" t="s">
        <v>164</v>
      </c>
      <c r="AT794" s="147" t="s">
        <v>128</v>
      </c>
      <c r="AU794" s="1206" t="s">
        <v>129</v>
      </c>
      <c r="AV794" s="60"/>
      <c r="AW794" s="1206" t="s">
        <v>134</v>
      </c>
      <c r="AY794" s="177" t="s">
        <v>135</v>
      </c>
      <c r="AZ794" s="84"/>
      <c r="BA794" s="215"/>
      <c r="BB794" s="215"/>
      <c r="BC794" s="215"/>
      <c r="BD794" s="215"/>
      <c r="BE794" s="215"/>
      <c r="BF794" s="215"/>
      <c r="BG794" s="215"/>
      <c r="BH794" s="215"/>
      <c r="BI794" s="215"/>
      <c r="BJ794" s="215"/>
      <c r="BK794" s="215"/>
      <c r="BL794" s="215"/>
      <c r="BM794" s="215"/>
      <c r="BN794" s="215"/>
      <c r="BO794" s="215"/>
      <c r="BP794" s="215"/>
      <c r="BQ794" s="215"/>
      <c r="BR794" s="215"/>
      <c r="BS794" s="215"/>
      <c r="BT794" s="215"/>
      <c r="BU794" s="215"/>
      <c r="BV794" s="215"/>
      <c r="BW794" s="215"/>
      <c r="BX794" s="215"/>
      <c r="BY794" s="215"/>
      <c r="BZ794" s="215"/>
      <c r="CA794" s="215"/>
      <c r="CB794" s="215"/>
      <c r="CC794" s="215"/>
      <c r="CD794" s="215"/>
      <c r="CE794" s="215"/>
      <c r="CF794" s="215"/>
      <c r="CG794" s="215"/>
      <c r="CH794" s="215"/>
      <c r="CI794" s="215"/>
      <c r="CJ794" s="215"/>
      <c r="CK794" s="215"/>
      <c r="CL794" s="215"/>
      <c r="CM794" s="215"/>
      <c r="CN794" s="215"/>
      <c r="CO794" s="215"/>
      <c r="CP794" s="215"/>
      <c r="CQ794" s="215"/>
      <c r="CR794" s="215"/>
      <c r="CS794" s="215"/>
      <c r="CT794" s="215"/>
      <c r="CU794" s="215"/>
      <c r="CV794" s="215"/>
      <c r="CW794" s="215"/>
      <c r="CX794" s="215"/>
      <c r="CY794" s="215"/>
      <c r="CZ794" s="215"/>
      <c r="DA794" s="215"/>
      <c r="DB794" s="215"/>
      <c r="DC794" s="215"/>
      <c r="DD794" s="215"/>
      <c r="DE794" s="215"/>
      <c r="DF794" s="215"/>
      <c r="DG794" s="215"/>
    </row>
    <row r="795">
      <c r="A795" s="177" t="s">
        <v>143</v>
      </c>
      <c r="B795" s="177" t="s">
        <v>107</v>
      </c>
      <c r="C795" s="177" t="s">
        <v>1471</v>
      </c>
      <c r="D795" s="178"/>
      <c r="E795" s="179" t="s">
        <v>4442</v>
      </c>
      <c r="F795" s="183" t="s">
        <v>4442</v>
      </c>
      <c r="G795" s="188" t="s">
        <v>1530</v>
      </c>
      <c r="H795" s="181">
        <v>45669.0</v>
      </c>
      <c r="I795" s="1201">
        <v>45677.0</v>
      </c>
      <c r="J795" s="1202" t="s">
        <v>4443</v>
      </c>
      <c r="K795" s="179"/>
      <c r="L795" s="829" t="s">
        <v>4444</v>
      </c>
      <c r="M795" s="1203" t="s">
        <v>4445</v>
      </c>
      <c r="N795" s="695">
        <v>2.0</v>
      </c>
      <c r="O795" s="188" t="str">
        <f> SUBSTITUTE(lower(M795), "/", "--") &amp;  ".pdf"</f>
        <v>10.1073--pnas.1601280113.pdf</v>
      </c>
      <c r="P795" s="48" t="str">
        <f t="array" ref="P795">HYPERLINK(INDEX('File Links'!B:B, MATCH(O795, 'File Links'!C:C, 0)))
</f>
        <v>https://drive.google.com/file/d/1BbeoZ9CdBUXQMwPbOQkLBdsayafNFSX2/view?usp=drivesdk</v>
      </c>
      <c r="Q795" s="185" t="s">
        <v>4446</v>
      </c>
      <c r="R795" s="179"/>
      <c r="S795" s="829" t="s">
        <v>4402</v>
      </c>
      <c r="T795" s="695">
        <v>1.0</v>
      </c>
      <c r="U795" s="188" t="s">
        <v>4447</v>
      </c>
      <c r="V795" s="188" t="s">
        <v>4448</v>
      </c>
      <c r="W795" s="45" t="str">
        <f t="array" ref="W795">HYPERLINK(INDEX('File Links'!B:B, MATCH(U795, 'File Links'!C:C, 0)))
</f>
        <v>#N/A</v>
      </c>
      <c r="Y795" s="188" t="s">
        <v>203</v>
      </c>
      <c r="Z795" s="188" t="s">
        <v>4449</v>
      </c>
      <c r="AA795" s="188" t="s">
        <v>4450</v>
      </c>
      <c r="AB795" s="188" t="s">
        <v>4451</v>
      </c>
      <c r="AC795" s="188" t="s">
        <v>4452</v>
      </c>
      <c r="AD795" s="695">
        <v>3.0</v>
      </c>
      <c r="AE795" s="695">
        <v>735.0</v>
      </c>
      <c r="AF795" s="695">
        <v>-0.486</v>
      </c>
      <c r="AG795" s="188" t="s">
        <v>1006</v>
      </c>
      <c r="AH795" s="511"/>
      <c r="AI795" s="827">
        <v>0.002</v>
      </c>
      <c r="AJ795" s="180" t="s">
        <v>164</v>
      </c>
      <c r="AK795" s="180" t="s">
        <v>179</v>
      </c>
      <c r="AL795" s="179" t="s">
        <v>129</v>
      </c>
      <c r="AM795" s="350" t="s">
        <v>165</v>
      </c>
      <c r="AN795" s="695">
        <v>1826.0</v>
      </c>
      <c r="AO795" s="695">
        <v>0.05</v>
      </c>
      <c r="AP795" s="188" t="s">
        <v>166</v>
      </c>
      <c r="AQ795" s="188" t="s">
        <v>2748</v>
      </c>
      <c r="AR795" s="695">
        <v>0.288</v>
      </c>
      <c r="AS795" s="188" t="s">
        <v>164</v>
      </c>
      <c r="AT795" s="188" t="s">
        <v>128</v>
      </c>
      <c r="AU795" s="179" t="s">
        <v>129</v>
      </c>
      <c r="AV795" s="829" t="s">
        <v>4453</v>
      </c>
      <c r="AW795" s="179" t="s">
        <v>134</v>
      </c>
      <c r="AX795" s="178"/>
      <c r="AY795" s="177" t="s">
        <v>135</v>
      </c>
      <c r="AZ795" s="84"/>
      <c r="BA795" s="215"/>
      <c r="BB795" s="215"/>
      <c r="BC795" s="215"/>
      <c r="BD795" s="215"/>
      <c r="BE795" s="215"/>
      <c r="BF795" s="215"/>
      <c r="BG795" s="215"/>
      <c r="BH795" s="215"/>
      <c r="BI795" s="215"/>
      <c r="BJ795" s="215"/>
      <c r="BK795" s="215"/>
      <c r="BL795" s="215"/>
      <c r="BM795" s="215"/>
      <c r="BN795" s="215"/>
      <c r="BO795" s="215"/>
      <c r="BP795" s="215"/>
      <c r="BQ795" s="215"/>
      <c r="BR795" s="215"/>
      <c r="BS795" s="215"/>
      <c r="BT795" s="215"/>
      <c r="BU795" s="215"/>
      <c r="BV795" s="215"/>
      <c r="BW795" s="215"/>
      <c r="BX795" s="215"/>
      <c r="BY795" s="215"/>
      <c r="BZ795" s="215"/>
      <c r="CA795" s="215"/>
      <c r="CB795" s="215"/>
      <c r="CC795" s="215"/>
      <c r="CD795" s="215"/>
      <c r="CE795" s="215"/>
      <c r="CF795" s="215"/>
      <c r="CG795" s="215"/>
      <c r="CH795" s="215"/>
      <c r="CI795" s="215"/>
      <c r="CJ795" s="215"/>
      <c r="CK795" s="215"/>
      <c r="CL795" s="215"/>
      <c r="CM795" s="215"/>
      <c r="CN795" s="215"/>
      <c r="CO795" s="215"/>
      <c r="CP795" s="215"/>
      <c r="CQ795" s="215"/>
      <c r="CR795" s="215"/>
      <c r="CS795" s="215"/>
      <c r="CT795" s="215"/>
      <c r="CU795" s="215"/>
      <c r="CV795" s="215"/>
      <c r="CW795" s="215"/>
      <c r="CX795" s="215"/>
      <c r="CY795" s="215"/>
      <c r="CZ795" s="215"/>
      <c r="DA795" s="215"/>
      <c r="DB795" s="215"/>
      <c r="DC795" s="215"/>
      <c r="DD795" s="215"/>
      <c r="DE795" s="215"/>
      <c r="DF795" s="215"/>
      <c r="DG795" s="215"/>
    </row>
    <row r="796">
      <c r="A796" s="41" t="s">
        <v>106</v>
      </c>
      <c r="B796" s="41" t="s">
        <v>107</v>
      </c>
      <c r="C796" s="41" t="s">
        <v>1455</v>
      </c>
      <c r="E796" s="60" t="s">
        <v>4442</v>
      </c>
      <c r="F796" s="55" t="s">
        <v>4442</v>
      </c>
      <c r="G796" s="147" t="s">
        <v>1458</v>
      </c>
      <c r="H796" s="60"/>
      <c r="I796" s="1201">
        <v>45677.0</v>
      </c>
      <c r="J796" s="147" t="s">
        <v>4454</v>
      </c>
      <c r="K796" s="60"/>
      <c r="L796" s="410" t="s">
        <v>4455</v>
      </c>
      <c r="M796" s="1204" t="s">
        <v>4456</v>
      </c>
      <c r="N796" s="60"/>
      <c r="O796" s="145" t="str">
        <f>SUBSTITUTE(LOWER(M796), "/", "--") &amp;  ".pdf"</f>
        <v>10.1073--pnas.1601280113.pdf</v>
      </c>
      <c r="P796" s="48" t="str">
        <f t="array" ref="P796">HYPERLINK(INDEX('File Links'!B:B, MATCH(O796, 'File Links'!C:C, 0)))
</f>
        <v>https://drive.google.com/file/d/1BbeoZ9CdBUXQMwPbOQkLBdsayafNFSX2/view?usp=drivesdk</v>
      </c>
      <c r="Q796" s="60" t="s">
        <v>4457</v>
      </c>
      <c r="R796" s="60"/>
      <c r="S796" s="410" t="s">
        <v>4402</v>
      </c>
      <c r="T796" s="144">
        <v>1.0</v>
      </c>
      <c r="U796" s="506"/>
      <c r="V796" s="147" t="s">
        <v>4415</v>
      </c>
      <c r="W796" s="45" t="str">
        <f t="array" ref="W796">HYPERLINK(INDEX('File Links'!B:B, MATCH(U796, 'File Links'!C:C, 0)))
</f>
        <v>#N/A</v>
      </c>
      <c r="Y796" s="147" t="s">
        <v>203</v>
      </c>
      <c r="Z796" s="147" t="s">
        <v>4458</v>
      </c>
      <c r="AA796" s="147" t="s">
        <v>4459</v>
      </c>
      <c r="AB796" s="147" t="s">
        <v>4460</v>
      </c>
      <c r="AC796" s="147" t="s">
        <v>4461</v>
      </c>
      <c r="AD796" s="144">
        <v>3.0</v>
      </c>
      <c r="AE796" s="144">
        <v>735.0</v>
      </c>
      <c r="AF796" s="144">
        <v>-0.486</v>
      </c>
      <c r="AG796" s="147" t="s">
        <v>1006</v>
      </c>
      <c r="AH796" s="60"/>
      <c r="AI796" s="646">
        <v>0.002</v>
      </c>
      <c r="AJ796" s="52" t="s">
        <v>164</v>
      </c>
      <c r="AK796" s="52" t="s">
        <v>179</v>
      </c>
      <c r="AL796" s="1206" t="s">
        <v>132</v>
      </c>
      <c r="AM796" s="55"/>
      <c r="AN796" s="144">
        <v>1826.0</v>
      </c>
      <c r="AO796" s="144">
        <v>0.05</v>
      </c>
      <c r="AP796" s="147" t="s">
        <v>166</v>
      </c>
      <c r="AQ796" s="147" t="s">
        <v>2748</v>
      </c>
      <c r="AR796" s="144">
        <v>0.288</v>
      </c>
      <c r="AS796" s="147" t="s">
        <v>164</v>
      </c>
      <c r="AT796" s="147" t="s">
        <v>128</v>
      </c>
      <c r="AU796" s="1206" t="s">
        <v>132</v>
      </c>
      <c r="AV796" s="60"/>
      <c r="AW796" s="1206" t="s">
        <v>134</v>
      </c>
      <c r="AY796" s="177" t="s">
        <v>135</v>
      </c>
      <c r="AZ796" s="84"/>
    </row>
    <row r="797">
      <c r="A797" s="177" t="s">
        <v>143</v>
      </c>
      <c r="B797" s="177" t="s">
        <v>107</v>
      </c>
      <c r="C797" s="177" t="s">
        <v>1471</v>
      </c>
      <c r="D797" s="178"/>
      <c r="E797" s="179" t="s">
        <v>4462</v>
      </c>
      <c r="F797" s="183" t="s">
        <v>4462</v>
      </c>
      <c r="G797" s="188" t="s">
        <v>1530</v>
      </c>
      <c r="H797" s="181">
        <v>45669.0</v>
      </c>
      <c r="I797" s="1201">
        <v>45677.0</v>
      </c>
      <c r="J797" s="188" t="s">
        <v>4463</v>
      </c>
      <c r="K797" s="179"/>
      <c r="L797" s="829" t="s">
        <v>4464</v>
      </c>
      <c r="M797" s="1203" t="s">
        <v>4465</v>
      </c>
      <c r="N797" s="695">
        <v>7.0</v>
      </c>
      <c r="O797" s="188" t="str">
        <f> SUBSTITUTE(lower(M797), "/", "--") &amp;  ".pdf"</f>
        <v>10.1073--pnas.1516868113.pdf</v>
      </c>
      <c r="P797" s="48" t="str">
        <f t="array" ref="P797">HYPERLINK(INDEX('File Links'!B:B, MATCH(O797, 'File Links'!C:C, 0)))
</f>
        <v>https://drive.google.com/file/d/1yHD_X4W7fLNjPrkn11Gu0-mHGcNqrpws/view?usp=drivesdk</v>
      </c>
      <c r="Q797" s="185" t="s">
        <v>4466</v>
      </c>
      <c r="R797" s="179"/>
      <c r="S797" s="829" t="s">
        <v>4402</v>
      </c>
      <c r="T797" s="695">
        <v>1.0</v>
      </c>
      <c r="U797" s="188" t="s">
        <v>4467</v>
      </c>
      <c r="V797" s="188" t="s">
        <v>4468</v>
      </c>
      <c r="W797" s="45" t="str">
        <f t="array" ref="W797">HYPERLINK(INDEX('File Links'!B:B, MATCH(U797, 'File Links'!C:C, 0)))
</f>
        <v>#N/A</v>
      </c>
      <c r="Y797" s="188" t="s">
        <v>203</v>
      </c>
      <c r="Z797" s="188" t="s">
        <v>4469</v>
      </c>
      <c r="AA797" s="188" t="s">
        <v>4470</v>
      </c>
      <c r="AB797" s="188" t="s">
        <v>4471</v>
      </c>
      <c r="AC797" s="188" t="s">
        <v>4472</v>
      </c>
      <c r="AD797" s="695">
        <v>3.0</v>
      </c>
      <c r="AE797" s="695">
        <v>142.0</v>
      </c>
      <c r="AF797" s="695">
        <v>0.387</v>
      </c>
      <c r="AG797" s="188" t="s">
        <v>166</v>
      </c>
      <c r="AH797" s="179" t="str">
        <f>IF(ISBLANK(AH790), 
   "=(" &amp; AH788 &amp; "-" &amp; AH792 &amp; ")/SQRT((" &amp; AH789 &amp; "^2+" &amp; AH793 &amp; "^2)/2)", 
   "=(" &amp; AH788 &amp; "-" &amp; AH792 &amp; ")/SQRT(((" &amp; AH790 &amp; "-1)*" &amp; AH789 &amp; "^2+(" &amp; AH794 &amp; "-1)*" &amp; AH793 &amp; "^2)/(" &amp; AH790 &amp; "+" &amp; AH794 &amp; "-2)))"
)
</f>
        <v>=(p.384-)/SQRT(((p. 5-1)*p. 5^2+(-1)*p.2^2)/(p. 5+-2)))</v>
      </c>
      <c r="AI797" s="827">
        <v>0.04</v>
      </c>
      <c r="AJ797" s="180" t="s">
        <v>164</v>
      </c>
      <c r="AK797" s="180" t="s">
        <v>179</v>
      </c>
      <c r="AL797" s="179" t="s">
        <v>129</v>
      </c>
      <c r="AM797" s="350" t="s">
        <v>165</v>
      </c>
      <c r="AN797" s="695">
        <v>1224.0</v>
      </c>
      <c r="AO797" s="1208">
        <v>0.039</v>
      </c>
      <c r="AP797" s="188" t="s">
        <v>166</v>
      </c>
      <c r="AQ797" s="188" t="s">
        <v>2748</v>
      </c>
      <c r="AR797" s="1208">
        <v>0.492</v>
      </c>
      <c r="AS797" s="188" t="s">
        <v>164</v>
      </c>
      <c r="AT797" s="188" t="s">
        <v>128</v>
      </c>
      <c r="AU797" s="179" t="s">
        <v>129</v>
      </c>
      <c r="AV797" s="829" t="s">
        <v>4473</v>
      </c>
      <c r="AW797" s="179" t="s">
        <v>134</v>
      </c>
      <c r="AX797" s="178"/>
      <c r="AY797" s="177" t="s">
        <v>135</v>
      </c>
      <c r="AZ797" s="84"/>
    </row>
    <row r="798">
      <c r="A798" s="41" t="s">
        <v>106</v>
      </c>
      <c r="B798" s="41" t="s">
        <v>107</v>
      </c>
      <c r="C798" s="41" t="s">
        <v>1455</v>
      </c>
      <c r="E798" s="60" t="s">
        <v>4462</v>
      </c>
      <c r="F798" s="55" t="s">
        <v>4462</v>
      </c>
      <c r="G798" s="147" t="s">
        <v>1458</v>
      </c>
      <c r="H798" s="60"/>
      <c r="I798" s="1201">
        <v>45677.0</v>
      </c>
      <c r="J798" s="60"/>
      <c r="K798" s="60"/>
      <c r="L798" s="410" t="s">
        <v>4474</v>
      </c>
      <c r="M798" s="1204" t="s">
        <v>4475</v>
      </c>
      <c r="N798" s="60"/>
      <c r="O798" s="145" t="str">
        <f>SUBSTITUTE(LOWER(M798), "/", "--") &amp;  ".pdf"</f>
        <v>10.1073--pnas.1516868113.pdf</v>
      </c>
      <c r="P798" s="48" t="str">
        <f t="array" ref="P798">HYPERLINK(INDEX('File Links'!B:B, MATCH(O798, 'File Links'!C:C, 0)))
</f>
        <v>https://drive.google.com/file/d/1yHD_X4W7fLNjPrkn11Gu0-mHGcNqrpws/view?usp=drivesdk</v>
      </c>
      <c r="Q798" s="60" t="s">
        <v>4476</v>
      </c>
      <c r="R798" s="60"/>
      <c r="S798" s="410" t="s">
        <v>4402</v>
      </c>
      <c r="T798" s="147" t="s">
        <v>3511</v>
      </c>
      <c r="U798" s="506"/>
      <c r="V798" s="147" t="s">
        <v>4415</v>
      </c>
      <c r="W798" s="45" t="str">
        <f t="array" ref="W798">HYPERLINK(INDEX('File Links'!B:B, MATCH(U798, 'File Links'!C:C, 0)))
</f>
        <v>#N/A</v>
      </c>
      <c r="Y798" s="147" t="s">
        <v>203</v>
      </c>
      <c r="Z798" s="147" t="s">
        <v>4477</v>
      </c>
      <c r="AA798" s="147" t="s">
        <v>4478</v>
      </c>
      <c r="AB798" s="147" t="s">
        <v>4479</v>
      </c>
      <c r="AC798" s="147" t="s">
        <v>4480</v>
      </c>
      <c r="AD798" s="144">
        <v>3.0</v>
      </c>
      <c r="AE798" s="144">
        <v>142.0</v>
      </c>
      <c r="AF798" s="147" t="s">
        <v>4481</v>
      </c>
      <c r="AG798" s="147" t="s">
        <v>162</v>
      </c>
      <c r="AH798" s="60"/>
      <c r="AI798" s="646">
        <v>0.04</v>
      </c>
      <c r="AJ798" s="52" t="s">
        <v>164</v>
      </c>
      <c r="AK798" s="52" t="s">
        <v>179</v>
      </c>
      <c r="AL798" s="1206" t="s">
        <v>129</v>
      </c>
      <c r="AM798" s="55"/>
      <c r="AN798" s="144">
        <v>1224.0</v>
      </c>
      <c r="AO798" s="144">
        <v>0.039</v>
      </c>
      <c r="AP798" s="147" t="s">
        <v>166</v>
      </c>
      <c r="AQ798" s="147" t="s">
        <v>2748</v>
      </c>
      <c r="AR798" s="144">
        <v>0.492</v>
      </c>
      <c r="AS798" s="147" t="s">
        <v>164</v>
      </c>
      <c r="AT798" s="147" t="s">
        <v>128</v>
      </c>
      <c r="AU798" s="1206" t="s">
        <v>129</v>
      </c>
      <c r="AV798" s="60"/>
      <c r="AW798" s="1206" t="s">
        <v>134</v>
      </c>
      <c r="AY798" s="177" t="s">
        <v>135</v>
      </c>
      <c r="AZ798" s="84"/>
    </row>
    <row r="799">
      <c r="A799" s="177" t="s">
        <v>143</v>
      </c>
      <c r="B799" s="177" t="s">
        <v>107</v>
      </c>
      <c r="C799" s="177" t="s">
        <v>1471</v>
      </c>
      <c r="D799" s="178"/>
      <c r="E799" s="179" t="s">
        <v>4482</v>
      </c>
      <c r="F799" s="183" t="s">
        <v>4482</v>
      </c>
      <c r="G799" s="188" t="s">
        <v>1530</v>
      </c>
      <c r="H799" s="181">
        <v>45669.0</v>
      </c>
      <c r="I799" s="1201">
        <v>45677.0</v>
      </c>
      <c r="J799" s="188" t="s">
        <v>4483</v>
      </c>
      <c r="K799" s="179"/>
      <c r="L799" s="829" t="s">
        <v>4484</v>
      </c>
      <c r="M799" s="1203" t="s">
        <v>4485</v>
      </c>
      <c r="N799" s="695">
        <v>9.0</v>
      </c>
      <c r="O799" s="188" t="str">
        <f> SUBSTITUTE(lower(M799), "/", "--") &amp;  ".pdf"</f>
        <v>10.1073--pnas.1706913114.pdf</v>
      </c>
      <c r="P799" s="48" t="str">
        <f t="array" ref="P799">HYPERLINK(INDEX('File Links'!B:B, MATCH(O799, 'File Links'!C:C, 0)))
</f>
        <v>https://drive.google.com/file/d/1xfxst9Oa-ge7wewPL4HMH7DqgvOPP20b/view?usp=drivesdk</v>
      </c>
      <c r="Q799" s="185" t="s">
        <v>4486</v>
      </c>
      <c r="R799" s="179"/>
      <c r="S799" s="829" t="s">
        <v>4402</v>
      </c>
      <c r="T799" s="695">
        <v>1.0</v>
      </c>
      <c r="U799" s="188" t="s">
        <v>4487</v>
      </c>
      <c r="V799" s="188" t="s">
        <v>4488</v>
      </c>
      <c r="W799" s="45" t="str">
        <f t="array" ref="W799">HYPERLINK(INDEX('File Links'!B:B, MATCH(U799, 'File Links'!C:C, 0)))
</f>
        <v>#N/A</v>
      </c>
      <c r="Y799" s="188" t="s">
        <v>203</v>
      </c>
      <c r="Z799" s="188" t="s">
        <v>4489</v>
      </c>
      <c r="AA799" s="188" t="s">
        <v>4490</v>
      </c>
      <c r="AB799" s="188" t="s">
        <v>4491</v>
      </c>
      <c r="AC799" s="188" t="s">
        <v>4492</v>
      </c>
      <c r="AD799" s="695">
        <v>2.0</v>
      </c>
      <c r="AE799" s="179"/>
      <c r="AF799" s="695">
        <v>-0.7</v>
      </c>
      <c r="AG799" s="188" t="s">
        <v>357</v>
      </c>
      <c r="AH799" s="188" t="s">
        <v>2748</v>
      </c>
      <c r="AI799" s="827">
        <v>0.005</v>
      </c>
      <c r="AJ799" s="180" t="s">
        <v>127</v>
      </c>
      <c r="AK799" s="180" t="s">
        <v>179</v>
      </c>
      <c r="AL799" s="179" t="s">
        <v>129</v>
      </c>
      <c r="AM799" s="350" t="s">
        <v>165</v>
      </c>
      <c r="AN799" s="695">
        <v>820.0</v>
      </c>
      <c r="AO799" s="695">
        <v>0.332</v>
      </c>
      <c r="AP799" s="188" t="s">
        <v>166</v>
      </c>
      <c r="AQ799" s="188" t="s">
        <v>505</v>
      </c>
      <c r="AR799" s="1209">
        <v>0.001</v>
      </c>
      <c r="AS799" s="188" t="s">
        <v>127</v>
      </c>
      <c r="AT799" s="188" t="s">
        <v>128</v>
      </c>
      <c r="AU799" s="179" t="s">
        <v>129</v>
      </c>
      <c r="AV799" s="829" t="s">
        <v>4493</v>
      </c>
      <c r="AW799" s="179" t="s">
        <v>134</v>
      </c>
      <c r="AX799" s="178"/>
      <c r="AY799" s="177" t="s">
        <v>135</v>
      </c>
      <c r="AZ799" s="84"/>
    </row>
    <row r="800">
      <c r="A800" s="41" t="s">
        <v>106</v>
      </c>
      <c r="B800" s="41" t="s">
        <v>107</v>
      </c>
      <c r="C800" s="41" t="s">
        <v>1455</v>
      </c>
      <c r="E800" s="60" t="s">
        <v>4482</v>
      </c>
      <c r="F800" s="55" t="s">
        <v>4482</v>
      </c>
      <c r="G800" s="147" t="s">
        <v>1458</v>
      </c>
      <c r="H800" s="60"/>
      <c r="I800" s="1201">
        <v>45677.0</v>
      </c>
      <c r="J800" s="60"/>
      <c r="K800" s="60"/>
      <c r="L800" s="410" t="s">
        <v>4494</v>
      </c>
      <c r="M800" s="1204" t="s">
        <v>4495</v>
      </c>
      <c r="N800" s="60"/>
      <c r="O800" s="145" t="str">
        <f>SUBSTITUTE(LOWER(M800), "/", "--") &amp;  ".pdf"</f>
        <v>10.1073--pnas.1706913114.pdf</v>
      </c>
      <c r="P800" s="48" t="str">
        <f t="array" ref="P800">HYPERLINK(INDEX('File Links'!B:B, MATCH(O800, 'File Links'!C:C, 0)))
</f>
        <v>https://drive.google.com/file/d/1xfxst9Oa-ge7wewPL4HMH7DqgvOPP20b/view?usp=drivesdk</v>
      </c>
      <c r="Q800" s="60" t="s">
        <v>4496</v>
      </c>
      <c r="R800" s="60"/>
      <c r="S800" s="410" t="s">
        <v>4402</v>
      </c>
      <c r="T800" s="144">
        <v>2.0</v>
      </c>
      <c r="U800" s="506"/>
      <c r="V800" s="147" t="s">
        <v>4415</v>
      </c>
      <c r="W800" s="45" t="str">
        <f t="array" ref="W800">HYPERLINK(INDEX('File Links'!B:B, MATCH(U800, 'File Links'!C:C, 0)))
</f>
        <v>#N/A</v>
      </c>
      <c r="Y800" s="147" t="s">
        <v>220</v>
      </c>
      <c r="Z800" s="147" t="s">
        <v>4497</v>
      </c>
      <c r="AA800" s="147" t="s">
        <v>4498</v>
      </c>
      <c r="AB800" s="147" t="s">
        <v>4499</v>
      </c>
      <c r="AC800" s="147" t="s">
        <v>4500</v>
      </c>
      <c r="AD800" s="144">
        <v>2.0</v>
      </c>
      <c r="AE800" s="144">
        <v>323.0</v>
      </c>
      <c r="AF800" s="144">
        <v>-0.7</v>
      </c>
      <c r="AG800" s="147" t="s">
        <v>1006</v>
      </c>
      <c r="AH800" s="60"/>
      <c r="AI800" s="646">
        <v>0.005</v>
      </c>
      <c r="AJ800" s="52" t="s">
        <v>127</v>
      </c>
      <c r="AK800" s="52" t="s">
        <v>179</v>
      </c>
      <c r="AL800" s="1206" t="s">
        <v>129</v>
      </c>
      <c r="AM800" s="55"/>
      <c r="AN800" s="144">
        <v>820.0</v>
      </c>
      <c r="AO800" s="144">
        <v>0.332</v>
      </c>
      <c r="AP800" s="147" t="s">
        <v>166</v>
      </c>
      <c r="AQ800" s="147" t="s">
        <v>505</v>
      </c>
      <c r="AR800" s="1207">
        <v>2.4E-6</v>
      </c>
      <c r="AS800" s="147" t="s">
        <v>164</v>
      </c>
      <c r="AT800" s="147" t="s">
        <v>128</v>
      </c>
      <c r="AU800" s="1206" t="s">
        <v>129</v>
      </c>
      <c r="AV800" s="60"/>
      <c r="AW800" s="1206" t="s">
        <v>134</v>
      </c>
      <c r="AY800" s="177" t="s">
        <v>135</v>
      </c>
      <c r="AZ800" s="84"/>
    </row>
    <row r="801">
      <c r="A801" s="177" t="s">
        <v>143</v>
      </c>
      <c r="B801" s="177" t="s">
        <v>107</v>
      </c>
      <c r="C801" s="177" t="s">
        <v>1471</v>
      </c>
      <c r="D801" s="178"/>
      <c r="E801" s="179" t="s">
        <v>4501</v>
      </c>
      <c r="F801" s="183" t="s">
        <v>4501</v>
      </c>
      <c r="G801" s="188" t="s">
        <v>1530</v>
      </c>
      <c r="H801" s="181">
        <v>45669.0</v>
      </c>
      <c r="I801" s="1201">
        <v>45677.0</v>
      </c>
      <c r="J801" s="188" t="s">
        <v>4502</v>
      </c>
      <c r="K801" s="350" t="s">
        <v>4503</v>
      </c>
      <c r="L801" s="829" t="s">
        <v>4504</v>
      </c>
      <c r="M801" s="1203" t="s">
        <v>4505</v>
      </c>
      <c r="N801" s="695">
        <v>2.0</v>
      </c>
      <c r="O801" s="188" t="str">
        <f> SUBSTITUTE(lower(M801), "/", "--") &amp;  ".pdf"</f>
        <v>10.1073--pnas.1516047113.pdf</v>
      </c>
      <c r="P801" s="48" t="str">
        <f t="array" ref="P801">HYPERLINK(INDEX('File Links'!B:B, MATCH(O801, 'File Links'!C:C, 0)))
</f>
        <v>https://drive.google.com/file/d/1E11EGVsEk8jXG4anLcX1DKLgm7aqhOmU/view?usp=drivesdk</v>
      </c>
      <c r="Q801" s="185" t="s">
        <v>4506</v>
      </c>
      <c r="R801" s="179"/>
      <c r="S801" s="829" t="s">
        <v>4402</v>
      </c>
      <c r="T801" s="695">
        <v>1.0</v>
      </c>
      <c r="U801" s="188" t="s">
        <v>4507</v>
      </c>
      <c r="V801" s="188" t="s">
        <v>4508</v>
      </c>
      <c r="W801" s="45" t="str">
        <f t="array" ref="W801">HYPERLINK(INDEX('File Links'!B:B, MATCH(U801, 'File Links'!C:C, 0)))
</f>
        <v>#N/A</v>
      </c>
      <c r="Y801" s="188" t="s">
        <v>220</v>
      </c>
      <c r="Z801" s="188" t="s">
        <v>4509</v>
      </c>
      <c r="AA801" s="188" t="s">
        <v>4510</v>
      </c>
      <c r="AB801" s="179" t="s">
        <v>4511</v>
      </c>
      <c r="AC801" s="188" t="s">
        <v>4512</v>
      </c>
      <c r="AD801" s="188" t="s">
        <v>4513</v>
      </c>
      <c r="AE801" s="695">
        <v>92.0</v>
      </c>
      <c r="AF801" s="695">
        <v>0.05</v>
      </c>
      <c r="AG801" s="188" t="s">
        <v>130</v>
      </c>
      <c r="AH801" s="188" t="s">
        <v>2748</v>
      </c>
      <c r="AI801" s="827">
        <v>0.04</v>
      </c>
      <c r="AJ801" s="180" t="s">
        <v>164</v>
      </c>
      <c r="AK801" s="180" t="s">
        <v>179</v>
      </c>
      <c r="AL801" s="1206" t="s">
        <v>132</v>
      </c>
      <c r="AM801" s="350" t="s">
        <v>165</v>
      </c>
      <c r="AN801" s="695">
        <v>503.0</v>
      </c>
      <c r="AO801" s="695">
        <v>0.092</v>
      </c>
      <c r="AP801" s="188" t="s">
        <v>166</v>
      </c>
      <c r="AQ801" s="188" t="s">
        <v>2748</v>
      </c>
      <c r="AR801" s="695">
        <v>0.605</v>
      </c>
      <c r="AS801" s="188" t="s">
        <v>164</v>
      </c>
      <c r="AT801" s="188" t="s">
        <v>128</v>
      </c>
      <c r="AU801" s="347" t="s">
        <v>129</v>
      </c>
      <c r="AV801" s="829" t="s">
        <v>4514</v>
      </c>
      <c r="AW801" s="179" t="s">
        <v>134</v>
      </c>
      <c r="AX801" s="178"/>
      <c r="AY801" s="177" t="s">
        <v>135</v>
      </c>
      <c r="AZ801" s="84"/>
    </row>
    <row r="802">
      <c r="A802" s="41" t="s">
        <v>106</v>
      </c>
      <c r="B802" s="41" t="s">
        <v>107</v>
      </c>
      <c r="C802" s="41" t="s">
        <v>1455</v>
      </c>
      <c r="E802" s="60" t="s">
        <v>4501</v>
      </c>
      <c r="F802" s="55" t="s">
        <v>4501</v>
      </c>
      <c r="G802" s="147" t="s">
        <v>1458</v>
      </c>
      <c r="H802" s="60"/>
      <c r="I802" s="1201">
        <v>45677.0</v>
      </c>
      <c r="J802" s="60"/>
      <c r="K802" s="60"/>
      <c r="L802" s="410" t="s">
        <v>4515</v>
      </c>
      <c r="M802" s="1204" t="s">
        <v>4516</v>
      </c>
      <c r="N802" s="60"/>
      <c r="O802" s="145" t="str">
        <f>SUBSTITUTE(LOWER(M802), "/", "--") &amp;  ".pdf"</f>
        <v>10.1073--pnas.1516047113.pdf</v>
      </c>
      <c r="P802" s="48" t="str">
        <f t="array" ref="P802">HYPERLINK(INDEX('File Links'!B:B, MATCH(O802, 'File Links'!C:C, 0)))
</f>
        <v>https://drive.google.com/file/d/1E11EGVsEk8jXG4anLcX1DKLgm7aqhOmU/view?usp=drivesdk</v>
      </c>
      <c r="Q802" s="60" t="s">
        <v>4517</v>
      </c>
      <c r="R802" s="60"/>
      <c r="S802" s="410" t="s">
        <v>4402</v>
      </c>
      <c r="T802" s="144">
        <v>1.0</v>
      </c>
      <c r="U802" s="506"/>
      <c r="V802" s="147" t="s">
        <v>4415</v>
      </c>
      <c r="W802" s="45" t="str">
        <f t="array" ref="W802">HYPERLINK(INDEX('File Links'!B:B, MATCH(U802, 'File Links'!C:C, 0)))
</f>
        <v>#N/A</v>
      </c>
      <c r="Y802" s="147" t="s">
        <v>220</v>
      </c>
      <c r="Z802" s="147" t="s">
        <v>4518</v>
      </c>
      <c r="AA802" s="147" t="s">
        <v>4519</v>
      </c>
      <c r="AB802" s="147" t="s">
        <v>4520</v>
      </c>
      <c r="AC802" s="147" t="s">
        <v>4521</v>
      </c>
      <c r="AD802" s="144">
        <v>2.0</v>
      </c>
      <c r="AE802" s="144">
        <v>92.0</v>
      </c>
      <c r="AF802" s="147" t="s">
        <v>4522</v>
      </c>
      <c r="AG802" s="147" t="s">
        <v>162</v>
      </c>
      <c r="AH802" s="60"/>
      <c r="AI802" s="646">
        <v>0.04</v>
      </c>
      <c r="AJ802" s="52" t="s">
        <v>164</v>
      </c>
      <c r="AK802" s="52" t="s">
        <v>179</v>
      </c>
      <c r="AL802" s="1206" t="s">
        <v>129</v>
      </c>
      <c r="AM802" s="55"/>
      <c r="AN802" s="144">
        <v>503.0</v>
      </c>
      <c r="AO802" s="144">
        <v>0.092</v>
      </c>
      <c r="AP802" s="147" t="s">
        <v>166</v>
      </c>
      <c r="AQ802" s="147" t="s">
        <v>2748</v>
      </c>
      <c r="AR802" s="144">
        <v>0.605</v>
      </c>
      <c r="AS802" s="147" t="s">
        <v>164</v>
      </c>
      <c r="AT802" s="147" t="s">
        <v>128</v>
      </c>
      <c r="AU802" s="1206" t="s">
        <v>129</v>
      </c>
      <c r="AV802" s="60"/>
      <c r="AW802" s="1206" t="s">
        <v>134</v>
      </c>
      <c r="AY802" s="177" t="s">
        <v>135</v>
      </c>
      <c r="AZ802" s="84"/>
    </row>
    <row r="803">
      <c r="A803" s="177" t="s">
        <v>143</v>
      </c>
      <c r="B803" s="177" t="s">
        <v>107</v>
      </c>
      <c r="C803" s="177" t="s">
        <v>1471</v>
      </c>
      <c r="D803" s="178"/>
      <c r="E803" s="179" t="s">
        <v>4523</v>
      </c>
      <c r="F803" s="183" t="s">
        <v>4523</v>
      </c>
      <c r="G803" s="188" t="s">
        <v>1530</v>
      </c>
      <c r="H803" s="181">
        <v>45669.0</v>
      </c>
      <c r="I803" s="1201">
        <v>45677.0</v>
      </c>
      <c r="J803" s="188" t="s">
        <v>4524</v>
      </c>
      <c r="K803" s="179"/>
      <c r="L803" s="829" t="s">
        <v>4525</v>
      </c>
      <c r="M803" s="1203" t="s">
        <v>4526</v>
      </c>
      <c r="N803" s="695">
        <v>6.0</v>
      </c>
      <c r="O803" s="188" t="str">
        <f> SUBSTITUTE(lower(M803), "/", "--") &amp;  ".pdf"</f>
        <v>10.1073--pnas.1505067112.pdf</v>
      </c>
      <c r="P803" s="48" t="str">
        <f t="array" ref="P803">HYPERLINK(INDEX('File Links'!B:B, MATCH(O803, 'File Links'!C:C, 0)))
</f>
        <v>https://drive.google.com/file/d/1sCCY3KYGCCE3zAn1qtYymO7af6DAj-0M/view?usp=drivesdk</v>
      </c>
      <c r="Q803" s="185" t="s">
        <v>4527</v>
      </c>
      <c r="R803" s="179"/>
      <c r="S803" s="829" t="s">
        <v>4402</v>
      </c>
      <c r="T803" s="695">
        <v>1.0</v>
      </c>
      <c r="U803" s="188" t="s">
        <v>4528</v>
      </c>
      <c r="V803" s="188" t="s">
        <v>4529</v>
      </c>
      <c r="W803" s="45" t="str">
        <f t="array" ref="W803">HYPERLINK(INDEX('File Links'!B:B, MATCH(U803, 'File Links'!C:C, 0)))
</f>
        <v>#N/A</v>
      </c>
      <c r="Y803" s="188" t="s">
        <v>2052</v>
      </c>
      <c r="Z803" s="188" t="s">
        <v>4530</v>
      </c>
      <c r="AA803" s="188" t="s">
        <v>4531</v>
      </c>
      <c r="AB803" s="188" t="s">
        <v>4532</v>
      </c>
      <c r="AC803" s="188" t="s">
        <v>4533</v>
      </c>
      <c r="AD803" s="695">
        <v>4.0</v>
      </c>
      <c r="AE803" s="695">
        <v>198.0</v>
      </c>
      <c r="AF803" s="188" t="s">
        <v>4534</v>
      </c>
      <c r="AG803" s="188" t="s">
        <v>162</v>
      </c>
      <c r="AH803" s="188" t="s">
        <v>494</v>
      </c>
      <c r="AI803" s="827">
        <v>0.001</v>
      </c>
      <c r="AJ803" s="180" t="s">
        <v>127</v>
      </c>
      <c r="AK803" s="180" t="s">
        <v>179</v>
      </c>
      <c r="AL803" s="179" t="s">
        <v>129</v>
      </c>
      <c r="AM803" s="350" t="s">
        <v>165</v>
      </c>
      <c r="AN803" s="695">
        <v>227.0</v>
      </c>
      <c r="AO803" s="695">
        <v>0.599</v>
      </c>
      <c r="AP803" s="188" t="s">
        <v>166</v>
      </c>
      <c r="AQ803" s="188" t="s">
        <v>2748</v>
      </c>
      <c r="AR803" s="695">
        <v>1.0E-4</v>
      </c>
      <c r="AS803" s="188" t="s">
        <v>127</v>
      </c>
      <c r="AT803" s="188" t="s">
        <v>128</v>
      </c>
      <c r="AU803" s="179" t="s">
        <v>129</v>
      </c>
      <c r="AV803" s="829" t="s">
        <v>4535</v>
      </c>
      <c r="AW803" s="179" t="s">
        <v>134</v>
      </c>
      <c r="AX803" s="178"/>
      <c r="AY803" s="177" t="s">
        <v>135</v>
      </c>
      <c r="AZ803" s="84"/>
      <c r="BA803" s="178"/>
      <c r="BB803" s="178"/>
      <c r="BC803" s="178"/>
      <c r="BD803" s="178"/>
      <c r="BE803" s="178"/>
      <c r="BF803" s="178"/>
      <c r="BG803" s="178"/>
      <c r="BH803" s="178"/>
      <c r="BI803" s="178"/>
      <c r="BJ803" s="178"/>
      <c r="BK803" s="178"/>
      <c r="BL803" s="178"/>
      <c r="BM803" s="178"/>
      <c r="BN803" s="178"/>
      <c r="BO803" s="178"/>
      <c r="BP803" s="178"/>
      <c r="BQ803" s="178"/>
      <c r="BR803" s="178"/>
      <c r="BS803" s="178"/>
      <c r="BT803" s="178"/>
      <c r="BU803" s="178"/>
      <c r="BV803" s="178"/>
      <c r="BW803" s="178"/>
      <c r="BX803" s="178"/>
      <c r="BY803" s="178"/>
      <c r="BZ803" s="178"/>
      <c r="CA803" s="178"/>
      <c r="CB803" s="178"/>
      <c r="CC803" s="178"/>
      <c r="CD803" s="178"/>
      <c r="CE803" s="178"/>
      <c r="CF803" s="178"/>
      <c r="CG803" s="178"/>
      <c r="CH803" s="178"/>
      <c r="CI803" s="178"/>
      <c r="CJ803" s="178"/>
      <c r="CK803" s="178"/>
      <c r="CL803" s="178"/>
      <c r="CM803" s="178"/>
      <c r="CN803" s="178"/>
      <c r="CO803" s="178"/>
      <c r="CP803" s="178"/>
      <c r="CQ803" s="178"/>
      <c r="CR803" s="178"/>
      <c r="CS803" s="178"/>
      <c r="CT803" s="178"/>
      <c r="CU803" s="178"/>
      <c r="CV803" s="178"/>
      <c r="CW803" s="178"/>
      <c r="CX803" s="178"/>
      <c r="CY803" s="178"/>
      <c r="CZ803" s="178"/>
      <c r="DA803" s="178"/>
      <c r="DB803" s="178"/>
      <c r="DC803" s="178"/>
      <c r="DD803" s="178"/>
      <c r="DE803" s="178"/>
      <c r="DF803" s="178"/>
      <c r="DG803" s="178"/>
    </row>
    <row r="804">
      <c r="A804" s="41" t="s">
        <v>106</v>
      </c>
      <c r="B804" s="41" t="s">
        <v>107</v>
      </c>
      <c r="C804" s="41" t="s">
        <v>1455</v>
      </c>
      <c r="E804" s="60" t="s">
        <v>4523</v>
      </c>
      <c r="F804" s="55" t="s">
        <v>4523</v>
      </c>
      <c r="G804" s="147" t="s">
        <v>1458</v>
      </c>
      <c r="H804" s="60"/>
      <c r="I804" s="1201">
        <v>45677.0</v>
      </c>
      <c r="J804" s="60"/>
      <c r="K804" s="60"/>
      <c r="L804" s="410" t="s">
        <v>4536</v>
      </c>
      <c r="M804" s="1204" t="s">
        <v>4537</v>
      </c>
      <c r="N804" s="60"/>
      <c r="O804" s="145" t="str">
        <f>SUBSTITUTE(LOWER(M804), "/", "--") &amp;  ".pdf"</f>
        <v>10.1073--pnas.1505067112.pdf</v>
      </c>
      <c r="P804" s="48" t="str">
        <f t="array" ref="P804">HYPERLINK(INDEX('File Links'!B:B, MATCH(O804, 'File Links'!C:C, 0)))
</f>
        <v>https://drive.google.com/file/d/1sCCY3KYGCCE3zAn1qtYymO7af6DAj-0M/view?usp=drivesdk</v>
      </c>
      <c r="Q804" s="60" t="s">
        <v>4538</v>
      </c>
      <c r="R804" s="60"/>
      <c r="S804" s="410" t="s">
        <v>4402</v>
      </c>
      <c r="T804" s="144">
        <v>6.0</v>
      </c>
      <c r="U804" s="506"/>
      <c r="V804" s="147" t="s">
        <v>4415</v>
      </c>
      <c r="W804" s="45" t="str">
        <f t="array" ref="W804">HYPERLINK(INDEX('File Links'!B:B, MATCH(U804, 'File Links'!C:C, 0)))
</f>
        <v>#N/A</v>
      </c>
      <c r="Y804" s="147" t="s">
        <v>220</v>
      </c>
      <c r="Z804" s="147" t="s">
        <v>4539</v>
      </c>
      <c r="AA804" s="147" t="s">
        <v>4540</v>
      </c>
      <c r="AB804" s="147" t="s">
        <v>4541</v>
      </c>
      <c r="AC804" s="147" t="s">
        <v>4542</v>
      </c>
      <c r="AD804" s="144">
        <v>4.0</v>
      </c>
      <c r="AE804" s="144">
        <v>198.0</v>
      </c>
      <c r="AF804" s="147" t="s">
        <v>4534</v>
      </c>
      <c r="AG804" s="147" t="s">
        <v>162</v>
      </c>
      <c r="AH804" s="60"/>
      <c r="AI804" s="646">
        <v>0.001</v>
      </c>
      <c r="AJ804" s="52" t="s">
        <v>127</v>
      </c>
      <c r="AK804" s="52" t="s">
        <v>179</v>
      </c>
      <c r="AL804" s="1206" t="s">
        <v>129</v>
      </c>
      <c r="AM804" s="55"/>
      <c r="AN804" s="144">
        <v>227.0</v>
      </c>
      <c r="AO804" s="144">
        <v>0.599</v>
      </c>
      <c r="AP804" s="147" t="s">
        <v>166</v>
      </c>
      <c r="AQ804" s="147" t="s">
        <v>2748</v>
      </c>
      <c r="AR804" s="1207">
        <v>1.0E-5</v>
      </c>
      <c r="AS804" s="147" t="s">
        <v>164</v>
      </c>
      <c r="AT804" s="147" t="s">
        <v>128</v>
      </c>
      <c r="AU804" s="1206" t="s">
        <v>129</v>
      </c>
      <c r="AV804" s="60"/>
      <c r="AW804" s="1206" t="s">
        <v>134</v>
      </c>
      <c r="AY804" s="177" t="s">
        <v>135</v>
      </c>
      <c r="BA804" s="178"/>
      <c r="BB804" s="178"/>
      <c r="BC804" s="178"/>
      <c r="BD804" s="178"/>
      <c r="BE804" s="178"/>
      <c r="BF804" s="178"/>
      <c r="BG804" s="178"/>
      <c r="BH804" s="178"/>
      <c r="BI804" s="178"/>
      <c r="BJ804" s="178"/>
      <c r="BK804" s="178"/>
      <c r="BL804" s="178"/>
      <c r="BM804" s="178"/>
      <c r="BN804" s="178"/>
      <c r="BO804" s="178"/>
      <c r="BP804" s="178"/>
      <c r="BQ804" s="178"/>
      <c r="BR804" s="178"/>
      <c r="BS804" s="178"/>
      <c r="BT804" s="178"/>
      <c r="BU804" s="178"/>
      <c r="BV804" s="178"/>
      <c r="BW804" s="178"/>
      <c r="BX804" s="178"/>
      <c r="BY804" s="178"/>
      <c r="BZ804" s="178"/>
      <c r="CA804" s="178"/>
      <c r="CB804" s="178"/>
      <c r="CC804" s="178"/>
      <c r="CD804" s="178"/>
      <c r="CE804" s="178"/>
      <c r="CF804" s="178"/>
      <c r="CG804" s="178"/>
      <c r="CH804" s="178"/>
      <c r="CI804" s="178"/>
      <c r="CJ804" s="178"/>
      <c r="CK804" s="178"/>
      <c r="CL804" s="178"/>
      <c r="CM804" s="178"/>
      <c r="CN804" s="178"/>
      <c r="CO804" s="178"/>
      <c r="CP804" s="178"/>
      <c r="CQ804" s="178"/>
      <c r="CR804" s="178"/>
      <c r="CS804" s="178"/>
      <c r="CT804" s="178"/>
      <c r="CU804" s="178"/>
      <c r="CV804" s="178"/>
      <c r="CW804" s="178"/>
      <c r="CX804" s="178"/>
      <c r="CY804" s="178"/>
      <c r="CZ804" s="178"/>
      <c r="DA804" s="178"/>
      <c r="DB804" s="178"/>
      <c r="DC804" s="178"/>
      <c r="DD804" s="178"/>
      <c r="DE804" s="178"/>
      <c r="DF804" s="178"/>
      <c r="DG804" s="178"/>
    </row>
    <row r="805" ht="36.75" customHeight="1">
      <c r="A805" s="177" t="s">
        <v>143</v>
      </c>
      <c r="B805" s="177" t="s">
        <v>107</v>
      </c>
      <c r="C805" s="177" t="s">
        <v>1471</v>
      </c>
      <c r="D805" s="178"/>
      <c r="E805" s="179" t="s">
        <v>4543</v>
      </c>
      <c r="F805" s="183" t="s">
        <v>4543</v>
      </c>
      <c r="G805" s="188" t="s">
        <v>1530</v>
      </c>
      <c r="H805" s="181">
        <v>45669.0</v>
      </c>
      <c r="I805" s="1201">
        <v>45677.0</v>
      </c>
      <c r="J805" s="188" t="s">
        <v>4544</v>
      </c>
      <c r="K805" s="179"/>
      <c r="L805" s="829" t="s">
        <v>4545</v>
      </c>
      <c r="M805" s="1203" t="s">
        <v>4546</v>
      </c>
      <c r="N805" s="695">
        <v>1.0</v>
      </c>
      <c r="O805" s="188" t="str">
        <f> SUBSTITUTE(lower(M805), "/", "--") &amp;  ".pdf"</f>
        <v>10.1073--pnas.1722664115.pdf</v>
      </c>
      <c r="P805" s="48" t="str">
        <f t="array" ref="P805">HYPERLINK(INDEX('File Links'!B:B, MATCH(O805, 'File Links'!C:C, 0)))
</f>
        <v>https://drive.google.com/file/d/1eLY3wQhNqme2S7a_tXRX4gHwGifvXW1x/view?usp=drivesdk</v>
      </c>
      <c r="Q805" s="185" t="s">
        <v>4547</v>
      </c>
      <c r="R805" s="179"/>
      <c r="S805" s="829" t="s">
        <v>4402</v>
      </c>
      <c r="T805" s="695">
        <v>1.0</v>
      </c>
      <c r="U805" s="188" t="s">
        <v>4548</v>
      </c>
      <c r="V805" s="188" t="s">
        <v>4549</v>
      </c>
      <c r="W805" s="45" t="str">
        <f t="array" ref="W805">HYPERLINK(INDEX('File Links'!B:B, MATCH(U805, 'File Links'!C:C, 0)))
</f>
        <v>#N/A</v>
      </c>
      <c r="Y805" s="188" t="s">
        <v>582</v>
      </c>
      <c r="Z805" s="188" t="s">
        <v>4550</v>
      </c>
      <c r="AA805" s="188" t="s">
        <v>4551</v>
      </c>
      <c r="AB805" s="188" t="s">
        <v>4552</v>
      </c>
      <c r="AC805" s="188" t="s">
        <v>4553</v>
      </c>
      <c r="AD805" s="695">
        <v>3.0</v>
      </c>
      <c r="AE805" s="1210">
        <v>24.0</v>
      </c>
      <c r="AF805" s="1211" t="s">
        <v>4554</v>
      </c>
      <c r="AG805" s="1212" t="s">
        <v>162</v>
      </c>
      <c r="AH805" s="511"/>
      <c r="AI805" s="350" t="s">
        <v>165</v>
      </c>
      <c r="AJ805" s="350" t="s">
        <v>165</v>
      </c>
      <c r="AK805" s="180" t="s">
        <v>179</v>
      </c>
      <c r="AL805" s="350" t="s">
        <v>132</v>
      </c>
      <c r="AM805" s="350" t="s">
        <v>165</v>
      </c>
      <c r="AN805" s="695">
        <v>56.0</v>
      </c>
      <c r="AO805" s="695">
        <v>-0.068</v>
      </c>
      <c r="AP805" s="188" t="s">
        <v>166</v>
      </c>
      <c r="AQ805" s="188" t="s">
        <v>2748</v>
      </c>
      <c r="AR805" s="695">
        <v>0.904</v>
      </c>
      <c r="AS805" s="188" t="s">
        <v>164</v>
      </c>
      <c r="AT805" s="188" t="s">
        <v>128</v>
      </c>
      <c r="AU805" s="179" t="s">
        <v>132</v>
      </c>
      <c r="AV805" s="829" t="s">
        <v>4555</v>
      </c>
      <c r="AW805" s="350" t="s">
        <v>134</v>
      </c>
      <c r="AX805" s="178"/>
      <c r="AY805" s="177" t="s">
        <v>135</v>
      </c>
      <c r="AZ805" s="84"/>
      <c r="BA805" s="215"/>
      <c r="BB805" s="215"/>
      <c r="BC805" s="215"/>
      <c r="BD805" s="215"/>
      <c r="BE805" s="215"/>
      <c r="BF805" s="215"/>
      <c r="BG805" s="215"/>
      <c r="BH805" s="215"/>
      <c r="BI805" s="215"/>
      <c r="BJ805" s="215"/>
      <c r="BK805" s="215"/>
      <c r="BL805" s="215"/>
      <c r="BM805" s="215"/>
      <c r="BN805" s="215"/>
      <c r="BO805" s="215"/>
      <c r="BP805" s="215"/>
      <c r="BQ805" s="215"/>
      <c r="BR805" s="215"/>
      <c r="BS805" s="215"/>
      <c r="BT805" s="215"/>
      <c r="BU805" s="215"/>
      <c r="BV805" s="215"/>
      <c r="BW805" s="215"/>
      <c r="BX805" s="215"/>
      <c r="BY805" s="215"/>
      <c r="BZ805" s="215"/>
      <c r="CA805" s="215"/>
      <c r="CB805" s="215"/>
      <c r="CC805" s="215"/>
      <c r="CD805" s="215"/>
      <c r="CE805" s="215"/>
      <c r="CF805" s="215"/>
      <c r="CG805" s="215"/>
      <c r="CH805" s="215"/>
      <c r="CI805" s="215"/>
      <c r="CJ805" s="215"/>
      <c r="CK805" s="215"/>
      <c r="CL805" s="215"/>
      <c r="CM805" s="215"/>
      <c r="CN805" s="215"/>
      <c r="CO805" s="215"/>
      <c r="CP805" s="215"/>
      <c r="CQ805" s="215"/>
      <c r="CR805" s="215"/>
      <c r="CS805" s="215"/>
      <c r="CT805" s="215"/>
      <c r="CU805" s="215"/>
      <c r="CV805" s="215"/>
      <c r="CW805" s="215"/>
      <c r="CX805" s="215"/>
      <c r="CY805" s="215"/>
      <c r="CZ805" s="215"/>
      <c r="DA805" s="215"/>
      <c r="DB805" s="215"/>
      <c r="DC805" s="215"/>
      <c r="DD805" s="215"/>
      <c r="DE805" s="215"/>
      <c r="DF805" s="215"/>
      <c r="DG805" s="215"/>
    </row>
    <row r="806">
      <c r="A806" s="41" t="s">
        <v>106</v>
      </c>
      <c r="B806" s="41" t="s">
        <v>107</v>
      </c>
      <c r="C806" s="41" t="s">
        <v>1455</v>
      </c>
      <c r="E806" s="60" t="s">
        <v>4543</v>
      </c>
      <c r="F806" s="55" t="s">
        <v>4543</v>
      </c>
      <c r="G806" s="147" t="s">
        <v>1458</v>
      </c>
      <c r="H806" s="60"/>
      <c r="I806" s="1201">
        <v>45677.0</v>
      </c>
      <c r="J806" s="147" t="s">
        <v>4556</v>
      </c>
      <c r="K806" s="60"/>
      <c r="L806" s="410" t="s">
        <v>4557</v>
      </c>
      <c r="M806" s="1204" t="s">
        <v>4558</v>
      </c>
      <c r="N806" s="60"/>
      <c r="O806" s="145" t="str">
        <f>SUBSTITUTE(LOWER(M806), "/", "--") &amp;  ".pdf"</f>
        <v>10.1073--pnas.1722664115.pdf</v>
      </c>
      <c r="P806" s="48" t="str">
        <f t="array" ref="P806">HYPERLINK(INDEX('File Links'!B:B, MATCH(O806, 'File Links'!C:C, 0)))
</f>
        <v>https://drive.google.com/file/d/1eLY3wQhNqme2S7a_tXRX4gHwGifvXW1x/view?usp=drivesdk</v>
      </c>
      <c r="Q806" s="60" t="s">
        <v>4559</v>
      </c>
      <c r="R806" s="60"/>
      <c r="S806" s="410" t="s">
        <v>4402</v>
      </c>
      <c r="T806" s="60"/>
      <c r="U806" s="506"/>
      <c r="V806" s="147" t="s">
        <v>4415</v>
      </c>
      <c r="W806" s="45" t="str">
        <f t="array" ref="W806">HYPERLINK(INDEX('File Links'!B:B, MATCH(U806, 'File Links'!C:C, 0)))
</f>
        <v>#N/A</v>
      </c>
      <c r="Y806" s="147" t="s">
        <v>582</v>
      </c>
      <c r="Z806" s="147" t="s">
        <v>4560</v>
      </c>
      <c r="AA806" s="147" t="s">
        <v>4561</v>
      </c>
      <c r="AB806" s="147" t="s">
        <v>4562</v>
      </c>
      <c r="AC806" s="147" t="s">
        <v>4563</v>
      </c>
      <c r="AD806" s="144">
        <v>3.0</v>
      </c>
      <c r="AE806" s="144">
        <v>24.0</v>
      </c>
      <c r="AF806" s="147" t="s">
        <v>4564</v>
      </c>
      <c r="AG806" s="147" t="s">
        <v>162</v>
      </c>
      <c r="AH806" s="60"/>
      <c r="AI806" s="646">
        <v>0.0013</v>
      </c>
      <c r="AJ806" s="52" t="s">
        <v>164</v>
      </c>
      <c r="AK806" s="52" t="s">
        <v>179</v>
      </c>
      <c r="AL806" s="1206" t="s">
        <v>132</v>
      </c>
      <c r="AM806" s="55"/>
      <c r="AN806" s="144">
        <v>56.0</v>
      </c>
      <c r="AO806" s="144">
        <v>-0.068</v>
      </c>
      <c r="AP806" s="147" t="s">
        <v>166</v>
      </c>
      <c r="AQ806" s="147" t="s">
        <v>2748</v>
      </c>
      <c r="AR806" s="144">
        <v>0.799</v>
      </c>
      <c r="AS806" s="147" t="s">
        <v>164</v>
      </c>
      <c r="AT806" s="147" t="s">
        <v>128</v>
      </c>
      <c r="AU806" s="1206" t="s">
        <v>132</v>
      </c>
      <c r="AV806" s="60"/>
      <c r="AW806" s="1206" t="s">
        <v>134</v>
      </c>
      <c r="AY806" s="177" t="s">
        <v>135</v>
      </c>
      <c r="AZ806" s="84"/>
      <c r="BA806" s="215"/>
      <c r="BB806" s="215"/>
      <c r="BC806" s="215"/>
      <c r="BD806" s="215"/>
      <c r="BE806" s="215"/>
      <c r="BF806" s="215"/>
      <c r="BG806" s="215"/>
      <c r="BH806" s="215"/>
      <c r="BI806" s="215"/>
      <c r="BJ806" s="215"/>
      <c r="BK806" s="215"/>
      <c r="BL806" s="215"/>
      <c r="BM806" s="215"/>
      <c r="BN806" s="215"/>
      <c r="BO806" s="215"/>
      <c r="BP806" s="215"/>
      <c r="BQ806" s="215"/>
      <c r="BR806" s="215"/>
      <c r="BS806" s="215"/>
      <c r="BT806" s="215"/>
      <c r="BU806" s="215"/>
      <c r="BV806" s="215"/>
      <c r="BW806" s="215"/>
      <c r="BX806" s="215"/>
      <c r="BY806" s="215"/>
      <c r="BZ806" s="215"/>
      <c r="CA806" s="215"/>
      <c r="CB806" s="215"/>
      <c r="CC806" s="215"/>
      <c r="CD806" s="215"/>
      <c r="CE806" s="215"/>
      <c r="CF806" s="215"/>
      <c r="CG806" s="215"/>
      <c r="CH806" s="215"/>
      <c r="CI806" s="215"/>
      <c r="CJ806" s="215"/>
      <c r="CK806" s="215"/>
      <c r="CL806" s="215"/>
      <c r="CM806" s="215"/>
      <c r="CN806" s="215"/>
      <c r="CO806" s="215"/>
      <c r="CP806" s="215"/>
      <c r="CQ806" s="215"/>
      <c r="CR806" s="215"/>
      <c r="CS806" s="215"/>
      <c r="CT806" s="215"/>
      <c r="CU806" s="215"/>
      <c r="CV806" s="215"/>
      <c r="CW806" s="215"/>
      <c r="CX806" s="215"/>
      <c r="CY806" s="215"/>
      <c r="CZ806" s="215"/>
      <c r="DA806" s="215"/>
      <c r="DB806" s="215"/>
      <c r="DC806" s="215"/>
      <c r="DD806" s="215"/>
      <c r="DE806" s="215"/>
      <c r="DF806" s="215"/>
      <c r="DG806" s="215"/>
    </row>
    <row r="807">
      <c r="A807" s="177" t="s">
        <v>143</v>
      </c>
      <c r="B807" s="177" t="s">
        <v>107</v>
      </c>
      <c r="C807" s="177" t="s">
        <v>1471</v>
      </c>
      <c r="D807" s="178"/>
      <c r="E807" s="179" t="s">
        <v>4565</v>
      </c>
      <c r="F807" s="183" t="s">
        <v>4565</v>
      </c>
      <c r="G807" s="188" t="s">
        <v>1530</v>
      </c>
      <c r="H807" s="181">
        <v>45669.0</v>
      </c>
      <c r="I807" s="1201">
        <v>45677.0</v>
      </c>
      <c r="J807" s="188" t="s">
        <v>4566</v>
      </c>
      <c r="K807" s="179"/>
      <c r="L807" s="829" t="s">
        <v>4567</v>
      </c>
      <c r="M807" s="1203" t="s">
        <v>4568</v>
      </c>
      <c r="N807" s="695">
        <v>6.0</v>
      </c>
      <c r="O807" s="188" t="str">
        <f> SUBSTITUTE(lower(M807), "/", "--") &amp;  ".pdf"</f>
        <v>10.1073--pnas.1620542114.pdf</v>
      </c>
      <c r="P807" s="48" t="str">
        <f t="array" ref="P807">HYPERLINK(INDEX('File Links'!B:B, MATCH(O807, 'File Links'!C:C, 0)))
</f>
        <v>https://drive.google.com/file/d/1n72rgjSW6FtAclFquHlO8O2BBvlTnJas/view?usp=drivesdk</v>
      </c>
      <c r="Q807" s="185" t="s">
        <v>4569</v>
      </c>
      <c r="R807" s="179"/>
      <c r="S807" s="829" t="s">
        <v>4402</v>
      </c>
      <c r="T807" s="695">
        <v>1.0</v>
      </c>
      <c r="U807" s="188" t="s">
        <v>4570</v>
      </c>
      <c r="V807" s="188" t="s">
        <v>4571</v>
      </c>
      <c r="W807" s="45" t="str">
        <f t="array" ref="W807">HYPERLINK(INDEX('File Links'!B:B, MATCH(U807, 'File Links'!C:C, 0)))
</f>
        <v>#N/A</v>
      </c>
      <c r="Y807" s="188" t="s">
        <v>220</v>
      </c>
      <c r="Z807" s="188" t="s">
        <v>4572</v>
      </c>
      <c r="AA807" s="188" t="s">
        <v>4573</v>
      </c>
      <c r="AB807" s="188" t="s">
        <v>4574</v>
      </c>
      <c r="AC807" s="188" t="s">
        <v>4575</v>
      </c>
      <c r="AD807" s="695">
        <v>3.0</v>
      </c>
      <c r="AE807" s="695">
        <v>408.0</v>
      </c>
      <c r="AF807" s="695">
        <v>0.2</v>
      </c>
      <c r="AG807" s="188" t="s">
        <v>166</v>
      </c>
      <c r="AH807" s="511"/>
      <c r="AI807" s="827">
        <v>0.032</v>
      </c>
      <c r="AJ807" s="180" t="s">
        <v>164</v>
      </c>
      <c r="AK807" s="180" t="s">
        <v>179</v>
      </c>
      <c r="AL807" s="179" t="s">
        <v>132</v>
      </c>
      <c r="AM807" s="351" t="s">
        <v>4576</v>
      </c>
      <c r="AN807" s="695">
        <v>2213.0</v>
      </c>
      <c r="AO807" s="695">
        <v>0.145</v>
      </c>
      <c r="AP807" s="188" t="s">
        <v>166</v>
      </c>
      <c r="AQ807" s="188" t="s">
        <v>2748</v>
      </c>
      <c r="AR807" s="695">
        <v>0.001</v>
      </c>
      <c r="AS807" s="188" t="s">
        <v>127</v>
      </c>
      <c r="AT807" s="188" t="s">
        <v>128</v>
      </c>
      <c r="AU807" s="179" t="s">
        <v>132</v>
      </c>
      <c r="AV807" s="829" t="s">
        <v>4577</v>
      </c>
      <c r="AW807" s="179" t="s">
        <v>134</v>
      </c>
      <c r="AX807" s="178"/>
      <c r="AY807" s="177" t="s">
        <v>135</v>
      </c>
      <c r="AZ807" s="84"/>
      <c r="BA807" s="64"/>
      <c r="BB807" s="64"/>
      <c r="BC807" s="64"/>
      <c r="BD807" s="64"/>
      <c r="BE807" s="64"/>
      <c r="BF807" s="64"/>
      <c r="BG807" s="64"/>
      <c r="BH807" s="64"/>
      <c r="BI807" s="64"/>
      <c r="BJ807" s="64"/>
      <c r="BK807" s="64"/>
      <c r="BL807" s="64"/>
      <c r="BM807" s="64"/>
      <c r="BN807" s="64"/>
      <c r="BO807" s="64"/>
      <c r="BP807" s="64"/>
      <c r="BQ807" s="64"/>
      <c r="BR807" s="64"/>
      <c r="BS807" s="64"/>
      <c r="BT807" s="64"/>
      <c r="BU807" s="64"/>
      <c r="BV807" s="64"/>
      <c r="BW807" s="64"/>
      <c r="BX807" s="64"/>
      <c r="BY807" s="64"/>
      <c r="BZ807" s="64"/>
      <c r="CA807" s="64"/>
      <c r="CB807" s="64"/>
      <c r="CC807" s="64"/>
      <c r="CD807" s="64"/>
      <c r="CE807" s="64"/>
      <c r="CF807" s="64"/>
      <c r="CG807" s="64"/>
      <c r="CH807" s="64"/>
      <c r="CI807" s="64"/>
      <c r="CJ807" s="64"/>
      <c r="CK807" s="64"/>
      <c r="CL807" s="64"/>
      <c r="CM807" s="64"/>
      <c r="CN807" s="64"/>
      <c r="CO807" s="64"/>
      <c r="CP807" s="64"/>
      <c r="CQ807" s="64"/>
      <c r="CR807" s="64"/>
      <c r="CS807" s="64"/>
      <c r="CT807" s="64"/>
      <c r="CU807" s="64"/>
      <c r="CV807" s="64"/>
      <c r="CW807" s="64"/>
      <c r="CX807" s="64"/>
      <c r="CY807" s="64"/>
      <c r="CZ807" s="64"/>
      <c r="DA807" s="64"/>
      <c r="DB807" s="64"/>
      <c r="DC807" s="64"/>
      <c r="DD807" s="64"/>
      <c r="DE807" s="64"/>
      <c r="DF807" s="64"/>
      <c r="DG807" s="64"/>
    </row>
    <row r="808">
      <c r="A808" s="41" t="s">
        <v>106</v>
      </c>
      <c r="B808" s="41" t="s">
        <v>107</v>
      </c>
      <c r="C808" s="41" t="s">
        <v>1455</v>
      </c>
      <c r="E808" s="60" t="s">
        <v>4565</v>
      </c>
      <c r="F808" s="55" t="s">
        <v>4565</v>
      </c>
      <c r="G808" s="147" t="s">
        <v>1458</v>
      </c>
      <c r="H808" s="60"/>
      <c r="I808" s="1201">
        <v>45677.0</v>
      </c>
      <c r="J808" s="147" t="s">
        <v>4578</v>
      </c>
      <c r="K808" s="60"/>
      <c r="L808" s="410" t="s">
        <v>4579</v>
      </c>
      <c r="M808" s="1204" t="s">
        <v>4580</v>
      </c>
      <c r="N808" s="60"/>
      <c r="O808" s="145" t="str">
        <f>SUBSTITUTE(LOWER(M808), "/", "--") &amp;  ".pdf"</f>
        <v>10.1073--pnas.1620542114.pdf</v>
      </c>
      <c r="P808" s="48" t="str">
        <f t="array" ref="P808">HYPERLINK(INDEX('File Links'!B:B, MATCH(O808, 'File Links'!C:C, 0)))
</f>
        <v>https://drive.google.com/file/d/1n72rgjSW6FtAclFquHlO8O2BBvlTnJas/view?usp=drivesdk</v>
      </c>
      <c r="Q808" s="60" t="s">
        <v>4581</v>
      </c>
      <c r="R808" s="60"/>
      <c r="S808" s="410" t="s">
        <v>4402</v>
      </c>
      <c r="T808" s="144">
        <v>4.0</v>
      </c>
      <c r="U808" s="506"/>
      <c r="V808" s="147" t="s">
        <v>4415</v>
      </c>
      <c r="W808" s="45" t="str">
        <f t="array" ref="W808">HYPERLINK(INDEX('File Links'!B:B, MATCH(U808, 'File Links'!C:C, 0)))
</f>
        <v>#N/A</v>
      </c>
      <c r="Y808" s="147" t="s">
        <v>220</v>
      </c>
      <c r="Z808" s="147" t="s">
        <v>4582</v>
      </c>
      <c r="AA808" s="147" t="s">
        <v>4583</v>
      </c>
      <c r="AB808" s="147" t="s">
        <v>4584</v>
      </c>
      <c r="AC808" s="147" t="s">
        <v>4585</v>
      </c>
      <c r="AD808" s="147" t="s">
        <v>4586</v>
      </c>
      <c r="AE808" s="144">
        <v>408.0</v>
      </c>
      <c r="AF808" s="147" t="s">
        <v>4587</v>
      </c>
      <c r="AG808" s="147" t="s">
        <v>162</v>
      </c>
      <c r="AH808" s="60"/>
      <c r="AI808" s="646">
        <v>0.032</v>
      </c>
      <c r="AJ808" s="52" t="s">
        <v>164</v>
      </c>
      <c r="AK808" s="52" t="s">
        <v>179</v>
      </c>
      <c r="AL808" s="1206" t="s">
        <v>132</v>
      </c>
      <c r="AM808" s="55"/>
      <c r="AN808" s="144">
        <v>2213.0</v>
      </c>
      <c r="AO808" s="144">
        <v>0.145</v>
      </c>
      <c r="AP808" s="147" t="s">
        <v>166</v>
      </c>
      <c r="AQ808" s="147" t="s">
        <v>2748</v>
      </c>
      <c r="AR808" s="1207">
        <v>8.9E-12</v>
      </c>
      <c r="AS808" s="147" t="s">
        <v>164</v>
      </c>
      <c r="AT808" s="147" t="s">
        <v>128</v>
      </c>
      <c r="AU808" s="1206" t="s">
        <v>132</v>
      </c>
      <c r="AV808" s="60"/>
      <c r="AW808" s="1206" t="s">
        <v>134</v>
      </c>
      <c r="AY808" s="177" t="s">
        <v>135</v>
      </c>
      <c r="BA808" s="64"/>
      <c r="BB808" s="64"/>
      <c r="BC808" s="64"/>
      <c r="BD808" s="64"/>
      <c r="BE808" s="64"/>
      <c r="BF808" s="64"/>
      <c r="BG808" s="64"/>
      <c r="BH808" s="64"/>
      <c r="BI808" s="64"/>
      <c r="BJ808" s="64"/>
      <c r="BK808" s="64"/>
      <c r="BL808" s="64"/>
      <c r="BM808" s="64"/>
      <c r="BN808" s="64"/>
      <c r="BO808" s="64"/>
      <c r="BP808" s="64"/>
      <c r="BQ808" s="64"/>
      <c r="BR808" s="64"/>
      <c r="BS808" s="64"/>
      <c r="BT808" s="64"/>
      <c r="BU808" s="64"/>
      <c r="BV808" s="64"/>
      <c r="BW808" s="64"/>
      <c r="BX808" s="64"/>
      <c r="BY808" s="64"/>
      <c r="BZ808" s="64"/>
      <c r="CA808" s="64"/>
      <c r="CB808" s="64"/>
      <c r="CC808" s="64"/>
      <c r="CD808" s="64"/>
      <c r="CE808" s="64"/>
      <c r="CF808" s="64"/>
      <c r="CG808" s="64"/>
      <c r="CH808" s="64"/>
      <c r="CI808" s="64"/>
      <c r="CJ808" s="64"/>
      <c r="CK808" s="64"/>
      <c r="CL808" s="64"/>
      <c r="CM808" s="64"/>
      <c r="CN808" s="64"/>
      <c r="CO808" s="64"/>
      <c r="CP808" s="64"/>
      <c r="CQ808" s="64"/>
      <c r="CR808" s="64"/>
      <c r="CS808" s="64"/>
      <c r="CT808" s="64"/>
      <c r="CU808" s="64"/>
      <c r="CV808" s="64"/>
      <c r="CW808" s="64"/>
      <c r="CX808" s="64"/>
      <c r="CY808" s="64"/>
      <c r="CZ808" s="64"/>
      <c r="DA808" s="64"/>
      <c r="DB808" s="64"/>
      <c r="DC808" s="64"/>
      <c r="DD808" s="64"/>
      <c r="DE808" s="64"/>
      <c r="DF808" s="64"/>
      <c r="DG808" s="64"/>
    </row>
    <row r="809">
      <c r="A809" s="177" t="s">
        <v>143</v>
      </c>
      <c r="B809" s="177" t="s">
        <v>107</v>
      </c>
      <c r="C809" s="177" t="s">
        <v>1471</v>
      </c>
      <c r="D809" s="178"/>
      <c r="E809" s="179" t="s">
        <v>4588</v>
      </c>
      <c r="F809" s="183" t="s">
        <v>4588</v>
      </c>
      <c r="G809" s="188" t="s">
        <v>1530</v>
      </c>
      <c r="H809" s="181">
        <v>45669.0</v>
      </c>
      <c r="I809" s="1201">
        <v>45677.0</v>
      </c>
      <c r="J809" s="188" t="s">
        <v>4589</v>
      </c>
      <c r="K809" s="179"/>
      <c r="L809" s="829" t="s">
        <v>4590</v>
      </c>
      <c r="M809" s="1203" t="s">
        <v>4591</v>
      </c>
      <c r="N809" s="695">
        <v>6.0</v>
      </c>
      <c r="O809" s="188" t="str">
        <f> SUBSTITUTE(lower(M809), "/", "--") &amp;  ".pdf"</f>
        <v>10.1073--pnas.1701916114.pdf</v>
      </c>
      <c r="P809" s="48" t="str">
        <f t="array" ref="P809">HYPERLINK(INDEX('File Links'!B:B, MATCH(O809, 'File Links'!C:C, 0)))
</f>
        <v>https://drive.google.com/file/d/1AHAkX3IHAtNC1ywt3EKJgEjl7TvUilkM/view?usp=drivesdk</v>
      </c>
      <c r="Q809" s="185" t="s">
        <v>4592</v>
      </c>
      <c r="R809" s="179"/>
      <c r="S809" s="829" t="s">
        <v>4402</v>
      </c>
      <c r="T809" s="695">
        <v>1.0</v>
      </c>
      <c r="U809" s="188" t="s">
        <v>4593</v>
      </c>
      <c r="V809" s="188" t="s">
        <v>4594</v>
      </c>
      <c r="W809" s="45" t="str">
        <f t="array" ref="W809">HYPERLINK(INDEX('File Links'!B:B, MATCH(U809, 'File Links'!C:C, 0)))
</f>
        <v>#N/A</v>
      </c>
      <c r="Y809" s="188" t="s">
        <v>220</v>
      </c>
      <c r="Z809" s="188" t="s">
        <v>4595</v>
      </c>
      <c r="AA809" s="188" t="s">
        <v>4596</v>
      </c>
      <c r="AB809" s="188" t="s">
        <v>4597</v>
      </c>
      <c r="AC809" s="188" t="s">
        <v>4598</v>
      </c>
      <c r="AD809" s="695">
        <v>3.0</v>
      </c>
      <c r="AE809" s="695">
        <v>504.0</v>
      </c>
      <c r="AF809" s="695">
        <v>0.19</v>
      </c>
      <c r="AG809" s="188" t="s">
        <v>166</v>
      </c>
      <c r="AH809" s="188" t="s">
        <v>505</v>
      </c>
      <c r="AI809" s="827">
        <v>0.036</v>
      </c>
      <c r="AJ809" s="180" t="s">
        <v>164</v>
      </c>
      <c r="AK809" s="180" t="s">
        <v>179</v>
      </c>
      <c r="AL809" s="179" t="s">
        <v>129</v>
      </c>
      <c r="AM809" s="351" t="s">
        <v>4599</v>
      </c>
      <c r="AN809" s="695">
        <v>2822.0</v>
      </c>
      <c r="AO809" s="695">
        <v>0.138</v>
      </c>
      <c r="AP809" s="188" t="s">
        <v>166</v>
      </c>
      <c r="AQ809" s="188" t="s">
        <v>505</v>
      </c>
      <c r="AR809" s="695">
        <v>0.001</v>
      </c>
      <c r="AS809" s="188" t="s">
        <v>127</v>
      </c>
      <c r="AT809" s="188" t="s">
        <v>128</v>
      </c>
      <c r="AU809" s="179" t="s">
        <v>129</v>
      </c>
      <c r="AV809" s="829" t="s">
        <v>4600</v>
      </c>
      <c r="AW809" s="179" t="s">
        <v>134</v>
      </c>
      <c r="AX809" s="178"/>
      <c r="AY809" s="177" t="s">
        <v>135</v>
      </c>
    </row>
    <row r="810">
      <c r="A810" s="41" t="s">
        <v>106</v>
      </c>
      <c r="B810" s="41" t="s">
        <v>107</v>
      </c>
      <c r="C810" s="41" t="s">
        <v>1455</v>
      </c>
      <c r="E810" s="60" t="s">
        <v>4588</v>
      </c>
      <c r="F810" s="55" t="s">
        <v>4588</v>
      </c>
      <c r="G810" s="147" t="s">
        <v>1458</v>
      </c>
      <c r="H810" s="60"/>
      <c r="I810" s="1201">
        <v>45677.0</v>
      </c>
      <c r="J810" s="60"/>
      <c r="K810" s="60"/>
      <c r="L810" s="410" t="s">
        <v>4601</v>
      </c>
      <c r="M810" s="1204" t="s">
        <v>4602</v>
      </c>
      <c r="N810" s="60"/>
      <c r="O810" s="145" t="str">
        <f>SUBSTITUTE(LOWER(M810), "/", "--") &amp;  ".pdf"</f>
        <v>10.1073--pnas.1701916114.pdf</v>
      </c>
      <c r="P810" s="48" t="str">
        <f t="array" ref="P810">HYPERLINK(INDEX('File Links'!B:B, MATCH(O810, 'File Links'!C:C, 0)))
</f>
        <v>https://drive.google.com/file/d/1AHAkX3IHAtNC1ywt3EKJgEjl7TvUilkM/view?usp=drivesdk</v>
      </c>
      <c r="Q810" s="60" t="s">
        <v>4603</v>
      </c>
      <c r="R810" s="60"/>
      <c r="S810" s="410" t="s">
        <v>4402</v>
      </c>
      <c r="T810" s="147" t="s">
        <v>4604</v>
      </c>
      <c r="U810" s="506"/>
      <c r="V810" s="147" t="s">
        <v>4415</v>
      </c>
      <c r="W810" s="45" t="str">
        <f t="array" ref="W810">HYPERLINK(INDEX('File Links'!B:B, MATCH(U810, 'File Links'!C:C, 0)))
</f>
        <v>#N/A</v>
      </c>
      <c r="Y810" s="147" t="s">
        <v>220</v>
      </c>
      <c r="Z810" s="147" t="s">
        <v>4605</v>
      </c>
      <c r="AA810" s="147" t="s">
        <v>4606</v>
      </c>
      <c r="AB810" s="147" t="s">
        <v>4607</v>
      </c>
      <c r="AC810" s="147" t="s">
        <v>4608</v>
      </c>
      <c r="AD810" s="144">
        <v>3.0</v>
      </c>
      <c r="AE810" s="144">
        <v>504.0</v>
      </c>
      <c r="AF810" s="147" t="s">
        <v>4609</v>
      </c>
      <c r="AG810" s="147" t="s">
        <v>162</v>
      </c>
      <c r="AH810" s="60"/>
      <c r="AI810" s="646">
        <v>0.036</v>
      </c>
      <c r="AJ810" s="52" t="s">
        <v>164</v>
      </c>
      <c r="AK810" s="52" t="s">
        <v>179</v>
      </c>
      <c r="AL810" s="1206" t="s">
        <v>132</v>
      </c>
      <c r="AM810" s="55"/>
      <c r="AN810" s="144">
        <v>2822.0</v>
      </c>
      <c r="AO810" s="144">
        <v>0.138</v>
      </c>
      <c r="AP810" s="147" t="s">
        <v>166</v>
      </c>
      <c r="AQ810" s="147" t="s">
        <v>505</v>
      </c>
      <c r="AR810" s="1207">
        <v>2.6E-4</v>
      </c>
      <c r="AS810" s="147" t="s">
        <v>164</v>
      </c>
      <c r="AT810" s="147" t="s">
        <v>128</v>
      </c>
      <c r="AU810" s="1206" t="s">
        <v>132</v>
      </c>
      <c r="AV810" s="60"/>
      <c r="AW810" s="1206" t="s">
        <v>134</v>
      </c>
      <c r="AY810" s="177" t="s">
        <v>135</v>
      </c>
      <c r="BA810" s="152"/>
      <c r="BB810" s="152"/>
      <c r="BC810" s="152"/>
      <c r="BD810" s="152"/>
      <c r="BE810" s="152"/>
      <c r="BF810" s="152"/>
      <c r="BG810" s="152"/>
      <c r="BH810" s="152"/>
      <c r="BI810" s="152"/>
      <c r="BJ810" s="152"/>
      <c r="BK810" s="152"/>
      <c r="BL810" s="152"/>
      <c r="BM810" s="152"/>
      <c r="BN810" s="152"/>
      <c r="BO810" s="152"/>
      <c r="BP810" s="152"/>
      <c r="BQ810" s="152"/>
      <c r="BR810" s="152"/>
      <c r="BS810" s="152"/>
      <c r="BT810" s="152"/>
      <c r="BU810" s="152"/>
      <c r="BV810" s="152"/>
      <c r="BW810" s="152"/>
      <c r="BX810" s="152"/>
      <c r="BY810" s="152"/>
      <c r="BZ810" s="152"/>
      <c r="CA810" s="152"/>
      <c r="CB810" s="152"/>
      <c r="CC810" s="152"/>
      <c r="CD810" s="152"/>
      <c r="CE810" s="152"/>
      <c r="CF810" s="152"/>
      <c r="CG810" s="152"/>
      <c r="CH810" s="152"/>
      <c r="CI810" s="152"/>
      <c r="CJ810" s="152"/>
      <c r="CK810" s="152"/>
      <c r="CL810" s="152"/>
      <c r="CM810" s="152"/>
      <c r="CN810" s="152"/>
      <c r="CO810" s="152"/>
      <c r="CP810" s="152"/>
      <c r="CQ810" s="152"/>
      <c r="CR810" s="152"/>
      <c r="CS810" s="152"/>
      <c r="CT810" s="152"/>
      <c r="CU810" s="152"/>
      <c r="CV810" s="152"/>
      <c r="CW810" s="152"/>
      <c r="CX810" s="152"/>
      <c r="CY810" s="152"/>
      <c r="CZ810" s="152"/>
      <c r="DA810" s="152"/>
      <c r="DB810" s="152"/>
      <c r="DC810" s="152"/>
      <c r="DD810" s="152"/>
      <c r="DE810" s="152"/>
      <c r="DF810" s="152"/>
      <c r="DG810" s="152"/>
    </row>
    <row r="811">
      <c r="A811" s="177" t="s">
        <v>143</v>
      </c>
      <c r="B811" s="177" t="s">
        <v>107</v>
      </c>
      <c r="C811" s="177" t="s">
        <v>1471</v>
      </c>
      <c r="D811" s="178"/>
      <c r="E811" s="179" t="s">
        <v>4610</v>
      </c>
      <c r="F811" s="183" t="s">
        <v>4610</v>
      </c>
      <c r="G811" s="188" t="s">
        <v>1530</v>
      </c>
      <c r="H811" s="181">
        <v>45669.0</v>
      </c>
      <c r="I811" s="1201">
        <v>45677.0</v>
      </c>
      <c r="J811" s="188" t="s">
        <v>4611</v>
      </c>
      <c r="K811" s="179"/>
      <c r="L811" s="829" t="s">
        <v>4612</v>
      </c>
      <c r="M811" s="1203" t="s">
        <v>4613</v>
      </c>
      <c r="N811" s="695">
        <v>2.0</v>
      </c>
      <c r="O811" s="188" t="str">
        <f> SUBSTITUTE(lower(M811), "/", "--") &amp;  ".pdf"</f>
        <v>10.1073--pnas.1511536112.pdf</v>
      </c>
      <c r="P811" s="48" t="str">
        <f t="array" ref="P811">HYPERLINK(INDEX('File Links'!B:B, MATCH(O811, 'File Links'!C:C, 0)))
</f>
        <v>https://drive.google.com/file/d/1wOKjiL59sTbYJAZUPb-UPMjoPu-4HWDV/view?usp=drivesdk</v>
      </c>
      <c r="Q811" s="185" t="s">
        <v>4614</v>
      </c>
      <c r="R811" s="179"/>
      <c r="S811" s="746" t="s">
        <v>4402</v>
      </c>
      <c r="T811" s="695">
        <v>1.0</v>
      </c>
      <c r="U811" s="188" t="s">
        <v>4615</v>
      </c>
      <c r="V811" s="188" t="s">
        <v>4616</v>
      </c>
      <c r="W811" s="45" t="str">
        <f t="array" ref="W811">HYPERLINK(INDEX('File Links'!B:B, MATCH(U811, 'File Links'!C:C, 0)))
</f>
        <v>#N/A</v>
      </c>
      <c r="Y811" s="188" t="s">
        <v>1820</v>
      </c>
      <c r="Z811" s="188" t="s">
        <v>4617</v>
      </c>
      <c r="AA811" s="188" t="s">
        <v>4618</v>
      </c>
      <c r="AB811" s="188" t="s">
        <v>4619</v>
      </c>
      <c r="AC811" s="188" t="s">
        <v>4620</v>
      </c>
      <c r="AD811" s="695">
        <v>3.0</v>
      </c>
      <c r="AE811" s="695">
        <v>704.0</v>
      </c>
      <c r="AF811" s="188" t="s">
        <v>4621</v>
      </c>
      <c r="AG811" s="188" t="s">
        <v>162</v>
      </c>
      <c r="AH811" s="188" t="s">
        <v>505</v>
      </c>
      <c r="AI811" s="827">
        <v>0.05</v>
      </c>
      <c r="AJ811" s="180" t="s">
        <v>127</v>
      </c>
      <c r="AK811" s="180" t="s">
        <v>179</v>
      </c>
      <c r="AL811" s="347" t="s">
        <v>129</v>
      </c>
      <c r="AM811" s="350" t="s">
        <v>165</v>
      </c>
      <c r="AN811" s="695">
        <v>3653.0</v>
      </c>
      <c r="AO811" s="695">
        <v>-0.013</v>
      </c>
      <c r="AP811" s="188" t="s">
        <v>166</v>
      </c>
      <c r="AQ811" s="188" t="s">
        <v>505</v>
      </c>
      <c r="AR811" s="695">
        <v>0.841</v>
      </c>
      <c r="AS811" s="188" t="s">
        <v>164</v>
      </c>
      <c r="AT811" s="188" t="s">
        <v>128</v>
      </c>
      <c r="AU811" s="347" t="s">
        <v>129</v>
      </c>
      <c r="AV811" s="829" t="s">
        <v>4622</v>
      </c>
      <c r="AW811" s="179" t="s">
        <v>134</v>
      </c>
      <c r="AX811" s="178"/>
      <c r="AY811" s="177" t="s">
        <v>135</v>
      </c>
      <c r="BA811" s="152"/>
      <c r="BB811" s="152"/>
      <c r="BC811" s="152"/>
      <c r="BD811" s="152"/>
      <c r="BE811" s="152"/>
      <c r="BF811" s="152"/>
      <c r="BG811" s="152"/>
      <c r="BH811" s="152"/>
      <c r="BI811" s="152"/>
      <c r="BJ811" s="152"/>
      <c r="BK811" s="152"/>
      <c r="BL811" s="152"/>
      <c r="BM811" s="152"/>
      <c r="BN811" s="152"/>
      <c r="BO811" s="152"/>
      <c r="BP811" s="152"/>
      <c r="BQ811" s="152"/>
      <c r="BR811" s="152"/>
      <c r="BS811" s="152"/>
      <c r="BT811" s="152"/>
      <c r="BU811" s="152"/>
      <c r="BV811" s="152"/>
      <c r="BW811" s="152"/>
      <c r="BX811" s="152"/>
      <c r="BY811" s="152"/>
      <c r="BZ811" s="152"/>
      <c r="CA811" s="152"/>
      <c r="CB811" s="152"/>
      <c r="CC811" s="152"/>
      <c r="CD811" s="152"/>
      <c r="CE811" s="152"/>
      <c r="CF811" s="152"/>
      <c r="CG811" s="152"/>
      <c r="CH811" s="152"/>
      <c r="CI811" s="152"/>
      <c r="CJ811" s="152"/>
      <c r="CK811" s="152"/>
      <c r="CL811" s="152"/>
      <c r="CM811" s="152"/>
      <c r="CN811" s="152"/>
      <c r="CO811" s="152"/>
      <c r="CP811" s="152"/>
      <c r="CQ811" s="152"/>
      <c r="CR811" s="152"/>
      <c r="CS811" s="152"/>
      <c r="CT811" s="152"/>
      <c r="CU811" s="152"/>
      <c r="CV811" s="152"/>
      <c r="CW811" s="152"/>
      <c r="CX811" s="152"/>
      <c r="CY811" s="152"/>
      <c r="CZ811" s="152"/>
      <c r="DA811" s="152"/>
      <c r="DB811" s="152"/>
      <c r="DC811" s="152"/>
      <c r="DD811" s="152"/>
      <c r="DE811" s="152"/>
      <c r="DF811" s="152"/>
      <c r="DG811" s="152"/>
    </row>
    <row r="812">
      <c r="A812" s="41" t="s">
        <v>106</v>
      </c>
      <c r="B812" s="41" t="s">
        <v>107</v>
      </c>
      <c r="C812" s="41" t="s">
        <v>1455</v>
      </c>
      <c r="E812" s="60" t="s">
        <v>4610</v>
      </c>
      <c r="F812" s="55" t="s">
        <v>4610</v>
      </c>
      <c r="G812" s="147" t="s">
        <v>1458</v>
      </c>
      <c r="H812" s="60"/>
      <c r="I812" s="1201">
        <v>45677.0</v>
      </c>
      <c r="J812" s="147" t="s">
        <v>4623</v>
      </c>
      <c r="K812" s="60"/>
      <c r="L812" s="410" t="s">
        <v>4624</v>
      </c>
      <c r="M812" s="1204" t="s">
        <v>4625</v>
      </c>
      <c r="N812" s="60"/>
      <c r="O812" s="145" t="str">
        <f>SUBSTITUTE(LOWER(M812), "/", "--") &amp;  ".pdf"</f>
        <v>10.1073--pnas.1511536112.pdf</v>
      </c>
      <c r="P812" s="48" t="str">
        <f t="array" ref="P812">HYPERLINK(INDEX('File Links'!B:B, MATCH(O812, 'File Links'!C:C, 0)))
</f>
        <v>https://drive.google.com/file/d/1wOKjiL59sTbYJAZUPb-UPMjoPu-4HWDV/view?usp=drivesdk</v>
      </c>
      <c r="Q812" s="60" t="s">
        <v>4626</v>
      </c>
      <c r="R812" s="60"/>
      <c r="S812" s="410" t="s">
        <v>4402</v>
      </c>
      <c r="T812" s="60"/>
      <c r="U812" s="506"/>
      <c r="V812" s="147" t="s">
        <v>4415</v>
      </c>
      <c r="W812" s="45" t="str">
        <f t="array" ref="W812">HYPERLINK(INDEX('File Links'!B:B, MATCH(U812, 'File Links'!C:C, 0)))
</f>
        <v>#N/A</v>
      </c>
      <c r="Y812" s="147" t="s">
        <v>220</v>
      </c>
      <c r="Z812" s="147" t="s">
        <v>4627</v>
      </c>
      <c r="AA812" s="147" t="s">
        <v>4628</v>
      </c>
      <c r="AB812" s="147" t="s">
        <v>4629</v>
      </c>
      <c r="AC812" s="147" t="s">
        <v>4630</v>
      </c>
      <c r="AD812" s="144">
        <v>3.0</v>
      </c>
      <c r="AE812" s="144">
        <v>704.0</v>
      </c>
      <c r="AF812" s="147" t="s">
        <v>4631</v>
      </c>
      <c r="AG812" s="147" t="s">
        <v>162</v>
      </c>
      <c r="AH812" s="60"/>
      <c r="AI812" s="646">
        <v>0.05</v>
      </c>
      <c r="AJ812" s="52" t="s">
        <v>127</v>
      </c>
      <c r="AK812" s="52" t="s">
        <v>179</v>
      </c>
      <c r="AL812" s="1206" t="s">
        <v>129</v>
      </c>
      <c r="AM812" s="55"/>
      <c r="AN812" s="144">
        <v>3653.0</v>
      </c>
      <c r="AO812" s="144">
        <v>-0.013</v>
      </c>
      <c r="AP812" s="147" t="s">
        <v>166</v>
      </c>
      <c r="AQ812" s="147" t="s">
        <v>505</v>
      </c>
      <c r="AR812" s="144">
        <v>0.841</v>
      </c>
      <c r="AS812" s="147" t="s">
        <v>164</v>
      </c>
      <c r="AT812" s="147" t="s">
        <v>128</v>
      </c>
      <c r="AU812" s="1206" t="s">
        <v>129</v>
      </c>
      <c r="AV812" s="60"/>
      <c r="AW812" s="1206" t="s">
        <v>134</v>
      </c>
      <c r="AY812" s="177" t="s">
        <v>135</v>
      </c>
    </row>
    <row r="813">
      <c r="A813" s="177" t="s">
        <v>143</v>
      </c>
      <c r="B813" s="177" t="s">
        <v>107</v>
      </c>
      <c r="C813" s="177" t="s">
        <v>1471</v>
      </c>
      <c r="D813" s="178"/>
      <c r="E813" s="179" t="s">
        <v>4632</v>
      </c>
      <c r="F813" s="183" t="s">
        <v>4632</v>
      </c>
      <c r="G813" s="188" t="s">
        <v>1530</v>
      </c>
      <c r="H813" s="181">
        <v>45669.0</v>
      </c>
      <c r="I813" s="1201">
        <v>45677.0</v>
      </c>
      <c r="J813" s="1202" t="s">
        <v>4633</v>
      </c>
      <c r="K813" s="179"/>
      <c r="L813" s="829" t="s">
        <v>4634</v>
      </c>
      <c r="M813" s="1203" t="s">
        <v>4635</v>
      </c>
      <c r="N813" s="695">
        <v>3.0</v>
      </c>
      <c r="O813" s="188" t="str">
        <f> SUBSTITUTE(lower(M813), "/", "--") &amp;  ".pdf"</f>
        <v>10.1073--pnas.1508932113.pdf</v>
      </c>
      <c r="P813" s="48" t="str">
        <f t="array" ref="P813">HYPERLINK(INDEX('File Links'!B:B, MATCH(O813, 'File Links'!C:C, 0)))
</f>
        <v>https://drive.google.com/file/d/1GUMHnYj_hycM2gMFNTbvEGwdonZHVaEU/view?usp=drivesdk</v>
      </c>
      <c r="Q813" s="185" t="s">
        <v>4636</v>
      </c>
      <c r="R813" s="179"/>
      <c r="S813" s="829" t="s">
        <v>4402</v>
      </c>
      <c r="T813" s="695">
        <v>1.0</v>
      </c>
      <c r="U813" s="188" t="s">
        <v>4637</v>
      </c>
      <c r="V813" s="188" t="s">
        <v>4638</v>
      </c>
      <c r="W813" s="45" t="str">
        <f t="array" ref="W813">HYPERLINK(INDEX('File Links'!B:B, MATCH(U813, 'File Links'!C:C, 0)))
</f>
        <v>#N/A</v>
      </c>
      <c r="Y813" s="188" t="s">
        <v>220</v>
      </c>
      <c r="Z813" s="188" t="s">
        <v>4639</v>
      </c>
      <c r="AA813" s="188" t="s">
        <v>4640</v>
      </c>
      <c r="AB813" s="188" t="s">
        <v>4641</v>
      </c>
      <c r="AC813" s="188" t="s">
        <v>4642</v>
      </c>
      <c r="AD813" s="1213">
        <v>45748.0</v>
      </c>
      <c r="AE813" s="695">
        <v>426.0</v>
      </c>
      <c r="AF813" s="695">
        <v>1.751</v>
      </c>
      <c r="AG813" s="188" t="s">
        <v>166</v>
      </c>
      <c r="AH813" s="511"/>
      <c r="AI813" s="827">
        <v>1.0E-4</v>
      </c>
      <c r="AJ813" s="180" t="s">
        <v>127</v>
      </c>
      <c r="AK813" s="180" t="s">
        <v>179</v>
      </c>
      <c r="AL813" s="179" t="s">
        <v>129</v>
      </c>
      <c r="AM813" s="350" t="s">
        <v>165</v>
      </c>
      <c r="AN813" s="695">
        <v>450.0</v>
      </c>
      <c r="AO813" s="695">
        <v>0.974</v>
      </c>
      <c r="AP813" s="188" t="s">
        <v>166</v>
      </c>
      <c r="AQ813" s="188" t="s">
        <v>2748</v>
      </c>
      <c r="AR813" s="1214">
        <v>0.001</v>
      </c>
      <c r="AS813" s="188" t="s">
        <v>127</v>
      </c>
      <c r="AT813" s="188" t="s">
        <v>128</v>
      </c>
      <c r="AU813" s="179" t="s">
        <v>129</v>
      </c>
      <c r="AV813" s="829" t="s">
        <v>4643</v>
      </c>
      <c r="AW813" s="179" t="s">
        <v>134</v>
      </c>
      <c r="AX813" s="178"/>
      <c r="AY813" s="177" t="s">
        <v>135</v>
      </c>
    </row>
    <row r="814">
      <c r="A814" s="41" t="s">
        <v>106</v>
      </c>
      <c r="B814" s="41" t="s">
        <v>107</v>
      </c>
      <c r="C814" s="41" t="s">
        <v>1455</v>
      </c>
      <c r="E814" s="60" t="s">
        <v>4632</v>
      </c>
      <c r="F814" s="55" t="s">
        <v>4632</v>
      </c>
      <c r="G814" s="147" t="s">
        <v>1458</v>
      </c>
      <c r="H814" s="60"/>
      <c r="I814" s="1201">
        <v>45677.0</v>
      </c>
      <c r="J814" s="60"/>
      <c r="K814" s="60"/>
      <c r="L814" s="410" t="s">
        <v>4644</v>
      </c>
      <c r="M814" s="1204" t="s">
        <v>4645</v>
      </c>
      <c r="N814" s="60"/>
      <c r="O814" s="145" t="str">
        <f>SUBSTITUTE(LOWER(M814), "/", "--") &amp;  ".pdf"</f>
        <v>10.1073--pnas.1508932113.pdf</v>
      </c>
      <c r="P814" s="48" t="str">
        <f t="array" ref="P814">HYPERLINK(INDEX('File Links'!B:B, MATCH(O814, 'File Links'!C:C, 0)))
</f>
        <v>https://drive.google.com/file/d/1GUMHnYj_hycM2gMFNTbvEGwdonZHVaEU/view?usp=drivesdk</v>
      </c>
      <c r="Q814" s="60" t="s">
        <v>4646</v>
      </c>
      <c r="R814" s="60"/>
      <c r="S814" s="410" t="s">
        <v>4402</v>
      </c>
      <c r="T814" s="147" t="s">
        <v>3517</v>
      </c>
      <c r="U814" s="506"/>
      <c r="V814" s="147" t="s">
        <v>4415</v>
      </c>
      <c r="W814" s="45" t="str">
        <f t="array" ref="W814">HYPERLINK(INDEX('File Links'!B:B, MATCH(U814, 'File Links'!C:C, 0)))
</f>
        <v>#N/A</v>
      </c>
      <c r="Y814" s="147" t="s">
        <v>220</v>
      </c>
      <c r="Z814" s="147" t="s">
        <v>4647</v>
      </c>
      <c r="AA814" s="147" t="s">
        <v>4648</v>
      </c>
      <c r="AB814" s="147" t="s">
        <v>4649</v>
      </c>
      <c r="AC814" s="147" t="s">
        <v>4650</v>
      </c>
      <c r="AD814" s="144">
        <v>4.0</v>
      </c>
      <c r="AE814" s="144">
        <v>426.0</v>
      </c>
      <c r="AF814" s="60" t="s">
        <v>4651</v>
      </c>
      <c r="AG814" s="147" t="s">
        <v>162</v>
      </c>
      <c r="AH814" s="60"/>
      <c r="AI814" s="646">
        <v>1.0E-4</v>
      </c>
      <c r="AJ814" s="55" t="s">
        <v>127</v>
      </c>
      <c r="AK814" s="52" t="s">
        <v>179</v>
      </c>
      <c r="AL814" s="60" t="s">
        <v>132</v>
      </c>
      <c r="AM814" s="55"/>
      <c r="AN814" s="144">
        <v>450.0</v>
      </c>
      <c r="AO814" s="144">
        <v>0.974</v>
      </c>
      <c r="AP814" s="147" t="s">
        <v>166</v>
      </c>
      <c r="AQ814" s="147" t="s">
        <v>2748</v>
      </c>
      <c r="AR814" s="327">
        <v>1.4E-22</v>
      </c>
      <c r="AS814" s="60" t="s">
        <v>127</v>
      </c>
      <c r="AT814" s="147" t="s">
        <v>128</v>
      </c>
      <c r="AU814" s="60" t="s">
        <v>132</v>
      </c>
      <c r="AV814" s="60"/>
      <c r="AW814" s="60" t="s">
        <v>134</v>
      </c>
      <c r="AY814" s="177" t="s">
        <v>135</v>
      </c>
    </row>
    <row r="815">
      <c r="A815" s="177" t="s">
        <v>143</v>
      </c>
      <c r="B815" s="177" t="s">
        <v>107</v>
      </c>
      <c r="C815" s="177" t="s">
        <v>1471</v>
      </c>
      <c r="D815" s="178"/>
      <c r="E815" s="179" t="s">
        <v>4652</v>
      </c>
      <c r="F815" s="183" t="s">
        <v>4652</v>
      </c>
      <c r="G815" s="188" t="s">
        <v>1530</v>
      </c>
      <c r="H815" s="181">
        <v>45670.0</v>
      </c>
      <c r="I815" s="1201">
        <v>45677.0</v>
      </c>
      <c r="J815" s="1202" t="s">
        <v>4653</v>
      </c>
      <c r="K815" s="179"/>
      <c r="L815" s="829" t="s">
        <v>4654</v>
      </c>
      <c r="M815" s="1215" t="s">
        <v>4655</v>
      </c>
      <c r="N815" s="695">
        <v>6.0</v>
      </c>
      <c r="O815" s="188" t="str">
        <f> SUBSTITUTE(lower(M815), "/", "--") &amp;  ".pdf"</f>
        <v>10.1073--pnas.1606574113.pdf</v>
      </c>
      <c r="P815" s="48" t="str">
        <f t="array" ref="P815">HYPERLINK(INDEX('File Links'!B:B, MATCH(O815, 'File Links'!C:C, 0)))
</f>
        <v>https://drive.google.com/file/d/1OmM2z06gBM63n800JtLoY_5328h0Kj-q/view?usp=drivesdk</v>
      </c>
      <c r="Q815" s="185" t="s">
        <v>4656</v>
      </c>
      <c r="R815" s="179"/>
      <c r="S815" s="829" t="s">
        <v>4402</v>
      </c>
      <c r="T815" s="695">
        <v>1.0</v>
      </c>
      <c r="U815" s="188" t="s">
        <v>4657</v>
      </c>
      <c r="V815" s="188" t="s">
        <v>4658</v>
      </c>
      <c r="W815" s="45" t="str">
        <f t="array" ref="W815">HYPERLINK(INDEX('File Links'!B:B, MATCH(U815, 'File Links'!C:C, 0)))
</f>
        <v>#N/A</v>
      </c>
      <c r="Y815" s="188" t="s">
        <v>220</v>
      </c>
      <c r="Z815" s="188" t="s">
        <v>4659</v>
      </c>
      <c r="AA815" s="188" t="s">
        <v>4660</v>
      </c>
      <c r="AB815" s="188" t="s">
        <v>4661</v>
      </c>
      <c r="AC815" s="188" t="s">
        <v>4662</v>
      </c>
      <c r="AD815" s="695">
        <v>3.0</v>
      </c>
      <c r="AE815" s="695">
        <v>120.0</v>
      </c>
      <c r="AF815" s="695">
        <v>0.32</v>
      </c>
      <c r="AG815" s="188" t="s">
        <v>130</v>
      </c>
      <c r="AH815" s="188" t="s">
        <v>4663</v>
      </c>
      <c r="AI815" s="827">
        <v>0.001</v>
      </c>
      <c r="AJ815" s="180" t="s">
        <v>127</v>
      </c>
      <c r="AK815" s="180" t="s">
        <v>179</v>
      </c>
      <c r="AL815" s="179" t="s">
        <v>132</v>
      </c>
      <c r="AM815" s="350" t="s">
        <v>165</v>
      </c>
      <c r="AN815" s="695">
        <v>132.0</v>
      </c>
      <c r="AO815" s="695">
        <v>0.244</v>
      </c>
      <c r="AP815" s="188" t="s">
        <v>166</v>
      </c>
      <c r="AQ815" s="188" t="s">
        <v>505</v>
      </c>
      <c r="AR815" s="695">
        <v>0.006</v>
      </c>
      <c r="AS815" s="188" t="s">
        <v>164</v>
      </c>
      <c r="AT815" s="188" t="s">
        <v>128</v>
      </c>
      <c r="AU815" s="179" t="s">
        <v>132</v>
      </c>
      <c r="AV815" s="829" t="s">
        <v>4664</v>
      </c>
      <c r="AW815" s="179" t="s">
        <v>134</v>
      </c>
      <c r="AX815" s="178"/>
      <c r="AY815" s="177" t="s">
        <v>135</v>
      </c>
    </row>
    <row r="816">
      <c r="A816" s="41" t="s">
        <v>106</v>
      </c>
      <c r="B816" s="41" t="s">
        <v>107</v>
      </c>
      <c r="C816" s="41" t="s">
        <v>1455</v>
      </c>
      <c r="E816" s="60" t="s">
        <v>4652</v>
      </c>
      <c r="F816" s="55" t="s">
        <v>4652</v>
      </c>
      <c r="G816" s="147" t="s">
        <v>1458</v>
      </c>
      <c r="H816" s="60"/>
      <c r="I816" s="1201">
        <v>45677.0</v>
      </c>
      <c r="J816" s="147" t="s">
        <v>4665</v>
      </c>
      <c r="K816" s="60"/>
      <c r="L816" s="410" t="s">
        <v>4666</v>
      </c>
      <c r="M816" s="1216" t="s">
        <v>4667</v>
      </c>
      <c r="N816" s="60"/>
      <c r="O816" s="145" t="str">
        <f>SUBSTITUTE(LOWER(M816), "/", "--") &amp;  ".pdf"</f>
        <v>10.1073--pnas.1606574113.pdf</v>
      </c>
      <c r="P816" s="48" t="str">
        <f t="array" ref="P816">HYPERLINK(INDEX('File Links'!B:B, MATCH(O816, 'File Links'!C:C, 0)))
</f>
        <v>https://drive.google.com/file/d/1OmM2z06gBM63n800JtLoY_5328h0Kj-q/view?usp=drivesdk</v>
      </c>
      <c r="Q816" s="60" t="s">
        <v>4668</v>
      </c>
      <c r="R816" s="60"/>
      <c r="S816" s="410" t="s">
        <v>4402</v>
      </c>
      <c r="T816" s="144">
        <v>5.0</v>
      </c>
      <c r="U816" s="506"/>
      <c r="V816" s="147" t="s">
        <v>4415</v>
      </c>
      <c r="W816" s="45" t="str">
        <f t="array" ref="W816">HYPERLINK(INDEX('File Links'!B:B, MATCH(U816, 'File Links'!C:C, 0)))
</f>
        <v>#N/A</v>
      </c>
      <c r="Y816" s="147" t="s">
        <v>203</v>
      </c>
      <c r="Z816" s="147" t="s">
        <v>4669</v>
      </c>
      <c r="AA816" s="147" t="s">
        <v>4670</v>
      </c>
      <c r="AB816" s="147" t="s">
        <v>4671</v>
      </c>
      <c r="AC816" s="147" t="s">
        <v>4672</v>
      </c>
      <c r="AD816" s="147" t="s">
        <v>4672</v>
      </c>
      <c r="AE816" s="144">
        <v>120.0</v>
      </c>
      <c r="AF816" s="147" t="s">
        <v>4673</v>
      </c>
      <c r="AG816" s="147" t="s">
        <v>162</v>
      </c>
      <c r="AH816" s="60"/>
      <c r="AI816" s="646">
        <v>0.001</v>
      </c>
      <c r="AJ816" s="52" t="s">
        <v>127</v>
      </c>
      <c r="AK816" s="52" t="s">
        <v>179</v>
      </c>
      <c r="AL816" s="1206" t="s">
        <v>129</v>
      </c>
      <c r="AM816" s="55"/>
      <c r="AN816" s="144">
        <v>132.0</v>
      </c>
      <c r="AO816" s="144">
        <v>0.244</v>
      </c>
      <c r="AP816" s="147" t="s">
        <v>166</v>
      </c>
      <c r="AQ816" s="147" t="s">
        <v>505</v>
      </c>
      <c r="AR816" s="144">
        <v>0.006</v>
      </c>
      <c r="AS816" s="147" t="s">
        <v>164</v>
      </c>
      <c r="AT816" s="147" t="s">
        <v>128</v>
      </c>
      <c r="AU816" s="1206" t="s">
        <v>129</v>
      </c>
      <c r="AV816" s="60"/>
      <c r="AW816" s="1206" t="s">
        <v>134</v>
      </c>
      <c r="AY816" s="177" t="s">
        <v>135</v>
      </c>
      <c r="BA816" s="178"/>
      <c r="BB816" s="178"/>
      <c r="BC816" s="178"/>
      <c r="BD816" s="178"/>
      <c r="BE816" s="178"/>
      <c r="BF816" s="178"/>
      <c r="BG816" s="178"/>
      <c r="BH816" s="178"/>
      <c r="BI816" s="178"/>
      <c r="BJ816" s="178"/>
      <c r="BK816" s="178"/>
      <c r="BL816" s="178"/>
      <c r="BM816" s="178"/>
      <c r="BN816" s="178"/>
      <c r="BO816" s="178"/>
      <c r="BP816" s="178"/>
      <c r="BQ816" s="178"/>
      <c r="BR816" s="178"/>
      <c r="BS816" s="178"/>
      <c r="BT816" s="178"/>
      <c r="BU816" s="178"/>
      <c r="BV816" s="178"/>
      <c r="BW816" s="178"/>
      <c r="BX816" s="178"/>
      <c r="BY816" s="178"/>
      <c r="BZ816" s="178"/>
      <c r="CA816" s="178"/>
      <c r="CB816" s="178"/>
      <c r="CC816" s="178"/>
      <c r="CD816" s="178"/>
      <c r="CE816" s="178"/>
      <c r="CF816" s="178"/>
      <c r="CG816" s="178"/>
      <c r="CH816" s="178"/>
      <c r="CI816" s="178"/>
      <c r="CJ816" s="178"/>
      <c r="CK816" s="178"/>
      <c r="CL816" s="178"/>
      <c r="CM816" s="178"/>
      <c r="CN816" s="178"/>
      <c r="CO816" s="178"/>
      <c r="CP816" s="178"/>
      <c r="CQ816" s="178"/>
      <c r="CR816" s="178"/>
      <c r="CS816" s="178"/>
      <c r="CT816" s="178"/>
      <c r="CU816" s="178"/>
      <c r="CV816" s="178"/>
      <c r="CW816" s="178"/>
      <c r="CX816" s="178"/>
      <c r="CY816" s="178"/>
      <c r="CZ816" s="178"/>
      <c r="DA816" s="178"/>
      <c r="DB816" s="178"/>
      <c r="DC816" s="178"/>
      <c r="DD816" s="178"/>
      <c r="DE816" s="178"/>
      <c r="DF816" s="178"/>
      <c r="DG816" s="178"/>
    </row>
    <row r="817">
      <c r="A817" s="177" t="s">
        <v>143</v>
      </c>
      <c r="B817" s="177" t="s">
        <v>107</v>
      </c>
      <c r="C817" s="177" t="s">
        <v>1471</v>
      </c>
      <c r="D817" s="178"/>
      <c r="E817" s="179" t="s">
        <v>4674</v>
      </c>
      <c r="F817" s="183" t="s">
        <v>4674</v>
      </c>
      <c r="G817" s="188" t="s">
        <v>1530</v>
      </c>
      <c r="H817" s="181">
        <v>45670.0</v>
      </c>
      <c r="I817" s="1201">
        <v>45677.0</v>
      </c>
      <c r="J817" s="188" t="s">
        <v>4675</v>
      </c>
      <c r="K817" s="179"/>
      <c r="L817" s="829" t="s">
        <v>4676</v>
      </c>
      <c r="M817" s="1203" t="s">
        <v>4677</v>
      </c>
      <c r="N817" s="695">
        <v>3.0</v>
      </c>
      <c r="O817" s="188" t="str">
        <f> SUBSTITUTE(lower(M817), "/", "--") &amp;  ".pdf"</f>
        <v>10.1073--pnas.1607330114.pdf</v>
      </c>
      <c r="P817" s="48" t="str">
        <f t="array" ref="P817">HYPERLINK(INDEX('File Links'!B:B, MATCH(O817, 'File Links'!C:C, 0)))
</f>
        <v>https://drive.google.com/file/d/1c91FKEwUnH0eT_Uzixr-mWli2LJ6mmul/view?usp=drivesdk</v>
      </c>
      <c r="Q817" s="185" t="s">
        <v>4678</v>
      </c>
      <c r="R817" s="179"/>
      <c r="S817" s="829" t="s">
        <v>4402</v>
      </c>
      <c r="T817" s="695">
        <v>1.0</v>
      </c>
      <c r="U817" s="188" t="s">
        <v>4679</v>
      </c>
      <c r="V817" s="188" t="s">
        <v>4680</v>
      </c>
      <c r="W817" s="45" t="str">
        <f t="array" ref="W817">HYPERLINK(INDEX('File Links'!B:B, MATCH(U817, 'File Links'!C:C, 0)))
</f>
        <v>#N/A</v>
      </c>
      <c r="Y817" s="188" t="s">
        <v>220</v>
      </c>
      <c r="Z817" s="188" t="s">
        <v>4681</v>
      </c>
      <c r="AA817" s="188" t="s">
        <v>4682</v>
      </c>
      <c r="AB817" s="188" t="s">
        <v>4683</v>
      </c>
      <c r="AC817" s="188" t="s">
        <v>4684</v>
      </c>
      <c r="AD817" s="695">
        <v>3.0</v>
      </c>
      <c r="AE817" s="695">
        <v>167.0</v>
      </c>
      <c r="AF817" s="695">
        <v>0.331</v>
      </c>
      <c r="AG817" s="188" t="s">
        <v>166</v>
      </c>
      <c r="AH817" s="179" t="str">
        <f>IF(ISBLANK(AH810), 
   "=(" &amp; AH808 &amp; "-" &amp; AH812 &amp; ")/SQRT((" &amp; AH809 &amp; "^2+" &amp; AH813 &amp; "^2)/2)", 
   "=(" &amp; AH808 &amp; "-" &amp; AH812 &amp; ")/SQRT(((" &amp; AH810 &amp; "-1)*" &amp; AH809 &amp; "^2+(" &amp; AH814 &amp; "-1)*" &amp; AH813 &amp; "^2)/(" &amp; AH810 &amp; "+" &amp; AH814 &amp; "-2)))"
)
</f>
        <v>=(-)/SQRT((p.3^2+^2)/2)</v>
      </c>
      <c r="AI817" s="185"/>
      <c r="AJ817" s="350" t="s">
        <v>165</v>
      </c>
      <c r="AK817" s="180" t="s">
        <v>179</v>
      </c>
      <c r="AL817" s="179" t="s">
        <v>129</v>
      </c>
      <c r="AM817" s="350" t="s">
        <v>165</v>
      </c>
      <c r="AN817" s="695">
        <v>925.0</v>
      </c>
      <c r="AO817" s="695">
        <v>-0.054</v>
      </c>
      <c r="AP817" s="188" t="s">
        <v>166</v>
      </c>
      <c r="AQ817" s="188" t="s">
        <v>505</v>
      </c>
      <c r="AR817" s="695">
        <v>0.408</v>
      </c>
      <c r="AS817" s="188" t="s">
        <v>164</v>
      </c>
      <c r="AT817" s="188" t="s">
        <v>128</v>
      </c>
      <c r="AU817" s="179" t="s">
        <v>129</v>
      </c>
      <c r="AV817" s="829" t="s">
        <v>4685</v>
      </c>
      <c r="AW817" s="179" t="s">
        <v>134</v>
      </c>
      <c r="AX817" s="178"/>
      <c r="AY817" s="177" t="s">
        <v>135</v>
      </c>
      <c r="BA817" s="178"/>
      <c r="BB817" s="178"/>
      <c r="BC817" s="178"/>
      <c r="BD817" s="178"/>
      <c r="BE817" s="178"/>
      <c r="BF817" s="178"/>
      <c r="BG817" s="178"/>
      <c r="BH817" s="178"/>
      <c r="BI817" s="178"/>
      <c r="BJ817" s="178"/>
      <c r="BK817" s="178"/>
      <c r="BL817" s="178"/>
      <c r="BM817" s="178"/>
      <c r="BN817" s="178"/>
      <c r="BO817" s="178"/>
      <c r="BP817" s="178"/>
      <c r="BQ817" s="178"/>
      <c r="BR817" s="178"/>
      <c r="BS817" s="178"/>
      <c r="BT817" s="178"/>
      <c r="BU817" s="178"/>
      <c r="BV817" s="178"/>
      <c r="BW817" s="178"/>
      <c r="BX817" s="178"/>
      <c r="BY817" s="178"/>
      <c r="BZ817" s="178"/>
      <c r="CA817" s="178"/>
      <c r="CB817" s="178"/>
      <c r="CC817" s="178"/>
      <c r="CD817" s="178"/>
      <c r="CE817" s="178"/>
      <c r="CF817" s="178"/>
      <c r="CG817" s="178"/>
      <c r="CH817" s="178"/>
      <c r="CI817" s="178"/>
      <c r="CJ817" s="178"/>
      <c r="CK817" s="178"/>
      <c r="CL817" s="178"/>
      <c r="CM817" s="178"/>
      <c r="CN817" s="178"/>
      <c r="CO817" s="178"/>
      <c r="CP817" s="178"/>
      <c r="CQ817" s="178"/>
      <c r="CR817" s="178"/>
      <c r="CS817" s="178"/>
      <c r="CT817" s="178"/>
      <c r="CU817" s="178"/>
      <c r="CV817" s="178"/>
      <c r="CW817" s="178"/>
      <c r="CX817" s="178"/>
      <c r="CY817" s="178"/>
      <c r="CZ817" s="178"/>
      <c r="DA817" s="178"/>
      <c r="DB817" s="178"/>
      <c r="DC817" s="178"/>
      <c r="DD817" s="178"/>
      <c r="DE817" s="178"/>
      <c r="DF817" s="178"/>
      <c r="DG817" s="178"/>
    </row>
    <row r="818">
      <c r="A818" s="41" t="s">
        <v>106</v>
      </c>
      <c r="B818" s="41" t="s">
        <v>107</v>
      </c>
      <c r="C818" s="41" t="s">
        <v>1455</v>
      </c>
      <c r="E818" s="60" t="s">
        <v>4674</v>
      </c>
      <c r="F818" s="55" t="s">
        <v>4674</v>
      </c>
      <c r="G818" s="147" t="s">
        <v>1458</v>
      </c>
      <c r="H818" s="60"/>
      <c r="I818" s="1201">
        <v>45677.0</v>
      </c>
      <c r="J818" s="147" t="s">
        <v>4686</v>
      </c>
      <c r="K818" s="60"/>
      <c r="L818" s="410" t="s">
        <v>4687</v>
      </c>
      <c r="M818" s="1204" t="s">
        <v>4688</v>
      </c>
      <c r="N818" s="60"/>
      <c r="O818" s="145" t="str">
        <f>SUBSTITUTE(LOWER(M818), "/", "--") &amp;  ".pdf"</f>
        <v>10.1073--pnas.1607330114.pdf</v>
      </c>
      <c r="P818" s="48" t="str">
        <f t="array" ref="P818">HYPERLINK(INDEX('File Links'!B:B, MATCH(O818, 'File Links'!C:C, 0)))
</f>
        <v>https://drive.google.com/file/d/1c91FKEwUnH0eT_Uzixr-mWli2LJ6mmul/view?usp=drivesdk</v>
      </c>
      <c r="Q818" s="60" t="s">
        <v>4689</v>
      </c>
      <c r="R818" s="60"/>
      <c r="S818" s="410" t="s">
        <v>4402</v>
      </c>
      <c r="T818" s="144">
        <v>3.0</v>
      </c>
      <c r="U818" s="506"/>
      <c r="V818" s="147" t="s">
        <v>4415</v>
      </c>
      <c r="W818" s="45" t="str">
        <f t="array" ref="W818">HYPERLINK(INDEX('File Links'!B:B, MATCH(U818, 'File Links'!C:C, 0)))
</f>
        <v>#N/A</v>
      </c>
      <c r="Y818" s="147" t="s">
        <v>220</v>
      </c>
      <c r="Z818" s="147" t="s">
        <v>4690</v>
      </c>
      <c r="AA818" s="147" t="s">
        <v>4691</v>
      </c>
      <c r="AB818" s="147" t="s">
        <v>4692</v>
      </c>
      <c r="AC818" s="147" t="s">
        <v>4693</v>
      </c>
      <c r="AD818" s="144">
        <v>3.0</v>
      </c>
      <c r="AE818" s="144">
        <v>167.0</v>
      </c>
      <c r="AF818" s="147" t="s">
        <v>4694</v>
      </c>
      <c r="AG818" s="147" t="s">
        <v>162</v>
      </c>
      <c r="AH818" s="60"/>
      <c r="AI818" s="646">
        <v>0.04</v>
      </c>
      <c r="AJ818" s="52" t="s">
        <v>164</v>
      </c>
      <c r="AK818" s="52" t="s">
        <v>179</v>
      </c>
      <c r="AL818" s="1206" t="s">
        <v>129</v>
      </c>
      <c r="AM818" s="55"/>
      <c r="AN818" s="144">
        <v>925.0</v>
      </c>
      <c r="AO818" s="144">
        <v>-0.054</v>
      </c>
      <c r="AP818" s="147" t="s">
        <v>166</v>
      </c>
      <c r="AQ818" s="147" t="s">
        <v>505</v>
      </c>
      <c r="AR818" s="144">
        <v>0.408</v>
      </c>
      <c r="AS818" s="147" t="s">
        <v>164</v>
      </c>
      <c r="AT818" s="147" t="s">
        <v>128</v>
      </c>
      <c r="AU818" s="1206" t="s">
        <v>129</v>
      </c>
      <c r="AV818" s="60"/>
      <c r="AW818" s="1206" t="s">
        <v>134</v>
      </c>
      <c r="AY818" s="177" t="s">
        <v>135</v>
      </c>
      <c r="BA818" s="333"/>
      <c r="BB818" s="333"/>
      <c r="BC818" s="333"/>
      <c r="BD818" s="333"/>
      <c r="BE818" s="333"/>
      <c r="BF818" s="333"/>
      <c r="BG818" s="333"/>
      <c r="BH818" s="333"/>
      <c r="BI818" s="333"/>
      <c r="BJ818" s="333"/>
      <c r="BK818" s="333"/>
      <c r="BL818" s="333"/>
      <c r="BM818" s="333"/>
      <c r="BN818" s="333"/>
      <c r="BO818" s="333"/>
      <c r="BP818" s="333"/>
      <c r="BQ818" s="333"/>
      <c r="BR818" s="333"/>
      <c r="BS818" s="333"/>
      <c r="BT818" s="333"/>
      <c r="BU818" s="333"/>
      <c r="BV818" s="333"/>
      <c r="BW818" s="333"/>
      <c r="BX818" s="333"/>
      <c r="BY818" s="333"/>
      <c r="BZ818" s="333"/>
      <c r="CA818" s="333"/>
      <c r="CB818" s="333"/>
      <c r="CC818" s="333"/>
      <c r="CD818" s="333"/>
      <c r="CE818" s="333"/>
      <c r="CF818" s="333"/>
      <c r="CG818" s="333"/>
      <c r="CH818" s="333"/>
      <c r="CI818" s="333"/>
      <c r="CJ818" s="333"/>
      <c r="CK818" s="333"/>
      <c r="CL818" s="333"/>
      <c r="CM818" s="333"/>
      <c r="CN818" s="333"/>
      <c r="CO818" s="333"/>
      <c r="CP818" s="333"/>
      <c r="CQ818" s="333"/>
      <c r="CR818" s="333"/>
      <c r="CS818" s="333"/>
      <c r="CT818" s="333"/>
      <c r="CU818" s="333"/>
      <c r="CV818" s="333"/>
      <c r="CW818" s="333"/>
      <c r="CX818" s="333"/>
      <c r="CY818" s="333"/>
      <c r="CZ818" s="333"/>
      <c r="DA818" s="333"/>
      <c r="DB818" s="333"/>
      <c r="DC818" s="333"/>
      <c r="DD818" s="333"/>
      <c r="DE818" s="333"/>
      <c r="DF818" s="333"/>
      <c r="DG818" s="333"/>
    </row>
    <row r="819">
      <c r="A819" s="177" t="s">
        <v>143</v>
      </c>
      <c r="B819" s="177" t="s">
        <v>107</v>
      </c>
      <c r="C819" s="177" t="s">
        <v>1471</v>
      </c>
      <c r="D819" s="178"/>
      <c r="E819" s="179" t="s">
        <v>4695</v>
      </c>
      <c r="F819" s="183" t="s">
        <v>4695</v>
      </c>
      <c r="G819" s="188" t="s">
        <v>1530</v>
      </c>
      <c r="H819" s="181">
        <v>45670.0</v>
      </c>
      <c r="I819" s="1201">
        <v>45677.0</v>
      </c>
      <c r="J819" s="188" t="s">
        <v>4696</v>
      </c>
      <c r="K819" s="179"/>
      <c r="L819" s="829" t="s">
        <v>4697</v>
      </c>
      <c r="M819" s="1203" t="s">
        <v>4698</v>
      </c>
      <c r="N819" s="695">
        <v>2.0</v>
      </c>
      <c r="O819" s="188" t="str">
        <f> SUBSTITUTE(lower(M819), "/", "--") &amp;  ".pdf"</f>
        <v>10.1073--pnas.1616921114.pdf</v>
      </c>
      <c r="P819" s="48" t="str">
        <f t="array" ref="P819">HYPERLINK(INDEX('File Links'!B:B, MATCH(O819, 'File Links'!C:C, 0)))
</f>
        <v>https://drive.google.com/file/d/1n0koQ1yLwfPYdmBREVehxKIdhjOoUZSg/view?usp=drivesdk</v>
      </c>
      <c r="Q819" s="185" t="s">
        <v>4699</v>
      </c>
      <c r="R819" s="179"/>
      <c r="S819" s="829" t="s">
        <v>4402</v>
      </c>
      <c r="T819" s="695">
        <v>1.0</v>
      </c>
      <c r="U819" s="188" t="s">
        <v>4700</v>
      </c>
      <c r="V819" s="188" t="s">
        <v>4701</v>
      </c>
      <c r="W819" s="45" t="str">
        <f t="array" ref="W819">HYPERLINK(INDEX('File Links'!B:B, MATCH(U819, 'File Links'!C:C, 0)))
</f>
        <v>#N/A</v>
      </c>
      <c r="Y819" s="188" t="s">
        <v>1820</v>
      </c>
      <c r="Z819" s="188" t="s">
        <v>4702</v>
      </c>
      <c r="AA819" s="188" t="s">
        <v>4703</v>
      </c>
      <c r="AB819" s="188" t="s">
        <v>4704</v>
      </c>
      <c r="AC819" s="188" t="s">
        <v>4705</v>
      </c>
      <c r="AD819" s="695">
        <v>5.0</v>
      </c>
      <c r="AE819" s="1210">
        <v>519.0</v>
      </c>
      <c r="AF819" s="1210">
        <v>0.204</v>
      </c>
      <c r="AG819" s="1212" t="s">
        <v>166</v>
      </c>
      <c r="AH819" s="511"/>
      <c r="AI819" s="827">
        <v>0.021</v>
      </c>
      <c r="AJ819" s="180" t="s">
        <v>164</v>
      </c>
      <c r="AK819" s="180" t="s">
        <v>179</v>
      </c>
      <c r="AL819" s="179" t="s">
        <v>129</v>
      </c>
      <c r="AM819" s="350" t="s">
        <v>165</v>
      </c>
      <c r="AN819" s="695">
        <v>2441.0</v>
      </c>
      <c r="AO819" s="695">
        <v>0.104</v>
      </c>
      <c r="AP819" s="188" t="s">
        <v>166</v>
      </c>
      <c r="AQ819" s="188" t="s">
        <v>2748</v>
      </c>
      <c r="AR819" s="695">
        <v>0.01</v>
      </c>
      <c r="AS819" s="188" t="s">
        <v>164</v>
      </c>
      <c r="AT819" s="188" t="s">
        <v>128</v>
      </c>
      <c r="AU819" s="179" t="s">
        <v>129</v>
      </c>
      <c r="AV819" s="829" t="s">
        <v>4706</v>
      </c>
      <c r="AW819" s="179" t="s">
        <v>134</v>
      </c>
      <c r="AX819" s="178"/>
      <c r="AY819" s="177" t="s">
        <v>135</v>
      </c>
      <c r="BA819" s="333"/>
      <c r="BB819" s="333"/>
      <c r="BC819" s="333"/>
      <c r="BD819" s="333"/>
      <c r="BE819" s="333"/>
      <c r="BF819" s="333"/>
      <c r="BG819" s="333"/>
      <c r="BH819" s="333"/>
      <c r="BI819" s="333"/>
      <c r="BJ819" s="333"/>
      <c r="BK819" s="333"/>
      <c r="BL819" s="333"/>
      <c r="BM819" s="333"/>
      <c r="BN819" s="333"/>
      <c r="BO819" s="333"/>
      <c r="BP819" s="333"/>
      <c r="BQ819" s="333"/>
      <c r="BR819" s="333"/>
      <c r="BS819" s="333"/>
      <c r="BT819" s="333"/>
      <c r="BU819" s="333"/>
      <c r="BV819" s="333"/>
      <c r="BW819" s="333"/>
      <c r="BX819" s="333"/>
      <c r="BY819" s="333"/>
      <c r="BZ819" s="333"/>
      <c r="CA819" s="333"/>
      <c r="CB819" s="333"/>
      <c r="CC819" s="333"/>
      <c r="CD819" s="333"/>
      <c r="CE819" s="333"/>
      <c r="CF819" s="333"/>
      <c r="CG819" s="333"/>
      <c r="CH819" s="333"/>
      <c r="CI819" s="333"/>
      <c r="CJ819" s="333"/>
      <c r="CK819" s="333"/>
      <c r="CL819" s="333"/>
      <c r="CM819" s="333"/>
      <c r="CN819" s="333"/>
      <c r="CO819" s="333"/>
      <c r="CP819" s="333"/>
      <c r="CQ819" s="333"/>
      <c r="CR819" s="333"/>
      <c r="CS819" s="333"/>
      <c r="CT819" s="333"/>
      <c r="CU819" s="333"/>
      <c r="CV819" s="333"/>
      <c r="CW819" s="333"/>
      <c r="CX819" s="333"/>
      <c r="CY819" s="333"/>
      <c r="CZ819" s="333"/>
      <c r="DA819" s="333"/>
      <c r="DB819" s="333"/>
      <c r="DC819" s="333"/>
      <c r="DD819" s="333"/>
      <c r="DE819" s="333"/>
      <c r="DF819" s="333"/>
      <c r="DG819" s="333"/>
    </row>
    <row r="820">
      <c r="A820" s="41" t="s">
        <v>106</v>
      </c>
      <c r="B820" s="41" t="s">
        <v>107</v>
      </c>
      <c r="C820" s="41" t="s">
        <v>1455</v>
      </c>
      <c r="E820" s="60" t="s">
        <v>4695</v>
      </c>
      <c r="F820" s="55" t="s">
        <v>4695</v>
      </c>
      <c r="G820" s="147" t="s">
        <v>1458</v>
      </c>
      <c r="H820" s="60"/>
      <c r="I820" s="1201">
        <v>45677.0</v>
      </c>
      <c r="J820" s="147" t="s">
        <v>4707</v>
      </c>
      <c r="K820" s="60"/>
      <c r="L820" s="410" t="s">
        <v>4708</v>
      </c>
      <c r="M820" s="1204" t="s">
        <v>4709</v>
      </c>
      <c r="N820" s="60"/>
      <c r="O820" s="145" t="str">
        <f>SUBSTITUTE(LOWER(M820), "/", "--") &amp;  ".pdf"</f>
        <v>10.1073--pnas.1616921114.pdf</v>
      </c>
      <c r="P820" s="48" t="str">
        <f t="array" ref="P820">HYPERLINK(INDEX('File Links'!B:B, MATCH(O820, 'File Links'!C:C, 0)))
</f>
        <v>https://drive.google.com/file/d/1n0koQ1yLwfPYdmBREVehxKIdhjOoUZSg/view?usp=drivesdk</v>
      </c>
      <c r="Q820" s="60" t="s">
        <v>4710</v>
      </c>
      <c r="R820" s="60"/>
      <c r="S820" s="410" t="s">
        <v>4402</v>
      </c>
      <c r="T820" s="60"/>
      <c r="U820" s="506"/>
      <c r="V820" s="147" t="s">
        <v>4415</v>
      </c>
      <c r="W820" s="45" t="str">
        <f t="array" ref="W820">HYPERLINK(INDEX('File Links'!B:B, MATCH(U820, 'File Links'!C:C, 0)))
</f>
        <v>#N/A</v>
      </c>
      <c r="Y820" s="147" t="s">
        <v>203</v>
      </c>
      <c r="Z820" s="147" t="s">
        <v>4711</v>
      </c>
      <c r="AA820" s="147" t="s">
        <v>4712</v>
      </c>
      <c r="AB820" s="147" t="s">
        <v>4713</v>
      </c>
      <c r="AC820" s="147" t="s">
        <v>4714</v>
      </c>
      <c r="AD820" s="144">
        <v>5.0</v>
      </c>
      <c r="AE820" s="144">
        <v>519.0</v>
      </c>
      <c r="AF820" s="144">
        <v>0.204</v>
      </c>
      <c r="AG820" s="147" t="s">
        <v>166</v>
      </c>
      <c r="AH820" s="60"/>
      <c r="AI820" s="646">
        <v>0.02</v>
      </c>
      <c r="AJ820" s="52" t="s">
        <v>164</v>
      </c>
      <c r="AK820" s="52" t="s">
        <v>128</v>
      </c>
      <c r="AL820" s="1206" t="s">
        <v>129</v>
      </c>
      <c r="AM820" s="55"/>
      <c r="AN820" s="144">
        <v>2441.0</v>
      </c>
      <c r="AO820" s="144">
        <v>0.104</v>
      </c>
      <c r="AP820" s="147" t="s">
        <v>166</v>
      </c>
      <c r="AQ820" s="147" t="s">
        <v>2748</v>
      </c>
      <c r="AR820" s="144">
        <v>0.01</v>
      </c>
      <c r="AS820" s="147" t="s">
        <v>164</v>
      </c>
      <c r="AT820" s="147" t="s">
        <v>128</v>
      </c>
      <c r="AU820" s="1206" t="s">
        <v>129</v>
      </c>
      <c r="AV820" s="60"/>
      <c r="AW820" s="1206" t="s">
        <v>134</v>
      </c>
      <c r="AY820" s="177" t="s">
        <v>135</v>
      </c>
      <c r="BA820" s="64"/>
      <c r="BB820" s="64"/>
      <c r="BC820" s="64"/>
      <c r="BD820" s="64"/>
      <c r="BE820" s="64"/>
      <c r="BF820" s="64"/>
      <c r="BG820" s="64"/>
      <c r="BH820" s="64"/>
      <c r="BI820" s="64"/>
      <c r="BJ820" s="64"/>
      <c r="BK820" s="64"/>
      <c r="BL820" s="64"/>
      <c r="BM820" s="64"/>
      <c r="BN820" s="64"/>
      <c r="BO820" s="64"/>
      <c r="BP820" s="64"/>
      <c r="BQ820" s="64"/>
      <c r="BR820" s="64"/>
      <c r="BS820" s="64"/>
      <c r="BT820" s="64"/>
      <c r="BU820" s="64"/>
      <c r="BV820" s="64"/>
      <c r="BW820" s="64"/>
      <c r="BX820" s="64"/>
      <c r="BY820" s="64"/>
      <c r="BZ820" s="64"/>
      <c r="CA820" s="64"/>
      <c r="CB820" s="64"/>
      <c r="CC820" s="64"/>
      <c r="CD820" s="64"/>
      <c r="CE820" s="64"/>
      <c r="CF820" s="64"/>
      <c r="CG820" s="64"/>
      <c r="CH820" s="64"/>
      <c r="CI820" s="64"/>
      <c r="CJ820" s="64"/>
      <c r="CK820" s="64"/>
      <c r="CL820" s="64"/>
      <c r="CM820" s="64"/>
      <c r="CN820" s="64"/>
      <c r="CO820" s="64"/>
      <c r="CP820" s="64"/>
      <c r="CQ820" s="64"/>
      <c r="CR820" s="64"/>
      <c r="CS820" s="64"/>
      <c r="CT820" s="64"/>
      <c r="CU820" s="64"/>
      <c r="CV820" s="64"/>
      <c r="CW820" s="64"/>
      <c r="CX820" s="64"/>
      <c r="CY820" s="64"/>
      <c r="CZ820" s="64"/>
      <c r="DA820" s="64"/>
      <c r="DB820" s="64"/>
      <c r="DC820" s="64"/>
      <c r="DD820" s="64"/>
      <c r="DE820" s="64"/>
      <c r="DF820" s="64"/>
      <c r="DG820" s="64"/>
    </row>
    <row r="821">
      <c r="A821" s="177" t="s">
        <v>143</v>
      </c>
      <c r="B821" s="177" t="s">
        <v>107</v>
      </c>
      <c r="C821" s="177" t="s">
        <v>1471</v>
      </c>
      <c r="D821" s="178"/>
      <c r="E821" s="179" t="s">
        <v>4715</v>
      </c>
      <c r="F821" s="183" t="s">
        <v>4715</v>
      </c>
      <c r="G821" s="188" t="s">
        <v>1530</v>
      </c>
      <c r="H821" s="181">
        <v>45670.0</v>
      </c>
      <c r="I821" s="1201">
        <v>45677.0</v>
      </c>
      <c r="J821" s="1202" t="s">
        <v>4716</v>
      </c>
      <c r="K821" s="179"/>
      <c r="L821" s="829" t="s">
        <v>4717</v>
      </c>
      <c r="M821" s="1203" t="s">
        <v>4718</v>
      </c>
      <c r="N821" s="695">
        <v>6.0</v>
      </c>
      <c r="O821" s="188" t="str">
        <f> SUBSTITUTE(lower(M821), "/", "--") &amp;  ".pdf"</f>
        <v>10.1073--pnas.1717092115.pdf</v>
      </c>
      <c r="P821" s="48" t="str">
        <f t="array" ref="P821">HYPERLINK(INDEX('File Links'!B:B, MATCH(O821, 'File Links'!C:C, 0)))
</f>
        <v>https://drive.google.com/file/d/1X_8gLoQL8UM8XESII7U1_3XXVMeR9N2z/view?usp=drivesdk</v>
      </c>
      <c r="Q821" s="185" t="s">
        <v>4719</v>
      </c>
      <c r="R821" s="179"/>
      <c r="S821" s="829" t="s">
        <v>4402</v>
      </c>
      <c r="T821" s="695">
        <v>1.0</v>
      </c>
      <c r="U821" s="188" t="s">
        <v>4720</v>
      </c>
      <c r="V821" s="188" t="s">
        <v>4721</v>
      </c>
      <c r="W821" s="45" t="str">
        <f t="array" ref="W821">HYPERLINK(INDEX('File Links'!B:B, MATCH(U821, 'File Links'!C:C, 0)))
</f>
        <v>#N/A</v>
      </c>
      <c r="Y821" s="188" t="s">
        <v>139</v>
      </c>
      <c r="Z821" s="188" t="s">
        <v>4722</v>
      </c>
      <c r="AA821" s="188" t="s">
        <v>4723</v>
      </c>
      <c r="AB821" s="188" t="s">
        <v>4724</v>
      </c>
      <c r="AC821" s="188" t="s">
        <v>4725</v>
      </c>
      <c r="AD821" s="695">
        <v>3.0</v>
      </c>
      <c r="AE821" s="695">
        <v>370.0</v>
      </c>
      <c r="AF821" s="188" t="s">
        <v>4726</v>
      </c>
      <c r="AG821" s="188" t="s">
        <v>162</v>
      </c>
      <c r="AH821" s="188" t="s">
        <v>4727</v>
      </c>
      <c r="AI821" s="827">
        <v>0.001</v>
      </c>
      <c r="AJ821" s="180" t="s">
        <v>127</v>
      </c>
      <c r="AK821" s="180" t="s">
        <v>179</v>
      </c>
      <c r="AL821" s="179" t="s">
        <v>129</v>
      </c>
      <c r="AM821" s="351" t="s">
        <v>4728</v>
      </c>
      <c r="AN821" s="695">
        <v>291.0</v>
      </c>
      <c r="AO821" s="695">
        <v>0.829</v>
      </c>
      <c r="AP821" s="188" t="s">
        <v>166</v>
      </c>
      <c r="AQ821" s="188" t="s">
        <v>505</v>
      </c>
      <c r="AR821" s="695">
        <v>0.001</v>
      </c>
      <c r="AS821" s="188" t="s">
        <v>127</v>
      </c>
      <c r="AT821" s="188" t="s">
        <v>128</v>
      </c>
      <c r="AU821" s="179" t="s">
        <v>129</v>
      </c>
      <c r="AV821" s="829" t="s">
        <v>4729</v>
      </c>
      <c r="AW821" s="179" t="s">
        <v>134</v>
      </c>
      <c r="AX821" s="178"/>
      <c r="AY821" s="177" t="s">
        <v>135</v>
      </c>
      <c r="BA821" s="64"/>
      <c r="BB821" s="64"/>
      <c r="BC821" s="64"/>
      <c r="BD821" s="64"/>
      <c r="BE821" s="64"/>
      <c r="BF821" s="64"/>
      <c r="BG821" s="64"/>
      <c r="BH821" s="64"/>
      <c r="BI821" s="64"/>
      <c r="BJ821" s="64"/>
      <c r="BK821" s="64"/>
      <c r="BL821" s="64"/>
      <c r="BM821" s="64"/>
      <c r="BN821" s="64"/>
      <c r="BO821" s="64"/>
      <c r="BP821" s="64"/>
      <c r="BQ821" s="64"/>
      <c r="BR821" s="64"/>
      <c r="BS821" s="64"/>
      <c r="BT821" s="64"/>
      <c r="BU821" s="64"/>
      <c r="BV821" s="64"/>
      <c r="BW821" s="64"/>
      <c r="BX821" s="64"/>
      <c r="BY821" s="64"/>
      <c r="BZ821" s="64"/>
      <c r="CA821" s="64"/>
      <c r="CB821" s="64"/>
      <c r="CC821" s="64"/>
      <c r="CD821" s="64"/>
      <c r="CE821" s="64"/>
      <c r="CF821" s="64"/>
      <c r="CG821" s="64"/>
      <c r="CH821" s="64"/>
      <c r="CI821" s="64"/>
      <c r="CJ821" s="64"/>
      <c r="CK821" s="64"/>
      <c r="CL821" s="64"/>
      <c r="CM821" s="64"/>
      <c r="CN821" s="64"/>
      <c r="CO821" s="64"/>
      <c r="CP821" s="64"/>
      <c r="CQ821" s="64"/>
      <c r="CR821" s="64"/>
      <c r="CS821" s="64"/>
      <c r="CT821" s="64"/>
      <c r="CU821" s="64"/>
      <c r="CV821" s="64"/>
      <c r="CW821" s="64"/>
      <c r="CX821" s="64"/>
      <c r="CY821" s="64"/>
      <c r="CZ821" s="64"/>
      <c r="DA821" s="64"/>
      <c r="DB821" s="64"/>
      <c r="DC821" s="64"/>
      <c r="DD821" s="64"/>
      <c r="DE821" s="64"/>
      <c r="DF821" s="64"/>
      <c r="DG821" s="64"/>
    </row>
    <row r="822">
      <c r="A822" s="41" t="s">
        <v>106</v>
      </c>
      <c r="B822" s="41" t="s">
        <v>107</v>
      </c>
      <c r="C822" s="41" t="s">
        <v>1455</v>
      </c>
      <c r="E822" s="60" t="s">
        <v>4715</v>
      </c>
      <c r="F822" s="55" t="s">
        <v>4715</v>
      </c>
      <c r="G822" s="147" t="s">
        <v>1458</v>
      </c>
      <c r="H822" s="60"/>
      <c r="I822" s="1201">
        <v>45677.0</v>
      </c>
      <c r="J822" s="60"/>
      <c r="K822" s="60"/>
      <c r="L822" s="410" t="s">
        <v>4730</v>
      </c>
      <c r="M822" s="1204" t="s">
        <v>4731</v>
      </c>
      <c r="N822" s="60"/>
      <c r="O822" s="145" t="str">
        <f>SUBSTITUTE(LOWER(M822), "/", "--") &amp;  ".pdf"</f>
        <v>10.1073--pnas.1717092115.pdf</v>
      </c>
      <c r="P822" s="48" t="str">
        <f t="array" ref="P822">HYPERLINK(INDEX('File Links'!B:B, MATCH(O822, 'File Links'!C:C, 0)))
</f>
        <v>https://drive.google.com/file/d/1X_8gLoQL8UM8XESII7U1_3XXVMeR9N2z/view?usp=drivesdk</v>
      </c>
      <c r="Q822" s="60" t="s">
        <v>4732</v>
      </c>
      <c r="R822" s="60"/>
      <c r="S822" s="410" t="s">
        <v>4402</v>
      </c>
      <c r="T822" s="144">
        <v>4.0</v>
      </c>
      <c r="U822" s="506"/>
      <c r="V822" s="147" t="s">
        <v>4415</v>
      </c>
      <c r="W822" s="45" t="str">
        <f t="array" ref="W822">HYPERLINK(INDEX('File Links'!B:B, MATCH(U822, 'File Links'!C:C, 0)))
</f>
        <v>#N/A</v>
      </c>
      <c r="Y822" s="147" t="s">
        <v>139</v>
      </c>
      <c r="Z822" s="147" t="s">
        <v>4733</v>
      </c>
      <c r="AA822" s="147" t="s">
        <v>4734</v>
      </c>
      <c r="AB822" s="147" t="s">
        <v>4735</v>
      </c>
      <c r="AC822" s="147" t="s">
        <v>4736</v>
      </c>
      <c r="AD822" s="147" t="s">
        <v>4737</v>
      </c>
      <c r="AE822" s="144">
        <v>260.0</v>
      </c>
      <c r="AF822" s="147" t="s">
        <v>4738</v>
      </c>
      <c r="AG822" s="147" t="s">
        <v>162</v>
      </c>
      <c r="AH822" s="60"/>
      <c r="AI822" s="646">
        <v>0.001</v>
      </c>
      <c r="AJ822" s="52" t="s">
        <v>127</v>
      </c>
      <c r="AK822" s="52" t="s">
        <v>179</v>
      </c>
      <c r="AL822" s="1206" t="s">
        <v>132</v>
      </c>
      <c r="AM822" s="55"/>
      <c r="AN822" s="144">
        <v>291.0</v>
      </c>
      <c r="AO822" s="144">
        <v>0.829</v>
      </c>
      <c r="AP822" s="147" t="s">
        <v>166</v>
      </c>
      <c r="AQ822" s="147" t="s">
        <v>505</v>
      </c>
      <c r="AR822" s="1207">
        <v>5.7E-11</v>
      </c>
      <c r="AS822" s="147" t="s">
        <v>164</v>
      </c>
      <c r="AT822" s="147" t="s">
        <v>128</v>
      </c>
      <c r="AU822" s="1206" t="s">
        <v>132</v>
      </c>
      <c r="AV822" s="60"/>
      <c r="AW822" s="1206" t="s">
        <v>134</v>
      </c>
      <c r="AY822" s="177" t="s">
        <v>135</v>
      </c>
      <c r="BA822" s="178"/>
      <c r="BB822" s="178"/>
      <c r="BC822" s="178"/>
      <c r="BD822" s="178"/>
      <c r="BE822" s="178"/>
      <c r="BF822" s="178"/>
      <c r="BG822" s="178"/>
      <c r="BH822" s="178"/>
      <c r="BI822" s="178"/>
      <c r="BJ822" s="178"/>
      <c r="BK822" s="178"/>
      <c r="BL822" s="178"/>
      <c r="BM822" s="178"/>
      <c r="BN822" s="178"/>
      <c r="BO822" s="178"/>
      <c r="BP822" s="178"/>
      <c r="BQ822" s="178"/>
      <c r="BR822" s="178"/>
      <c r="BS822" s="178"/>
      <c r="BT822" s="178"/>
      <c r="BU822" s="178"/>
      <c r="BV822" s="178"/>
      <c r="BW822" s="178"/>
      <c r="BX822" s="178"/>
      <c r="BY822" s="178"/>
      <c r="BZ822" s="178"/>
      <c r="CA822" s="178"/>
      <c r="CB822" s="178"/>
      <c r="CC822" s="178"/>
      <c r="CD822" s="178"/>
      <c r="CE822" s="178"/>
      <c r="CF822" s="178"/>
      <c r="CG822" s="178"/>
      <c r="CH822" s="178"/>
      <c r="CI822" s="178"/>
      <c r="CJ822" s="178"/>
      <c r="CK822" s="178"/>
      <c r="CL822" s="178"/>
      <c r="CM822" s="178"/>
      <c r="CN822" s="178"/>
      <c r="CO822" s="178"/>
      <c r="CP822" s="178"/>
      <c r="CQ822" s="178"/>
      <c r="CR822" s="178"/>
      <c r="CS822" s="178"/>
      <c r="CT822" s="178"/>
      <c r="CU822" s="178"/>
      <c r="CV822" s="178"/>
      <c r="CW822" s="178"/>
      <c r="CX822" s="178"/>
      <c r="CY822" s="178"/>
      <c r="CZ822" s="178"/>
      <c r="DA822" s="178"/>
      <c r="DB822" s="178"/>
      <c r="DC822" s="178"/>
      <c r="DD822" s="178"/>
      <c r="DE822" s="178"/>
      <c r="DF822" s="178"/>
      <c r="DG822" s="178"/>
    </row>
    <row r="823">
      <c r="A823" s="177" t="s">
        <v>143</v>
      </c>
      <c r="B823" s="177" t="s">
        <v>107</v>
      </c>
      <c r="C823" s="177" t="s">
        <v>1471</v>
      </c>
      <c r="D823" s="178"/>
      <c r="E823" s="179" t="s">
        <v>4739</v>
      </c>
      <c r="F823" s="183" t="s">
        <v>4739</v>
      </c>
      <c r="G823" s="188" t="s">
        <v>1530</v>
      </c>
      <c r="H823" s="181">
        <v>45670.0</v>
      </c>
      <c r="I823" s="1201">
        <v>45677.0</v>
      </c>
      <c r="J823" s="1202" t="s">
        <v>4740</v>
      </c>
      <c r="K823" s="179"/>
      <c r="L823" s="829" t="s">
        <v>4741</v>
      </c>
      <c r="M823" s="1203" t="s">
        <v>4742</v>
      </c>
      <c r="N823" s="695">
        <v>8.0</v>
      </c>
      <c r="O823" s="188" t="str">
        <f> SUBSTITUTE(lower(M823), "/", "--") &amp;  ".pdf"</f>
        <v>10.1073--pnas.1610834113.pdf</v>
      </c>
      <c r="P823" s="48" t="str">
        <f t="array" ref="P823">HYPERLINK(INDEX('File Links'!B:B, MATCH(O823, 'File Links'!C:C, 0)))
</f>
        <v>https://drive.google.com/file/d/1VFtyqV5el7EJVeHaibxWMy34k9LMhbzJ/view?usp=drivesdk</v>
      </c>
      <c r="Q823" s="185" t="s">
        <v>4743</v>
      </c>
      <c r="R823" s="179"/>
      <c r="S823" s="829" t="s">
        <v>4402</v>
      </c>
      <c r="T823" s="695">
        <v>1.0</v>
      </c>
      <c r="U823" s="188" t="s">
        <v>4744</v>
      </c>
      <c r="V823" s="188" t="s">
        <v>4745</v>
      </c>
      <c r="W823" s="45" t="str">
        <f t="array" ref="W823">HYPERLINK(INDEX('File Links'!B:B, MATCH(U823, 'File Links'!C:C, 0)))
</f>
        <v>#N/A</v>
      </c>
      <c r="Y823" s="188" t="s">
        <v>2052</v>
      </c>
      <c r="Z823" s="188" t="s">
        <v>4746</v>
      </c>
      <c r="AA823" s="188" t="s">
        <v>4747</v>
      </c>
      <c r="AB823" s="188" t="s">
        <v>4748</v>
      </c>
      <c r="AC823" s="188" t="s">
        <v>4749</v>
      </c>
      <c r="AD823" s="695">
        <v>3.0</v>
      </c>
      <c r="AE823" s="695">
        <v>200.0</v>
      </c>
      <c r="AF823" s="695">
        <v>0.008</v>
      </c>
      <c r="AG823" s="188" t="s">
        <v>1006</v>
      </c>
      <c r="AH823" s="188" t="s">
        <v>505</v>
      </c>
      <c r="AI823" s="827">
        <v>0.03</v>
      </c>
      <c r="AJ823" s="180" t="s">
        <v>164</v>
      </c>
      <c r="AK823" s="180" t="s">
        <v>179</v>
      </c>
      <c r="AL823" s="179" t="s">
        <v>129</v>
      </c>
      <c r="AM823" s="350" t="s">
        <v>165</v>
      </c>
      <c r="AN823" s="695">
        <v>999.0</v>
      </c>
      <c r="AO823" s="695">
        <v>0.049</v>
      </c>
      <c r="AP823" s="188" t="s">
        <v>166</v>
      </c>
      <c r="AQ823" s="188" t="s">
        <v>505</v>
      </c>
      <c r="AR823" s="695">
        <v>0.699</v>
      </c>
      <c r="AS823" s="188" t="s">
        <v>164</v>
      </c>
      <c r="AT823" s="188" t="s">
        <v>128</v>
      </c>
      <c r="AU823" s="179" t="s">
        <v>129</v>
      </c>
      <c r="AV823" s="829" t="s">
        <v>4750</v>
      </c>
      <c r="AW823" s="179" t="s">
        <v>134</v>
      </c>
      <c r="AX823" s="178"/>
      <c r="AY823" s="177" t="s">
        <v>135</v>
      </c>
      <c r="BA823" s="178"/>
      <c r="BB823" s="178"/>
      <c r="BC823" s="178"/>
      <c r="BD823" s="178"/>
      <c r="BE823" s="178"/>
      <c r="BF823" s="178"/>
      <c r="BG823" s="178"/>
      <c r="BH823" s="178"/>
      <c r="BI823" s="178"/>
      <c r="BJ823" s="178"/>
      <c r="BK823" s="178"/>
      <c r="BL823" s="178"/>
      <c r="BM823" s="178"/>
      <c r="BN823" s="178"/>
      <c r="BO823" s="178"/>
      <c r="BP823" s="178"/>
      <c r="BQ823" s="178"/>
      <c r="BR823" s="178"/>
      <c r="BS823" s="178"/>
      <c r="BT823" s="178"/>
      <c r="BU823" s="178"/>
      <c r="BV823" s="178"/>
      <c r="BW823" s="178"/>
      <c r="BX823" s="178"/>
      <c r="BY823" s="178"/>
      <c r="BZ823" s="178"/>
      <c r="CA823" s="178"/>
      <c r="CB823" s="178"/>
      <c r="CC823" s="178"/>
      <c r="CD823" s="178"/>
      <c r="CE823" s="178"/>
      <c r="CF823" s="178"/>
      <c r="CG823" s="178"/>
      <c r="CH823" s="178"/>
      <c r="CI823" s="178"/>
      <c r="CJ823" s="178"/>
      <c r="CK823" s="178"/>
      <c r="CL823" s="178"/>
      <c r="CM823" s="178"/>
      <c r="CN823" s="178"/>
      <c r="CO823" s="178"/>
      <c r="CP823" s="178"/>
      <c r="CQ823" s="178"/>
      <c r="CR823" s="178"/>
      <c r="CS823" s="178"/>
      <c r="CT823" s="178"/>
      <c r="CU823" s="178"/>
      <c r="CV823" s="178"/>
      <c r="CW823" s="178"/>
      <c r="CX823" s="178"/>
      <c r="CY823" s="178"/>
      <c r="CZ823" s="178"/>
      <c r="DA823" s="178"/>
      <c r="DB823" s="178"/>
      <c r="DC823" s="178"/>
      <c r="DD823" s="178"/>
      <c r="DE823" s="178"/>
      <c r="DF823" s="178"/>
      <c r="DG823" s="178"/>
    </row>
    <row r="824">
      <c r="A824" s="41" t="s">
        <v>106</v>
      </c>
      <c r="B824" s="41" t="s">
        <v>107</v>
      </c>
      <c r="C824" s="41" t="s">
        <v>1455</v>
      </c>
      <c r="E824" s="60" t="s">
        <v>4739</v>
      </c>
      <c r="F824" s="55" t="s">
        <v>4739</v>
      </c>
      <c r="G824" s="147" t="s">
        <v>1458</v>
      </c>
      <c r="H824" s="60"/>
      <c r="I824" s="1201">
        <v>45677.0</v>
      </c>
      <c r="J824" s="60"/>
      <c r="K824" s="60"/>
      <c r="L824" s="410" t="s">
        <v>4751</v>
      </c>
      <c r="M824" s="1204" t="s">
        <v>4752</v>
      </c>
      <c r="N824" s="60"/>
      <c r="O824" s="145" t="str">
        <f>SUBSTITUTE(LOWER(M824), "/", "--") &amp;  ".pdf"</f>
        <v>10.1073--pnas.1610834113.pdf</v>
      </c>
      <c r="P824" s="48" t="str">
        <f t="array" ref="P824">HYPERLINK(INDEX('File Links'!B:B, MATCH(O824, 'File Links'!C:C, 0)))
</f>
        <v>https://drive.google.com/file/d/1VFtyqV5el7EJVeHaibxWMy34k9LMhbzJ/view?usp=drivesdk</v>
      </c>
      <c r="Q824" s="60" t="s">
        <v>4753</v>
      </c>
      <c r="R824" s="60"/>
      <c r="S824" s="410" t="s">
        <v>4402</v>
      </c>
      <c r="T824" s="144">
        <v>3.0</v>
      </c>
      <c r="U824" s="506"/>
      <c r="V824" s="147" t="s">
        <v>4415</v>
      </c>
      <c r="W824" s="45" t="str">
        <f t="array" ref="W824">HYPERLINK(INDEX('File Links'!B:B, MATCH(U824, 'File Links'!C:C, 0)))
</f>
        <v>#N/A</v>
      </c>
      <c r="Y824" s="147" t="s">
        <v>2052</v>
      </c>
      <c r="Z824" s="147" t="s">
        <v>4754</v>
      </c>
      <c r="AA824" s="147" t="s">
        <v>4755</v>
      </c>
      <c r="AB824" s="147" t="s">
        <v>4756</v>
      </c>
      <c r="AC824" s="147" t="s">
        <v>4757</v>
      </c>
      <c r="AD824" s="144">
        <v>3.0</v>
      </c>
      <c r="AE824" s="144">
        <v>200.0</v>
      </c>
      <c r="AF824" s="144">
        <v>0.008</v>
      </c>
      <c r="AG824" s="147" t="s">
        <v>1006</v>
      </c>
      <c r="AH824" s="60"/>
      <c r="AI824" s="646">
        <v>0.03</v>
      </c>
      <c r="AJ824" s="52" t="s">
        <v>164</v>
      </c>
      <c r="AK824" s="52" t="s">
        <v>179</v>
      </c>
      <c r="AL824" s="1206" t="s">
        <v>132</v>
      </c>
      <c r="AM824" s="55"/>
      <c r="AN824" s="144">
        <v>999.0</v>
      </c>
      <c r="AO824" s="144">
        <v>0.049</v>
      </c>
      <c r="AP824" s="147" t="s">
        <v>166</v>
      </c>
      <c r="AQ824" s="147" t="s">
        <v>505</v>
      </c>
      <c r="AR824" s="144">
        <v>0.699</v>
      </c>
      <c r="AS824" s="147" t="s">
        <v>164</v>
      </c>
      <c r="AT824" s="147" t="s">
        <v>128</v>
      </c>
      <c r="AU824" s="1206" t="s">
        <v>132</v>
      </c>
      <c r="AV824" s="60"/>
      <c r="AW824" s="1206" t="s">
        <v>134</v>
      </c>
      <c r="AY824" s="177" t="s">
        <v>135</v>
      </c>
    </row>
    <row r="825">
      <c r="A825" s="177" t="s">
        <v>143</v>
      </c>
      <c r="B825" s="177" t="s">
        <v>107</v>
      </c>
      <c r="C825" s="177" t="s">
        <v>1471</v>
      </c>
      <c r="D825" s="178"/>
      <c r="E825" s="179" t="s">
        <v>4758</v>
      </c>
      <c r="F825" s="183" t="s">
        <v>4758</v>
      </c>
      <c r="G825" s="188" t="s">
        <v>1530</v>
      </c>
      <c r="H825" s="181">
        <v>45670.0</v>
      </c>
      <c r="I825" s="1201">
        <v>45677.0</v>
      </c>
      <c r="J825" s="188" t="s">
        <v>4759</v>
      </c>
      <c r="K825" s="179"/>
      <c r="L825" s="829" t="s">
        <v>4760</v>
      </c>
      <c r="M825" s="1203" t="s">
        <v>4761</v>
      </c>
      <c r="N825" s="695">
        <v>8.0</v>
      </c>
      <c r="O825" s="188" t="str">
        <f> SUBSTITUTE(lower(M825), "/", "--") &amp;  ".pdf"</f>
        <v>10.1073--pnas.1805284115.pdf</v>
      </c>
      <c r="P825" s="48" t="str">
        <f t="array" ref="P825">HYPERLINK(INDEX('File Links'!B:B, MATCH(O825, 'File Links'!C:C, 0)))
</f>
        <v>https://drive.google.com/file/d/1Z4TItg9VScF62xlkgC_PoPtT-7Vv0iWy/view?usp=drivesdk</v>
      </c>
      <c r="Q825" s="185" t="s">
        <v>4762</v>
      </c>
      <c r="R825" s="179"/>
      <c r="S825" s="829" t="s">
        <v>4402</v>
      </c>
      <c r="T825" s="695">
        <v>1.0</v>
      </c>
      <c r="U825" s="188" t="s">
        <v>4763</v>
      </c>
      <c r="V825" s="188" t="s">
        <v>4764</v>
      </c>
      <c r="W825" s="45" t="str">
        <f t="array" ref="W825">HYPERLINK(INDEX('File Links'!B:B, MATCH(U825, 'File Links'!C:C, 0)))
</f>
        <v>#N/A</v>
      </c>
      <c r="Y825" s="188" t="s">
        <v>220</v>
      </c>
      <c r="Z825" s="188" t="s">
        <v>4765</v>
      </c>
      <c r="AA825" s="188" t="s">
        <v>4766</v>
      </c>
      <c r="AB825" s="188" t="s">
        <v>4767</v>
      </c>
      <c r="AC825" s="188" t="s">
        <v>4768</v>
      </c>
      <c r="AD825" s="695">
        <v>4.0</v>
      </c>
      <c r="AE825" s="695">
        <v>554.0</v>
      </c>
      <c r="AF825" s="188" t="s">
        <v>4769</v>
      </c>
      <c r="AG825" s="188" t="s">
        <v>162</v>
      </c>
      <c r="AH825" s="188" t="s">
        <v>494</v>
      </c>
      <c r="AI825" s="827">
        <v>0.032</v>
      </c>
      <c r="AJ825" s="180" t="s">
        <v>164</v>
      </c>
      <c r="AK825" s="180" t="s">
        <v>179</v>
      </c>
      <c r="AL825" s="179" t="s">
        <v>132</v>
      </c>
      <c r="AM825" s="351" t="s">
        <v>4770</v>
      </c>
      <c r="AN825" s="695">
        <v>2849.0</v>
      </c>
      <c r="AO825" s="695">
        <v>0.009</v>
      </c>
      <c r="AP825" s="188" t="s">
        <v>166</v>
      </c>
      <c r="AQ825" s="188" t="s">
        <v>2748</v>
      </c>
      <c r="AR825" s="695">
        <v>0.639</v>
      </c>
      <c r="AS825" s="188" t="s">
        <v>164</v>
      </c>
      <c r="AT825" s="188" t="s">
        <v>128</v>
      </c>
      <c r="AU825" s="179" t="s">
        <v>132</v>
      </c>
      <c r="AV825" s="829" t="s">
        <v>4771</v>
      </c>
      <c r="AW825" s="179" t="s">
        <v>134</v>
      </c>
      <c r="AX825" s="178"/>
      <c r="AY825" s="177" t="s">
        <v>135</v>
      </c>
    </row>
    <row r="826">
      <c r="A826" s="41" t="s">
        <v>106</v>
      </c>
      <c r="B826" s="41" t="s">
        <v>107</v>
      </c>
      <c r="C826" s="41" t="s">
        <v>1455</v>
      </c>
      <c r="E826" s="60" t="s">
        <v>4758</v>
      </c>
      <c r="F826" s="55" t="s">
        <v>4758</v>
      </c>
      <c r="G826" s="147" t="s">
        <v>1458</v>
      </c>
      <c r="H826" s="60"/>
      <c r="I826" s="1201">
        <v>45677.0</v>
      </c>
      <c r="J826" s="60"/>
      <c r="K826" s="60"/>
      <c r="L826" s="410" t="s">
        <v>4772</v>
      </c>
      <c r="M826" s="1204" t="s">
        <v>4773</v>
      </c>
      <c r="N826" s="60"/>
      <c r="O826" s="145" t="str">
        <f>SUBSTITUTE(LOWER(M826), "/", "--") &amp;  ".pdf"</f>
        <v>10.1073--pnas.1805284115.pdf</v>
      </c>
      <c r="P826" s="48" t="str">
        <f t="array" ref="P826">HYPERLINK(INDEX('File Links'!B:B, MATCH(O826, 'File Links'!C:C, 0)))
</f>
        <v>https://drive.google.com/file/d/1Z4TItg9VScF62xlkgC_PoPtT-7Vv0iWy/view?usp=drivesdk</v>
      </c>
      <c r="Q826" s="60" t="s">
        <v>4774</v>
      </c>
      <c r="R826" s="60"/>
      <c r="S826" s="410" t="s">
        <v>4402</v>
      </c>
      <c r="T826" s="144">
        <v>8.0</v>
      </c>
      <c r="U826" s="506"/>
      <c r="V826" s="147" t="s">
        <v>4415</v>
      </c>
      <c r="W826" s="45" t="str">
        <f t="array" ref="W826">HYPERLINK(INDEX('File Links'!B:B, MATCH(U826, 'File Links'!C:C, 0)))
</f>
        <v>#N/A</v>
      </c>
      <c r="Y826" s="147" t="s">
        <v>220</v>
      </c>
      <c r="Z826" s="147" t="s">
        <v>4775</v>
      </c>
      <c r="AA826" s="147" t="s">
        <v>4776</v>
      </c>
      <c r="AB826" s="147" t="s">
        <v>4777</v>
      </c>
      <c r="AC826" s="147" t="s">
        <v>4778</v>
      </c>
      <c r="AD826" s="144">
        <v>4.0</v>
      </c>
      <c r="AE826" s="144">
        <v>554.0</v>
      </c>
      <c r="AF826" s="147" t="s">
        <v>4769</v>
      </c>
      <c r="AG826" s="147" t="s">
        <v>162</v>
      </c>
      <c r="AH826" s="60"/>
      <c r="AI826" s="646">
        <v>0.032</v>
      </c>
      <c r="AJ826" s="52" t="s">
        <v>164</v>
      </c>
      <c r="AK826" s="52" t="s">
        <v>128</v>
      </c>
      <c r="AL826" s="1206" t="s">
        <v>132</v>
      </c>
      <c r="AM826" s="55"/>
      <c r="AN826" s="144">
        <v>2849.0</v>
      </c>
      <c r="AO826" s="144">
        <v>0.009</v>
      </c>
      <c r="AP826" s="147" t="s">
        <v>166</v>
      </c>
      <c r="AQ826" s="147" t="s">
        <v>2748</v>
      </c>
      <c r="AR826" s="144">
        <v>0.639</v>
      </c>
      <c r="AS826" s="147" t="s">
        <v>164</v>
      </c>
      <c r="AT826" s="147" t="s">
        <v>128</v>
      </c>
      <c r="AU826" s="1206" t="s">
        <v>132</v>
      </c>
      <c r="AV826" s="60"/>
      <c r="AW826" s="1206" t="s">
        <v>134</v>
      </c>
      <c r="AY826" s="177" t="s">
        <v>135</v>
      </c>
    </row>
    <row r="827">
      <c r="A827" s="177" t="s">
        <v>143</v>
      </c>
      <c r="B827" s="177" t="s">
        <v>107</v>
      </c>
      <c r="C827" s="177" t="s">
        <v>1471</v>
      </c>
      <c r="D827" s="178"/>
      <c r="E827" s="179" t="s">
        <v>4779</v>
      </c>
      <c r="F827" s="183" t="s">
        <v>4779</v>
      </c>
      <c r="G827" s="188" t="s">
        <v>1530</v>
      </c>
      <c r="H827" s="181">
        <v>45670.0</v>
      </c>
      <c r="I827" s="1201">
        <v>45677.0</v>
      </c>
      <c r="J827" s="188" t="s">
        <v>4780</v>
      </c>
      <c r="K827" s="179"/>
      <c r="L827" s="829" t="s">
        <v>4781</v>
      </c>
      <c r="M827" s="1203" t="s">
        <v>4782</v>
      </c>
      <c r="N827" s="695">
        <v>2.0</v>
      </c>
      <c r="O827" s="188" t="str">
        <f> SUBSTITUTE(lower(M827), "/", "--") &amp;  ".pdf"</f>
        <v>10.1073--pnas.1501592112.pdf</v>
      </c>
      <c r="P827" s="48" t="str">
        <f t="array" ref="P827">HYPERLINK(INDEX('File Links'!B:B, MATCH(O827, 'File Links'!C:C, 0)))
</f>
        <v>https://drive.google.com/file/d/1r8gz_OQgXRQyPABeOEgFy2rbZa10e60I/view?usp=drivesdk</v>
      </c>
      <c r="Q827" s="185" t="s">
        <v>4783</v>
      </c>
      <c r="R827" s="179"/>
      <c r="S827" s="829" t="s">
        <v>4402</v>
      </c>
      <c r="T827" s="695">
        <v>1.0</v>
      </c>
      <c r="U827" s="188" t="s">
        <v>4784</v>
      </c>
      <c r="V827" s="188" t="s">
        <v>4785</v>
      </c>
      <c r="W827" s="45" t="str">
        <f t="array" ref="W827">HYPERLINK(INDEX('File Links'!B:B, MATCH(U827, 'File Links'!C:C, 0)))
</f>
        <v>#N/A</v>
      </c>
      <c r="Y827" s="188" t="s">
        <v>220</v>
      </c>
      <c r="Z827" s="188" t="s">
        <v>4786</v>
      </c>
      <c r="AA827" s="188" t="s">
        <v>4787</v>
      </c>
      <c r="AB827" s="188" t="s">
        <v>4788</v>
      </c>
      <c r="AC827" s="188" t="s">
        <v>4789</v>
      </c>
      <c r="AD827" s="695">
        <v>3.0</v>
      </c>
      <c r="AE827" s="179"/>
      <c r="AF827" s="188" t="s">
        <v>4790</v>
      </c>
      <c r="AG827" s="188" t="s">
        <v>162</v>
      </c>
      <c r="AH827" s="188" t="s">
        <v>505</v>
      </c>
      <c r="AI827" s="827">
        <v>0.009</v>
      </c>
      <c r="AJ827" s="180" t="s">
        <v>164</v>
      </c>
      <c r="AK827" s="180" t="s">
        <v>179</v>
      </c>
      <c r="AL827" s="179" t="s">
        <v>129</v>
      </c>
      <c r="AM827" s="350" t="s">
        <v>165</v>
      </c>
      <c r="AN827" s="695">
        <v>723.0</v>
      </c>
      <c r="AO827" s="695">
        <v>0.027</v>
      </c>
      <c r="AP827" s="188" t="s">
        <v>166</v>
      </c>
      <c r="AQ827" s="188" t="s">
        <v>2748</v>
      </c>
      <c r="AR827" s="695">
        <v>0.714</v>
      </c>
      <c r="AS827" s="188" t="s">
        <v>164</v>
      </c>
      <c r="AT827" s="188" t="s">
        <v>128</v>
      </c>
      <c r="AU827" s="179" t="s">
        <v>129</v>
      </c>
      <c r="AV827" s="829" t="s">
        <v>4791</v>
      </c>
      <c r="AW827" s="179" t="s">
        <v>134</v>
      </c>
      <c r="AX827" s="178"/>
      <c r="AY827" s="177" t="s">
        <v>135</v>
      </c>
    </row>
    <row r="828">
      <c r="A828" s="41" t="s">
        <v>106</v>
      </c>
      <c r="B828" s="41" t="s">
        <v>107</v>
      </c>
      <c r="C828" s="41" t="s">
        <v>1455</v>
      </c>
      <c r="E828" s="60" t="s">
        <v>4779</v>
      </c>
      <c r="F828" s="55" t="s">
        <v>4779</v>
      </c>
      <c r="G828" s="147" t="s">
        <v>1458</v>
      </c>
      <c r="H828" s="60"/>
      <c r="I828" s="1201">
        <v>45677.0</v>
      </c>
      <c r="J828" s="60"/>
      <c r="K828" s="60"/>
      <c r="L828" s="410" t="s">
        <v>4792</v>
      </c>
      <c r="M828" s="1204" t="s">
        <v>4793</v>
      </c>
      <c r="N828" s="60"/>
      <c r="O828" s="145" t="str">
        <f>SUBSTITUTE(LOWER(M828), "/", "--") &amp;  ".pdf"</f>
        <v>10.1073--pnas.1501592112.pdf</v>
      </c>
      <c r="P828" s="48" t="str">
        <f t="array" ref="P828">HYPERLINK(INDEX('File Links'!B:B, MATCH(O828, 'File Links'!C:C, 0)))
</f>
        <v>https://drive.google.com/file/d/1r8gz_OQgXRQyPABeOEgFy2rbZa10e60I/view?usp=drivesdk</v>
      </c>
      <c r="Q828" s="60" t="s">
        <v>4794</v>
      </c>
      <c r="R828" s="60"/>
      <c r="S828" s="410" t="s">
        <v>4402</v>
      </c>
      <c r="T828" s="144">
        <v>1.0</v>
      </c>
      <c r="U828" s="506"/>
      <c r="V828" s="147" t="s">
        <v>4415</v>
      </c>
      <c r="W828" s="45" t="str">
        <f t="array" ref="W828">HYPERLINK(INDEX('File Links'!B:B, MATCH(U828, 'File Links'!C:C, 0)))
</f>
        <v>#N/A</v>
      </c>
      <c r="Y828" s="147" t="s">
        <v>220</v>
      </c>
      <c r="Z828" s="147" t="s">
        <v>4795</v>
      </c>
      <c r="AA828" s="147" t="s">
        <v>4796</v>
      </c>
      <c r="AB828" s="147" t="s">
        <v>4797</v>
      </c>
      <c r="AC828" s="147" t="s">
        <v>4798</v>
      </c>
      <c r="AD828" s="144">
        <v>3.0</v>
      </c>
      <c r="AE828" s="144">
        <v>201.0</v>
      </c>
      <c r="AF828" s="147" t="s">
        <v>4799</v>
      </c>
      <c r="AG828" s="147" t="s">
        <v>162</v>
      </c>
      <c r="AH828" s="60"/>
      <c r="AI828" s="646">
        <v>0.009</v>
      </c>
      <c r="AJ828" s="52" t="s">
        <v>164</v>
      </c>
      <c r="AK828" s="52" t="s">
        <v>179</v>
      </c>
      <c r="AL828" s="1206" t="s">
        <v>129</v>
      </c>
      <c r="AM828" s="55"/>
      <c r="AN828" s="144">
        <v>723.0</v>
      </c>
      <c r="AO828" s="144">
        <v>0.027</v>
      </c>
      <c r="AP828" s="147" t="s">
        <v>166</v>
      </c>
      <c r="AQ828" s="147" t="s">
        <v>2748</v>
      </c>
      <c r="AR828" s="144">
        <v>0.714</v>
      </c>
      <c r="AS828" s="147" t="s">
        <v>164</v>
      </c>
      <c r="AT828" s="147" t="s">
        <v>128</v>
      </c>
      <c r="AU828" s="1206" t="s">
        <v>129</v>
      </c>
      <c r="AV828" s="60"/>
      <c r="AW828" s="1206" t="s">
        <v>134</v>
      </c>
      <c r="AY828" s="177" t="s">
        <v>135</v>
      </c>
    </row>
    <row r="829">
      <c r="A829" s="177" t="s">
        <v>143</v>
      </c>
      <c r="B829" s="177" t="s">
        <v>107</v>
      </c>
      <c r="C829" s="177" t="s">
        <v>1471</v>
      </c>
      <c r="D829" s="178"/>
      <c r="E829" s="179" t="s">
        <v>4800</v>
      </c>
      <c r="F829" s="183" t="s">
        <v>4800</v>
      </c>
      <c r="G829" s="188" t="s">
        <v>1530</v>
      </c>
      <c r="H829" s="181">
        <v>45669.0</v>
      </c>
      <c r="I829" s="1201">
        <v>45677.0</v>
      </c>
      <c r="J829" s="188" t="s">
        <v>4801</v>
      </c>
      <c r="K829" s="179"/>
      <c r="L829" s="829" t="s">
        <v>4802</v>
      </c>
      <c r="M829" s="1203" t="s">
        <v>4803</v>
      </c>
      <c r="N829" s="695">
        <v>7.0</v>
      </c>
      <c r="O829" s="188" t="str">
        <f> SUBSTITUTE(lower(M829), "/", "--") &amp;  ".pdf"</f>
        <v>10.1073--pnas.1517662112.pdf</v>
      </c>
      <c r="P829" s="48" t="str">
        <f t="array" ref="P829">HYPERLINK(INDEX('File Links'!B:B, MATCH(O829, 'File Links'!C:C, 0)))
</f>
        <v>https://drive.google.com/file/d/1p1O3cA89Rortn-b4c3if2MEMXd31m4nv/view?usp=drivesdk</v>
      </c>
      <c r="Q829" s="185" t="s">
        <v>4804</v>
      </c>
      <c r="R829" s="179"/>
      <c r="S829" s="829" t="s">
        <v>4402</v>
      </c>
      <c r="T829" s="695">
        <v>1.0</v>
      </c>
      <c r="U829" s="188" t="s">
        <v>4805</v>
      </c>
      <c r="V829" s="188" t="s">
        <v>4806</v>
      </c>
      <c r="W829" s="45" t="str">
        <f t="array" ref="W829">HYPERLINK(INDEX('File Links'!B:B, MATCH(U829, 'File Links'!C:C, 0)))
</f>
        <v>#N/A</v>
      </c>
      <c r="Y829" s="188" t="s">
        <v>220</v>
      </c>
      <c r="Z829" s="188" t="s">
        <v>4807</v>
      </c>
      <c r="AA829" s="188" t="s">
        <v>4808</v>
      </c>
      <c r="AB829" s="188" t="s">
        <v>4809</v>
      </c>
      <c r="AC829" s="188" t="s">
        <v>4810</v>
      </c>
      <c r="AD829" s="695">
        <v>3.0</v>
      </c>
      <c r="AE829" s="695">
        <v>273.0</v>
      </c>
      <c r="AF829" s="687">
        <v>0.52</v>
      </c>
      <c r="AG829" s="188" t="s">
        <v>1006</v>
      </c>
      <c r="AH829" s="188" t="s">
        <v>505</v>
      </c>
      <c r="AI829" s="827">
        <v>0.001</v>
      </c>
      <c r="AJ829" s="180" t="s">
        <v>127</v>
      </c>
      <c r="AK829" s="180" t="s">
        <v>179</v>
      </c>
      <c r="AL829" s="179" t="s">
        <v>132</v>
      </c>
      <c r="AM829" s="350" t="s">
        <v>165</v>
      </c>
      <c r="AN829" s="695">
        <v>503.0</v>
      </c>
      <c r="AO829" s="1208">
        <v>0.0112</v>
      </c>
      <c r="AP829" s="188" t="s">
        <v>166</v>
      </c>
      <c r="AQ829" s="188" t="s">
        <v>505</v>
      </c>
      <c r="AR829" s="1209">
        <v>0.801</v>
      </c>
      <c r="AS829" s="188" t="s">
        <v>164</v>
      </c>
      <c r="AT829" s="188" t="s">
        <v>128</v>
      </c>
      <c r="AU829" s="179" t="s">
        <v>132</v>
      </c>
      <c r="AV829" s="829" t="s">
        <v>4811</v>
      </c>
      <c r="AW829" s="179" t="s">
        <v>134</v>
      </c>
      <c r="AX829" s="178"/>
      <c r="AY829" s="177" t="s">
        <v>135</v>
      </c>
      <c r="BA829" s="84"/>
      <c r="BB829" s="84"/>
      <c r="BC829" s="84"/>
      <c r="BD829" s="84"/>
      <c r="BE829" s="84"/>
      <c r="BF829" s="84"/>
      <c r="BG829" s="84"/>
      <c r="BH829" s="84"/>
      <c r="BI829" s="84"/>
      <c r="BJ829" s="84"/>
      <c r="BK829" s="84"/>
      <c r="BL829" s="84"/>
      <c r="BM829" s="84"/>
      <c r="BN829" s="84"/>
      <c r="BO829" s="84"/>
      <c r="BP829" s="84"/>
      <c r="BQ829" s="84"/>
      <c r="BR829" s="84"/>
      <c r="BS829" s="84"/>
      <c r="BT829" s="84"/>
      <c r="BU829" s="84"/>
      <c r="BV829" s="84"/>
      <c r="BW829" s="84"/>
      <c r="BX829" s="84"/>
      <c r="BY829" s="84"/>
      <c r="BZ829" s="84"/>
      <c r="CA829" s="84"/>
      <c r="CB829" s="84"/>
      <c r="CC829" s="84"/>
      <c r="CD829" s="84"/>
      <c r="CE829" s="84"/>
      <c r="CF829" s="84"/>
      <c r="CG829" s="84"/>
      <c r="CH829" s="84"/>
      <c r="CI829" s="84"/>
      <c r="CJ829" s="84"/>
      <c r="CK829" s="84"/>
      <c r="CL829" s="84"/>
      <c r="CM829" s="84"/>
      <c r="CN829" s="84"/>
      <c r="CO829" s="84"/>
      <c r="CP829" s="84"/>
      <c r="CQ829" s="84"/>
      <c r="CR829" s="84"/>
      <c r="CS829" s="84"/>
      <c r="CT829" s="84"/>
      <c r="CU829" s="84"/>
      <c r="CV829" s="84"/>
      <c r="CW829" s="84"/>
      <c r="CX829" s="84"/>
      <c r="CY829" s="84"/>
      <c r="CZ829" s="84"/>
      <c r="DA829" s="84"/>
      <c r="DB829" s="84"/>
      <c r="DC829" s="84"/>
      <c r="DD829" s="84"/>
      <c r="DE829" s="84"/>
      <c r="DF829" s="84"/>
      <c r="DG829" s="84"/>
    </row>
    <row r="830">
      <c r="A830" s="41" t="s">
        <v>106</v>
      </c>
      <c r="B830" s="41" t="s">
        <v>107</v>
      </c>
      <c r="C830" s="41" t="s">
        <v>1455</v>
      </c>
      <c r="E830" s="60" t="s">
        <v>4800</v>
      </c>
      <c r="F830" s="55" t="s">
        <v>4800</v>
      </c>
      <c r="G830" s="147" t="s">
        <v>1458</v>
      </c>
      <c r="H830" s="60"/>
      <c r="I830" s="1201">
        <v>45677.0</v>
      </c>
      <c r="J830" s="60"/>
      <c r="K830" s="60"/>
      <c r="L830" s="410" t="s">
        <v>4812</v>
      </c>
      <c r="M830" s="1204" t="s">
        <v>4813</v>
      </c>
      <c r="N830" s="60"/>
      <c r="O830" s="145" t="str">
        <f>SUBSTITUTE(LOWER(M830), "/", "--") &amp;  ".pdf"</f>
        <v>10.1073--pnas.1517662112.pdf</v>
      </c>
      <c r="P830" s="48" t="str">
        <f t="array" ref="P830">HYPERLINK(INDEX('File Links'!B:B, MATCH(O830, 'File Links'!C:C, 0)))
</f>
        <v>https://drive.google.com/file/d/1p1O3cA89Rortn-b4c3if2MEMXd31m4nv/view?usp=drivesdk</v>
      </c>
      <c r="Q830" s="60" t="s">
        <v>4814</v>
      </c>
      <c r="R830" s="60"/>
      <c r="S830" s="410" t="s">
        <v>4402</v>
      </c>
      <c r="T830" s="144">
        <v>7.0</v>
      </c>
      <c r="U830" s="506"/>
      <c r="V830" s="147" t="s">
        <v>4415</v>
      </c>
      <c r="W830" s="45" t="str">
        <f t="array" ref="W830">HYPERLINK(INDEX('File Links'!B:B, MATCH(U830, 'File Links'!C:C, 0)))
</f>
        <v>#N/A</v>
      </c>
      <c r="Y830" s="147" t="s">
        <v>220</v>
      </c>
      <c r="Z830" s="147" t="s">
        <v>4815</v>
      </c>
      <c r="AA830" s="147" t="s">
        <v>4816</v>
      </c>
      <c r="AB830" s="147" t="s">
        <v>4817</v>
      </c>
      <c r="AC830" s="147" t="s">
        <v>4818</v>
      </c>
      <c r="AD830" s="144">
        <v>3.0</v>
      </c>
      <c r="AE830" s="144">
        <v>273.0</v>
      </c>
      <c r="AF830" s="144">
        <v>0.52</v>
      </c>
      <c r="AG830" s="60" t="s">
        <v>357</v>
      </c>
      <c r="AH830" s="60"/>
      <c r="AI830" s="646">
        <v>0.001</v>
      </c>
      <c r="AJ830" s="52" t="s">
        <v>127</v>
      </c>
      <c r="AK830" s="52" t="s">
        <v>179</v>
      </c>
      <c r="AL830" s="60" t="s">
        <v>129</v>
      </c>
      <c r="AM830" s="55"/>
      <c r="AN830" s="144">
        <v>503.0</v>
      </c>
      <c r="AO830" s="144">
        <v>0.011</v>
      </c>
      <c r="AP830" s="147" t="s">
        <v>166</v>
      </c>
      <c r="AQ830" s="147" t="s">
        <v>505</v>
      </c>
      <c r="AR830" s="144">
        <v>0.801</v>
      </c>
      <c r="AS830" s="147" t="s">
        <v>164</v>
      </c>
      <c r="AT830" s="147" t="s">
        <v>128</v>
      </c>
      <c r="AU830" s="60" t="s">
        <v>129</v>
      </c>
      <c r="AV830" s="60"/>
      <c r="AW830" s="60" t="s">
        <v>134</v>
      </c>
      <c r="AY830" s="177" t="s">
        <v>135</v>
      </c>
      <c r="BA830" s="84"/>
      <c r="BB830" s="84"/>
      <c r="BC830" s="84"/>
      <c r="BD830" s="84"/>
      <c r="BE830" s="84"/>
      <c r="BF830" s="84"/>
      <c r="BG830" s="84"/>
      <c r="BH830" s="84"/>
      <c r="BI830" s="84"/>
      <c r="BJ830" s="84"/>
      <c r="BK830" s="84"/>
      <c r="BL830" s="84"/>
      <c r="BM830" s="84"/>
      <c r="BN830" s="84"/>
      <c r="BO830" s="84"/>
      <c r="BP830" s="84"/>
      <c r="BQ830" s="84"/>
      <c r="BR830" s="84"/>
      <c r="BS830" s="84"/>
      <c r="BT830" s="84"/>
      <c r="BU830" s="84"/>
      <c r="BV830" s="84"/>
      <c r="BW830" s="84"/>
      <c r="BX830" s="84"/>
      <c r="BY830" s="84"/>
      <c r="BZ830" s="84"/>
      <c r="CA830" s="84"/>
      <c r="CB830" s="84"/>
      <c r="CC830" s="84"/>
      <c r="CD830" s="84"/>
      <c r="CE830" s="84"/>
      <c r="CF830" s="84"/>
      <c r="CG830" s="84"/>
      <c r="CH830" s="84"/>
      <c r="CI830" s="84"/>
      <c r="CJ830" s="84"/>
      <c r="CK830" s="84"/>
      <c r="CL830" s="84"/>
      <c r="CM830" s="84"/>
      <c r="CN830" s="84"/>
      <c r="CO830" s="84"/>
      <c r="CP830" s="84"/>
      <c r="CQ830" s="84"/>
      <c r="CR830" s="84"/>
      <c r="CS830" s="84"/>
      <c r="CT830" s="84"/>
      <c r="CU830" s="84"/>
      <c r="CV830" s="84"/>
      <c r="CW830" s="84"/>
      <c r="CX830" s="84"/>
      <c r="CY830" s="84"/>
      <c r="CZ830" s="84"/>
      <c r="DA830" s="84"/>
      <c r="DB830" s="84"/>
      <c r="DC830" s="84"/>
      <c r="DD830" s="84"/>
      <c r="DE830" s="84"/>
      <c r="DF830" s="84"/>
      <c r="DG830" s="84"/>
    </row>
    <row r="831">
      <c r="A831" s="177" t="s">
        <v>143</v>
      </c>
      <c r="B831" s="177" t="s">
        <v>107</v>
      </c>
      <c r="C831" s="177" t="s">
        <v>1471</v>
      </c>
      <c r="D831" s="178"/>
      <c r="E831" s="179" t="s">
        <v>4819</v>
      </c>
      <c r="F831" s="183" t="s">
        <v>4819</v>
      </c>
      <c r="G831" s="188" t="s">
        <v>1530</v>
      </c>
      <c r="H831" s="181">
        <v>45669.0</v>
      </c>
      <c r="I831" s="1201">
        <v>45677.0</v>
      </c>
      <c r="J831" s="188" t="s">
        <v>4820</v>
      </c>
      <c r="K831" s="179"/>
      <c r="L831" s="829" t="s">
        <v>4821</v>
      </c>
      <c r="M831" s="1203" t="s">
        <v>4822</v>
      </c>
      <c r="N831" s="695">
        <v>2.0</v>
      </c>
      <c r="O831" s="188" t="str">
        <f> SUBSTITUTE(lower(M831), "/", "--") &amp;  ".pdf"</f>
        <v>10.1073--pnas.1707040114.pdf</v>
      </c>
      <c r="P831" s="48" t="str">
        <f t="array" ref="P831">HYPERLINK(INDEX('File Links'!B:B, MATCH(O831, 'File Links'!C:C, 0)))
</f>
        <v>https://drive.google.com/file/d/1egXsfHxw3enkl4JvCEY0lfs0BTX1O2u3/view?usp=drivesdk</v>
      </c>
      <c r="Q831" s="185" t="s">
        <v>4823</v>
      </c>
      <c r="R831" s="179"/>
      <c r="S831" s="829" t="s">
        <v>4402</v>
      </c>
      <c r="T831" s="695">
        <v>1.0</v>
      </c>
      <c r="U831" s="188" t="s">
        <v>4824</v>
      </c>
      <c r="V831" s="188" t="s">
        <v>4825</v>
      </c>
      <c r="W831" s="45" t="str">
        <f t="array" ref="W831">HYPERLINK(INDEX('File Links'!B:B, MATCH(U831, 'File Links'!C:C, 0)))
</f>
        <v>#N/A</v>
      </c>
      <c r="Y831" s="188" t="s">
        <v>203</v>
      </c>
      <c r="Z831" s="188" t="s">
        <v>4826</v>
      </c>
      <c r="AA831" s="188" t="s">
        <v>4827</v>
      </c>
      <c r="AB831" s="188" t="s">
        <v>4828</v>
      </c>
      <c r="AC831" s="188" t="s">
        <v>4829</v>
      </c>
      <c r="AD831" s="1213">
        <v>45750.0</v>
      </c>
      <c r="AE831" s="695">
        <v>207.0</v>
      </c>
      <c r="AF831" s="695">
        <v>-0.23</v>
      </c>
      <c r="AG831" s="188" t="s">
        <v>357</v>
      </c>
      <c r="AH831" s="188" t="s">
        <v>494</v>
      </c>
      <c r="AI831" s="827">
        <v>0.027</v>
      </c>
      <c r="AJ831" s="180" t="s">
        <v>164</v>
      </c>
      <c r="AK831" s="180" t="s">
        <v>179</v>
      </c>
      <c r="AL831" s="179" t="s">
        <v>129</v>
      </c>
      <c r="AM831" s="350" t="s">
        <v>165</v>
      </c>
      <c r="AN831" s="695">
        <v>1044.0</v>
      </c>
      <c r="AO831" s="1208">
        <v>0.067</v>
      </c>
      <c r="AP831" s="188" t="s">
        <v>166</v>
      </c>
      <c r="AQ831" s="188" t="s">
        <v>2748</v>
      </c>
      <c r="AR831" s="1209">
        <v>0.278</v>
      </c>
      <c r="AS831" s="188" t="s">
        <v>164</v>
      </c>
      <c r="AT831" s="188" t="s">
        <v>128</v>
      </c>
      <c r="AU831" s="179" t="s">
        <v>129</v>
      </c>
      <c r="AV831" s="829" t="s">
        <v>4830</v>
      </c>
      <c r="AW831" s="179" t="s">
        <v>134</v>
      </c>
      <c r="AX831" s="178"/>
      <c r="AY831" s="177" t="s">
        <v>135</v>
      </c>
      <c r="BA831" s="484"/>
      <c r="BB831" s="484"/>
      <c r="BC831" s="484"/>
      <c r="BD831" s="484"/>
      <c r="BE831" s="484"/>
      <c r="BF831" s="484"/>
      <c r="BG831" s="484"/>
      <c r="BH831" s="484"/>
      <c r="BI831" s="484"/>
      <c r="BJ831" s="484"/>
      <c r="BK831" s="484"/>
      <c r="BL831" s="484"/>
      <c r="BM831" s="484"/>
      <c r="BN831" s="484"/>
      <c r="BO831" s="484"/>
      <c r="BP831" s="484"/>
      <c r="BQ831" s="484"/>
      <c r="BR831" s="484"/>
      <c r="BS831" s="484"/>
      <c r="BT831" s="484"/>
      <c r="BU831" s="484"/>
      <c r="BV831" s="484"/>
      <c r="BW831" s="484"/>
      <c r="BX831" s="484"/>
      <c r="BY831" s="484"/>
      <c r="BZ831" s="484"/>
      <c r="CA831" s="484"/>
      <c r="CB831" s="484"/>
      <c r="CC831" s="484"/>
      <c r="CD831" s="484"/>
      <c r="CE831" s="484"/>
      <c r="CF831" s="484"/>
      <c r="CG831" s="484"/>
      <c r="CH831" s="484"/>
      <c r="CI831" s="484"/>
      <c r="CJ831" s="484"/>
      <c r="CK831" s="484"/>
      <c r="CL831" s="484"/>
      <c r="CM831" s="484"/>
      <c r="CN831" s="484"/>
      <c r="CO831" s="484"/>
      <c r="CP831" s="484"/>
      <c r="CQ831" s="484"/>
      <c r="CR831" s="484"/>
      <c r="CS831" s="484"/>
      <c r="CT831" s="484"/>
      <c r="CU831" s="484"/>
      <c r="CV831" s="484"/>
      <c r="CW831" s="484"/>
      <c r="CX831" s="484"/>
      <c r="CY831" s="484"/>
      <c r="CZ831" s="484"/>
      <c r="DA831" s="484"/>
      <c r="DB831" s="484"/>
      <c r="DC831" s="484"/>
      <c r="DD831" s="484"/>
      <c r="DE831" s="484"/>
      <c r="DF831" s="484"/>
      <c r="DG831" s="484"/>
    </row>
    <row r="832">
      <c r="A832" s="41" t="s">
        <v>106</v>
      </c>
      <c r="B832" s="41" t="s">
        <v>107</v>
      </c>
      <c r="C832" s="41" t="s">
        <v>1455</v>
      </c>
      <c r="E832" s="60" t="s">
        <v>4819</v>
      </c>
      <c r="F832" s="55" t="s">
        <v>4819</v>
      </c>
      <c r="G832" s="147" t="s">
        <v>1458</v>
      </c>
      <c r="H832" s="60"/>
      <c r="I832" s="1201">
        <v>45677.0</v>
      </c>
      <c r="J832" s="60"/>
      <c r="K832" s="60"/>
      <c r="L832" s="410" t="s">
        <v>4831</v>
      </c>
      <c r="M832" s="1204" t="s">
        <v>4832</v>
      </c>
      <c r="N832" s="60"/>
      <c r="O832" s="145" t="str">
        <f>SUBSTITUTE(LOWER(M832), "/", "--") &amp;  ".pdf"</f>
        <v>10.1073--pnas.1707040114.pdf</v>
      </c>
      <c r="P832" s="48" t="str">
        <f t="array" ref="P832">HYPERLINK(INDEX('File Links'!B:B, MATCH(O832, 'File Links'!C:C, 0)))
</f>
        <v>https://drive.google.com/file/d/1egXsfHxw3enkl4JvCEY0lfs0BTX1O2u3/view?usp=drivesdk</v>
      </c>
      <c r="Q832" s="60" t="s">
        <v>4833</v>
      </c>
      <c r="R832" s="60"/>
      <c r="S832" s="410" t="s">
        <v>4402</v>
      </c>
      <c r="T832" s="144">
        <v>2.0</v>
      </c>
      <c r="U832" s="506"/>
      <c r="V832" s="147" t="s">
        <v>4415</v>
      </c>
      <c r="W832" s="45" t="str">
        <f t="array" ref="W832">HYPERLINK(INDEX('File Links'!B:B, MATCH(U832, 'File Links'!C:C, 0)))
</f>
        <v>#N/A</v>
      </c>
      <c r="Y832" s="147" t="s">
        <v>203</v>
      </c>
      <c r="Z832" s="147" t="s">
        <v>4834</v>
      </c>
      <c r="AA832" s="147" t="s">
        <v>4835</v>
      </c>
      <c r="AB832" s="147" t="s">
        <v>4836</v>
      </c>
      <c r="AC832" s="147" t="s">
        <v>4837</v>
      </c>
      <c r="AD832" s="144">
        <v>3.0</v>
      </c>
      <c r="AE832" s="144">
        <v>207.0</v>
      </c>
      <c r="AF832" s="144">
        <v>-0.23</v>
      </c>
      <c r="AG832" s="60" t="s">
        <v>357</v>
      </c>
      <c r="AH832" s="60"/>
      <c r="AI832" s="646">
        <v>0.027</v>
      </c>
      <c r="AJ832" s="52" t="s">
        <v>164</v>
      </c>
      <c r="AK832" s="52" t="s">
        <v>179</v>
      </c>
      <c r="AL832" s="60" t="s">
        <v>129</v>
      </c>
      <c r="AM832" s="55"/>
      <c r="AN832" s="144">
        <v>1044.0</v>
      </c>
      <c r="AO832" s="144">
        <v>0.067</v>
      </c>
      <c r="AP832" s="147" t="s">
        <v>166</v>
      </c>
      <c r="AQ832" s="147" t="s">
        <v>2748</v>
      </c>
      <c r="AR832" s="144">
        <v>0.278</v>
      </c>
      <c r="AS832" s="147" t="s">
        <v>164</v>
      </c>
      <c r="AT832" s="147" t="s">
        <v>128</v>
      </c>
      <c r="AU832" s="60" t="s">
        <v>129</v>
      </c>
      <c r="AV832" s="60"/>
      <c r="AW832" s="60" t="s">
        <v>134</v>
      </c>
      <c r="AY832" s="177" t="s">
        <v>135</v>
      </c>
      <c r="BA832" s="484"/>
      <c r="BB832" s="484"/>
      <c r="BC832" s="484"/>
      <c r="BD832" s="484"/>
      <c r="BE832" s="484"/>
      <c r="BF832" s="484"/>
      <c r="BG832" s="484"/>
      <c r="BH832" s="484"/>
      <c r="BI832" s="484"/>
      <c r="BJ832" s="484"/>
      <c r="BK832" s="484"/>
      <c r="BL832" s="484"/>
      <c r="BM832" s="484"/>
      <c r="BN832" s="484"/>
      <c r="BO832" s="484"/>
      <c r="BP832" s="484"/>
      <c r="BQ832" s="484"/>
      <c r="BR832" s="484"/>
      <c r="BS832" s="484"/>
      <c r="BT832" s="484"/>
      <c r="BU832" s="484"/>
      <c r="BV832" s="484"/>
      <c r="BW832" s="484"/>
      <c r="BX832" s="484"/>
      <c r="BY832" s="484"/>
      <c r="BZ832" s="484"/>
      <c r="CA832" s="484"/>
      <c r="CB832" s="484"/>
      <c r="CC832" s="484"/>
      <c r="CD832" s="484"/>
      <c r="CE832" s="484"/>
      <c r="CF832" s="484"/>
      <c r="CG832" s="484"/>
      <c r="CH832" s="484"/>
      <c r="CI832" s="484"/>
      <c r="CJ832" s="484"/>
      <c r="CK832" s="484"/>
      <c r="CL832" s="484"/>
      <c r="CM832" s="484"/>
      <c r="CN832" s="484"/>
      <c r="CO832" s="484"/>
      <c r="CP832" s="484"/>
      <c r="CQ832" s="484"/>
      <c r="CR832" s="484"/>
      <c r="CS832" s="484"/>
      <c r="CT832" s="484"/>
      <c r="CU832" s="484"/>
      <c r="CV832" s="484"/>
      <c r="CW832" s="484"/>
      <c r="CX832" s="484"/>
      <c r="CY832" s="484"/>
      <c r="CZ832" s="484"/>
      <c r="DA832" s="484"/>
      <c r="DB832" s="484"/>
      <c r="DC832" s="484"/>
      <c r="DD832" s="484"/>
      <c r="DE832" s="484"/>
      <c r="DF832" s="484"/>
      <c r="DG832" s="484"/>
    </row>
    <row r="833">
      <c r="A833" s="177" t="s">
        <v>143</v>
      </c>
      <c r="B833" s="177" t="s">
        <v>107</v>
      </c>
      <c r="C833" s="177" t="s">
        <v>1471</v>
      </c>
      <c r="D833" s="178"/>
      <c r="E833" s="179" t="s">
        <v>4838</v>
      </c>
      <c r="F833" s="183" t="s">
        <v>4838</v>
      </c>
      <c r="G833" s="188" t="s">
        <v>1530</v>
      </c>
      <c r="H833" s="181">
        <v>45669.0</v>
      </c>
      <c r="I833" s="1201">
        <v>45677.0</v>
      </c>
      <c r="J833" s="188" t="s">
        <v>4839</v>
      </c>
      <c r="K833" s="179"/>
      <c r="L833" s="829" t="s">
        <v>4840</v>
      </c>
      <c r="M833" s="1203" t="s">
        <v>4841</v>
      </c>
      <c r="N833" s="695">
        <v>5.0</v>
      </c>
      <c r="O833" s="188" t="str">
        <f> SUBSTITUTE(lower(M833), "/", "--") &amp;  ".pdf"</f>
        <v>10.1073--pnas.1705238114.pdf</v>
      </c>
      <c r="P833" s="48" t="str">
        <f t="array" ref="P833">HYPERLINK(INDEX('File Links'!B:B, MATCH(O833, 'File Links'!C:C, 0)))
</f>
        <v>https://drive.google.com/file/d/1n2AFbrWCoSyUJoEu2sdAqSUYEEqLi3-i/view?usp=drivesdk</v>
      </c>
      <c r="Q833" s="185" t="s">
        <v>4842</v>
      </c>
      <c r="R833" s="179"/>
      <c r="S833" s="829" t="s">
        <v>4402</v>
      </c>
      <c r="T833" s="695">
        <v>1.0</v>
      </c>
      <c r="U833" s="188" t="s">
        <v>4843</v>
      </c>
      <c r="V833" s="188" t="s">
        <v>4844</v>
      </c>
      <c r="W833" s="45" t="str">
        <f t="array" ref="W833">HYPERLINK(INDEX('File Links'!B:B, MATCH(U833, 'File Links'!C:C, 0)))
</f>
        <v>#N/A</v>
      </c>
      <c r="Y833" s="188" t="s">
        <v>220</v>
      </c>
      <c r="Z833" s="188" t="s">
        <v>4845</v>
      </c>
      <c r="AA833" s="188" t="s">
        <v>4846</v>
      </c>
      <c r="AB833" s="188" t="s">
        <v>4847</v>
      </c>
      <c r="AC833" s="188" t="s">
        <v>4848</v>
      </c>
      <c r="AD833" s="695">
        <v>3.0</v>
      </c>
      <c r="AE833" s="179"/>
      <c r="AF833" s="188" t="s">
        <v>4849</v>
      </c>
      <c r="AG833" s="188" t="s">
        <v>162</v>
      </c>
      <c r="AH833" s="188" t="s">
        <v>505</v>
      </c>
      <c r="AI833" s="827">
        <v>0.025</v>
      </c>
      <c r="AJ833" s="180" t="s">
        <v>164</v>
      </c>
      <c r="AK833" s="180" t="s">
        <v>179</v>
      </c>
      <c r="AL833" s="347" t="s">
        <v>129</v>
      </c>
      <c r="AM833" s="350" t="s">
        <v>165</v>
      </c>
      <c r="AN833" s="695">
        <v>855.0</v>
      </c>
      <c r="AO833" s="695">
        <v>0.185</v>
      </c>
      <c r="AP833" s="188" t="s">
        <v>166</v>
      </c>
      <c r="AQ833" s="188" t="s">
        <v>505</v>
      </c>
      <c r="AR833" s="695">
        <v>0.007</v>
      </c>
      <c r="AS833" s="188" t="s">
        <v>164</v>
      </c>
      <c r="AT833" s="188" t="s">
        <v>128</v>
      </c>
      <c r="AU833" s="179" t="s">
        <v>129</v>
      </c>
      <c r="AV833" s="829" t="s">
        <v>4850</v>
      </c>
      <c r="AW833" s="179" t="s">
        <v>134</v>
      </c>
      <c r="AX833" s="178"/>
      <c r="AY833" s="177" t="s">
        <v>135</v>
      </c>
    </row>
    <row r="834">
      <c r="A834" s="41" t="s">
        <v>106</v>
      </c>
      <c r="B834" s="41" t="s">
        <v>107</v>
      </c>
      <c r="C834" s="41" t="s">
        <v>1455</v>
      </c>
      <c r="E834" s="60" t="s">
        <v>4838</v>
      </c>
      <c r="F834" s="55" t="s">
        <v>4838</v>
      </c>
      <c r="G834" s="147" t="s">
        <v>1458</v>
      </c>
      <c r="H834" s="60"/>
      <c r="I834" s="1201">
        <v>45677.0</v>
      </c>
      <c r="J834" s="60"/>
      <c r="K834" s="60"/>
      <c r="L834" s="410" t="s">
        <v>4851</v>
      </c>
      <c r="M834" s="1204" t="s">
        <v>4852</v>
      </c>
      <c r="N834" s="60"/>
      <c r="O834" s="145" t="str">
        <f>SUBSTITUTE(LOWER(M834), "/", "--") &amp;  ".pdf"</f>
        <v>10.1073--pnas.1705238114.pdf</v>
      </c>
      <c r="P834" s="48" t="str">
        <f t="array" ref="P834">HYPERLINK(INDEX('File Links'!B:B, MATCH(O834, 'File Links'!C:C, 0)))
</f>
        <v>https://drive.google.com/file/d/1n2AFbrWCoSyUJoEu2sdAqSUYEEqLi3-i/view?usp=drivesdk</v>
      </c>
      <c r="Q834" s="60" t="s">
        <v>4853</v>
      </c>
      <c r="R834" s="60"/>
      <c r="S834" s="410" t="s">
        <v>4402</v>
      </c>
      <c r="T834" s="144">
        <v>3.0</v>
      </c>
      <c r="U834" s="506"/>
      <c r="V834" s="147" t="s">
        <v>4415</v>
      </c>
      <c r="W834" s="45" t="str">
        <f t="array" ref="W834">HYPERLINK(INDEX('File Links'!B:B, MATCH(U834, 'File Links'!C:C, 0)))
</f>
        <v>#N/A</v>
      </c>
      <c r="Y834" s="147" t="s">
        <v>220</v>
      </c>
      <c r="Z834" s="147" t="s">
        <v>4854</v>
      </c>
      <c r="AA834" s="147" t="s">
        <v>4855</v>
      </c>
      <c r="AB834" s="147" t="s">
        <v>4856</v>
      </c>
      <c r="AC834" s="147" t="s">
        <v>4857</v>
      </c>
      <c r="AD834" s="144">
        <v>3.0</v>
      </c>
      <c r="AE834" s="144">
        <v>182.0</v>
      </c>
      <c r="AF834" s="147" t="s">
        <v>4849</v>
      </c>
      <c r="AG834" s="147" t="s">
        <v>162</v>
      </c>
      <c r="AH834" s="60"/>
      <c r="AI834" s="646">
        <v>0.025</v>
      </c>
      <c r="AJ834" s="52" t="s">
        <v>164</v>
      </c>
      <c r="AK834" s="52" t="s">
        <v>179</v>
      </c>
      <c r="AL834" s="1206" t="s">
        <v>129</v>
      </c>
      <c r="AM834" s="55"/>
      <c r="AN834" s="144">
        <v>855.0</v>
      </c>
      <c r="AO834" s="144">
        <v>0.185</v>
      </c>
      <c r="AP834" s="147" t="s">
        <v>166</v>
      </c>
      <c r="AQ834" s="147" t="s">
        <v>505</v>
      </c>
      <c r="AR834" s="144">
        <v>0.007</v>
      </c>
      <c r="AS834" s="147" t="s">
        <v>164</v>
      </c>
      <c r="AT834" s="147" t="s">
        <v>128</v>
      </c>
      <c r="AU834" s="1206" t="s">
        <v>129</v>
      </c>
      <c r="AV834" s="60"/>
      <c r="AW834" s="1206" t="s">
        <v>134</v>
      </c>
      <c r="AY834" s="177" t="s">
        <v>135</v>
      </c>
    </row>
    <row r="835">
      <c r="A835" s="177" t="s">
        <v>143</v>
      </c>
      <c r="B835" s="177" t="s">
        <v>107</v>
      </c>
      <c r="C835" s="177" t="s">
        <v>1471</v>
      </c>
      <c r="D835" s="178"/>
      <c r="E835" s="179" t="s">
        <v>4858</v>
      </c>
      <c r="F835" s="183" t="s">
        <v>4858</v>
      </c>
      <c r="G835" s="188" t="s">
        <v>1530</v>
      </c>
      <c r="H835" s="181">
        <v>45669.0</v>
      </c>
      <c r="I835" s="1201">
        <v>45677.0</v>
      </c>
      <c r="J835" s="188" t="s">
        <v>4859</v>
      </c>
      <c r="K835" s="179"/>
      <c r="L835" s="829" t="s">
        <v>4860</v>
      </c>
      <c r="M835" s="1203" t="s">
        <v>4861</v>
      </c>
      <c r="N835" s="695">
        <v>1.0</v>
      </c>
      <c r="O835" s="188" t="str">
        <f> SUBSTITUTE(lower(M835), "/", "--") &amp;  ".pdf"</f>
        <v>10.1073--pnas.1704032114.pdf</v>
      </c>
      <c r="P835" s="48" t="str">
        <f t="array" ref="P835">HYPERLINK(INDEX('File Links'!B:B, MATCH(O835, 'File Links'!C:C, 0)))
</f>
        <v>https://drive.google.com/file/d/1j22rPSmrajVUMaZJ7ZQ_3oBwSfmIAktN/view?usp=drivesdk</v>
      </c>
      <c r="Q835" s="185" t="s">
        <v>4862</v>
      </c>
      <c r="R835" s="179"/>
      <c r="S835" s="829" t="s">
        <v>4402</v>
      </c>
      <c r="T835" s="695">
        <v>1.0</v>
      </c>
      <c r="U835" s="188" t="s">
        <v>4863</v>
      </c>
      <c r="V835" s="188" t="s">
        <v>4864</v>
      </c>
      <c r="W835" s="45" t="str">
        <f t="array" ref="W835">HYPERLINK(INDEX('File Links'!B:B, MATCH(U835, 'File Links'!C:C, 0)))
</f>
        <v>#N/A</v>
      </c>
      <c r="Y835" s="188" t="s">
        <v>139</v>
      </c>
      <c r="Z835" s="188" t="s">
        <v>4865</v>
      </c>
      <c r="AA835" s="188" t="s">
        <v>4866</v>
      </c>
      <c r="AB835" s="188" t="s">
        <v>4867</v>
      </c>
      <c r="AC835" s="188" t="s">
        <v>4868</v>
      </c>
      <c r="AD835" s="695">
        <v>4.0</v>
      </c>
      <c r="AE835" s="695">
        <v>100.0</v>
      </c>
      <c r="AF835" s="508" t="s">
        <v>4869</v>
      </c>
      <c r="AG835" s="188" t="s">
        <v>162</v>
      </c>
      <c r="AH835" s="188" t="s">
        <v>494</v>
      </c>
      <c r="AI835" s="827">
        <v>0.001</v>
      </c>
      <c r="AJ835" s="180" t="s">
        <v>127</v>
      </c>
      <c r="AK835" s="180" t="s">
        <v>179</v>
      </c>
      <c r="AL835" s="347" t="s">
        <v>129</v>
      </c>
      <c r="AM835" s="350" t="s">
        <v>165</v>
      </c>
      <c r="AN835" s="695">
        <v>128.0</v>
      </c>
      <c r="AO835" s="695">
        <v>0.414</v>
      </c>
      <c r="AP835" s="188" t="s">
        <v>166</v>
      </c>
      <c r="AQ835" s="188" t="s">
        <v>2748</v>
      </c>
      <c r="AR835" s="695">
        <v>0.019</v>
      </c>
      <c r="AS835" s="188" t="s">
        <v>164</v>
      </c>
      <c r="AT835" s="188" t="s">
        <v>128</v>
      </c>
      <c r="AU835" s="347" t="s">
        <v>129</v>
      </c>
      <c r="AV835" s="829" t="s">
        <v>4870</v>
      </c>
      <c r="AW835" s="179" t="s">
        <v>134</v>
      </c>
      <c r="AX835" s="178"/>
      <c r="AY835" s="177" t="s">
        <v>135</v>
      </c>
    </row>
    <row r="836">
      <c r="A836" s="41" t="s">
        <v>106</v>
      </c>
      <c r="B836" s="41" t="s">
        <v>107</v>
      </c>
      <c r="C836" s="41" t="s">
        <v>1455</v>
      </c>
      <c r="E836" s="60" t="s">
        <v>4858</v>
      </c>
      <c r="F836" s="55" t="s">
        <v>4858</v>
      </c>
      <c r="G836" s="147" t="s">
        <v>1458</v>
      </c>
      <c r="H836" s="60"/>
      <c r="I836" s="1201">
        <v>45677.0</v>
      </c>
      <c r="J836" s="147" t="s">
        <v>4871</v>
      </c>
      <c r="K836" s="60"/>
      <c r="L836" s="410" t="s">
        <v>4872</v>
      </c>
      <c r="M836" s="1204" t="s">
        <v>4873</v>
      </c>
      <c r="N836" s="60"/>
      <c r="O836" s="145" t="str">
        <f>SUBSTITUTE(LOWER(M836), "/", "--") &amp;  ".pdf"</f>
        <v>10.1073--pnas.1704032114.pdf</v>
      </c>
      <c r="P836" s="48" t="str">
        <f t="array" ref="P836">HYPERLINK(INDEX('File Links'!B:B, MATCH(O836, 'File Links'!C:C, 0)))
</f>
        <v>https://drive.google.com/file/d/1j22rPSmrajVUMaZJ7ZQ_3oBwSfmIAktN/view?usp=drivesdk</v>
      </c>
      <c r="Q836" s="60" t="s">
        <v>4874</v>
      </c>
      <c r="R836" s="60"/>
      <c r="S836" s="410" t="s">
        <v>4402</v>
      </c>
      <c r="T836" s="60"/>
      <c r="U836" s="506"/>
      <c r="V836" s="147" t="s">
        <v>4415</v>
      </c>
      <c r="W836" s="45" t="str">
        <f t="array" ref="W836">HYPERLINK(INDEX('File Links'!B:B, MATCH(U836, 'File Links'!C:C, 0)))
</f>
        <v>#N/A</v>
      </c>
      <c r="Y836" s="147" t="s">
        <v>220</v>
      </c>
      <c r="Z836" s="147" t="s">
        <v>4875</v>
      </c>
      <c r="AA836" s="147" t="s">
        <v>4876</v>
      </c>
      <c r="AB836" s="147" t="s">
        <v>4877</v>
      </c>
      <c r="AC836" s="147" t="s">
        <v>4878</v>
      </c>
      <c r="AD836" s="144">
        <v>4.0</v>
      </c>
      <c r="AE836" s="144">
        <v>100.0</v>
      </c>
      <c r="AF836" s="147" t="s">
        <v>4879</v>
      </c>
      <c r="AG836" s="147" t="s">
        <v>162</v>
      </c>
      <c r="AH836" s="60"/>
      <c r="AI836" s="646">
        <v>0.001</v>
      </c>
      <c r="AJ836" s="52" t="s">
        <v>127</v>
      </c>
      <c r="AK836" s="52" t="s">
        <v>179</v>
      </c>
      <c r="AL836" s="1206" t="s">
        <v>132</v>
      </c>
      <c r="AM836" s="55"/>
      <c r="AN836" s="144">
        <v>128.0</v>
      </c>
      <c r="AO836" s="144">
        <v>0.414</v>
      </c>
      <c r="AP836" s="147" t="s">
        <v>166</v>
      </c>
      <c r="AQ836" s="147" t="s">
        <v>2748</v>
      </c>
      <c r="AR836" s="144">
        <v>0.019</v>
      </c>
      <c r="AS836" s="147" t="s">
        <v>164</v>
      </c>
      <c r="AT836" s="147" t="s">
        <v>128</v>
      </c>
      <c r="AU836" s="1206" t="s">
        <v>132</v>
      </c>
      <c r="AV836" s="60"/>
      <c r="AW836" s="1206" t="s">
        <v>134</v>
      </c>
      <c r="AY836" s="177" t="s">
        <v>135</v>
      </c>
    </row>
    <row r="837">
      <c r="A837" s="177" t="s">
        <v>143</v>
      </c>
      <c r="B837" s="177" t="s">
        <v>107</v>
      </c>
      <c r="C837" s="177" t="s">
        <v>1471</v>
      </c>
      <c r="D837" s="178"/>
      <c r="E837" s="179" t="s">
        <v>4880</v>
      </c>
      <c r="F837" s="183" t="s">
        <v>4880</v>
      </c>
      <c r="G837" s="188" t="s">
        <v>1530</v>
      </c>
      <c r="H837" s="181">
        <v>45669.0</v>
      </c>
      <c r="I837" s="1201">
        <v>45677.0</v>
      </c>
      <c r="J837" s="188" t="s">
        <v>4881</v>
      </c>
      <c r="K837" s="179"/>
      <c r="L837" s="829" t="s">
        <v>4882</v>
      </c>
      <c r="M837" s="1203" t="s">
        <v>4883</v>
      </c>
      <c r="N837" s="695">
        <v>3.0</v>
      </c>
      <c r="O837" s="188" t="str">
        <f> SUBSTITUTE(lower(M837), "/", "--") &amp;  ".pdf"</f>
        <v>10.1073--pnas.1706253114.pdf</v>
      </c>
      <c r="P837" s="48" t="str">
        <f t="array" ref="P837">HYPERLINK(INDEX('File Links'!B:B, MATCH(O837, 'File Links'!C:C, 0)))
</f>
        <v>https://drive.google.com/file/d/1KgVy8pDNXw_rUPEflxR0eTSRI8bSGPLS/view?usp=drivesdk</v>
      </c>
      <c r="Q837" s="185" t="s">
        <v>4884</v>
      </c>
      <c r="R837" s="179"/>
      <c r="S837" s="829" t="s">
        <v>4402</v>
      </c>
      <c r="T837" s="695">
        <v>1.0</v>
      </c>
      <c r="U837" s="188" t="s">
        <v>4885</v>
      </c>
      <c r="V837" s="1217" t="s">
        <v>4886</v>
      </c>
      <c r="W837" s="45" t="str">
        <f t="array" ref="W837">HYPERLINK(INDEX('File Links'!B:B, MATCH(U837, 'File Links'!C:C, 0)))
</f>
        <v>#N/A</v>
      </c>
      <c r="Y837" s="188" t="s">
        <v>2052</v>
      </c>
      <c r="Z837" s="188" t="s">
        <v>4887</v>
      </c>
      <c r="AA837" s="188" t="s">
        <v>4888</v>
      </c>
      <c r="AB837" s="188" t="s">
        <v>4889</v>
      </c>
      <c r="AC837" s="188" t="s">
        <v>4890</v>
      </c>
      <c r="AD837" s="695">
        <v>2.0</v>
      </c>
      <c r="AE837" s="695">
        <v>480.0</v>
      </c>
      <c r="AF837" s="695">
        <v>0.353</v>
      </c>
      <c r="AG837" s="188" t="s">
        <v>357</v>
      </c>
      <c r="AH837" s="188" t="s">
        <v>2748</v>
      </c>
      <c r="AI837" s="827">
        <v>0.001</v>
      </c>
      <c r="AJ837" s="180" t="s">
        <v>127</v>
      </c>
      <c r="AK837" s="180" t="s">
        <v>179</v>
      </c>
      <c r="AL837" s="179" t="s">
        <v>129</v>
      </c>
      <c r="AM837" s="350" t="s">
        <v>165</v>
      </c>
      <c r="AN837" s="695">
        <v>679.0</v>
      </c>
      <c r="AO837" s="695">
        <v>0.188</v>
      </c>
      <c r="AP837" s="188" t="s">
        <v>166</v>
      </c>
      <c r="AQ837" s="188" t="s">
        <v>2748</v>
      </c>
      <c r="AR837" s="695">
        <v>0.015</v>
      </c>
      <c r="AS837" s="188" t="s">
        <v>164</v>
      </c>
      <c r="AT837" s="188" t="s">
        <v>128</v>
      </c>
      <c r="AU837" s="179" t="s">
        <v>129</v>
      </c>
      <c r="AV837" s="829" t="s">
        <v>4891</v>
      </c>
      <c r="AW837" s="179" t="s">
        <v>134</v>
      </c>
      <c r="AX837" s="178"/>
      <c r="AY837" s="177" t="s">
        <v>135</v>
      </c>
      <c r="BA837" s="178"/>
      <c r="BB837" s="178"/>
      <c r="BC837" s="178"/>
      <c r="BD837" s="178"/>
      <c r="BE837" s="178"/>
      <c r="BF837" s="178"/>
      <c r="BG837" s="178"/>
      <c r="BH837" s="178"/>
      <c r="BI837" s="178"/>
      <c r="BJ837" s="178"/>
      <c r="BK837" s="178"/>
      <c r="BL837" s="178"/>
      <c r="BM837" s="178"/>
      <c r="BN837" s="178"/>
      <c r="BO837" s="178"/>
      <c r="BP837" s="178"/>
      <c r="BQ837" s="178"/>
      <c r="BR837" s="178"/>
      <c r="BS837" s="178"/>
      <c r="BT837" s="178"/>
      <c r="BU837" s="178"/>
      <c r="BV837" s="178"/>
      <c r="BW837" s="178"/>
      <c r="BX837" s="178"/>
      <c r="BY837" s="178"/>
      <c r="BZ837" s="178"/>
      <c r="CA837" s="178"/>
      <c r="CB837" s="178"/>
      <c r="CC837" s="178"/>
      <c r="CD837" s="178"/>
      <c r="CE837" s="178"/>
      <c r="CF837" s="178"/>
      <c r="CG837" s="178"/>
      <c r="CH837" s="178"/>
      <c r="CI837" s="178"/>
      <c r="CJ837" s="178"/>
      <c r="CK837" s="178"/>
      <c r="CL837" s="178"/>
      <c r="CM837" s="178"/>
      <c r="CN837" s="178"/>
      <c r="CO837" s="178"/>
      <c r="CP837" s="178"/>
      <c r="CQ837" s="178"/>
      <c r="CR837" s="178"/>
      <c r="CS837" s="178"/>
      <c r="CT837" s="178"/>
      <c r="CU837" s="178"/>
      <c r="CV837" s="178"/>
      <c r="CW837" s="178"/>
      <c r="CX837" s="178"/>
      <c r="CY837" s="178"/>
      <c r="CZ837" s="178"/>
      <c r="DA837" s="178"/>
      <c r="DB837" s="178"/>
      <c r="DC837" s="178"/>
      <c r="DD837" s="178"/>
      <c r="DE837" s="178"/>
      <c r="DF837" s="178"/>
      <c r="DG837" s="178"/>
    </row>
    <row r="838">
      <c r="A838" s="41" t="s">
        <v>106</v>
      </c>
      <c r="B838" s="41" t="s">
        <v>107</v>
      </c>
      <c r="C838" s="41" t="s">
        <v>1455</v>
      </c>
      <c r="E838" s="60" t="s">
        <v>4880</v>
      </c>
      <c r="F838" s="55" t="s">
        <v>4880</v>
      </c>
      <c r="G838" s="147" t="s">
        <v>1458</v>
      </c>
      <c r="H838" s="60"/>
      <c r="I838" s="1201">
        <v>45677.0</v>
      </c>
      <c r="J838" s="60"/>
      <c r="K838" s="60"/>
      <c r="L838" s="410" t="s">
        <v>4892</v>
      </c>
      <c r="M838" s="1204" t="s">
        <v>4893</v>
      </c>
      <c r="N838" s="60"/>
      <c r="O838" s="145" t="str">
        <f>SUBSTITUTE(LOWER(M838), "/", "--") &amp;  ".pdf"</f>
        <v>10.1073--pnas.1706253114.pdf</v>
      </c>
      <c r="P838" s="48" t="str">
        <f t="array" ref="P838">HYPERLINK(INDEX('File Links'!B:B, MATCH(O838, 'File Links'!C:C, 0)))
</f>
        <v>https://drive.google.com/file/d/1KgVy8pDNXw_rUPEflxR0eTSRI8bSGPLS/view?usp=drivesdk</v>
      </c>
      <c r="Q838" s="60" t="s">
        <v>4894</v>
      </c>
      <c r="R838" s="60"/>
      <c r="S838" s="410" t="s">
        <v>4402</v>
      </c>
      <c r="T838" s="144">
        <v>1.0</v>
      </c>
      <c r="U838" s="506"/>
      <c r="V838" s="147" t="s">
        <v>4415</v>
      </c>
      <c r="W838" s="45" t="str">
        <f t="array" ref="W838">HYPERLINK(INDEX('File Links'!B:B, MATCH(U838, 'File Links'!C:C, 0)))
</f>
        <v>#N/A</v>
      </c>
      <c r="Y838" s="147" t="s">
        <v>2052</v>
      </c>
      <c r="Z838" s="147" t="s">
        <v>4895</v>
      </c>
      <c r="AA838" s="147" t="s">
        <v>4896</v>
      </c>
      <c r="AB838" s="147" t="s">
        <v>4897</v>
      </c>
      <c r="AC838" s="147" t="s">
        <v>4898</v>
      </c>
      <c r="AD838" s="144">
        <v>2.0</v>
      </c>
      <c r="AE838" s="144">
        <v>480.0</v>
      </c>
      <c r="AF838" s="144">
        <v>0.353</v>
      </c>
      <c r="AG838" s="147" t="s">
        <v>357</v>
      </c>
      <c r="AH838" s="60"/>
      <c r="AI838" s="646">
        <v>0.001</v>
      </c>
      <c r="AJ838" s="52" t="s">
        <v>127</v>
      </c>
      <c r="AK838" s="52" t="s">
        <v>179</v>
      </c>
      <c r="AL838" s="1206" t="s">
        <v>129</v>
      </c>
      <c r="AM838" s="55"/>
      <c r="AN838" s="144">
        <v>679.0</v>
      </c>
      <c r="AO838" s="144">
        <v>0.188</v>
      </c>
      <c r="AP838" s="147" t="s">
        <v>166</v>
      </c>
      <c r="AQ838" s="147" t="s">
        <v>2748</v>
      </c>
      <c r="AR838" s="144">
        <v>0.015</v>
      </c>
      <c r="AS838" s="147" t="s">
        <v>164</v>
      </c>
      <c r="AT838" s="147" t="s">
        <v>128</v>
      </c>
      <c r="AU838" s="1206" t="s">
        <v>129</v>
      </c>
      <c r="AV838" s="60"/>
      <c r="AW838" s="1206" t="s">
        <v>134</v>
      </c>
      <c r="AY838" s="177" t="s">
        <v>135</v>
      </c>
      <c r="BA838" s="178"/>
      <c r="BB838" s="178"/>
      <c r="BC838" s="178"/>
      <c r="BD838" s="178"/>
      <c r="BE838" s="178"/>
      <c r="BF838" s="178"/>
      <c r="BG838" s="178"/>
      <c r="BH838" s="178"/>
      <c r="BI838" s="178"/>
      <c r="BJ838" s="178"/>
      <c r="BK838" s="178"/>
      <c r="BL838" s="178"/>
      <c r="BM838" s="178"/>
      <c r="BN838" s="178"/>
      <c r="BO838" s="178"/>
      <c r="BP838" s="178"/>
      <c r="BQ838" s="178"/>
      <c r="BR838" s="178"/>
      <c r="BS838" s="178"/>
      <c r="BT838" s="178"/>
      <c r="BU838" s="178"/>
      <c r="BV838" s="178"/>
      <c r="BW838" s="178"/>
      <c r="BX838" s="178"/>
      <c r="BY838" s="178"/>
      <c r="BZ838" s="178"/>
      <c r="CA838" s="178"/>
      <c r="CB838" s="178"/>
      <c r="CC838" s="178"/>
      <c r="CD838" s="178"/>
      <c r="CE838" s="178"/>
      <c r="CF838" s="178"/>
      <c r="CG838" s="178"/>
      <c r="CH838" s="178"/>
      <c r="CI838" s="178"/>
      <c r="CJ838" s="178"/>
      <c r="CK838" s="178"/>
      <c r="CL838" s="178"/>
      <c r="CM838" s="178"/>
      <c r="CN838" s="178"/>
      <c r="CO838" s="178"/>
      <c r="CP838" s="178"/>
      <c r="CQ838" s="178"/>
      <c r="CR838" s="178"/>
      <c r="CS838" s="178"/>
      <c r="CT838" s="178"/>
      <c r="CU838" s="178"/>
      <c r="CV838" s="178"/>
      <c r="CW838" s="178"/>
      <c r="CX838" s="178"/>
      <c r="CY838" s="178"/>
      <c r="CZ838" s="178"/>
      <c r="DA838" s="178"/>
      <c r="DB838" s="178"/>
      <c r="DC838" s="178"/>
      <c r="DD838" s="178"/>
      <c r="DE838" s="178"/>
      <c r="DF838" s="178"/>
      <c r="DG838" s="178"/>
    </row>
    <row r="839">
      <c r="A839" s="177" t="s">
        <v>143</v>
      </c>
      <c r="B839" s="177" t="s">
        <v>107</v>
      </c>
      <c r="C839" s="177" t="s">
        <v>1471</v>
      </c>
      <c r="D839" s="178"/>
      <c r="E839" s="179" t="s">
        <v>4899</v>
      </c>
      <c r="F839" s="183" t="s">
        <v>4899</v>
      </c>
      <c r="G839" s="188" t="s">
        <v>1530</v>
      </c>
      <c r="H839" s="181">
        <v>45669.0</v>
      </c>
      <c r="I839" s="1201">
        <v>45677.0</v>
      </c>
      <c r="J839" s="188" t="s">
        <v>4900</v>
      </c>
      <c r="K839" s="179"/>
      <c r="L839" s="829" t="s">
        <v>4901</v>
      </c>
      <c r="M839" s="1203" t="s">
        <v>4902</v>
      </c>
      <c r="N839" s="695">
        <v>4.0</v>
      </c>
      <c r="O839" s="188" t="str">
        <f> SUBSTITUTE(lower(M839), "/", "--") &amp;  ".pdf"</f>
        <v>10.1073--pnas.1707719114.pdf</v>
      </c>
      <c r="P839" s="48" t="str">
        <f t="array" ref="P839">HYPERLINK(INDEX('File Links'!B:B, MATCH(O839, 'File Links'!C:C, 0)))
</f>
        <v>https://drive.google.com/file/d/1VjQnWh7tIM7zl21GEg_LipSiXaJr91Ht/view?usp=drivesdk</v>
      </c>
      <c r="Q839" s="179" t="s">
        <v>4903</v>
      </c>
      <c r="R839" s="179"/>
      <c r="S839" s="829" t="s">
        <v>4402</v>
      </c>
      <c r="T839" s="695">
        <v>1.0</v>
      </c>
      <c r="U839" s="188" t="s">
        <v>4904</v>
      </c>
      <c r="V839" s="188" t="s">
        <v>4905</v>
      </c>
      <c r="W839" s="45" t="str">
        <f t="array" ref="W839">HYPERLINK(INDEX('File Links'!B:B, MATCH(U839, 'File Links'!C:C, 0)))
</f>
        <v>#N/A</v>
      </c>
      <c r="Y839" s="188" t="s">
        <v>2052</v>
      </c>
      <c r="Z839" s="188" t="s">
        <v>4906</v>
      </c>
      <c r="AA839" s="188" t="s">
        <v>4907</v>
      </c>
      <c r="AB839" s="188" t="s">
        <v>4908</v>
      </c>
      <c r="AC839" s="188" t="s">
        <v>4909</v>
      </c>
      <c r="AD839" s="695">
        <v>6.0</v>
      </c>
      <c r="AE839" s="695">
        <v>202.0</v>
      </c>
      <c r="AF839" s="188" t="s">
        <v>4910</v>
      </c>
      <c r="AG839" s="188" t="s">
        <v>162</v>
      </c>
      <c r="AH839" s="188" t="s">
        <v>1062</v>
      </c>
      <c r="AI839" s="827">
        <v>0.001</v>
      </c>
      <c r="AJ839" s="180" t="s">
        <v>127</v>
      </c>
      <c r="AK839" s="180" t="s">
        <v>179</v>
      </c>
      <c r="AL839" s="179" t="s">
        <v>132</v>
      </c>
      <c r="AM839" s="350" t="s">
        <v>165</v>
      </c>
      <c r="AN839" s="695">
        <v>205.0</v>
      </c>
      <c r="AO839" s="1218">
        <v>0.259</v>
      </c>
      <c r="AP839" s="188" t="s">
        <v>166</v>
      </c>
      <c r="AQ839" s="188" t="s">
        <v>505</v>
      </c>
      <c r="AR839" s="695">
        <v>0.001</v>
      </c>
      <c r="AS839" s="188" t="s">
        <v>127</v>
      </c>
      <c r="AT839" s="188" t="s">
        <v>128</v>
      </c>
      <c r="AU839" s="179" t="s">
        <v>132</v>
      </c>
      <c r="AV839" s="829" t="s">
        <v>4911</v>
      </c>
      <c r="AW839" s="179" t="s">
        <v>134</v>
      </c>
      <c r="AX839" s="178"/>
      <c r="AY839" s="177" t="s">
        <v>135</v>
      </c>
    </row>
    <row r="840">
      <c r="A840" s="41" t="s">
        <v>106</v>
      </c>
      <c r="B840" s="41" t="s">
        <v>107</v>
      </c>
      <c r="C840" s="41" t="s">
        <v>1455</v>
      </c>
      <c r="E840" s="60" t="s">
        <v>4899</v>
      </c>
      <c r="F840" s="55" t="s">
        <v>4899</v>
      </c>
      <c r="G840" s="147" t="s">
        <v>1458</v>
      </c>
      <c r="H840" s="60"/>
      <c r="I840" s="1201">
        <v>45677.0</v>
      </c>
      <c r="J840" s="147" t="s">
        <v>4912</v>
      </c>
      <c r="K840" s="60"/>
      <c r="L840" s="410" t="s">
        <v>4913</v>
      </c>
      <c r="M840" s="1204" t="s">
        <v>4914</v>
      </c>
      <c r="N840" s="60"/>
      <c r="O840" s="145" t="str">
        <f>SUBSTITUTE(LOWER(M840), "/", "--") &amp;  ".pdf"</f>
        <v>10.1073--pnas.1707719114.pdf</v>
      </c>
      <c r="P840" s="48" t="str">
        <f t="array" ref="P840">HYPERLINK(INDEX('File Links'!B:B, MATCH(O840, 'File Links'!C:C, 0)))
</f>
        <v>https://drive.google.com/file/d/1VjQnWh7tIM7zl21GEg_LipSiXaJr91Ht/view?usp=drivesdk</v>
      </c>
      <c r="Q840" s="60" t="s">
        <v>4915</v>
      </c>
      <c r="R840" s="60"/>
      <c r="S840" s="410" t="s">
        <v>4402</v>
      </c>
      <c r="T840" s="144">
        <v>4.0</v>
      </c>
      <c r="U840" s="506"/>
      <c r="V840" s="147" t="s">
        <v>4415</v>
      </c>
      <c r="W840" s="45" t="str">
        <f t="array" ref="W840">HYPERLINK(INDEX('File Links'!B:B, MATCH(U840, 'File Links'!C:C, 0)))
</f>
        <v>#N/A</v>
      </c>
      <c r="Y840" s="147" t="s">
        <v>220</v>
      </c>
      <c r="Z840" s="147" t="s">
        <v>4916</v>
      </c>
      <c r="AA840" s="147" t="s">
        <v>4917</v>
      </c>
      <c r="AB840" s="147" t="s">
        <v>4918</v>
      </c>
      <c r="AC840" s="147" t="s">
        <v>4919</v>
      </c>
      <c r="AD840" s="144">
        <v>6.0</v>
      </c>
      <c r="AE840" s="144">
        <v>202.0</v>
      </c>
      <c r="AF840" s="147" t="s">
        <v>4920</v>
      </c>
      <c r="AG840" s="147" t="s">
        <v>162</v>
      </c>
      <c r="AH840" s="60"/>
      <c r="AI840" s="646">
        <v>0.001</v>
      </c>
      <c r="AJ840" s="52" t="s">
        <v>127</v>
      </c>
      <c r="AK840" s="52" t="s">
        <v>179</v>
      </c>
      <c r="AL840" s="1206" t="s">
        <v>132</v>
      </c>
      <c r="AM840" s="55"/>
      <c r="AN840" s="144">
        <v>205.0</v>
      </c>
      <c r="AO840" s="144">
        <v>0.259</v>
      </c>
      <c r="AP840" s="147" t="s">
        <v>166</v>
      </c>
      <c r="AQ840" s="147" t="s">
        <v>505</v>
      </c>
      <c r="AR840" s="1207">
        <v>2.7E-4</v>
      </c>
      <c r="AS840" s="147" t="s">
        <v>164</v>
      </c>
      <c r="AT840" s="147" t="s">
        <v>128</v>
      </c>
      <c r="AU840" s="1206" t="s">
        <v>132</v>
      </c>
      <c r="AV840" s="60"/>
      <c r="AW840" s="1206" t="s">
        <v>134</v>
      </c>
      <c r="AY840" s="177" t="s">
        <v>135</v>
      </c>
    </row>
    <row r="841">
      <c r="A841" s="177" t="s">
        <v>143</v>
      </c>
      <c r="B841" s="177" t="s">
        <v>107</v>
      </c>
      <c r="C841" s="177" t="s">
        <v>1471</v>
      </c>
      <c r="D841" s="178"/>
      <c r="E841" s="179" t="s">
        <v>4921</v>
      </c>
      <c r="F841" s="183" t="s">
        <v>4921</v>
      </c>
      <c r="G841" s="188" t="s">
        <v>1530</v>
      </c>
      <c r="H841" s="181">
        <v>45669.0</v>
      </c>
      <c r="I841" s="1201">
        <v>45677.0</v>
      </c>
      <c r="J841" s="188" t="s">
        <v>4922</v>
      </c>
      <c r="K841" s="179"/>
      <c r="L841" s="829" t="s">
        <v>4923</v>
      </c>
      <c r="M841" s="1203" t="s">
        <v>4924</v>
      </c>
      <c r="N841" s="695">
        <v>9.0</v>
      </c>
      <c r="O841" s="188" t="str">
        <f> SUBSTITUTE(lower(M841), "/", "--") &amp;  ".pdf"</f>
        <v>10.1073--pnas.1523586113.pdf</v>
      </c>
      <c r="P841" s="48" t="str">
        <f t="array" ref="P841">HYPERLINK(INDEX('File Links'!B:B, MATCH(O841, 'File Links'!C:C, 0)))
</f>
        <v>https://drive.google.com/file/d/17CimGUvhLJDkg1bbuFUCRcNLQJR1151z/view?usp=drivesdk</v>
      </c>
      <c r="Q841" s="179" t="s">
        <v>4925</v>
      </c>
      <c r="R841" s="179"/>
      <c r="S841" s="829" t="s">
        <v>4402</v>
      </c>
      <c r="T841" s="695">
        <v>1.0</v>
      </c>
      <c r="U841" s="188" t="s">
        <v>4926</v>
      </c>
      <c r="V841" s="188" t="s">
        <v>4927</v>
      </c>
      <c r="W841" s="45" t="str">
        <f t="array" ref="W841">HYPERLINK(INDEX('File Links'!B:B, MATCH(U841, 'File Links'!C:C, 0)))
</f>
        <v>#N/A</v>
      </c>
      <c r="Y841" s="188" t="s">
        <v>139</v>
      </c>
      <c r="Z841" s="188" t="s">
        <v>4928</v>
      </c>
      <c r="AA841" s="188" t="s">
        <v>4929</v>
      </c>
      <c r="AB841" s="188" t="s">
        <v>4930</v>
      </c>
      <c r="AC841" s="188" t="s">
        <v>4931</v>
      </c>
      <c r="AD841" s="695">
        <v>5.0</v>
      </c>
      <c r="AE841" s="695">
        <v>258.0</v>
      </c>
      <c r="AF841" s="188" t="s">
        <v>4932</v>
      </c>
      <c r="AG841" s="188" t="s">
        <v>162</v>
      </c>
      <c r="AH841" s="188" t="s">
        <v>894</v>
      </c>
      <c r="AI841" s="827">
        <v>0.001</v>
      </c>
      <c r="AJ841" s="180" t="s">
        <v>164</v>
      </c>
      <c r="AK841" s="180" t="s">
        <v>179</v>
      </c>
      <c r="AL841" s="179" t="s">
        <v>129</v>
      </c>
      <c r="AM841" s="350" t="s">
        <v>165</v>
      </c>
      <c r="AN841" s="695">
        <v>584.0</v>
      </c>
      <c r="AO841" s="188" t="s">
        <v>4933</v>
      </c>
      <c r="AP841" s="188" t="s">
        <v>166</v>
      </c>
      <c r="AQ841" s="188" t="s">
        <v>505</v>
      </c>
      <c r="AR841" s="1208">
        <v>0.646</v>
      </c>
      <c r="AS841" s="188" t="s">
        <v>164</v>
      </c>
      <c r="AT841" s="188" t="s">
        <v>128</v>
      </c>
      <c r="AU841" s="179" t="s">
        <v>129</v>
      </c>
      <c r="AV841" s="829" t="s">
        <v>4934</v>
      </c>
      <c r="AW841" s="179" t="s">
        <v>134</v>
      </c>
      <c r="AX841" s="178"/>
      <c r="AY841" s="177" t="s">
        <v>135</v>
      </c>
    </row>
    <row r="842">
      <c r="A842" s="41" t="s">
        <v>106</v>
      </c>
      <c r="B842" s="41" t="s">
        <v>107</v>
      </c>
      <c r="C842" s="41" t="s">
        <v>1455</v>
      </c>
      <c r="E842" s="60" t="s">
        <v>4921</v>
      </c>
      <c r="F842" s="55" t="s">
        <v>4921</v>
      </c>
      <c r="G842" s="147" t="s">
        <v>1458</v>
      </c>
      <c r="H842" s="1219">
        <v>45672.0</v>
      </c>
      <c r="I842" s="1201">
        <v>45677.0</v>
      </c>
      <c r="J842" s="60"/>
      <c r="K842" s="60"/>
      <c r="L842" s="410" t="s">
        <v>4935</v>
      </c>
      <c r="M842" s="1204" t="s">
        <v>4936</v>
      </c>
      <c r="N842" s="60"/>
      <c r="O842" s="145" t="str">
        <f>SUBSTITUTE(LOWER(M842), "/", "--") &amp;  ".pdf"</f>
        <v>10.1073--pnas.1523586113.pdf</v>
      </c>
      <c r="P842" s="48" t="str">
        <f t="array" ref="P842">HYPERLINK(INDEX('File Links'!B:B, MATCH(O842, 'File Links'!C:C, 0)))
</f>
        <v>https://drive.google.com/file/d/17CimGUvhLJDkg1bbuFUCRcNLQJR1151z/view?usp=drivesdk</v>
      </c>
      <c r="Q842" s="60" t="s">
        <v>4937</v>
      </c>
      <c r="R842" s="60"/>
      <c r="S842" s="410" t="s">
        <v>4402</v>
      </c>
      <c r="T842" s="147" t="s">
        <v>4938</v>
      </c>
      <c r="U842" s="506"/>
      <c r="V842" s="147" t="s">
        <v>4415</v>
      </c>
      <c r="W842" s="45" t="str">
        <f t="array" ref="W842">HYPERLINK(INDEX('File Links'!B:B, MATCH(U842, 'File Links'!C:C, 0)))
</f>
        <v>#N/A</v>
      </c>
      <c r="Y842" s="147" t="s">
        <v>220</v>
      </c>
      <c r="Z842" s="147" t="s">
        <v>4939</v>
      </c>
      <c r="AA842" s="147" t="s">
        <v>4940</v>
      </c>
      <c r="AB842" s="147" t="s">
        <v>4941</v>
      </c>
      <c r="AC842" s="147" t="s">
        <v>4942</v>
      </c>
      <c r="AD842" s="144">
        <v>5.0</v>
      </c>
      <c r="AE842" s="144">
        <v>258.0</v>
      </c>
      <c r="AF842" s="147" t="s">
        <v>4943</v>
      </c>
      <c r="AG842" s="147" t="s">
        <v>162</v>
      </c>
      <c r="AH842" s="60"/>
      <c r="AI842" s="646">
        <v>0.001</v>
      </c>
      <c r="AJ842" s="52" t="s">
        <v>164</v>
      </c>
      <c r="AK842" s="52" t="s">
        <v>179</v>
      </c>
      <c r="AL842" s="1206" t="s">
        <v>132</v>
      </c>
      <c r="AM842" s="55"/>
      <c r="AN842" s="144">
        <v>584.0</v>
      </c>
      <c r="AO842" s="144">
        <v>-0.038</v>
      </c>
      <c r="AP842" s="147" t="s">
        <v>166</v>
      </c>
      <c r="AQ842" s="147" t="s">
        <v>505</v>
      </c>
      <c r="AR842" s="144">
        <v>0.646</v>
      </c>
      <c r="AS842" s="147" t="s">
        <v>164</v>
      </c>
      <c r="AT842" s="147" t="s">
        <v>128</v>
      </c>
      <c r="AU842" s="1206" t="s">
        <v>132</v>
      </c>
      <c r="AV842" s="60"/>
      <c r="AW842" s="1206" t="s">
        <v>134</v>
      </c>
      <c r="AY842" s="177" t="s">
        <v>135</v>
      </c>
    </row>
    <row r="843">
      <c r="A843" s="722" t="s">
        <v>106</v>
      </c>
      <c r="B843" s="722" t="s">
        <v>107</v>
      </c>
      <c r="C843" s="722" t="s">
        <v>169</v>
      </c>
      <c r="D843" s="647"/>
      <c r="E843" s="733" t="s">
        <v>4944</v>
      </c>
      <c r="F843" s="724" t="s">
        <v>4945</v>
      </c>
      <c r="G843" s="723" t="s">
        <v>169</v>
      </c>
      <c r="H843" s="1220">
        <v>45651.0</v>
      </c>
      <c r="I843" s="733"/>
      <c r="J843" s="723" t="s">
        <v>4946</v>
      </c>
      <c r="K843" s="735" t="s">
        <v>4947</v>
      </c>
      <c r="L843" s="723" t="s">
        <v>4948</v>
      </c>
      <c r="M843" s="723" t="s">
        <v>4949</v>
      </c>
      <c r="N843" s="1221">
        <v>2.0</v>
      </c>
      <c r="O843" s="723" t="s">
        <v>4950</v>
      </c>
      <c r="P843" s="48" t="str">
        <f t="array" ref="P843">HYPERLINK(INDEX('File Links'!B:B, MATCH(O843, 'File Links'!C:C, 0)))
</f>
        <v>https://drive.google.com/file/d/1CSCUNAQZCt3s32RgzUwXe6pe5scvK0yY/view?usp=drivesdk</v>
      </c>
      <c r="Q843" s="723" t="s">
        <v>4951</v>
      </c>
      <c r="R843" s="723" t="s">
        <v>4952</v>
      </c>
      <c r="S843" s="733"/>
      <c r="T843" s="1221">
        <v>2.0</v>
      </c>
      <c r="U843" s="723" t="s">
        <v>4953</v>
      </c>
      <c r="V843" s="723" t="s">
        <v>155</v>
      </c>
      <c r="W843" s="50" t="str">
        <f t="array" ref="W843">HYPERLINK(INDEX('File Links'!B:B, MATCH(U843, 'File Links'!C:C, 0)))
</f>
        <v>https://drive.google.com/file/d/1Kwdqeb9S0RNT_hHV1vR81MPGAjymnUQq/view?usp=drivesdk</v>
      </c>
      <c r="X843" s="733"/>
      <c r="Y843" s="723" t="s">
        <v>220</v>
      </c>
      <c r="Z843" s="723" t="s">
        <v>4954</v>
      </c>
      <c r="AA843" s="723" t="s">
        <v>4955</v>
      </c>
      <c r="AB843" s="723" t="s">
        <v>4956</v>
      </c>
      <c r="AC843" s="723" t="s">
        <v>4957</v>
      </c>
      <c r="AD843" s="723" t="s">
        <v>892</v>
      </c>
      <c r="AE843" s="1221">
        <v>440.0</v>
      </c>
      <c r="AF843" s="723" t="s">
        <v>4958</v>
      </c>
      <c r="AG843" s="729" t="s">
        <v>166</v>
      </c>
      <c r="AH843" s="724" t="s">
        <v>894</v>
      </c>
      <c r="AI843" s="724" t="s">
        <v>4959</v>
      </c>
      <c r="AJ843" s="723" t="s">
        <v>164</v>
      </c>
      <c r="AK843" s="724" t="s">
        <v>179</v>
      </c>
      <c r="AL843" s="733" t="s">
        <v>129</v>
      </c>
      <c r="AM843" s="733"/>
      <c r="AN843" s="1221">
        <v>199.0</v>
      </c>
      <c r="AO843" s="723" t="s">
        <v>4960</v>
      </c>
      <c r="AP843" s="723" t="s">
        <v>166</v>
      </c>
      <c r="AQ843" s="733"/>
      <c r="AR843" s="723" t="s">
        <v>4961</v>
      </c>
      <c r="AS843" s="723" t="s">
        <v>164</v>
      </c>
      <c r="AT843" s="723" t="s">
        <v>179</v>
      </c>
      <c r="AU843" s="733" t="s">
        <v>821</v>
      </c>
      <c r="AV843" s="1222" t="s">
        <v>4962</v>
      </c>
      <c r="AW843" s="1223" t="s">
        <v>134</v>
      </c>
      <c r="AX843" s="647"/>
      <c r="AY843" s="722" t="s">
        <v>4111</v>
      </c>
    </row>
    <row r="844">
      <c r="A844" s="332" t="s">
        <v>143</v>
      </c>
      <c r="B844" s="331" t="s">
        <v>107</v>
      </c>
      <c r="C844" s="331" t="s">
        <v>144</v>
      </c>
      <c r="D844" s="335"/>
      <c r="E844" s="738" t="s">
        <v>4944</v>
      </c>
      <c r="F844" s="736" t="s">
        <v>4963</v>
      </c>
      <c r="G844" s="736" t="s">
        <v>144</v>
      </c>
      <c r="H844" s="744" t="s">
        <v>112</v>
      </c>
      <c r="I844" s="1224">
        <v>45638.0</v>
      </c>
      <c r="J844" s="1225" t="s">
        <v>4964</v>
      </c>
      <c r="K844" s="727" t="s">
        <v>4965</v>
      </c>
      <c r="L844" s="736" t="s">
        <v>4948</v>
      </c>
      <c r="M844" s="736" t="s">
        <v>4949</v>
      </c>
      <c r="N844" s="1226">
        <v>2.0</v>
      </c>
      <c r="O844" s="929" t="s">
        <v>4950</v>
      </c>
      <c r="P844" s="48" t="str">
        <f t="array" ref="P844">HYPERLINK(INDEX('File Links'!B:B, MATCH(O844, 'File Links'!C:C, 0)))
</f>
        <v>https://drive.google.com/file/d/1CSCUNAQZCt3s32RgzUwXe6pe5scvK0yY/view?usp=drivesdk</v>
      </c>
      <c r="Q844" s="1227" t="s">
        <v>4966</v>
      </c>
      <c r="R844" s="1227" t="s">
        <v>4952</v>
      </c>
      <c r="S844" s="741"/>
      <c r="T844" s="1228">
        <v>1.0</v>
      </c>
      <c r="U844" s="736" t="s">
        <v>4953</v>
      </c>
      <c r="V844" s="1007" t="s">
        <v>155</v>
      </c>
      <c r="W844" s="50" t="str">
        <f t="array" ref="W844">HYPERLINK(INDEX('File Links'!B:B, MATCH(U844, 'File Links'!C:C, 0)))
</f>
        <v>https://drive.google.com/file/d/1Kwdqeb9S0RNT_hHV1vR81MPGAjymnUQq/view?usp=drivesdk</v>
      </c>
      <c r="X844" s="741"/>
      <c r="Y844" s="736" t="s">
        <v>220</v>
      </c>
      <c r="Z844" s="736" t="s">
        <v>4967</v>
      </c>
      <c r="AA844" s="1229" t="s">
        <v>4968</v>
      </c>
      <c r="AB844" s="1229" t="s">
        <v>4969</v>
      </c>
      <c r="AC844" s="741" t="s">
        <v>4970</v>
      </c>
      <c r="AD844" s="1230">
        <v>5.0</v>
      </c>
      <c r="AE844" s="744">
        <v>218.0</v>
      </c>
      <c r="AF844" s="744">
        <v>-0.29</v>
      </c>
      <c r="AG844" s="929" t="s">
        <v>166</v>
      </c>
      <c r="AH844" s="736" t="s">
        <v>1062</v>
      </c>
      <c r="AI844" s="744">
        <v>0.04</v>
      </c>
      <c r="AJ844" s="734" t="s">
        <v>164</v>
      </c>
      <c r="AK844" s="736" t="s">
        <v>179</v>
      </c>
      <c r="AL844" s="741" t="s">
        <v>129</v>
      </c>
      <c r="AM844" s="1231"/>
      <c r="AN844" s="744">
        <v>199.0</v>
      </c>
      <c r="AO844" s="744">
        <v>0.058</v>
      </c>
      <c r="AP844" s="736" t="s">
        <v>166</v>
      </c>
      <c r="AQ844" s="1231"/>
      <c r="AR844" s="743">
        <v>0.667</v>
      </c>
      <c r="AS844" s="734" t="s">
        <v>164</v>
      </c>
      <c r="AT844" s="734" t="s">
        <v>128</v>
      </c>
      <c r="AU844" s="738" t="s">
        <v>129</v>
      </c>
      <c r="AV844" s="930" t="s">
        <v>4971</v>
      </c>
      <c r="AW844" s="933" t="s">
        <v>134</v>
      </c>
      <c r="AX844" s="333"/>
      <c r="AY844" s="332" t="s">
        <v>4111</v>
      </c>
    </row>
    <row r="845">
      <c r="A845" s="332" t="s">
        <v>143</v>
      </c>
      <c r="B845" s="331" t="s">
        <v>107</v>
      </c>
      <c r="C845" s="331" t="s">
        <v>144</v>
      </c>
      <c r="D845" s="335"/>
      <c r="E845" s="738" t="s">
        <v>4944</v>
      </c>
      <c r="F845" s="736" t="s">
        <v>4972</v>
      </c>
      <c r="G845" s="736" t="s">
        <v>144</v>
      </c>
      <c r="H845" s="744" t="s">
        <v>112</v>
      </c>
      <c r="I845" s="1224">
        <v>45638.0</v>
      </c>
      <c r="J845" s="1225" t="s">
        <v>4973</v>
      </c>
      <c r="K845" s="741"/>
      <c r="L845" s="736" t="s">
        <v>4948</v>
      </c>
      <c r="M845" s="736" t="s">
        <v>4949</v>
      </c>
      <c r="N845" s="1226">
        <v>2.0</v>
      </c>
      <c r="O845" s="929" t="s">
        <v>4950</v>
      </c>
      <c r="P845" s="48" t="str">
        <f t="array" ref="P845">HYPERLINK(INDEX('File Links'!B:B, MATCH(O845, 'File Links'!C:C, 0)))
</f>
        <v>https://drive.google.com/file/d/1CSCUNAQZCt3s32RgzUwXe6pe5scvK0yY/view?usp=drivesdk</v>
      </c>
      <c r="Q845" s="1227" t="s">
        <v>4974</v>
      </c>
      <c r="R845" s="1227" t="s">
        <v>4952</v>
      </c>
      <c r="S845" s="741"/>
      <c r="T845" s="1228">
        <v>1.0</v>
      </c>
      <c r="U845" s="736" t="s">
        <v>4953</v>
      </c>
      <c r="V845" s="1007" t="s">
        <v>155</v>
      </c>
      <c r="W845" s="50" t="str">
        <f t="array" ref="W845">HYPERLINK(INDEX('File Links'!B:B, MATCH(U845, 'File Links'!C:C, 0)))
</f>
        <v>https://drive.google.com/file/d/1Kwdqeb9S0RNT_hHV1vR81MPGAjymnUQq/view?usp=drivesdk</v>
      </c>
      <c r="X845" s="741"/>
      <c r="Y845" s="736" t="s">
        <v>220</v>
      </c>
      <c r="Z845" s="736" t="s">
        <v>4967</v>
      </c>
      <c r="AA845" s="1229" t="s">
        <v>4968</v>
      </c>
      <c r="AB845" s="741" t="s">
        <v>4975</v>
      </c>
      <c r="AC845" s="1007" t="s">
        <v>4976</v>
      </c>
      <c r="AD845" s="1230">
        <v>5.0</v>
      </c>
      <c r="AE845" s="744">
        <v>218.0</v>
      </c>
      <c r="AF845" s="744">
        <v>-0.38</v>
      </c>
      <c r="AG845" s="929" t="s">
        <v>166</v>
      </c>
      <c r="AH845" s="736" t="s">
        <v>1062</v>
      </c>
      <c r="AI845" s="744">
        <v>0.005</v>
      </c>
      <c r="AJ845" s="734" t="s">
        <v>164</v>
      </c>
      <c r="AK845" s="736" t="s">
        <v>179</v>
      </c>
      <c r="AL845" s="741" t="s">
        <v>129</v>
      </c>
      <c r="AM845" s="1231"/>
      <c r="AN845" s="744">
        <v>199.0</v>
      </c>
      <c r="AO845" s="1230">
        <v>0.031</v>
      </c>
      <c r="AP845" s="736" t="s">
        <v>166</v>
      </c>
      <c r="AQ845" s="1231"/>
      <c r="AR845" s="744">
        <v>0.824</v>
      </c>
      <c r="AS845" s="734" t="s">
        <v>164</v>
      </c>
      <c r="AT845" s="734" t="s">
        <v>128</v>
      </c>
      <c r="AU845" s="738" t="s">
        <v>129</v>
      </c>
      <c r="AV845" s="930" t="s">
        <v>4971</v>
      </c>
      <c r="AW845" s="933" t="s">
        <v>134</v>
      </c>
      <c r="AX845" s="333"/>
      <c r="AY845" s="332" t="s">
        <v>4111</v>
      </c>
    </row>
    <row r="846">
      <c r="A846" s="332" t="s">
        <v>143</v>
      </c>
      <c r="B846" s="331" t="s">
        <v>107</v>
      </c>
      <c r="C846" s="331" t="s">
        <v>144</v>
      </c>
      <c r="D846" s="335"/>
      <c r="E846" s="738" t="s">
        <v>4944</v>
      </c>
      <c r="F846" s="736" t="s">
        <v>4977</v>
      </c>
      <c r="G846" s="736" t="s">
        <v>144</v>
      </c>
      <c r="H846" s="744" t="s">
        <v>112</v>
      </c>
      <c r="I846" s="1224">
        <v>45638.0</v>
      </c>
      <c r="J846" s="1225" t="s">
        <v>4978</v>
      </c>
      <c r="K846" s="741"/>
      <c r="L846" s="736" t="s">
        <v>4948</v>
      </c>
      <c r="M846" s="736" t="s">
        <v>4949</v>
      </c>
      <c r="N846" s="1226">
        <v>2.0</v>
      </c>
      <c r="O846" s="929" t="s">
        <v>4950</v>
      </c>
      <c r="P846" s="48" t="str">
        <f t="array" ref="P846">HYPERLINK(INDEX('File Links'!B:B, MATCH(O846, 'File Links'!C:C, 0)))
</f>
        <v>https://drive.google.com/file/d/1CSCUNAQZCt3s32RgzUwXe6pe5scvK0yY/view?usp=drivesdk</v>
      </c>
      <c r="Q846" s="1227" t="s">
        <v>4979</v>
      </c>
      <c r="R846" s="1227" t="s">
        <v>4952</v>
      </c>
      <c r="S846" s="741"/>
      <c r="T846" s="1228">
        <v>1.0</v>
      </c>
      <c r="U846" s="736" t="s">
        <v>4953</v>
      </c>
      <c r="V846" s="1007" t="s">
        <v>155</v>
      </c>
      <c r="W846" s="50" t="str">
        <f t="array" ref="W846">HYPERLINK(INDEX('File Links'!B:B, MATCH(U846, 'File Links'!C:C, 0)))
</f>
        <v>https://drive.google.com/file/d/1Kwdqeb9S0RNT_hHV1vR81MPGAjymnUQq/view?usp=drivesdk</v>
      </c>
      <c r="X846" s="741"/>
      <c r="Y846" s="736" t="s">
        <v>220</v>
      </c>
      <c r="Z846" s="736" t="s">
        <v>4967</v>
      </c>
      <c r="AA846" s="1229" t="s">
        <v>4968</v>
      </c>
      <c r="AB846" s="741" t="s">
        <v>4980</v>
      </c>
      <c r="AC846" s="1007" t="s">
        <v>4981</v>
      </c>
      <c r="AD846" s="1230">
        <v>5.0</v>
      </c>
      <c r="AE846" s="744">
        <v>218.0</v>
      </c>
      <c r="AF846" s="744">
        <v>-0.16</v>
      </c>
      <c r="AG846" s="929" t="s">
        <v>166</v>
      </c>
      <c r="AH846" s="736" t="s">
        <v>1062</v>
      </c>
      <c r="AI846" s="744">
        <v>0.23</v>
      </c>
      <c r="AJ846" s="734" t="s">
        <v>164</v>
      </c>
      <c r="AK846" s="736" t="s">
        <v>179</v>
      </c>
      <c r="AL846" s="741" t="s">
        <v>129</v>
      </c>
      <c r="AM846" s="1231"/>
      <c r="AN846" s="744">
        <v>199.0</v>
      </c>
      <c r="AO846" s="1230">
        <v>0.189</v>
      </c>
      <c r="AP846" s="736" t="s">
        <v>166</v>
      </c>
      <c r="AQ846" s="1231"/>
      <c r="AR846" s="744">
        <v>0.184</v>
      </c>
      <c r="AS846" s="734" t="s">
        <v>164</v>
      </c>
      <c r="AT846" s="734" t="s">
        <v>128</v>
      </c>
      <c r="AU846" s="738" t="s">
        <v>129</v>
      </c>
      <c r="AV846" s="930" t="s">
        <v>4971</v>
      </c>
      <c r="AW846" s="933" t="s">
        <v>134</v>
      </c>
      <c r="AX846" s="333"/>
      <c r="AY846" s="332" t="s">
        <v>4111</v>
      </c>
    </row>
    <row r="847">
      <c r="A847" s="332" t="s">
        <v>143</v>
      </c>
      <c r="B847" s="331" t="s">
        <v>107</v>
      </c>
      <c r="C847" s="331" t="s">
        <v>144</v>
      </c>
      <c r="D847" s="335"/>
      <c r="E847" s="738" t="s">
        <v>4944</v>
      </c>
      <c r="F847" s="736" t="s">
        <v>4982</v>
      </c>
      <c r="G847" s="736" t="s">
        <v>144</v>
      </c>
      <c r="H847" s="744" t="s">
        <v>112</v>
      </c>
      <c r="I847" s="1224">
        <v>45638.0</v>
      </c>
      <c r="J847" s="1225" t="s">
        <v>4983</v>
      </c>
      <c r="K847" s="741"/>
      <c r="L847" s="736" t="s">
        <v>4948</v>
      </c>
      <c r="M847" s="736" t="s">
        <v>4949</v>
      </c>
      <c r="N847" s="1226">
        <v>2.0</v>
      </c>
      <c r="O847" s="929" t="s">
        <v>4950</v>
      </c>
      <c r="P847" s="48" t="str">
        <f t="array" ref="P847">HYPERLINK(INDEX('File Links'!B:B, MATCH(O847, 'File Links'!C:C, 0)))
</f>
        <v>https://drive.google.com/file/d/1CSCUNAQZCt3s32RgzUwXe6pe5scvK0yY/view?usp=drivesdk</v>
      </c>
      <c r="Q847" s="1227" t="s">
        <v>4984</v>
      </c>
      <c r="R847" s="1227" t="s">
        <v>4952</v>
      </c>
      <c r="S847" s="741"/>
      <c r="T847" s="1228">
        <v>1.0</v>
      </c>
      <c r="U847" s="736" t="s">
        <v>4953</v>
      </c>
      <c r="V847" s="1007" t="s">
        <v>155</v>
      </c>
      <c r="W847" s="50" t="str">
        <f t="array" ref="W847">HYPERLINK(INDEX('File Links'!B:B, MATCH(U847, 'File Links'!C:C, 0)))
</f>
        <v>https://drive.google.com/file/d/1Kwdqeb9S0RNT_hHV1vR81MPGAjymnUQq/view?usp=drivesdk</v>
      </c>
      <c r="X847" s="741"/>
      <c r="Y847" s="736" t="s">
        <v>220</v>
      </c>
      <c r="Z847" s="736" t="s">
        <v>4967</v>
      </c>
      <c r="AA847" s="1229" t="s">
        <v>4968</v>
      </c>
      <c r="AB847" s="741" t="s">
        <v>4985</v>
      </c>
      <c r="AC847" s="1007" t="s">
        <v>4981</v>
      </c>
      <c r="AD847" s="1230">
        <v>5.0</v>
      </c>
      <c r="AE847" s="744">
        <v>218.0</v>
      </c>
      <c r="AF847" s="744">
        <v>-0.03</v>
      </c>
      <c r="AG847" s="929" t="s">
        <v>166</v>
      </c>
      <c r="AH847" s="736" t="s">
        <v>1062</v>
      </c>
      <c r="AI847" s="744">
        <v>0.83</v>
      </c>
      <c r="AJ847" s="734" t="s">
        <v>164</v>
      </c>
      <c r="AK847" s="736" t="s">
        <v>179</v>
      </c>
      <c r="AL847" s="741" t="s">
        <v>129</v>
      </c>
      <c r="AM847" s="1231"/>
      <c r="AN847" s="744">
        <v>199.0</v>
      </c>
      <c r="AO847" s="1230">
        <v>-0.043</v>
      </c>
      <c r="AP847" s="736" t="s">
        <v>166</v>
      </c>
      <c r="AQ847" s="1231"/>
      <c r="AR847" s="744">
        <v>0.763</v>
      </c>
      <c r="AS847" s="734" t="s">
        <v>164</v>
      </c>
      <c r="AT847" s="734" t="s">
        <v>128</v>
      </c>
      <c r="AU847" s="738" t="s">
        <v>129</v>
      </c>
      <c r="AV847" s="930" t="s">
        <v>4971</v>
      </c>
      <c r="AW847" s="933" t="s">
        <v>134</v>
      </c>
      <c r="AX847" s="333"/>
      <c r="AY847" s="332" t="s">
        <v>4111</v>
      </c>
    </row>
    <row r="848">
      <c r="A848" s="332" t="s">
        <v>143</v>
      </c>
      <c r="B848" s="331" t="s">
        <v>107</v>
      </c>
      <c r="C848" s="331" t="s">
        <v>144</v>
      </c>
      <c r="D848" s="335"/>
      <c r="E848" s="738" t="s">
        <v>4944</v>
      </c>
      <c r="F848" s="736" t="s">
        <v>4986</v>
      </c>
      <c r="G848" s="736" t="s">
        <v>144</v>
      </c>
      <c r="H848" s="744" t="s">
        <v>112</v>
      </c>
      <c r="I848" s="1224">
        <v>45638.0</v>
      </c>
      <c r="J848" s="1225" t="s">
        <v>4987</v>
      </c>
      <c r="K848" s="741"/>
      <c r="L848" s="736" t="s">
        <v>4948</v>
      </c>
      <c r="M848" s="736" t="s">
        <v>4949</v>
      </c>
      <c r="N848" s="1226">
        <v>2.0</v>
      </c>
      <c r="O848" s="929" t="s">
        <v>4950</v>
      </c>
      <c r="P848" s="48" t="str">
        <f t="array" ref="P848">HYPERLINK(INDEX('File Links'!B:B, MATCH(O848, 'File Links'!C:C, 0)))
</f>
        <v>https://drive.google.com/file/d/1CSCUNAQZCt3s32RgzUwXe6pe5scvK0yY/view?usp=drivesdk</v>
      </c>
      <c r="Q848" s="1227" t="s">
        <v>4988</v>
      </c>
      <c r="R848" s="1227" t="s">
        <v>4952</v>
      </c>
      <c r="S848" s="741"/>
      <c r="T848" s="1228">
        <v>1.0</v>
      </c>
      <c r="U848" s="736" t="s">
        <v>4953</v>
      </c>
      <c r="V848" s="1007" t="s">
        <v>155</v>
      </c>
      <c r="W848" s="50" t="str">
        <f t="array" ref="W848">HYPERLINK(INDEX('File Links'!B:B, MATCH(U848, 'File Links'!C:C, 0)))
</f>
        <v>https://drive.google.com/file/d/1Kwdqeb9S0RNT_hHV1vR81MPGAjymnUQq/view?usp=drivesdk</v>
      </c>
      <c r="X848" s="741"/>
      <c r="Y848" s="736" t="s">
        <v>220</v>
      </c>
      <c r="Z848" s="736" t="s">
        <v>4967</v>
      </c>
      <c r="AA848" s="1229" t="s">
        <v>4968</v>
      </c>
      <c r="AB848" s="741" t="s">
        <v>4989</v>
      </c>
      <c r="AC848" s="1007" t="s">
        <v>4981</v>
      </c>
      <c r="AD848" s="1230">
        <v>5.0</v>
      </c>
      <c r="AE848" s="744">
        <v>218.0</v>
      </c>
      <c r="AF848" s="744">
        <v>-0.17</v>
      </c>
      <c r="AG848" s="929" t="s">
        <v>166</v>
      </c>
      <c r="AH848" s="736" t="s">
        <v>1062</v>
      </c>
      <c r="AI848" s="744">
        <v>0.22</v>
      </c>
      <c r="AJ848" s="734" t="s">
        <v>164</v>
      </c>
      <c r="AK848" s="736" t="s">
        <v>179</v>
      </c>
      <c r="AL848" s="741" t="s">
        <v>129</v>
      </c>
      <c r="AM848" s="1231"/>
      <c r="AN848" s="744">
        <v>199.0</v>
      </c>
      <c r="AO848" s="1230">
        <v>-0.008</v>
      </c>
      <c r="AP848" s="736" t="s">
        <v>166</v>
      </c>
      <c r="AQ848" s="1231"/>
      <c r="AR848" s="744">
        <v>0.964</v>
      </c>
      <c r="AS848" s="734" t="s">
        <v>164</v>
      </c>
      <c r="AT848" s="734" t="s">
        <v>128</v>
      </c>
      <c r="AU848" s="738" t="s">
        <v>129</v>
      </c>
      <c r="AV848" s="930" t="s">
        <v>4971</v>
      </c>
      <c r="AW848" s="933" t="s">
        <v>134</v>
      </c>
      <c r="AX848" s="333"/>
      <c r="AY848" s="332" t="s">
        <v>4111</v>
      </c>
    </row>
    <row r="849">
      <c r="A849" s="332" t="s">
        <v>143</v>
      </c>
      <c r="B849" s="331" t="s">
        <v>107</v>
      </c>
      <c r="C849" s="331" t="s">
        <v>144</v>
      </c>
      <c r="D849" s="335"/>
      <c r="E849" s="738" t="s">
        <v>4944</v>
      </c>
      <c r="F849" s="736" t="s">
        <v>4990</v>
      </c>
      <c r="G849" s="736" t="s">
        <v>144</v>
      </c>
      <c r="H849" s="744" t="s">
        <v>112</v>
      </c>
      <c r="I849" s="1224">
        <v>45638.0</v>
      </c>
      <c r="J849" s="1225" t="s">
        <v>4991</v>
      </c>
      <c r="K849" s="741"/>
      <c r="L849" s="736" t="s">
        <v>4948</v>
      </c>
      <c r="M849" s="736" t="s">
        <v>4949</v>
      </c>
      <c r="N849" s="1226">
        <v>2.0</v>
      </c>
      <c r="O849" s="929" t="s">
        <v>4950</v>
      </c>
      <c r="P849" s="48" t="str">
        <f t="array" ref="P849">HYPERLINK(INDEX('File Links'!B:B, MATCH(O849, 'File Links'!C:C, 0)))
</f>
        <v>https://drive.google.com/file/d/1CSCUNAQZCt3s32RgzUwXe6pe5scvK0yY/view?usp=drivesdk</v>
      </c>
      <c r="Q849" s="1227" t="s">
        <v>4992</v>
      </c>
      <c r="R849" s="1227" t="s">
        <v>4952</v>
      </c>
      <c r="S849" s="741"/>
      <c r="T849" s="1228">
        <v>1.0</v>
      </c>
      <c r="U849" s="736" t="s">
        <v>4953</v>
      </c>
      <c r="V849" s="1007" t="s">
        <v>155</v>
      </c>
      <c r="W849" s="50" t="str">
        <f t="array" ref="W849">HYPERLINK(INDEX('File Links'!B:B, MATCH(U849, 'File Links'!C:C, 0)))
</f>
        <v>https://drive.google.com/file/d/1Kwdqeb9S0RNT_hHV1vR81MPGAjymnUQq/view?usp=drivesdk</v>
      </c>
      <c r="X849" s="741"/>
      <c r="Y849" s="736" t="s">
        <v>220</v>
      </c>
      <c r="Z849" s="736" t="s">
        <v>4967</v>
      </c>
      <c r="AA849" s="1229" t="s">
        <v>4968</v>
      </c>
      <c r="AB849" s="741" t="s">
        <v>4993</v>
      </c>
      <c r="AC849" s="1007" t="s">
        <v>4981</v>
      </c>
      <c r="AD849" s="1230">
        <v>5.0</v>
      </c>
      <c r="AE849" s="744">
        <v>218.0</v>
      </c>
      <c r="AF849" s="744">
        <v>-0.14</v>
      </c>
      <c r="AG849" s="929" t="s">
        <v>166</v>
      </c>
      <c r="AH849" s="736" t="s">
        <v>1062</v>
      </c>
      <c r="AI849" s="744">
        <v>0.3</v>
      </c>
      <c r="AJ849" s="734" t="s">
        <v>164</v>
      </c>
      <c r="AK849" s="736" t="s">
        <v>179</v>
      </c>
      <c r="AL849" s="741" t="s">
        <v>129</v>
      </c>
      <c r="AM849" s="1231"/>
      <c r="AN849" s="744">
        <v>199.0</v>
      </c>
      <c r="AO849" s="1230">
        <v>0.058</v>
      </c>
      <c r="AP849" s="736" t="s">
        <v>166</v>
      </c>
      <c r="AQ849" s="1231"/>
      <c r="AR849" s="744">
        <v>0.679</v>
      </c>
      <c r="AS849" s="734" t="s">
        <v>164</v>
      </c>
      <c r="AT849" s="734" t="s">
        <v>128</v>
      </c>
      <c r="AU849" s="738" t="s">
        <v>129</v>
      </c>
      <c r="AV849" s="930" t="s">
        <v>4971</v>
      </c>
      <c r="AW849" s="933" t="s">
        <v>134</v>
      </c>
      <c r="AX849" s="333"/>
      <c r="AY849" s="332" t="s">
        <v>4111</v>
      </c>
    </row>
    <row r="850">
      <c r="A850" s="332" t="s">
        <v>143</v>
      </c>
      <c r="B850" s="331" t="s">
        <v>107</v>
      </c>
      <c r="C850" s="331" t="s">
        <v>144</v>
      </c>
      <c r="D850" s="335"/>
      <c r="E850" s="738" t="s">
        <v>4944</v>
      </c>
      <c r="F850" s="736" t="s">
        <v>4994</v>
      </c>
      <c r="G850" s="736" t="s">
        <v>144</v>
      </c>
      <c r="H850" s="744" t="s">
        <v>112</v>
      </c>
      <c r="I850" s="1224">
        <v>45638.0</v>
      </c>
      <c r="J850" s="1225" t="s">
        <v>4995</v>
      </c>
      <c r="K850" s="741"/>
      <c r="L850" s="736" t="s">
        <v>4948</v>
      </c>
      <c r="M850" s="736" t="s">
        <v>4949</v>
      </c>
      <c r="N850" s="1226">
        <v>2.0</v>
      </c>
      <c r="O850" s="929" t="s">
        <v>4950</v>
      </c>
      <c r="P850" s="48" t="str">
        <f t="array" ref="P850">HYPERLINK(INDEX('File Links'!B:B, MATCH(O850, 'File Links'!C:C, 0)))
</f>
        <v>https://drive.google.com/file/d/1CSCUNAQZCt3s32RgzUwXe6pe5scvK0yY/view?usp=drivesdk</v>
      </c>
      <c r="Q850" s="1227" t="s">
        <v>4996</v>
      </c>
      <c r="R850" s="1227" t="s">
        <v>4952</v>
      </c>
      <c r="S850" s="741"/>
      <c r="T850" s="1228">
        <v>1.0</v>
      </c>
      <c r="U850" s="736" t="s">
        <v>4953</v>
      </c>
      <c r="V850" s="1007" t="s">
        <v>155</v>
      </c>
      <c r="W850" s="50" t="str">
        <f t="array" ref="W850">HYPERLINK(INDEX('File Links'!B:B, MATCH(U850, 'File Links'!C:C, 0)))
</f>
        <v>https://drive.google.com/file/d/1Kwdqeb9S0RNT_hHV1vR81MPGAjymnUQq/view?usp=drivesdk</v>
      </c>
      <c r="X850" s="741"/>
      <c r="Y850" s="736" t="s">
        <v>220</v>
      </c>
      <c r="Z850" s="736" t="s">
        <v>4967</v>
      </c>
      <c r="AA850" s="1229" t="s">
        <v>4968</v>
      </c>
      <c r="AB850" s="741" t="s">
        <v>4997</v>
      </c>
      <c r="AC850" s="1007" t="s">
        <v>4981</v>
      </c>
      <c r="AD850" s="1230">
        <v>5.0</v>
      </c>
      <c r="AE850" s="744">
        <v>218.0</v>
      </c>
      <c r="AF850" s="744">
        <v>-0.13</v>
      </c>
      <c r="AG850" s="929" t="s">
        <v>166</v>
      </c>
      <c r="AH850" s="736" t="s">
        <v>1062</v>
      </c>
      <c r="AI850" s="744">
        <v>0.34</v>
      </c>
      <c r="AJ850" s="734" t="s">
        <v>164</v>
      </c>
      <c r="AK850" s="736" t="s">
        <v>179</v>
      </c>
      <c r="AL850" s="741" t="s">
        <v>129</v>
      </c>
      <c r="AM850" s="1231"/>
      <c r="AN850" s="744">
        <v>199.0</v>
      </c>
      <c r="AO850" s="1230">
        <v>0.014</v>
      </c>
      <c r="AP850" s="736" t="s">
        <v>166</v>
      </c>
      <c r="AQ850" s="1231"/>
      <c r="AR850" s="744">
        <v>0.918</v>
      </c>
      <c r="AS850" s="734" t="s">
        <v>164</v>
      </c>
      <c r="AT850" s="734" t="s">
        <v>128</v>
      </c>
      <c r="AU850" s="738" t="s">
        <v>129</v>
      </c>
      <c r="AV850" s="930" t="s">
        <v>4971</v>
      </c>
      <c r="AW850" s="933" t="s">
        <v>134</v>
      </c>
      <c r="AX850" s="333"/>
      <c r="AY850" s="332" t="s">
        <v>4111</v>
      </c>
    </row>
    <row r="851">
      <c r="A851" s="1232" t="s">
        <v>520</v>
      </c>
      <c r="B851" s="784" t="s">
        <v>107</v>
      </c>
      <c r="C851" s="784" t="s">
        <v>169</v>
      </c>
      <c r="D851" s="691"/>
      <c r="E851" s="796" t="s">
        <v>4998</v>
      </c>
      <c r="F851" s="786" t="s">
        <v>4999</v>
      </c>
      <c r="G851" s="785" t="s">
        <v>169</v>
      </c>
      <c r="H851" s="851">
        <v>45658.0</v>
      </c>
      <c r="I851" s="796"/>
      <c r="J851" s="785" t="s">
        <v>5000</v>
      </c>
      <c r="K851" s="796"/>
      <c r="L851" s="785" t="s">
        <v>5001</v>
      </c>
      <c r="M851" s="785" t="s">
        <v>5002</v>
      </c>
      <c r="N851" s="796"/>
      <c r="O851" s="785" t="s">
        <v>5003</v>
      </c>
      <c r="P851" s="48" t="str">
        <f t="array" ref="P851">HYPERLINK(INDEX('File Links'!B:B, MATCH(O851, 'File Links'!C:C, 0)))
</f>
        <v>https://drive.google.com/file/d/1EqvEPwgwndawziGmIPqgl3yNKOI51OAS/view?usp=drivesdk</v>
      </c>
      <c r="Q851" s="785" t="s">
        <v>5004</v>
      </c>
      <c r="R851" s="785" t="s">
        <v>5005</v>
      </c>
      <c r="S851" s="796"/>
      <c r="T851" s="796"/>
      <c r="U851" s="785" t="s">
        <v>5006</v>
      </c>
      <c r="V851" s="785" t="s">
        <v>5007</v>
      </c>
      <c r="W851" s="50" t="str">
        <f t="array" ref="W851">HYPERLINK(INDEX('File Links'!B:B, MATCH(U851, 'File Links'!C:C, 0)))
</f>
        <v>https://drive.google.com/file/d/1UFSIBKXNmPXd3__1cxrsTy9PbNax45wB/view?usp=drivesdk</v>
      </c>
      <c r="X851" s="796"/>
      <c r="Y851" s="785" t="s">
        <v>1820</v>
      </c>
      <c r="Z851" s="785" t="s">
        <v>5008</v>
      </c>
      <c r="AA851" s="785" t="s">
        <v>5009</v>
      </c>
      <c r="AB851" s="785" t="s">
        <v>5010</v>
      </c>
      <c r="AC851" s="785" t="s">
        <v>5011</v>
      </c>
      <c r="AD851" s="785" t="s">
        <v>5012</v>
      </c>
      <c r="AE851" s="856">
        <v>300.0</v>
      </c>
      <c r="AF851" s="796"/>
      <c r="AG851" s="795"/>
      <c r="AH851" s="788"/>
      <c r="AI851" s="788"/>
      <c r="AJ851" s="796"/>
      <c r="AK851" s="788"/>
      <c r="AL851" s="796"/>
      <c r="AM851" s="796"/>
      <c r="AN851" s="856">
        <v>232.0</v>
      </c>
      <c r="AO851" s="796"/>
      <c r="AP851" s="796"/>
      <c r="AQ851" s="796"/>
      <c r="AR851" s="796"/>
      <c r="AS851" s="796"/>
      <c r="AT851" s="796"/>
      <c r="AU851" s="796"/>
      <c r="AV851" s="796"/>
      <c r="AW851" s="796" t="s">
        <v>134</v>
      </c>
      <c r="AX851" s="691"/>
      <c r="AY851" s="691"/>
    </row>
    <row r="852">
      <c r="A852" s="1232" t="s">
        <v>520</v>
      </c>
      <c r="B852" s="784" t="s">
        <v>107</v>
      </c>
      <c r="C852" s="784" t="s">
        <v>169</v>
      </c>
      <c r="D852" s="691"/>
      <c r="E852" s="796" t="s">
        <v>4998</v>
      </c>
      <c r="F852" s="786" t="s">
        <v>5013</v>
      </c>
      <c r="G852" s="785" t="s">
        <v>169</v>
      </c>
      <c r="H852" s="851">
        <v>45658.0</v>
      </c>
      <c r="I852" s="796"/>
      <c r="J852" s="785" t="s">
        <v>5014</v>
      </c>
      <c r="K852" s="796"/>
      <c r="L852" s="785" t="s">
        <v>5001</v>
      </c>
      <c r="M852" s="785" t="s">
        <v>5002</v>
      </c>
      <c r="N852" s="796"/>
      <c r="O852" s="785" t="s">
        <v>5003</v>
      </c>
      <c r="P852" s="48" t="str">
        <f t="array" ref="P852">HYPERLINK(INDEX('File Links'!B:B, MATCH(O852, 'File Links'!C:C, 0)))
</f>
        <v>https://drive.google.com/file/d/1EqvEPwgwndawziGmIPqgl3yNKOI51OAS/view?usp=drivesdk</v>
      </c>
      <c r="Q852" s="785" t="s">
        <v>5004</v>
      </c>
      <c r="R852" s="785" t="s">
        <v>5005</v>
      </c>
      <c r="S852" s="796"/>
      <c r="T852" s="796"/>
      <c r="U852" s="785" t="s">
        <v>5006</v>
      </c>
      <c r="V852" s="785" t="s">
        <v>5015</v>
      </c>
      <c r="W852" s="50" t="str">
        <f t="array" ref="W852">HYPERLINK(INDEX('File Links'!B:B, MATCH(U852, 'File Links'!C:C, 0)))
</f>
        <v>https://drive.google.com/file/d/1UFSIBKXNmPXd3__1cxrsTy9PbNax45wB/view?usp=drivesdk</v>
      </c>
      <c r="X852" s="796"/>
      <c r="Y852" s="785" t="s">
        <v>1820</v>
      </c>
      <c r="Z852" s="785" t="s">
        <v>5008</v>
      </c>
      <c r="AA852" s="785" t="s">
        <v>5009</v>
      </c>
      <c r="AB852" s="785" t="s">
        <v>5010</v>
      </c>
      <c r="AC852" s="785" t="s">
        <v>5011</v>
      </c>
      <c r="AD852" s="856">
        <v>22.0</v>
      </c>
      <c r="AE852" s="856">
        <v>300.0</v>
      </c>
      <c r="AF852" s="796"/>
      <c r="AG852" s="795"/>
      <c r="AH852" s="788"/>
      <c r="AI852" s="788"/>
      <c r="AJ852" s="796"/>
      <c r="AK852" s="788"/>
      <c r="AL852" s="796"/>
      <c r="AM852" s="796"/>
      <c r="AN852" s="856">
        <v>196.0</v>
      </c>
      <c r="AO852" s="796"/>
      <c r="AP852" s="796"/>
      <c r="AQ852" s="796"/>
      <c r="AR852" s="796"/>
      <c r="AS852" s="796"/>
      <c r="AT852" s="796"/>
      <c r="AU852" s="796"/>
      <c r="AV852" s="796"/>
      <c r="AW852" s="796" t="s">
        <v>134</v>
      </c>
      <c r="AX852" s="691"/>
      <c r="AY852" s="691"/>
    </row>
    <row r="853">
      <c r="A853" s="65" t="s">
        <v>520</v>
      </c>
      <c r="B853" s="65" t="s">
        <v>107</v>
      </c>
      <c r="C853" s="65" t="s">
        <v>144</v>
      </c>
      <c r="D853" s="66"/>
      <c r="E853" s="86" t="s">
        <v>4998</v>
      </c>
      <c r="F853" s="69" t="s">
        <v>5016</v>
      </c>
      <c r="G853" s="69" t="s">
        <v>144</v>
      </c>
      <c r="H853" s="798">
        <v>45478.0</v>
      </c>
      <c r="I853" s="566">
        <v>45638.0</v>
      </c>
      <c r="J853" s="68" t="s">
        <v>5017</v>
      </c>
      <c r="K853" s="75"/>
      <c r="L853" s="69" t="s">
        <v>5001</v>
      </c>
      <c r="M853" s="69" t="s">
        <v>5002</v>
      </c>
      <c r="N853" s="862">
        <v>1.0</v>
      </c>
      <c r="O853" s="90" t="s">
        <v>5003</v>
      </c>
      <c r="P853" s="48" t="str">
        <f t="array" ref="P853">HYPERLINK(INDEX('File Links'!B:B, MATCH(O853, 'File Links'!C:C, 0)))
</f>
        <v>https://drive.google.com/file/d/1EqvEPwgwndawziGmIPqgl3yNKOI51OAS/view?usp=drivesdk</v>
      </c>
      <c r="Q853" s="69" t="s">
        <v>5004</v>
      </c>
      <c r="R853" s="69" t="s">
        <v>5005</v>
      </c>
      <c r="S853" s="75"/>
      <c r="T853" s="864">
        <v>1.0</v>
      </c>
      <c r="U853" s="69" t="s">
        <v>5006</v>
      </c>
      <c r="V853" s="68" t="s">
        <v>2024</v>
      </c>
      <c r="W853" s="50" t="str">
        <f t="array" ref="W853">HYPERLINK(INDEX('File Links'!B:B, MATCH(U853, 'File Links'!C:C, 0)))
</f>
        <v>https://drive.google.com/file/d/1UFSIBKXNmPXd3__1cxrsTy9PbNax45wB/view?usp=drivesdk</v>
      </c>
      <c r="X853" s="75"/>
      <c r="Y853" s="69" t="s">
        <v>1820</v>
      </c>
      <c r="Z853" s="75" t="s">
        <v>5018</v>
      </c>
      <c r="AA853" s="68" t="s">
        <v>5019</v>
      </c>
      <c r="AB853" s="68" t="s">
        <v>5020</v>
      </c>
      <c r="AC853" s="75" t="s">
        <v>5021</v>
      </c>
      <c r="AD853" s="1233">
        <v>22.0</v>
      </c>
      <c r="AE853" s="573">
        <f t="shared" ref="AE853:AE906" si="52">12*27</f>
        <v>324</v>
      </c>
      <c r="AF853" s="69" t="s">
        <v>5022</v>
      </c>
      <c r="AG853" s="90" t="s">
        <v>162</v>
      </c>
      <c r="AH853" s="69" t="s">
        <v>2444</v>
      </c>
      <c r="AI853" s="573">
        <v>0.01</v>
      </c>
      <c r="AJ853" s="87" t="s">
        <v>127</v>
      </c>
      <c r="AK853" s="69" t="s">
        <v>128</v>
      </c>
      <c r="AL853" s="75" t="s">
        <v>132</v>
      </c>
      <c r="AM853" s="75"/>
      <c r="AN853" s="573">
        <v>196.0</v>
      </c>
      <c r="AO853" s="69" t="s">
        <v>5023</v>
      </c>
      <c r="AP853" s="69" t="s">
        <v>162</v>
      </c>
      <c r="AQ853" s="69" t="s">
        <v>5024</v>
      </c>
      <c r="AR853" s="573">
        <v>0.01</v>
      </c>
      <c r="AS853" s="87" t="s">
        <v>127</v>
      </c>
      <c r="AT853" s="87" t="s">
        <v>128</v>
      </c>
      <c r="AU853" s="86" t="s">
        <v>132</v>
      </c>
      <c r="AV853" s="86"/>
      <c r="AW853" s="86" t="s">
        <v>134</v>
      </c>
      <c r="AX853" s="84"/>
      <c r="AY853" s="84"/>
    </row>
    <row r="854">
      <c r="A854" s="65" t="s">
        <v>520</v>
      </c>
      <c r="B854" s="65" t="s">
        <v>107</v>
      </c>
      <c r="C854" s="65" t="s">
        <v>144</v>
      </c>
      <c r="D854" s="66"/>
      <c r="E854" s="86" t="s">
        <v>4998</v>
      </c>
      <c r="F854" s="69" t="s">
        <v>5025</v>
      </c>
      <c r="G854" s="69" t="s">
        <v>144</v>
      </c>
      <c r="H854" s="798">
        <v>45478.0</v>
      </c>
      <c r="I854" s="566">
        <v>45638.0</v>
      </c>
      <c r="J854" s="68" t="s">
        <v>5017</v>
      </c>
      <c r="K854" s="75"/>
      <c r="L854" s="69" t="s">
        <v>5001</v>
      </c>
      <c r="M854" s="69" t="s">
        <v>5002</v>
      </c>
      <c r="N854" s="862">
        <v>1.0</v>
      </c>
      <c r="O854" s="90" t="s">
        <v>5003</v>
      </c>
      <c r="P854" s="48" t="str">
        <f t="array" ref="P854">HYPERLINK(INDEX('File Links'!B:B, MATCH(O854, 'File Links'!C:C, 0)))
</f>
        <v>https://drive.google.com/file/d/1EqvEPwgwndawziGmIPqgl3yNKOI51OAS/view?usp=drivesdk</v>
      </c>
      <c r="Q854" s="69" t="s">
        <v>5004</v>
      </c>
      <c r="R854" s="69" t="s">
        <v>5005</v>
      </c>
      <c r="S854" s="75"/>
      <c r="T854" s="864">
        <v>1.0</v>
      </c>
      <c r="U854" s="69" t="s">
        <v>5006</v>
      </c>
      <c r="V854" s="68" t="s">
        <v>2024</v>
      </c>
      <c r="W854" s="50" t="str">
        <f t="array" ref="W854">HYPERLINK(INDEX('File Links'!B:B, MATCH(U854, 'File Links'!C:C, 0)))
</f>
        <v>https://drive.google.com/file/d/1UFSIBKXNmPXd3__1cxrsTy9PbNax45wB/view?usp=drivesdk</v>
      </c>
      <c r="X854" s="75"/>
      <c r="Y854" s="69" t="s">
        <v>1820</v>
      </c>
      <c r="Z854" s="75" t="s">
        <v>5018</v>
      </c>
      <c r="AA854" s="68" t="s">
        <v>5019</v>
      </c>
      <c r="AB854" s="68" t="s">
        <v>5026</v>
      </c>
      <c r="AC854" s="75" t="s">
        <v>5021</v>
      </c>
      <c r="AD854" s="1233">
        <v>22.0</v>
      </c>
      <c r="AE854" s="573">
        <f t="shared" si="52"/>
        <v>324</v>
      </c>
      <c r="AF854" s="69" t="s">
        <v>5027</v>
      </c>
      <c r="AG854" s="90" t="s">
        <v>162</v>
      </c>
      <c r="AH854" s="69" t="s">
        <v>2443</v>
      </c>
      <c r="AI854" s="573">
        <v>0.01</v>
      </c>
      <c r="AJ854" s="87" t="s">
        <v>127</v>
      </c>
      <c r="AK854" s="69" t="s">
        <v>128</v>
      </c>
      <c r="AL854" s="75" t="s">
        <v>132</v>
      </c>
      <c r="AM854" s="75"/>
      <c r="AN854" s="573">
        <v>185.0</v>
      </c>
      <c r="AO854" s="69" t="s">
        <v>5028</v>
      </c>
      <c r="AP854" s="69" t="s">
        <v>162</v>
      </c>
      <c r="AQ854" s="69" t="s">
        <v>5029</v>
      </c>
      <c r="AR854" s="573">
        <v>0.05</v>
      </c>
      <c r="AS854" s="87" t="s">
        <v>127</v>
      </c>
      <c r="AT854" s="87" t="s">
        <v>128</v>
      </c>
      <c r="AU854" s="86" t="s">
        <v>132</v>
      </c>
      <c r="AV854" s="86"/>
      <c r="AW854" s="86" t="s">
        <v>134</v>
      </c>
      <c r="AX854" s="84"/>
      <c r="AY854" s="84"/>
    </row>
    <row r="855">
      <c r="A855" s="65" t="s">
        <v>520</v>
      </c>
      <c r="B855" s="65" t="s">
        <v>107</v>
      </c>
      <c r="C855" s="65" t="s">
        <v>144</v>
      </c>
      <c r="D855" s="66"/>
      <c r="E855" s="86" t="s">
        <v>4998</v>
      </c>
      <c r="F855" s="69" t="s">
        <v>5030</v>
      </c>
      <c r="G855" s="69" t="s">
        <v>144</v>
      </c>
      <c r="H855" s="798">
        <v>45478.0</v>
      </c>
      <c r="I855" s="566">
        <v>45638.0</v>
      </c>
      <c r="J855" s="68" t="s">
        <v>5017</v>
      </c>
      <c r="K855" s="75"/>
      <c r="L855" s="69" t="s">
        <v>5001</v>
      </c>
      <c r="M855" s="69" t="s">
        <v>5002</v>
      </c>
      <c r="N855" s="862">
        <v>1.0</v>
      </c>
      <c r="O855" s="90" t="s">
        <v>5003</v>
      </c>
      <c r="P855" s="48" t="str">
        <f t="array" ref="P855">HYPERLINK(INDEX('File Links'!B:B, MATCH(O855, 'File Links'!C:C, 0)))
</f>
        <v>https://drive.google.com/file/d/1EqvEPwgwndawziGmIPqgl3yNKOI51OAS/view?usp=drivesdk</v>
      </c>
      <c r="Q855" s="69" t="s">
        <v>5004</v>
      </c>
      <c r="R855" s="69" t="s">
        <v>5005</v>
      </c>
      <c r="S855" s="75"/>
      <c r="T855" s="864">
        <v>1.0</v>
      </c>
      <c r="U855" s="69" t="s">
        <v>5006</v>
      </c>
      <c r="V855" s="68" t="s">
        <v>2024</v>
      </c>
      <c r="W855" s="50" t="str">
        <f t="array" ref="W855">HYPERLINK(INDEX('File Links'!B:B, MATCH(U855, 'File Links'!C:C, 0)))
</f>
        <v>https://drive.google.com/file/d/1UFSIBKXNmPXd3__1cxrsTy9PbNax45wB/view?usp=drivesdk</v>
      </c>
      <c r="X855" s="75"/>
      <c r="Y855" s="69" t="s">
        <v>1820</v>
      </c>
      <c r="Z855" s="75" t="s">
        <v>5018</v>
      </c>
      <c r="AA855" s="68" t="s">
        <v>5019</v>
      </c>
      <c r="AB855" s="68" t="s">
        <v>5020</v>
      </c>
      <c r="AC855" s="75" t="s">
        <v>5021</v>
      </c>
      <c r="AD855" s="1233">
        <v>22.0</v>
      </c>
      <c r="AE855" s="573">
        <f t="shared" si="52"/>
        <v>324</v>
      </c>
      <c r="AF855" s="69" t="s">
        <v>5031</v>
      </c>
      <c r="AG855" s="90" t="s">
        <v>162</v>
      </c>
      <c r="AH855" s="69" t="s">
        <v>2444</v>
      </c>
      <c r="AI855" s="573">
        <v>0.01</v>
      </c>
      <c r="AJ855" s="87" t="s">
        <v>127</v>
      </c>
      <c r="AK855" s="69" t="s">
        <v>128</v>
      </c>
      <c r="AL855" s="75" t="s">
        <v>132</v>
      </c>
      <c r="AM855" s="75"/>
      <c r="AN855" s="573">
        <v>196.0</v>
      </c>
      <c r="AO855" s="69" t="s">
        <v>5032</v>
      </c>
      <c r="AP855" s="69" t="s">
        <v>162</v>
      </c>
      <c r="AQ855" s="69" t="s">
        <v>2030</v>
      </c>
      <c r="AR855" s="573">
        <v>0.01</v>
      </c>
      <c r="AS855" s="87" t="s">
        <v>127</v>
      </c>
      <c r="AT855" s="87" t="s">
        <v>128</v>
      </c>
      <c r="AU855" s="86" t="s">
        <v>132</v>
      </c>
      <c r="AV855" s="86"/>
      <c r="AW855" s="86" t="s">
        <v>134</v>
      </c>
      <c r="AX855" s="84"/>
      <c r="AY855" s="84"/>
      <c r="AZ855" s="178"/>
    </row>
    <row r="856">
      <c r="A856" s="65" t="s">
        <v>520</v>
      </c>
      <c r="B856" s="65" t="s">
        <v>107</v>
      </c>
      <c r="C856" s="65" t="s">
        <v>144</v>
      </c>
      <c r="D856" s="66"/>
      <c r="E856" s="86" t="s">
        <v>4998</v>
      </c>
      <c r="F856" s="69" t="s">
        <v>5033</v>
      </c>
      <c r="G856" s="69" t="s">
        <v>144</v>
      </c>
      <c r="H856" s="798">
        <v>45478.0</v>
      </c>
      <c r="I856" s="566">
        <v>45638.0</v>
      </c>
      <c r="J856" s="68" t="s">
        <v>5017</v>
      </c>
      <c r="K856" s="75"/>
      <c r="L856" s="69" t="s">
        <v>5001</v>
      </c>
      <c r="M856" s="69" t="s">
        <v>5002</v>
      </c>
      <c r="N856" s="862">
        <v>1.0</v>
      </c>
      <c r="O856" s="90" t="s">
        <v>5003</v>
      </c>
      <c r="P856" s="48" t="str">
        <f t="array" ref="P856">HYPERLINK(INDEX('File Links'!B:B, MATCH(O856, 'File Links'!C:C, 0)))
</f>
        <v>https://drive.google.com/file/d/1EqvEPwgwndawziGmIPqgl3yNKOI51OAS/view?usp=drivesdk</v>
      </c>
      <c r="Q856" s="69" t="s">
        <v>5004</v>
      </c>
      <c r="R856" s="69" t="s">
        <v>5005</v>
      </c>
      <c r="S856" s="75"/>
      <c r="T856" s="864">
        <v>1.0</v>
      </c>
      <c r="U856" s="69" t="s">
        <v>5006</v>
      </c>
      <c r="V856" s="68" t="s">
        <v>2024</v>
      </c>
      <c r="W856" s="50" t="str">
        <f t="array" ref="W856">HYPERLINK(INDEX('File Links'!B:B, MATCH(U856, 'File Links'!C:C, 0)))
</f>
        <v>https://drive.google.com/file/d/1UFSIBKXNmPXd3__1cxrsTy9PbNax45wB/view?usp=drivesdk</v>
      </c>
      <c r="X856" s="75"/>
      <c r="Y856" s="69" t="s">
        <v>1820</v>
      </c>
      <c r="Z856" s="75" t="s">
        <v>5018</v>
      </c>
      <c r="AA856" s="68" t="s">
        <v>5019</v>
      </c>
      <c r="AB856" s="68" t="s">
        <v>5026</v>
      </c>
      <c r="AC856" s="75" t="s">
        <v>5021</v>
      </c>
      <c r="AD856" s="1233">
        <v>22.0</v>
      </c>
      <c r="AE856" s="573">
        <f t="shared" si="52"/>
        <v>324</v>
      </c>
      <c r="AF856" s="69" t="s">
        <v>5034</v>
      </c>
      <c r="AG856" s="90" t="s">
        <v>162</v>
      </c>
      <c r="AH856" s="69" t="s">
        <v>2443</v>
      </c>
      <c r="AI856" s="573">
        <v>0.01</v>
      </c>
      <c r="AJ856" s="87" t="s">
        <v>127</v>
      </c>
      <c r="AK856" s="69" t="s">
        <v>128</v>
      </c>
      <c r="AL856" s="75" t="s">
        <v>132</v>
      </c>
      <c r="AM856" s="75"/>
      <c r="AN856" s="573">
        <v>185.0</v>
      </c>
      <c r="AO856" s="69" t="s">
        <v>5035</v>
      </c>
      <c r="AP856" s="69" t="s">
        <v>162</v>
      </c>
      <c r="AQ856" s="69" t="s">
        <v>1186</v>
      </c>
      <c r="AR856" s="573">
        <v>0.01</v>
      </c>
      <c r="AS856" s="87" t="s">
        <v>127</v>
      </c>
      <c r="AT856" s="87" t="s">
        <v>128</v>
      </c>
      <c r="AU856" s="86" t="s">
        <v>132</v>
      </c>
      <c r="AV856" s="86"/>
      <c r="AW856" s="86" t="s">
        <v>134</v>
      </c>
      <c r="AX856" s="84"/>
      <c r="AY856" s="84"/>
      <c r="AZ856" s="178"/>
    </row>
    <row r="857">
      <c r="A857" s="65" t="s">
        <v>520</v>
      </c>
      <c r="B857" s="65" t="s">
        <v>107</v>
      </c>
      <c r="C857" s="65" t="s">
        <v>144</v>
      </c>
      <c r="D857" s="66"/>
      <c r="E857" s="86" t="s">
        <v>4998</v>
      </c>
      <c r="F857" s="69" t="s">
        <v>5036</v>
      </c>
      <c r="G857" s="69" t="s">
        <v>144</v>
      </c>
      <c r="H857" s="798">
        <v>45478.0</v>
      </c>
      <c r="I857" s="566">
        <v>45638.0</v>
      </c>
      <c r="J857" s="68" t="s">
        <v>5017</v>
      </c>
      <c r="K857" s="75"/>
      <c r="L857" s="69" t="s">
        <v>5001</v>
      </c>
      <c r="M857" s="69" t="s">
        <v>5002</v>
      </c>
      <c r="N857" s="862">
        <v>1.0</v>
      </c>
      <c r="O857" s="90" t="s">
        <v>5003</v>
      </c>
      <c r="P857" s="48" t="str">
        <f t="array" ref="P857">HYPERLINK(INDEX('File Links'!B:B, MATCH(O857, 'File Links'!C:C, 0)))
</f>
        <v>https://drive.google.com/file/d/1EqvEPwgwndawziGmIPqgl3yNKOI51OAS/view?usp=drivesdk</v>
      </c>
      <c r="Q857" s="69" t="s">
        <v>5004</v>
      </c>
      <c r="R857" s="69" t="s">
        <v>5005</v>
      </c>
      <c r="S857" s="75"/>
      <c r="T857" s="864">
        <v>1.0</v>
      </c>
      <c r="U857" s="69" t="s">
        <v>5006</v>
      </c>
      <c r="V857" s="68" t="s">
        <v>2024</v>
      </c>
      <c r="W857" s="50" t="str">
        <f t="array" ref="W857">HYPERLINK(INDEX('File Links'!B:B, MATCH(U857, 'File Links'!C:C, 0)))
</f>
        <v>https://drive.google.com/file/d/1UFSIBKXNmPXd3__1cxrsTy9PbNax45wB/view?usp=drivesdk</v>
      </c>
      <c r="X857" s="75"/>
      <c r="Y857" s="69" t="s">
        <v>1820</v>
      </c>
      <c r="Z857" s="75" t="s">
        <v>5018</v>
      </c>
      <c r="AA857" s="68" t="s">
        <v>5019</v>
      </c>
      <c r="AB857" s="68" t="s">
        <v>5020</v>
      </c>
      <c r="AC857" s="75" t="s">
        <v>5021</v>
      </c>
      <c r="AD857" s="1233">
        <v>22.0</v>
      </c>
      <c r="AE857" s="573">
        <f t="shared" si="52"/>
        <v>324</v>
      </c>
      <c r="AF857" s="69" t="s">
        <v>5037</v>
      </c>
      <c r="AG857" s="90" t="s">
        <v>162</v>
      </c>
      <c r="AH857" s="69" t="s">
        <v>2444</v>
      </c>
      <c r="AI857" s="573">
        <v>0.01</v>
      </c>
      <c r="AJ857" s="87" t="s">
        <v>127</v>
      </c>
      <c r="AK857" s="69" t="s">
        <v>128</v>
      </c>
      <c r="AL857" s="75" t="s">
        <v>132</v>
      </c>
      <c r="AM857" s="75"/>
      <c r="AN857" s="573">
        <v>196.0</v>
      </c>
      <c r="AO857" s="69" t="s">
        <v>5038</v>
      </c>
      <c r="AP857" s="69" t="s">
        <v>162</v>
      </c>
      <c r="AQ857" s="69" t="s">
        <v>5039</v>
      </c>
      <c r="AR857" s="573">
        <v>0.01</v>
      </c>
      <c r="AS857" s="87" t="s">
        <v>127</v>
      </c>
      <c r="AT857" s="87" t="s">
        <v>128</v>
      </c>
      <c r="AU857" s="86" t="s">
        <v>132</v>
      </c>
      <c r="AV857" s="86"/>
      <c r="AW857" s="86" t="s">
        <v>134</v>
      </c>
      <c r="AX857" s="84"/>
      <c r="AY857" s="84"/>
      <c r="AZ857" s="178"/>
    </row>
    <row r="858">
      <c r="A858" s="65" t="s">
        <v>520</v>
      </c>
      <c r="B858" s="65" t="s">
        <v>107</v>
      </c>
      <c r="C858" s="65" t="s">
        <v>144</v>
      </c>
      <c r="D858" s="66"/>
      <c r="E858" s="86" t="s">
        <v>4998</v>
      </c>
      <c r="F858" s="69" t="s">
        <v>5040</v>
      </c>
      <c r="G858" s="69" t="s">
        <v>144</v>
      </c>
      <c r="H858" s="798">
        <v>45478.0</v>
      </c>
      <c r="I858" s="566">
        <v>45638.0</v>
      </c>
      <c r="J858" s="68" t="s">
        <v>5017</v>
      </c>
      <c r="K858" s="75"/>
      <c r="L858" s="69" t="s">
        <v>5001</v>
      </c>
      <c r="M858" s="69" t="s">
        <v>5002</v>
      </c>
      <c r="N858" s="862">
        <v>1.0</v>
      </c>
      <c r="O858" s="90" t="s">
        <v>5003</v>
      </c>
      <c r="P858" s="48" t="str">
        <f t="array" ref="P858">HYPERLINK(INDEX('File Links'!B:B, MATCH(O858, 'File Links'!C:C, 0)))
</f>
        <v>https://drive.google.com/file/d/1EqvEPwgwndawziGmIPqgl3yNKOI51OAS/view?usp=drivesdk</v>
      </c>
      <c r="Q858" s="69" t="s">
        <v>5004</v>
      </c>
      <c r="R858" s="69" t="s">
        <v>5005</v>
      </c>
      <c r="S858" s="75"/>
      <c r="T858" s="864">
        <v>1.0</v>
      </c>
      <c r="U858" s="69" t="s">
        <v>5006</v>
      </c>
      <c r="V858" s="68" t="s">
        <v>2024</v>
      </c>
      <c r="W858" s="50" t="str">
        <f t="array" ref="W858">HYPERLINK(INDEX('File Links'!B:B, MATCH(U858, 'File Links'!C:C, 0)))
</f>
        <v>https://drive.google.com/file/d/1UFSIBKXNmPXd3__1cxrsTy9PbNax45wB/view?usp=drivesdk</v>
      </c>
      <c r="X858" s="75"/>
      <c r="Y858" s="69" t="s">
        <v>1820</v>
      </c>
      <c r="Z858" s="75" t="s">
        <v>5018</v>
      </c>
      <c r="AA858" s="68" t="s">
        <v>5019</v>
      </c>
      <c r="AB858" s="68" t="s">
        <v>5026</v>
      </c>
      <c r="AC858" s="75" t="s">
        <v>5021</v>
      </c>
      <c r="AD858" s="1233">
        <v>22.0</v>
      </c>
      <c r="AE858" s="573">
        <f t="shared" si="52"/>
        <v>324</v>
      </c>
      <c r="AF858" s="69" t="s">
        <v>5041</v>
      </c>
      <c r="AG858" s="90" t="s">
        <v>162</v>
      </c>
      <c r="AH858" s="69" t="s">
        <v>2443</v>
      </c>
      <c r="AI858" s="573">
        <v>0.01</v>
      </c>
      <c r="AJ858" s="87" t="s">
        <v>127</v>
      </c>
      <c r="AK858" s="69" t="s">
        <v>128</v>
      </c>
      <c r="AL858" s="75" t="s">
        <v>132</v>
      </c>
      <c r="AM858" s="75"/>
      <c r="AN858" s="573">
        <v>185.0</v>
      </c>
      <c r="AO858" s="69" t="s">
        <v>5042</v>
      </c>
      <c r="AP858" s="69" t="s">
        <v>162</v>
      </c>
      <c r="AQ858" s="69" t="s">
        <v>1830</v>
      </c>
      <c r="AR858" s="573">
        <v>0.01</v>
      </c>
      <c r="AS858" s="87" t="s">
        <v>127</v>
      </c>
      <c r="AT858" s="87" t="s">
        <v>128</v>
      </c>
      <c r="AU858" s="86" t="s">
        <v>132</v>
      </c>
      <c r="AV858" s="86"/>
      <c r="AW858" s="86" t="s">
        <v>134</v>
      </c>
      <c r="AX858" s="84"/>
      <c r="AY858" s="84"/>
    </row>
    <row r="859">
      <c r="A859" s="65" t="s">
        <v>520</v>
      </c>
      <c r="B859" s="65" t="s">
        <v>107</v>
      </c>
      <c r="C859" s="65" t="s">
        <v>144</v>
      </c>
      <c r="D859" s="66"/>
      <c r="E859" s="86" t="s">
        <v>4998</v>
      </c>
      <c r="F859" s="69" t="s">
        <v>5043</v>
      </c>
      <c r="G859" s="69" t="s">
        <v>144</v>
      </c>
      <c r="H859" s="798">
        <v>45478.0</v>
      </c>
      <c r="I859" s="566">
        <v>45638.0</v>
      </c>
      <c r="J859" s="68" t="s">
        <v>5017</v>
      </c>
      <c r="K859" s="75"/>
      <c r="L859" s="69" t="s">
        <v>5001</v>
      </c>
      <c r="M859" s="69" t="s">
        <v>5002</v>
      </c>
      <c r="N859" s="862">
        <v>1.0</v>
      </c>
      <c r="O859" s="90" t="s">
        <v>5003</v>
      </c>
      <c r="P859" s="48" t="str">
        <f t="array" ref="P859">HYPERLINK(INDEX('File Links'!B:B, MATCH(O859, 'File Links'!C:C, 0)))
</f>
        <v>https://drive.google.com/file/d/1EqvEPwgwndawziGmIPqgl3yNKOI51OAS/view?usp=drivesdk</v>
      </c>
      <c r="Q859" s="69" t="s">
        <v>5004</v>
      </c>
      <c r="R859" s="69" t="s">
        <v>5005</v>
      </c>
      <c r="S859" s="75"/>
      <c r="T859" s="864">
        <v>1.0</v>
      </c>
      <c r="U859" s="69" t="s">
        <v>5006</v>
      </c>
      <c r="V859" s="68" t="s">
        <v>2024</v>
      </c>
      <c r="W859" s="50" t="str">
        <f t="array" ref="W859">HYPERLINK(INDEX('File Links'!B:B, MATCH(U859, 'File Links'!C:C, 0)))
</f>
        <v>https://drive.google.com/file/d/1UFSIBKXNmPXd3__1cxrsTy9PbNax45wB/view?usp=drivesdk</v>
      </c>
      <c r="X859" s="75"/>
      <c r="Y859" s="69" t="s">
        <v>1820</v>
      </c>
      <c r="Z859" s="75" t="s">
        <v>5018</v>
      </c>
      <c r="AA859" s="68" t="s">
        <v>5019</v>
      </c>
      <c r="AB859" s="68" t="s">
        <v>5044</v>
      </c>
      <c r="AC859" s="75" t="s">
        <v>5045</v>
      </c>
      <c r="AD859" s="1233">
        <v>18.0</v>
      </c>
      <c r="AE859" s="573">
        <f t="shared" si="52"/>
        <v>324</v>
      </c>
      <c r="AF859" s="69" t="s">
        <v>5046</v>
      </c>
      <c r="AG859" s="90" t="s">
        <v>162</v>
      </c>
      <c r="AH859" s="69" t="s">
        <v>2444</v>
      </c>
      <c r="AI859" s="573">
        <v>0.01</v>
      </c>
      <c r="AJ859" s="87" t="s">
        <v>127</v>
      </c>
      <c r="AK859" s="69" t="s">
        <v>128</v>
      </c>
      <c r="AL859" s="75" t="s">
        <v>132</v>
      </c>
      <c r="AM859" s="75"/>
      <c r="AN859" s="573">
        <v>196.0</v>
      </c>
      <c r="AO859" s="69" t="s">
        <v>5047</v>
      </c>
      <c r="AP859" s="69" t="s">
        <v>162</v>
      </c>
      <c r="AQ859" s="69" t="s">
        <v>5024</v>
      </c>
      <c r="AR859" s="573">
        <v>0.05</v>
      </c>
      <c r="AS859" s="87" t="s">
        <v>329</v>
      </c>
      <c r="AT859" s="87" t="s">
        <v>128</v>
      </c>
      <c r="AU859" s="86" t="s">
        <v>132</v>
      </c>
      <c r="AV859" s="86"/>
      <c r="AW859" s="86" t="s">
        <v>134</v>
      </c>
      <c r="AX859" s="84"/>
      <c r="AY859" s="84"/>
      <c r="AZ859" s="215"/>
      <c r="BA859" s="64"/>
      <c r="BB859" s="64"/>
      <c r="BC859" s="64"/>
      <c r="BD859" s="64"/>
      <c r="BE859" s="64"/>
      <c r="BF859" s="64"/>
      <c r="BG859" s="64"/>
      <c r="BH859" s="64"/>
      <c r="BI859" s="64"/>
      <c r="BJ859" s="64"/>
      <c r="BK859" s="64"/>
      <c r="BL859" s="64"/>
      <c r="BM859" s="64"/>
      <c r="BN859" s="64"/>
      <c r="BO859" s="64"/>
      <c r="BP859" s="64"/>
      <c r="BQ859" s="64"/>
      <c r="BR859" s="64"/>
      <c r="BS859" s="64"/>
      <c r="BT859" s="64"/>
      <c r="BU859" s="64"/>
      <c r="BV859" s="64"/>
      <c r="BW859" s="64"/>
      <c r="BX859" s="64"/>
      <c r="BY859" s="64"/>
      <c r="BZ859" s="64"/>
      <c r="CA859" s="64"/>
      <c r="CB859" s="64"/>
      <c r="CC859" s="64"/>
      <c r="CD859" s="64"/>
      <c r="CE859" s="64"/>
      <c r="CF859" s="64"/>
      <c r="CG859" s="64"/>
      <c r="CH859" s="64"/>
      <c r="CI859" s="64"/>
      <c r="CJ859" s="64"/>
      <c r="CK859" s="64"/>
      <c r="CL859" s="64"/>
      <c r="CM859" s="64"/>
      <c r="CN859" s="64"/>
      <c r="CO859" s="64"/>
      <c r="CP859" s="64"/>
      <c r="CQ859" s="64"/>
      <c r="CR859" s="64"/>
      <c r="CS859" s="64"/>
      <c r="CT859" s="64"/>
      <c r="CU859" s="64"/>
      <c r="CV859" s="64"/>
      <c r="CW859" s="64"/>
      <c r="CX859" s="64"/>
      <c r="CY859" s="64"/>
      <c r="CZ859" s="64"/>
      <c r="DA859" s="64"/>
      <c r="DB859" s="64"/>
      <c r="DC859" s="64"/>
      <c r="DD859" s="64"/>
      <c r="DE859" s="64"/>
      <c r="DF859" s="64"/>
      <c r="DG859" s="64"/>
    </row>
    <row r="860">
      <c r="A860" s="65" t="s">
        <v>520</v>
      </c>
      <c r="B860" s="65" t="s">
        <v>107</v>
      </c>
      <c r="C860" s="65" t="s">
        <v>144</v>
      </c>
      <c r="D860" s="66"/>
      <c r="E860" s="86" t="s">
        <v>4998</v>
      </c>
      <c r="F860" s="69" t="s">
        <v>5043</v>
      </c>
      <c r="G860" s="69" t="s">
        <v>144</v>
      </c>
      <c r="H860" s="798">
        <v>45478.0</v>
      </c>
      <c r="I860" s="566">
        <v>45638.0</v>
      </c>
      <c r="J860" s="68" t="s">
        <v>5017</v>
      </c>
      <c r="K860" s="75"/>
      <c r="L860" s="69" t="s">
        <v>5001</v>
      </c>
      <c r="M860" s="69" t="s">
        <v>5002</v>
      </c>
      <c r="N860" s="862">
        <v>1.0</v>
      </c>
      <c r="O860" s="90" t="s">
        <v>5003</v>
      </c>
      <c r="P860" s="48" t="str">
        <f t="array" ref="P860">HYPERLINK(INDEX('File Links'!B:B, MATCH(O860, 'File Links'!C:C, 0)))
</f>
        <v>https://drive.google.com/file/d/1EqvEPwgwndawziGmIPqgl3yNKOI51OAS/view?usp=drivesdk</v>
      </c>
      <c r="Q860" s="69" t="s">
        <v>5004</v>
      </c>
      <c r="R860" s="69" t="s">
        <v>5005</v>
      </c>
      <c r="S860" s="75"/>
      <c r="T860" s="864">
        <v>1.0</v>
      </c>
      <c r="U860" s="69" t="s">
        <v>5006</v>
      </c>
      <c r="V860" s="68" t="s">
        <v>2024</v>
      </c>
      <c r="W860" s="50" t="str">
        <f t="array" ref="W860">HYPERLINK(INDEX('File Links'!B:B, MATCH(U860, 'File Links'!C:C, 0)))
</f>
        <v>https://drive.google.com/file/d/1UFSIBKXNmPXd3__1cxrsTy9PbNax45wB/view?usp=drivesdk</v>
      </c>
      <c r="X860" s="75"/>
      <c r="Y860" s="69" t="s">
        <v>1820</v>
      </c>
      <c r="Z860" s="75" t="s">
        <v>5018</v>
      </c>
      <c r="AA860" s="68" t="s">
        <v>5019</v>
      </c>
      <c r="AB860" s="68" t="s">
        <v>5044</v>
      </c>
      <c r="AC860" s="75" t="s">
        <v>5045</v>
      </c>
      <c r="AD860" s="1233">
        <v>18.0</v>
      </c>
      <c r="AE860" s="573">
        <f t="shared" si="52"/>
        <v>324</v>
      </c>
      <c r="AF860" s="69" t="s">
        <v>5048</v>
      </c>
      <c r="AG860" s="90" t="s">
        <v>162</v>
      </c>
      <c r="AH860" s="69" t="s">
        <v>5049</v>
      </c>
      <c r="AI860" s="573">
        <v>0.05</v>
      </c>
      <c r="AJ860" s="87" t="s">
        <v>329</v>
      </c>
      <c r="AK860" s="69" t="s">
        <v>128</v>
      </c>
      <c r="AL860" s="75" t="s">
        <v>132</v>
      </c>
      <c r="AM860" s="75"/>
      <c r="AN860" s="573">
        <v>185.0</v>
      </c>
      <c r="AO860" s="69" t="s">
        <v>5050</v>
      </c>
      <c r="AP860" s="69" t="s">
        <v>162</v>
      </c>
      <c r="AQ860" s="69" t="s">
        <v>5029</v>
      </c>
      <c r="AR860" s="573">
        <v>0.05</v>
      </c>
      <c r="AS860" s="87" t="s">
        <v>329</v>
      </c>
      <c r="AT860" s="87" t="s">
        <v>128</v>
      </c>
      <c r="AU860" s="86" t="s">
        <v>132</v>
      </c>
      <c r="AV860" s="86"/>
      <c r="AW860" s="86" t="s">
        <v>134</v>
      </c>
      <c r="AX860" s="84"/>
      <c r="AY860" s="84"/>
      <c r="AZ860" s="215"/>
      <c r="BA860" s="64"/>
      <c r="BB860" s="64"/>
      <c r="BC860" s="64"/>
      <c r="BD860" s="64"/>
      <c r="BE860" s="64"/>
      <c r="BF860" s="64"/>
      <c r="BG860" s="64"/>
      <c r="BH860" s="64"/>
      <c r="BI860" s="64"/>
      <c r="BJ860" s="64"/>
      <c r="BK860" s="64"/>
      <c r="BL860" s="64"/>
      <c r="BM860" s="64"/>
      <c r="BN860" s="64"/>
      <c r="BO860" s="64"/>
      <c r="BP860" s="64"/>
      <c r="BQ860" s="64"/>
      <c r="BR860" s="64"/>
      <c r="BS860" s="64"/>
      <c r="BT860" s="64"/>
      <c r="BU860" s="64"/>
      <c r="BV860" s="64"/>
      <c r="BW860" s="64"/>
      <c r="BX860" s="64"/>
      <c r="BY860" s="64"/>
      <c r="BZ860" s="64"/>
      <c r="CA860" s="64"/>
      <c r="CB860" s="64"/>
      <c r="CC860" s="64"/>
      <c r="CD860" s="64"/>
      <c r="CE860" s="64"/>
      <c r="CF860" s="64"/>
      <c r="CG860" s="64"/>
      <c r="CH860" s="64"/>
      <c r="CI860" s="64"/>
      <c r="CJ860" s="64"/>
      <c r="CK860" s="64"/>
      <c r="CL860" s="64"/>
      <c r="CM860" s="64"/>
      <c r="CN860" s="64"/>
      <c r="CO860" s="64"/>
      <c r="CP860" s="64"/>
      <c r="CQ860" s="64"/>
      <c r="CR860" s="64"/>
      <c r="CS860" s="64"/>
      <c r="CT860" s="64"/>
      <c r="CU860" s="64"/>
      <c r="CV860" s="64"/>
      <c r="CW860" s="64"/>
      <c r="CX860" s="64"/>
      <c r="CY860" s="64"/>
      <c r="CZ860" s="64"/>
      <c r="DA860" s="64"/>
      <c r="DB860" s="64"/>
      <c r="DC860" s="64"/>
      <c r="DD860" s="64"/>
      <c r="DE860" s="64"/>
      <c r="DF860" s="64"/>
      <c r="DG860" s="64"/>
    </row>
    <row r="861">
      <c r="A861" s="65" t="s">
        <v>520</v>
      </c>
      <c r="B861" s="65" t="s">
        <v>107</v>
      </c>
      <c r="C861" s="65" t="s">
        <v>144</v>
      </c>
      <c r="D861" s="66"/>
      <c r="E861" s="86" t="s">
        <v>4998</v>
      </c>
      <c r="F861" s="69" t="s">
        <v>5051</v>
      </c>
      <c r="G861" s="69" t="s">
        <v>144</v>
      </c>
      <c r="H861" s="798">
        <v>45478.0</v>
      </c>
      <c r="I861" s="566">
        <v>45638.0</v>
      </c>
      <c r="J861" s="68" t="s">
        <v>5017</v>
      </c>
      <c r="K861" s="75"/>
      <c r="L861" s="69" t="s">
        <v>5001</v>
      </c>
      <c r="M861" s="69" t="s">
        <v>5002</v>
      </c>
      <c r="N861" s="862">
        <v>1.0</v>
      </c>
      <c r="O861" s="90" t="s">
        <v>5003</v>
      </c>
      <c r="P861" s="48" t="str">
        <f t="array" ref="P861">HYPERLINK(INDEX('File Links'!B:B, MATCH(O861, 'File Links'!C:C, 0)))
</f>
        <v>https://drive.google.com/file/d/1EqvEPwgwndawziGmIPqgl3yNKOI51OAS/view?usp=drivesdk</v>
      </c>
      <c r="Q861" s="69" t="s">
        <v>5004</v>
      </c>
      <c r="R861" s="69" t="s">
        <v>5005</v>
      </c>
      <c r="S861" s="75"/>
      <c r="T861" s="864">
        <v>1.0</v>
      </c>
      <c r="U861" s="69" t="s">
        <v>5006</v>
      </c>
      <c r="V861" s="68" t="s">
        <v>2024</v>
      </c>
      <c r="W861" s="50" t="str">
        <f t="array" ref="W861">HYPERLINK(INDEX('File Links'!B:B, MATCH(U861, 'File Links'!C:C, 0)))
</f>
        <v>https://drive.google.com/file/d/1UFSIBKXNmPXd3__1cxrsTy9PbNax45wB/view?usp=drivesdk</v>
      </c>
      <c r="X861" s="75"/>
      <c r="Y861" s="69" t="s">
        <v>1820</v>
      </c>
      <c r="Z861" s="75" t="s">
        <v>5018</v>
      </c>
      <c r="AA861" s="68" t="s">
        <v>5019</v>
      </c>
      <c r="AB861" s="68" t="s">
        <v>5044</v>
      </c>
      <c r="AC861" s="75" t="s">
        <v>5045</v>
      </c>
      <c r="AD861" s="1233">
        <v>18.0</v>
      </c>
      <c r="AE861" s="573">
        <f t="shared" si="52"/>
        <v>324</v>
      </c>
      <c r="AF861" s="69" t="s">
        <v>5052</v>
      </c>
      <c r="AG861" s="90" t="s">
        <v>162</v>
      </c>
      <c r="AH861" s="69" t="s">
        <v>2444</v>
      </c>
      <c r="AI861" s="573">
        <v>0.1</v>
      </c>
      <c r="AJ861" s="87" t="s">
        <v>127</v>
      </c>
      <c r="AK861" s="69" t="s">
        <v>128</v>
      </c>
      <c r="AL861" s="75" t="s">
        <v>132</v>
      </c>
      <c r="AM861" s="75"/>
      <c r="AN861" s="573">
        <v>196.0</v>
      </c>
      <c r="AO861" s="69" t="s">
        <v>5053</v>
      </c>
      <c r="AP861" s="69" t="s">
        <v>162</v>
      </c>
      <c r="AQ861" s="69" t="s">
        <v>2030</v>
      </c>
      <c r="AR861" s="573">
        <v>0.05</v>
      </c>
      <c r="AS861" s="87" t="s">
        <v>329</v>
      </c>
      <c r="AT861" s="87" t="s">
        <v>128</v>
      </c>
      <c r="AU861" s="86" t="s">
        <v>132</v>
      </c>
      <c r="AV861" s="86"/>
      <c r="AW861" s="86" t="s">
        <v>134</v>
      </c>
      <c r="AX861" s="84"/>
      <c r="AY861" s="84"/>
      <c r="AZ861" s="333"/>
      <c r="BA861" s="215"/>
      <c r="BB861" s="215"/>
      <c r="BC861" s="215"/>
      <c r="BD861" s="215"/>
      <c r="BE861" s="215"/>
      <c r="BF861" s="215"/>
      <c r="BG861" s="215"/>
      <c r="BH861" s="215"/>
      <c r="BI861" s="215"/>
      <c r="BJ861" s="215"/>
      <c r="BK861" s="215"/>
      <c r="BL861" s="215"/>
      <c r="BM861" s="215"/>
      <c r="BN861" s="215"/>
      <c r="BO861" s="215"/>
      <c r="BP861" s="215"/>
      <c r="BQ861" s="215"/>
      <c r="BR861" s="215"/>
      <c r="BS861" s="215"/>
      <c r="BT861" s="215"/>
      <c r="BU861" s="215"/>
      <c r="BV861" s="215"/>
      <c r="BW861" s="215"/>
      <c r="BX861" s="215"/>
      <c r="BY861" s="215"/>
      <c r="BZ861" s="215"/>
      <c r="CA861" s="215"/>
      <c r="CB861" s="215"/>
      <c r="CC861" s="215"/>
      <c r="CD861" s="215"/>
      <c r="CE861" s="215"/>
      <c r="CF861" s="215"/>
      <c r="CG861" s="215"/>
      <c r="CH861" s="215"/>
      <c r="CI861" s="215"/>
      <c r="CJ861" s="215"/>
      <c r="CK861" s="215"/>
      <c r="CL861" s="215"/>
      <c r="CM861" s="215"/>
      <c r="CN861" s="215"/>
      <c r="CO861" s="215"/>
      <c r="CP861" s="215"/>
      <c r="CQ861" s="215"/>
      <c r="CR861" s="215"/>
      <c r="CS861" s="215"/>
      <c r="CT861" s="215"/>
      <c r="CU861" s="215"/>
      <c r="CV861" s="215"/>
      <c r="CW861" s="215"/>
      <c r="CX861" s="215"/>
      <c r="CY861" s="215"/>
      <c r="CZ861" s="215"/>
      <c r="DA861" s="215"/>
      <c r="DB861" s="215"/>
      <c r="DC861" s="215"/>
      <c r="DD861" s="215"/>
      <c r="DE861" s="215"/>
      <c r="DF861" s="215"/>
      <c r="DG861" s="215"/>
    </row>
    <row r="862">
      <c r="A862" s="65" t="s">
        <v>520</v>
      </c>
      <c r="B862" s="65" t="s">
        <v>107</v>
      </c>
      <c r="C862" s="65" t="s">
        <v>144</v>
      </c>
      <c r="D862" s="66"/>
      <c r="E862" s="86" t="s">
        <v>4998</v>
      </c>
      <c r="F862" s="69" t="s">
        <v>5051</v>
      </c>
      <c r="G862" s="69" t="s">
        <v>144</v>
      </c>
      <c r="H862" s="798">
        <v>45478.0</v>
      </c>
      <c r="I862" s="566">
        <v>45638.0</v>
      </c>
      <c r="J862" s="68" t="s">
        <v>5017</v>
      </c>
      <c r="K862" s="75"/>
      <c r="L862" s="69" t="s">
        <v>5001</v>
      </c>
      <c r="M862" s="69" t="s">
        <v>5002</v>
      </c>
      <c r="N862" s="862">
        <v>1.0</v>
      </c>
      <c r="O862" s="90" t="s">
        <v>5003</v>
      </c>
      <c r="P862" s="48" t="str">
        <f t="array" ref="P862">HYPERLINK(INDEX('File Links'!B:B, MATCH(O862, 'File Links'!C:C, 0)))
</f>
        <v>https://drive.google.com/file/d/1EqvEPwgwndawziGmIPqgl3yNKOI51OAS/view?usp=drivesdk</v>
      </c>
      <c r="Q862" s="69" t="s">
        <v>5004</v>
      </c>
      <c r="R862" s="69" t="s">
        <v>5005</v>
      </c>
      <c r="S862" s="75"/>
      <c r="T862" s="864">
        <v>1.0</v>
      </c>
      <c r="U862" s="69" t="s">
        <v>5006</v>
      </c>
      <c r="V862" s="68" t="s">
        <v>2024</v>
      </c>
      <c r="W862" s="50" t="str">
        <f t="array" ref="W862">HYPERLINK(INDEX('File Links'!B:B, MATCH(U862, 'File Links'!C:C, 0)))
</f>
        <v>https://drive.google.com/file/d/1UFSIBKXNmPXd3__1cxrsTy9PbNax45wB/view?usp=drivesdk</v>
      </c>
      <c r="X862" s="75"/>
      <c r="Y862" s="69" t="s">
        <v>1820</v>
      </c>
      <c r="Z862" s="75" t="s">
        <v>5018</v>
      </c>
      <c r="AA862" s="68" t="s">
        <v>5019</v>
      </c>
      <c r="AB862" s="68" t="s">
        <v>5044</v>
      </c>
      <c r="AC862" s="75" t="s">
        <v>5045</v>
      </c>
      <c r="AD862" s="1233">
        <v>18.0</v>
      </c>
      <c r="AE862" s="573">
        <f t="shared" si="52"/>
        <v>324</v>
      </c>
      <c r="AF862" s="69" t="s">
        <v>5054</v>
      </c>
      <c r="AG862" s="90" t="s">
        <v>162</v>
      </c>
      <c r="AH862" s="69" t="s">
        <v>5049</v>
      </c>
      <c r="AI862" s="573">
        <v>0.1</v>
      </c>
      <c r="AJ862" s="87" t="s">
        <v>127</v>
      </c>
      <c r="AK862" s="69" t="s">
        <v>128</v>
      </c>
      <c r="AL862" s="75" t="s">
        <v>132</v>
      </c>
      <c r="AM862" s="75"/>
      <c r="AN862" s="573">
        <v>185.0</v>
      </c>
      <c r="AO862" s="69" t="s">
        <v>5055</v>
      </c>
      <c r="AP862" s="69" t="s">
        <v>162</v>
      </c>
      <c r="AQ862" s="69" t="s">
        <v>1186</v>
      </c>
      <c r="AR862" s="573">
        <v>0.05</v>
      </c>
      <c r="AS862" s="87" t="s">
        <v>329</v>
      </c>
      <c r="AT862" s="87" t="s">
        <v>128</v>
      </c>
      <c r="AU862" s="86" t="s">
        <v>132</v>
      </c>
      <c r="AV862" s="86"/>
      <c r="AW862" s="86" t="s">
        <v>134</v>
      </c>
      <c r="AX862" s="84"/>
      <c r="AY862" s="84"/>
      <c r="AZ862" s="333"/>
      <c r="BA862" s="763"/>
      <c r="BB862" s="763"/>
      <c r="BC862" s="763"/>
      <c r="BD862" s="763"/>
      <c r="BE862" s="763"/>
      <c r="BF862" s="763"/>
      <c r="BG862" s="763"/>
      <c r="BH862" s="763"/>
      <c r="BI862" s="763"/>
      <c r="BJ862" s="763"/>
      <c r="BK862" s="763"/>
      <c r="BL862" s="763"/>
      <c r="BM862" s="763"/>
      <c r="BN862" s="763"/>
      <c r="BO862" s="763"/>
      <c r="BP862" s="763"/>
      <c r="BQ862" s="763"/>
      <c r="BR862" s="763"/>
      <c r="BS862" s="763"/>
      <c r="BT862" s="763"/>
      <c r="BU862" s="763"/>
      <c r="BV862" s="763"/>
      <c r="BW862" s="763"/>
      <c r="BX862" s="763"/>
      <c r="BY862" s="763"/>
      <c r="BZ862" s="763"/>
      <c r="CA862" s="763"/>
      <c r="CB862" s="763"/>
      <c r="CC862" s="763"/>
      <c r="CD862" s="763"/>
      <c r="CE862" s="763"/>
      <c r="CF862" s="763"/>
      <c r="CG862" s="763"/>
      <c r="CH862" s="763"/>
      <c r="CI862" s="763"/>
      <c r="CJ862" s="763"/>
      <c r="CK862" s="763"/>
      <c r="CL862" s="763"/>
      <c r="CM862" s="763"/>
      <c r="CN862" s="763"/>
      <c r="CO862" s="763"/>
      <c r="CP862" s="763"/>
      <c r="CQ862" s="763"/>
      <c r="CR862" s="763"/>
      <c r="CS862" s="763"/>
      <c r="CT862" s="763"/>
      <c r="CU862" s="763"/>
      <c r="CV862" s="763"/>
      <c r="CW862" s="763"/>
      <c r="CX862" s="763"/>
      <c r="CY862" s="763"/>
      <c r="CZ862" s="763"/>
      <c r="DA862" s="763"/>
      <c r="DB862" s="763"/>
      <c r="DC862" s="763"/>
      <c r="DD862" s="763"/>
      <c r="DE862" s="763"/>
      <c r="DF862" s="763"/>
      <c r="DG862" s="763"/>
    </row>
    <row r="863">
      <c r="A863" s="65" t="s">
        <v>520</v>
      </c>
      <c r="B863" s="65" t="s">
        <v>107</v>
      </c>
      <c r="C863" s="65" t="s">
        <v>144</v>
      </c>
      <c r="D863" s="66"/>
      <c r="E863" s="86" t="s">
        <v>4998</v>
      </c>
      <c r="F863" s="69" t="s">
        <v>5056</v>
      </c>
      <c r="G863" s="69" t="s">
        <v>144</v>
      </c>
      <c r="H863" s="798">
        <v>45478.0</v>
      </c>
      <c r="I863" s="566">
        <v>45638.0</v>
      </c>
      <c r="J863" s="68" t="s">
        <v>5017</v>
      </c>
      <c r="K863" s="75"/>
      <c r="L863" s="69" t="s">
        <v>5001</v>
      </c>
      <c r="M863" s="69" t="s">
        <v>5002</v>
      </c>
      <c r="N863" s="862">
        <v>1.0</v>
      </c>
      <c r="O863" s="90" t="s">
        <v>5003</v>
      </c>
      <c r="P863" s="48" t="str">
        <f t="array" ref="P863">HYPERLINK(INDEX('File Links'!B:B, MATCH(O863, 'File Links'!C:C, 0)))
</f>
        <v>https://drive.google.com/file/d/1EqvEPwgwndawziGmIPqgl3yNKOI51OAS/view?usp=drivesdk</v>
      </c>
      <c r="Q863" s="69" t="s">
        <v>5004</v>
      </c>
      <c r="R863" s="69" t="s">
        <v>5005</v>
      </c>
      <c r="S863" s="75"/>
      <c r="T863" s="864">
        <v>1.0</v>
      </c>
      <c r="U863" s="69" t="s">
        <v>5006</v>
      </c>
      <c r="V863" s="68" t="s">
        <v>2024</v>
      </c>
      <c r="W863" s="50" t="str">
        <f t="array" ref="W863">HYPERLINK(INDEX('File Links'!B:B, MATCH(U863, 'File Links'!C:C, 0)))
</f>
        <v>https://drive.google.com/file/d/1UFSIBKXNmPXd3__1cxrsTy9PbNax45wB/view?usp=drivesdk</v>
      </c>
      <c r="X863" s="75"/>
      <c r="Y863" s="69" t="s">
        <v>1820</v>
      </c>
      <c r="Z863" s="75" t="s">
        <v>5018</v>
      </c>
      <c r="AA863" s="68" t="s">
        <v>5019</v>
      </c>
      <c r="AB863" s="68" t="s">
        <v>5044</v>
      </c>
      <c r="AC863" s="75" t="s">
        <v>5045</v>
      </c>
      <c r="AD863" s="1233">
        <v>18.0</v>
      </c>
      <c r="AE863" s="573">
        <f t="shared" si="52"/>
        <v>324</v>
      </c>
      <c r="AF863" s="69" t="s">
        <v>5057</v>
      </c>
      <c r="AG863" s="90" t="s">
        <v>162</v>
      </c>
      <c r="AH863" s="69" t="s">
        <v>2444</v>
      </c>
      <c r="AI863" s="573">
        <v>0.1</v>
      </c>
      <c r="AJ863" s="87" t="s">
        <v>127</v>
      </c>
      <c r="AK863" s="69" t="s">
        <v>128</v>
      </c>
      <c r="AL863" s="75" t="s">
        <v>132</v>
      </c>
      <c r="AM863" s="75"/>
      <c r="AN863" s="573">
        <v>196.0</v>
      </c>
      <c r="AO863" s="69" t="s">
        <v>5058</v>
      </c>
      <c r="AP863" s="69" t="s">
        <v>162</v>
      </c>
      <c r="AQ863" s="69" t="s">
        <v>5039</v>
      </c>
      <c r="AR863" s="573">
        <v>0.05</v>
      </c>
      <c r="AS863" s="87" t="s">
        <v>329</v>
      </c>
      <c r="AT863" s="87" t="s">
        <v>128</v>
      </c>
      <c r="AU863" s="86" t="s">
        <v>132</v>
      </c>
      <c r="AV863" s="86"/>
      <c r="AW863" s="86" t="s">
        <v>134</v>
      </c>
      <c r="AX863" s="84"/>
      <c r="AY863" s="84"/>
      <c r="AZ863" s="64"/>
      <c r="BA863" s="215"/>
      <c r="BB863" s="215"/>
      <c r="BC863" s="215"/>
      <c r="BD863" s="215"/>
      <c r="BE863" s="215"/>
      <c r="BF863" s="215"/>
      <c r="BG863" s="215"/>
      <c r="BH863" s="215"/>
      <c r="BI863" s="215"/>
      <c r="BJ863" s="215"/>
      <c r="BK863" s="215"/>
      <c r="BL863" s="215"/>
      <c r="BM863" s="215"/>
      <c r="BN863" s="215"/>
      <c r="BO863" s="215"/>
      <c r="BP863" s="215"/>
      <c r="BQ863" s="215"/>
      <c r="BR863" s="215"/>
      <c r="BS863" s="215"/>
      <c r="BT863" s="215"/>
      <c r="BU863" s="215"/>
      <c r="BV863" s="215"/>
      <c r="BW863" s="215"/>
      <c r="BX863" s="215"/>
      <c r="BY863" s="215"/>
      <c r="BZ863" s="215"/>
      <c r="CA863" s="215"/>
      <c r="CB863" s="215"/>
      <c r="CC863" s="215"/>
      <c r="CD863" s="215"/>
      <c r="CE863" s="215"/>
      <c r="CF863" s="215"/>
      <c r="CG863" s="215"/>
      <c r="CH863" s="215"/>
      <c r="CI863" s="215"/>
      <c r="CJ863" s="215"/>
      <c r="CK863" s="215"/>
      <c r="CL863" s="215"/>
      <c r="CM863" s="215"/>
      <c r="CN863" s="215"/>
      <c r="CO863" s="215"/>
      <c r="CP863" s="215"/>
      <c r="CQ863" s="215"/>
      <c r="CR863" s="215"/>
      <c r="CS863" s="215"/>
      <c r="CT863" s="215"/>
      <c r="CU863" s="215"/>
      <c r="CV863" s="215"/>
      <c r="CW863" s="215"/>
      <c r="CX863" s="215"/>
      <c r="CY863" s="215"/>
      <c r="CZ863" s="215"/>
      <c r="DA863" s="215"/>
      <c r="DB863" s="215"/>
      <c r="DC863" s="215"/>
      <c r="DD863" s="215"/>
      <c r="DE863" s="215"/>
      <c r="DF863" s="215"/>
      <c r="DG863" s="215"/>
    </row>
    <row r="864">
      <c r="A864" s="65" t="s">
        <v>520</v>
      </c>
      <c r="B864" s="65" t="s">
        <v>107</v>
      </c>
      <c r="C864" s="65" t="s">
        <v>144</v>
      </c>
      <c r="D864" s="66"/>
      <c r="E864" s="86" t="s">
        <v>4998</v>
      </c>
      <c r="F864" s="69" t="s">
        <v>5056</v>
      </c>
      <c r="G864" s="69" t="s">
        <v>144</v>
      </c>
      <c r="H864" s="798">
        <v>45478.0</v>
      </c>
      <c r="I864" s="566">
        <v>45638.0</v>
      </c>
      <c r="J864" s="68" t="s">
        <v>5017</v>
      </c>
      <c r="K864" s="75"/>
      <c r="L864" s="69" t="s">
        <v>5001</v>
      </c>
      <c r="M864" s="69" t="s">
        <v>5002</v>
      </c>
      <c r="N864" s="862">
        <v>1.0</v>
      </c>
      <c r="O864" s="90" t="s">
        <v>5003</v>
      </c>
      <c r="P864" s="48" t="str">
        <f t="array" ref="P864">HYPERLINK(INDEX('File Links'!B:B, MATCH(O864, 'File Links'!C:C, 0)))
</f>
        <v>https://drive.google.com/file/d/1EqvEPwgwndawziGmIPqgl3yNKOI51OAS/view?usp=drivesdk</v>
      </c>
      <c r="Q864" s="69" t="s">
        <v>5004</v>
      </c>
      <c r="R864" s="69" t="s">
        <v>5005</v>
      </c>
      <c r="S864" s="75"/>
      <c r="T864" s="864">
        <v>1.0</v>
      </c>
      <c r="U864" s="69" t="s">
        <v>5006</v>
      </c>
      <c r="V864" s="68" t="s">
        <v>2024</v>
      </c>
      <c r="W864" s="50" t="str">
        <f t="array" ref="W864">HYPERLINK(INDEX('File Links'!B:B, MATCH(U864, 'File Links'!C:C, 0)))
</f>
        <v>https://drive.google.com/file/d/1UFSIBKXNmPXd3__1cxrsTy9PbNax45wB/view?usp=drivesdk</v>
      </c>
      <c r="X864" s="75"/>
      <c r="Y864" s="69" t="s">
        <v>1820</v>
      </c>
      <c r="Z864" s="75" t="s">
        <v>5018</v>
      </c>
      <c r="AA864" s="68" t="s">
        <v>5019</v>
      </c>
      <c r="AB864" s="68" t="s">
        <v>5044</v>
      </c>
      <c r="AC864" s="75" t="s">
        <v>5045</v>
      </c>
      <c r="AD864" s="1233">
        <v>18.0</v>
      </c>
      <c r="AE864" s="573">
        <f t="shared" si="52"/>
        <v>324</v>
      </c>
      <c r="AF864" s="75" t="s">
        <v>5059</v>
      </c>
      <c r="AG864" s="90" t="s">
        <v>162</v>
      </c>
      <c r="AH864" s="69" t="s">
        <v>5049</v>
      </c>
      <c r="AI864" s="573">
        <v>0.1</v>
      </c>
      <c r="AJ864" s="87" t="s">
        <v>127</v>
      </c>
      <c r="AK864" s="69" t="s">
        <v>128</v>
      </c>
      <c r="AL864" s="75" t="s">
        <v>132</v>
      </c>
      <c r="AM864" s="75"/>
      <c r="AN864" s="573">
        <v>185.0</v>
      </c>
      <c r="AO864" s="69" t="s">
        <v>5060</v>
      </c>
      <c r="AP864" s="69" t="s">
        <v>162</v>
      </c>
      <c r="AQ864" s="69" t="s">
        <v>1830</v>
      </c>
      <c r="AR864" s="573">
        <v>0.05</v>
      </c>
      <c r="AS864" s="87" t="s">
        <v>329</v>
      </c>
      <c r="AT864" s="87" t="s">
        <v>128</v>
      </c>
      <c r="AU864" s="86" t="s">
        <v>132</v>
      </c>
      <c r="AV864" s="86"/>
      <c r="AW864" s="86" t="s">
        <v>134</v>
      </c>
      <c r="AX864" s="84"/>
      <c r="AY864" s="84"/>
      <c r="AZ864" s="64"/>
      <c r="BA864" s="215"/>
      <c r="BB864" s="215"/>
      <c r="BC864" s="215"/>
      <c r="BD864" s="215"/>
      <c r="BE864" s="215"/>
      <c r="BF864" s="215"/>
      <c r="BG864" s="215"/>
      <c r="BH864" s="215"/>
      <c r="BI864" s="215"/>
      <c r="BJ864" s="215"/>
      <c r="BK864" s="215"/>
      <c r="BL864" s="215"/>
      <c r="BM864" s="215"/>
      <c r="BN864" s="215"/>
      <c r="BO864" s="215"/>
      <c r="BP864" s="215"/>
      <c r="BQ864" s="215"/>
      <c r="BR864" s="215"/>
      <c r="BS864" s="215"/>
      <c r="BT864" s="215"/>
      <c r="BU864" s="215"/>
      <c r="BV864" s="215"/>
      <c r="BW864" s="215"/>
      <c r="BX864" s="215"/>
      <c r="BY864" s="215"/>
      <c r="BZ864" s="215"/>
      <c r="CA864" s="215"/>
      <c r="CB864" s="215"/>
      <c r="CC864" s="215"/>
      <c r="CD864" s="215"/>
      <c r="CE864" s="215"/>
      <c r="CF864" s="215"/>
      <c r="CG864" s="215"/>
      <c r="CH864" s="215"/>
      <c r="CI864" s="215"/>
      <c r="CJ864" s="215"/>
      <c r="CK864" s="215"/>
      <c r="CL864" s="215"/>
      <c r="CM864" s="215"/>
      <c r="CN864" s="215"/>
      <c r="CO864" s="215"/>
      <c r="CP864" s="215"/>
      <c r="CQ864" s="215"/>
      <c r="CR864" s="215"/>
      <c r="CS864" s="215"/>
      <c r="CT864" s="215"/>
      <c r="CU864" s="215"/>
      <c r="CV864" s="215"/>
      <c r="CW864" s="215"/>
      <c r="CX864" s="215"/>
      <c r="CY864" s="215"/>
      <c r="CZ864" s="215"/>
      <c r="DA864" s="215"/>
      <c r="DB864" s="215"/>
      <c r="DC864" s="215"/>
      <c r="DD864" s="215"/>
      <c r="DE864" s="215"/>
      <c r="DF864" s="215"/>
      <c r="DG864" s="215"/>
    </row>
    <row r="865">
      <c r="A865" s="65" t="s">
        <v>520</v>
      </c>
      <c r="B865" s="65" t="s">
        <v>107</v>
      </c>
      <c r="C865" s="65" t="s">
        <v>144</v>
      </c>
      <c r="D865" s="66"/>
      <c r="E865" s="86" t="s">
        <v>4998</v>
      </c>
      <c r="F865" s="69" t="s">
        <v>5061</v>
      </c>
      <c r="G865" s="69" t="s">
        <v>144</v>
      </c>
      <c r="H865" s="798">
        <v>45478.0</v>
      </c>
      <c r="I865" s="566">
        <v>45638.0</v>
      </c>
      <c r="J865" s="68" t="s">
        <v>5017</v>
      </c>
      <c r="K865" s="75"/>
      <c r="L865" s="69" t="s">
        <v>5001</v>
      </c>
      <c r="M865" s="69" t="s">
        <v>5002</v>
      </c>
      <c r="N865" s="862">
        <v>1.0</v>
      </c>
      <c r="O865" s="90" t="s">
        <v>5003</v>
      </c>
      <c r="P865" s="48" t="str">
        <f t="array" ref="P865">HYPERLINK(INDEX('File Links'!B:B, MATCH(O865, 'File Links'!C:C, 0)))
</f>
        <v>https://drive.google.com/file/d/1EqvEPwgwndawziGmIPqgl3yNKOI51OAS/view?usp=drivesdk</v>
      </c>
      <c r="Q865" s="69" t="s">
        <v>5004</v>
      </c>
      <c r="R865" s="69" t="s">
        <v>5005</v>
      </c>
      <c r="S865" s="75"/>
      <c r="T865" s="864">
        <v>1.0</v>
      </c>
      <c r="U865" s="69" t="s">
        <v>5006</v>
      </c>
      <c r="V865" s="68" t="s">
        <v>2024</v>
      </c>
      <c r="W865" s="50" t="str">
        <f t="array" ref="W865">HYPERLINK(INDEX('File Links'!B:B, MATCH(U865, 'File Links'!C:C, 0)))
</f>
        <v>https://drive.google.com/file/d/1UFSIBKXNmPXd3__1cxrsTy9PbNax45wB/view?usp=drivesdk</v>
      </c>
      <c r="X865" s="75"/>
      <c r="Y865" s="69" t="s">
        <v>1820</v>
      </c>
      <c r="Z865" s="75" t="s">
        <v>5018</v>
      </c>
      <c r="AA865" s="68" t="s">
        <v>5019</v>
      </c>
      <c r="AB865" s="69" t="s">
        <v>5062</v>
      </c>
      <c r="AC865" s="75" t="s">
        <v>5063</v>
      </c>
      <c r="AD865" s="1233">
        <v>26.0</v>
      </c>
      <c r="AE865" s="573">
        <f t="shared" si="52"/>
        <v>324</v>
      </c>
      <c r="AF865" s="69" t="s">
        <v>5064</v>
      </c>
      <c r="AG865" s="90" t="s">
        <v>162</v>
      </c>
      <c r="AH865" s="69" t="s">
        <v>2444</v>
      </c>
      <c r="AI865" s="573">
        <v>0.05</v>
      </c>
      <c r="AJ865" s="87" t="s">
        <v>329</v>
      </c>
      <c r="AK865" s="69" t="s">
        <v>128</v>
      </c>
      <c r="AL865" s="75" t="s">
        <v>132</v>
      </c>
      <c r="AM865" s="75"/>
      <c r="AN865" s="573">
        <v>196.0</v>
      </c>
      <c r="AO865" s="69" t="s">
        <v>5065</v>
      </c>
      <c r="AP865" s="69" t="s">
        <v>162</v>
      </c>
      <c r="AQ865" s="69" t="s">
        <v>5024</v>
      </c>
      <c r="AR865" s="573">
        <v>0.05</v>
      </c>
      <c r="AS865" s="87" t="s">
        <v>329</v>
      </c>
      <c r="AT865" s="87" t="s">
        <v>128</v>
      </c>
      <c r="AU865" s="86" t="s">
        <v>132</v>
      </c>
      <c r="AV865" s="86"/>
      <c r="AW865" s="86" t="s">
        <v>134</v>
      </c>
      <c r="AX865" s="84"/>
      <c r="AY865" s="84"/>
      <c r="AZ865" s="64"/>
    </row>
    <row r="866">
      <c r="A866" s="65" t="s">
        <v>520</v>
      </c>
      <c r="B866" s="65" t="s">
        <v>107</v>
      </c>
      <c r="C866" s="65" t="s">
        <v>144</v>
      </c>
      <c r="D866" s="66"/>
      <c r="E866" s="86" t="s">
        <v>4998</v>
      </c>
      <c r="F866" s="69" t="s">
        <v>5066</v>
      </c>
      <c r="G866" s="69" t="s">
        <v>144</v>
      </c>
      <c r="H866" s="798">
        <v>45478.0</v>
      </c>
      <c r="I866" s="566">
        <v>45638.0</v>
      </c>
      <c r="J866" s="68" t="s">
        <v>5017</v>
      </c>
      <c r="K866" s="75"/>
      <c r="L866" s="69" t="s">
        <v>5001</v>
      </c>
      <c r="M866" s="69" t="s">
        <v>5002</v>
      </c>
      <c r="N866" s="862">
        <v>1.0</v>
      </c>
      <c r="O866" s="90" t="s">
        <v>5003</v>
      </c>
      <c r="P866" s="48" t="str">
        <f t="array" ref="P866">HYPERLINK(INDEX('File Links'!B:B, MATCH(O866, 'File Links'!C:C, 0)))
</f>
        <v>https://drive.google.com/file/d/1EqvEPwgwndawziGmIPqgl3yNKOI51OAS/view?usp=drivesdk</v>
      </c>
      <c r="Q866" s="69" t="s">
        <v>5004</v>
      </c>
      <c r="R866" s="69" t="s">
        <v>5005</v>
      </c>
      <c r="S866" s="75"/>
      <c r="T866" s="864">
        <v>1.0</v>
      </c>
      <c r="U866" s="69" t="s">
        <v>5006</v>
      </c>
      <c r="V866" s="68" t="s">
        <v>2024</v>
      </c>
      <c r="W866" s="50" t="str">
        <f t="array" ref="W866">HYPERLINK(INDEX('File Links'!B:B, MATCH(U866, 'File Links'!C:C, 0)))
</f>
        <v>https://drive.google.com/file/d/1UFSIBKXNmPXd3__1cxrsTy9PbNax45wB/view?usp=drivesdk</v>
      </c>
      <c r="X866" s="75"/>
      <c r="Y866" s="69" t="s">
        <v>1820</v>
      </c>
      <c r="Z866" s="75" t="s">
        <v>5018</v>
      </c>
      <c r="AA866" s="68" t="s">
        <v>5019</v>
      </c>
      <c r="AB866" s="68" t="s">
        <v>5062</v>
      </c>
      <c r="AC866" s="75" t="s">
        <v>5063</v>
      </c>
      <c r="AD866" s="1233">
        <v>26.0</v>
      </c>
      <c r="AE866" s="573">
        <f t="shared" si="52"/>
        <v>324</v>
      </c>
      <c r="AF866" s="69" t="s">
        <v>5067</v>
      </c>
      <c r="AG866" s="90" t="s">
        <v>162</v>
      </c>
      <c r="AH866" s="69" t="s">
        <v>2443</v>
      </c>
      <c r="AI866" s="573">
        <v>0.05</v>
      </c>
      <c r="AJ866" s="87" t="s">
        <v>329</v>
      </c>
      <c r="AK866" s="69" t="s">
        <v>128</v>
      </c>
      <c r="AL866" s="75" t="s">
        <v>132</v>
      </c>
      <c r="AM866" s="75"/>
      <c r="AN866" s="573">
        <v>185.0</v>
      </c>
      <c r="AO866" s="69" t="s">
        <v>5068</v>
      </c>
      <c r="AP866" s="69" t="s">
        <v>162</v>
      </c>
      <c r="AQ866" s="69" t="s">
        <v>5029</v>
      </c>
      <c r="AR866" s="573">
        <v>0.05</v>
      </c>
      <c r="AS866" s="87" t="s">
        <v>329</v>
      </c>
      <c r="AT866" s="87" t="s">
        <v>128</v>
      </c>
      <c r="AU866" s="86" t="s">
        <v>132</v>
      </c>
      <c r="AV866" s="86"/>
      <c r="AW866" s="86" t="s">
        <v>134</v>
      </c>
      <c r="AX866" s="84"/>
      <c r="AY866" s="84"/>
      <c r="AZ866" s="64"/>
      <c r="BA866" s="178"/>
      <c r="BB866" s="178"/>
      <c r="BC866" s="178"/>
      <c r="BD866" s="178"/>
      <c r="BE866" s="178"/>
      <c r="BF866" s="178"/>
      <c r="BG866" s="178"/>
      <c r="BH866" s="178"/>
      <c r="BI866" s="178"/>
      <c r="BJ866" s="178"/>
      <c r="BK866" s="178"/>
      <c r="BL866" s="178"/>
      <c r="BM866" s="178"/>
      <c r="BN866" s="178"/>
      <c r="BO866" s="178"/>
      <c r="BP866" s="178"/>
      <c r="BQ866" s="178"/>
      <c r="BR866" s="178"/>
      <c r="BS866" s="178"/>
      <c r="BT866" s="178"/>
      <c r="BU866" s="178"/>
      <c r="BV866" s="178"/>
      <c r="BW866" s="178"/>
      <c r="BX866" s="178"/>
      <c r="BY866" s="178"/>
      <c r="BZ866" s="178"/>
      <c r="CA866" s="178"/>
      <c r="CB866" s="178"/>
      <c r="CC866" s="178"/>
      <c r="CD866" s="178"/>
      <c r="CE866" s="178"/>
      <c r="CF866" s="178"/>
      <c r="CG866" s="178"/>
      <c r="CH866" s="178"/>
      <c r="CI866" s="178"/>
      <c r="CJ866" s="178"/>
      <c r="CK866" s="178"/>
      <c r="CL866" s="178"/>
      <c r="CM866" s="178"/>
      <c r="CN866" s="178"/>
      <c r="CO866" s="178"/>
      <c r="CP866" s="178"/>
      <c r="CQ866" s="178"/>
      <c r="CR866" s="178"/>
      <c r="CS866" s="178"/>
      <c r="CT866" s="178"/>
      <c r="CU866" s="178"/>
      <c r="CV866" s="178"/>
      <c r="CW866" s="178"/>
      <c r="CX866" s="178"/>
      <c r="CY866" s="178"/>
      <c r="CZ866" s="178"/>
      <c r="DA866" s="178"/>
      <c r="DB866" s="178"/>
      <c r="DC866" s="178"/>
      <c r="DD866" s="178"/>
      <c r="DE866" s="178"/>
      <c r="DF866" s="178"/>
      <c r="DG866" s="178"/>
    </row>
    <row r="867">
      <c r="A867" s="65" t="s">
        <v>520</v>
      </c>
      <c r="B867" s="65" t="s">
        <v>107</v>
      </c>
      <c r="C867" s="65" t="s">
        <v>144</v>
      </c>
      <c r="D867" s="66"/>
      <c r="E867" s="86" t="s">
        <v>4998</v>
      </c>
      <c r="F867" s="69" t="s">
        <v>5069</v>
      </c>
      <c r="G867" s="69" t="s">
        <v>144</v>
      </c>
      <c r="H867" s="798">
        <v>45478.0</v>
      </c>
      <c r="I867" s="566">
        <v>45638.0</v>
      </c>
      <c r="J867" s="68" t="s">
        <v>5017</v>
      </c>
      <c r="K867" s="75"/>
      <c r="L867" s="69" t="s">
        <v>5001</v>
      </c>
      <c r="M867" s="69" t="s">
        <v>5002</v>
      </c>
      <c r="N867" s="862">
        <v>1.0</v>
      </c>
      <c r="O867" s="90" t="s">
        <v>5003</v>
      </c>
      <c r="P867" s="48" t="str">
        <f t="array" ref="P867">HYPERLINK(INDEX('File Links'!B:B, MATCH(O867, 'File Links'!C:C, 0)))
</f>
        <v>https://drive.google.com/file/d/1EqvEPwgwndawziGmIPqgl3yNKOI51OAS/view?usp=drivesdk</v>
      </c>
      <c r="Q867" s="69" t="s">
        <v>5004</v>
      </c>
      <c r="R867" s="69" t="s">
        <v>5005</v>
      </c>
      <c r="S867" s="75"/>
      <c r="T867" s="864">
        <v>1.0</v>
      </c>
      <c r="U867" s="69" t="s">
        <v>5006</v>
      </c>
      <c r="V867" s="68" t="s">
        <v>2024</v>
      </c>
      <c r="W867" s="50" t="str">
        <f t="array" ref="W867">HYPERLINK(INDEX('File Links'!B:B, MATCH(U867, 'File Links'!C:C, 0)))
</f>
        <v>https://drive.google.com/file/d/1UFSIBKXNmPXd3__1cxrsTy9PbNax45wB/view?usp=drivesdk</v>
      </c>
      <c r="X867" s="75"/>
      <c r="Y867" s="69" t="s">
        <v>1820</v>
      </c>
      <c r="Z867" s="75" t="s">
        <v>5018</v>
      </c>
      <c r="AA867" s="68" t="s">
        <v>5019</v>
      </c>
      <c r="AB867" s="68" t="s">
        <v>5062</v>
      </c>
      <c r="AC867" s="75" t="s">
        <v>5063</v>
      </c>
      <c r="AD867" s="1233">
        <v>26.0</v>
      </c>
      <c r="AE867" s="573">
        <f t="shared" si="52"/>
        <v>324</v>
      </c>
      <c r="AF867" s="69" t="s">
        <v>5070</v>
      </c>
      <c r="AG867" s="90" t="s">
        <v>162</v>
      </c>
      <c r="AH867" s="69" t="s">
        <v>2444</v>
      </c>
      <c r="AI867" s="573">
        <v>0.05</v>
      </c>
      <c r="AJ867" s="87" t="s">
        <v>329</v>
      </c>
      <c r="AK867" s="69" t="s">
        <v>128</v>
      </c>
      <c r="AL867" s="75" t="s">
        <v>132</v>
      </c>
      <c r="AM867" s="75"/>
      <c r="AN867" s="573">
        <v>196.0</v>
      </c>
      <c r="AO867" s="69" t="s">
        <v>5071</v>
      </c>
      <c r="AP867" s="69" t="s">
        <v>162</v>
      </c>
      <c r="AQ867" s="69" t="s">
        <v>2030</v>
      </c>
      <c r="AR867" s="573">
        <v>0.05</v>
      </c>
      <c r="AS867" s="87" t="s">
        <v>329</v>
      </c>
      <c r="AT867" s="87" t="s">
        <v>128</v>
      </c>
      <c r="AU867" s="86" t="s">
        <v>132</v>
      </c>
      <c r="AV867" s="86"/>
      <c r="AW867" s="86" t="s">
        <v>134</v>
      </c>
      <c r="AX867" s="84"/>
      <c r="AY867" s="84"/>
      <c r="AZ867" s="64"/>
    </row>
    <row r="868">
      <c r="A868" s="65" t="s">
        <v>520</v>
      </c>
      <c r="B868" s="65" t="s">
        <v>107</v>
      </c>
      <c r="C868" s="65" t="s">
        <v>144</v>
      </c>
      <c r="D868" s="66"/>
      <c r="E868" s="86" t="s">
        <v>4998</v>
      </c>
      <c r="F868" s="69" t="s">
        <v>5072</v>
      </c>
      <c r="G868" s="69" t="s">
        <v>144</v>
      </c>
      <c r="H868" s="798">
        <v>45478.0</v>
      </c>
      <c r="I868" s="566">
        <v>45638.0</v>
      </c>
      <c r="J868" s="68" t="s">
        <v>5017</v>
      </c>
      <c r="K868" s="75"/>
      <c r="L868" s="69" t="s">
        <v>5001</v>
      </c>
      <c r="M868" s="69" t="s">
        <v>5002</v>
      </c>
      <c r="N868" s="862">
        <v>1.0</v>
      </c>
      <c r="O868" s="90" t="s">
        <v>5003</v>
      </c>
      <c r="P868" s="48" t="str">
        <f t="array" ref="P868">HYPERLINK(INDEX('File Links'!B:B, MATCH(O868, 'File Links'!C:C, 0)))
</f>
        <v>https://drive.google.com/file/d/1EqvEPwgwndawziGmIPqgl3yNKOI51OAS/view?usp=drivesdk</v>
      </c>
      <c r="Q868" s="69" t="s">
        <v>5004</v>
      </c>
      <c r="R868" s="69" t="s">
        <v>5005</v>
      </c>
      <c r="S868" s="75"/>
      <c r="T868" s="864">
        <v>1.0</v>
      </c>
      <c r="U868" s="69" t="s">
        <v>5006</v>
      </c>
      <c r="V868" s="68" t="s">
        <v>2024</v>
      </c>
      <c r="W868" s="50" t="str">
        <f t="array" ref="W868">HYPERLINK(INDEX('File Links'!B:B, MATCH(U868, 'File Links'!C:C, 0)))
</f>
        <v>https://drive.google.com/file/d/1UFSIBKXNmPXd3__1cxrsTy9PbNax45wB/view?usp=drivesdk</v>
      </c>
      <c r="X868" s="75"/>
      <c r="Y868" s="69" t="s">
        <v>1820</v>
      </c>
      <c r="Z868" s="75" t="s">
        <v>5018</v>
      </c>
      <c r="AA868" s="68" t="s">
        <v>5019</v>
      </c>
      <c r="AB868" s="68" t="s">
        <v>5062</v>
      </c>
      <c r="AC868" s="75" t="s">
        <v>5063</v>
      </c>
      <c r="AD868" s="1233">
        <v>26.0</v>
      </c>
      <c r="AE868" s="573">
        <f t="shared" si="52"/>
        <v>324</v>
      </c>
      <c r="AF868" s="69" t="s">
        <v>5073</v>
      </c>
      <c r="AG868" s="90" t="s">
        <v>162</v>
      </c>
      <c r="AH868" s="69" t="s">
        <v>2443</v>
      </c>
      <c r="AI868" s="573">
        <v>0.05</v>
      </c>
      <c r="AJ868" s="87" t="s">
        <v>329</v>
      </c>
      <c r="AK868" s="69" t="s">
        <v>128</v>
      </c>
      <c r="AL868" s="75" t="s">
        <v>132</v>
      </c>
      <c r="AM868" s="75"/>
      <c r="AN868" s="573">
        <v>185.0</v>
      </c>
      <c r="AO868" s="69" t="s">
        <v>5074</v>
      </c>
      <c r="AP868" s="69" t="s">
        <v>162</v>
      </c>
      <c r="AQ868" s="69" t="s">
        <v>1186</v>
      </c>
      <c r="AR868" s="573">
        <v>0.05</v>
      </c>
      <c r="AS868" s="87" t="s">
        <v>329</v>
      </c>
      <c r="AT868" s="87" t="s">
        <v>128</v>
      </c>
      <c r="AU868" s="86" t="s">
        <v>132</v>
      </c>
      <c r="AV868" s="86"/>
      <c r="AW868" s="86" t="s">
        <v>134</v>
      </c>
      <c r="AX868" s="84"/>
      <c r="AY868" s="84"/>
      <c r="AZ868" s="64"/>
      <c r="BA868" s="178"/>
      <c r="BB868" s="178"/>
      <c r="BC868" s="178"/>
      <c r="BD868" s="178"/>
      <c r="BE868" s="178"/>
      <c r="BF868" s="178"/>
      <c r="BG868" s="178"/>
      <c r="BH868" s="178"/>
      <c r="BI868" s="178"/>
      <c r="BJ868" s="178"/>
      <c r="BK868" s="178"/>
      <c r="BL868" s="178"/>
      <c r="BM868" s="178"/>
      <c r="BN868" s="178"/>
      <c r="BO868" s="178"/>
      <c r="BP868" s="178"/>
      <c r="BQ868" s="178"/>
      <c r="BR868" s="178"/>
      <c r="BS868" s="178"/>
      <c r="BT868" s="178"/>
      <c r="BU868" s="178"/>
      <c r="BV868" s="178"/>
      <c r="BW868" s="178"/>
      <c r="BX868" s="178"/>
      <c r="BY868" s="178"/>
      <c r="BZ868" s="178"/>
      <c r="CA868" s="178"/>
      <c r="CB868" s="178"/>
      <c r="CC868" s="178"/>
      <c r="CD868" s="178"/>
      <c r="CE868" s="178"/>
      <c r="CF868" s="178"/>
      <c r="CG868" s="178"/>
      <c r="CH868" s="178"/>
      <c r="CI868" s="178"/>
      <c r="CJ868" s="178"/>
      <c r="CK868" s="178"/>
      <c r="CL868" s="178"/>
      <c r="CM868" s="178"/>
      <c r="CN868" s="178"/>
      <c r="CO868" s="178"/>
      <c r="CP868" s="178"/>
      <c r="CQ868" s="178"/>
      <c r="CR868" s="178"/>
      <c r="CS868" s="178"/>
      <c r="CT868" s="178"/>
      <c r="CU868" s="178"/>
      <c r="CV868" s="178"/>
      <c r="CW868" s="178"/>
      <c r="CX868" s="178"/>
      <c r="CY868" s="178"/>
      <c r="CZ868" s="178"/>
      <c r="DA868" s="178"/>
      <c r="DB868" s="178"/>
      <c r="DC868" s="178"/>
      <c r="DD868" s="178"/>
      <c r="DE868" s="178"/>
      <c r="DF868" s="178"/>
      <c r="DG868" s="178"/>
    </row>
    <row r="869">
      <c r="A869" s="65" t="s">
        <v>520</v>
      </c>
      <c r="B869" s="65" t="s">
        <v>107</v>
      </c>
      <c r="C869" s="65" t="s">
        <v>144</v>
      </c>
      <c r="D869" s="66"/>
      <c r="E869" s="86" t="s">
        <v>4998</v>
      </c>
      <c r="F869" s="69" t="s">
        <v>5075</v>
      </c>
      <c r="G869" s="69" t="s">
        <v>144</v>
      </c>
      <c r="H869" s="798">
        <v>45478.0</v>
      </c>
      <c r="I869" s="566">
        <v>45638.0</v>
      </c>
      <c r="J869" s="68" t="s">
        <v>5017</v>
      </c>
      <c r="K869" s="75"/>
      <c r="L869" s="69" t="s">
        <v>5001</v>
      </c>
      <c r="M869" s="69" t="s">
        <v>5002</v>
      </c>
      <c r="N869" s="862">
        <v>1.0</v>
      </c>
      <c r="O869" s="90" t="s">
        <v>5003</v>
      </c>
      <c r="P869" s="48" t="str">
        <f t="array" ref="P869">HYPERLINK(INDEX('File Links'!B:B, MATCH(O869, 'File Links'!C:C, 0)))
</f>
        <v>https://drive.google.com/file/d/1EqvEPwgwndawziGmIPqgl3yNKOI51OAS/view?usp=drivesdk</v>
      </c>
      <c r="Q869" s="69" t="s">
        <v>5004</v>
      </c>
      <c r="R869" s="69" t="s">
        <v>5005</v>
      </c>
      <c r="S869" s="75"/>
      <c r="T869" s="864">
        <v>1.0</v>
      </c>
      <c r="U869" s="69" t="s">
        <v>5006</v>
      </c>
      <c r="V869" s="68" t="s">
        <v>2024</v>
      </c>
      <c r="W869" s="50" t="str">
        <f t="array" ref="W869">HYPERLINK(INDEX('File Links'!B:B, MATCH(U869, 'File Links'!C:C, 0)))
</f>
        <v>https://drive.google.com/file/d/1UFSIBKXNmPXd3__1cxrsTy9PbNax45wB/view?usp=drivesdk</v>
      </c>
      <c r="X869" s="75"/>
      <c r="Y869" s="69" t="s">
        <v>1820</v>
      </c>
      <c r="Z869" s="75" t="s">
        <v>5018</v>
      </c>
      <c r="AA869" s="68" t="s">
        <v>5019</v>
      </c>
      <c r="AB869" s="68" t="s">
        <v>5076</v>
      </c>
      <c r="AC869" s="75" t="s">
        <v>5077</v>
      </c>
      <c r="AD869" s="1233">
        <v>26.0</v>
      </c>
      <c r="AE869" s="573">
        <f t="shared" si="52"/>
        <v>324</v>
      </c>
      <c r="AF869" s="75" t="s">
        <v>5078</v>
      </c>
      <c r="AG869" s="90" t="s">
        <v>162</v>
      </c>
      <c r="AH869" s="69" t="s">
        <v>2444</v>
      </c>
      <c r="AI869" s="573">
        <v>0.05</v>
      </c>
      <c r="AJ869" s="87" t="s">
        <v>329</v>
      </c>
      <c r="AK869" s="69" t="s">
        <v>128</v>
      </c>
      <c r="AL869" s="75" t="s">
        <v>132</v>
      </c>
      <c r="AM869" s="75"/>
      <c r="AN869" s="573">
        <v>196.0</v>
      </c>
      <c r="AO869" s="69" t="s">
        <v>5079</v>
      </c>
      <c r="AP869" s="69" t="s">
        <v>162</v>
      </c>
      <c r="AQ869" s="69" t="s">
        <v>5039</v>
      </c>
      <c r="AR869" s="573">
        <v>0.05</v>
      </c>
      <c r="AS869" s="87" t="s">
        <v>329</v>
      </c>
      <c r="AT869" s="87" t="s">
        <v>128</v>
      </c>
      <c r="AU869" s="86" t="s">
        <v>132</v>
      </c>
      <c r="AV869" s="86"/>
      <c r="AW869" s="86" t="s">
        <v>134</v>
      </c>
      <c r="AX869" s="84"/>
      <c r="AY869" s="84"/>
      <c r="AZ869" s="64"/>
    </row>
    <row r="870">
      <c r="A870" s="65" t="s">
        <v>520</v>
      </c>
      <c r="B870" s="65" t="s">
        <v>107</v>
      </c>
      <c r="C870" s="65" t="s">
        <v>144</v>
      </c>
      <c r="D870" s="66"/>
      <c r="E870" s="86" t="s">
        <v>4998</v>
      </c>
      <c r="F870" s="69" t="s">
        <v>5080</v>
      </c>
      <c r="G870" s="69" t="s">
        <v>144</v>
      </c>
      <c r="H870" s="798">
        <v>45478.0</v>
      </c>
      <c r="I870" s="566">
        <v>45638.0</v>
      </c>
      <c r="J870" s="68" t="s">
        <v>5017</v>
      </c>
      <c r="K870" s="75"/>
      <c r="L870" s="69" t="s">
        <v>5001</v>
      </c>
      <c r="M870" s="69" t="s">
        <v>5002</v>
      </c>
      <c r="N870" s="862">
        <v>1.0</v>
      </c>
      <c r="O870" s="90" t="s">
        <v>5003</v>
      </c>
      <c r="P870" s="48" t="str">
        <f t="array" ref="P870">HYPERLINK(INDEX('File Links'!B:B, MATCH(O870, 'File Links'!C:C, 0)))
</f>
        <v>https://drive.google.com/file/d/1EqvEPwgwndawziGmIPqgl3yNKOI51OAS/view?usp=drivesdk</v>
      </c>
      <c r="Q870" s="69" t="s">
        <v>5004</v>
      </c>
      <c r="R870" s="69" t="s">
        <v>5005</v>
      </c>
      <c r="S870" s="75"/>
      <c r="T870" s="864">
        <v>1.0</v>
      </c>
      <c r="U870" s="69" t="s">
        <v>5006</v>
      </c>
      <c r="V870" s="68" t="s">
        <v>2024</v>
      </c>
      <c r="W870" s="50" t="str">
        <f t="array" ref="W870">HYPERLINK(INDEX('File Links'!B:B, MATCH(U870, 'File Links'!C:C, 0)))
</f>
        <v>https://drive.google.com/file/d/1UFSIBKXNmPXd3__1cxrsTy9PbNax45wB/view?usp=drivesdk</v>
      </c>
      <c r="X870" s="75"/>
      <c r="Y870" s="69" t="s">
        <v>1820</v>
      </c>
      <c r="Z870" s="75" t="s">
        <v>5018</v>
      </c>
      <c r="AA870" s="68" t="s">
        <v>5019</v>
      </c>
      <c r="AB870" s="68" t="s">
        <v>5076</v>
      </c>
      <c r="AC870" s="75" t="s">
        <v>5077</v>
      </c>
      <c r="AD870" s="1233">
        <v>26.0</v>
      </c>
      <c r="AE870" s="573">
        <f t="shared" si="52"/>
        <v>324</v>
      </c>
      <c r="AF870" s="69" t="s">
        <v>5081</v>
      </c>
      <c r="AG870" s="90" t="s">
        <v>162</v>
      </c>
      <c r="AH870" s="69" t="s">
        <v>2443</v>
      </c>
      <c r="AI870" s="573">
        <v>0.05</v>
      </c>
      <c r="AJ870" s="87" t="s">
        <v>329</v>
      </c>
      <c r="AK870" s="69" t="s">
        <v>128</v>
      </c>
      <c r="AL870" s="75" t="s">
        <v>132</v>
      </c>
      <c r="AM870" s="75"/>
      <c r="AN870" s="573">
        <v>185.0</v>
      </c>
      <c r="AO870" s="69" t="s">
        <v>5082</v>
      </c>
      <c r="AP870" s="69" t="s">
        <v>162</v>
      </c>
      <c r="AQ870" s="69" t="s">
        <v>1830</v>
      </c>
      <c r="AR870" s="573">
        <v>0.05</v>
      </c>
      <c r="AS870" s="87" t="s">
        <v>329</v>
      </c>
      <c r="AT870" s="87" t="s">
        <v>128</v>
      </c>
      <c r="AU870" s="86" t="s">
        <v>132</v>
      </c>
      <c r="AV870" s="86"/>
      <c r="AW870" s="86" t="s">
        <v>134</v>
      </c>
      <c r="AX870" s="84"/>
      <c r="AY870" s="84"/>
      <c r="AZ870" s="64"/>
      <c r="BA870" s="178"/>
      <c r="BB870" s="178"/>
      <c r="BC870" s="178"/>
      <c r="BD870" s="178"/>
      <c r="BE870" s="178"/>
      <c r="BF870" s="178"/>
      <c r="BG870" s="178"/>
      <c r="BH870" s="178"/>
      <c r="BI870" s="178"/>
      <c r="BJ870" s="178"/>
      <c r="BK870" s="178"/>
      <c r="BL870" s="178"/>
      <c r="BM870" s="178"/>
      <c r="BN870" s="178"/>
      <c r="BO870" s="178"/>
      <c r="BP870" s="178"/>
      <c r="BQ870" s="178"/>
      <c r="BR870" s="178"/>
      <c r="BS870" s="178"/>
      <c r="BT870" s="178"/>
      <c r="BU870" s="178"/>
      <c r="BV870" s="178"/>
      <c r="BW870" s="178"/>
      <c r="BX870" s="178"/>
      <c r="BY870" s="178"/>
      <c r="BZ870" s="178"/>
      <c r="CA870" s="178"/>
      <c r="CB870" s="178"/>
      <c r="CC870" s="178"/>
      <c r="CD870" s="178"/>
      <c r="CE870" s="178"/>
      <c r="CF870" s="178"/>
      <c r="CG870" s="178"/>
      <c r="CH870" s="178"/>
      <c r="CI870" s="178"/>
      <c r="CJ870" s="178"/>
      <c r="CK870" s="178"/>
      <c r="CL870" s="178"/>
      <c r="CM870" s="178"/>
      <c r="CN870" s="178"/>
      <c r="CO870" s="178"/>
      <c r="CP870" s="178"/>
      <c r="CQ870" s="178"/>
      <c r="CR870" s="178"/>
      <c r="CS870" s="178"/>
      <c r="CT870" s="178"/>
      <c r="CU870" s="178"/>
      <c r="CV870" s="178"/>
      <c r="CW870" s="178"/>
      <c r="CX870" s="178"/>
      <c r="CY870" s="178"/>
      <c r="CZ870" s="178"/>
      <c r="DA870" s="178"/>
      <c r="DB870" s="178"/>
      <c r="DC870" s="178"/>
      <c r="DD870" s="178"/>
      <c r="DE870" s="178"/>
      <c r="DF870" s="178"/>
      <c r="DG870" s="178"/>
    </row>
    <row r="871">
      <c r="A871" s="65" t="s">
        <v>520</v>
      </c>
      <c r="B871" s="65" t="s">
        <v>107</v>
      </c>
      <c r="C871" s="65" t="s">
        <v>144</v>
      </c>
      <c r="D871" s="66"/>
      <c r="E871" s="86" t="s">
        <v>4998</v>
      </c>
      <c r="F871" s="69" t="s">
        <v>5083</v>
      </c>
      <c r="G871" s="69" t="s">
        <v>144</v>
      </c>
      <c r="H871" s="798">
        <v>45478.0</v>
      </c>
      <c r="I871" s="566">
        <v>45638.0</v>
      </c>
      <c r="J871" s="68" t="s">
        <v>5017</v>
      </c>
      <c r="K871" s="75"/>
      <c r="L871" s="69" t="s">
        <v>5001</v>
      </c>
      <c r="M871" s="69" t="s">
        <v>5002</v>
      </c>
      <c r="N871" s="862">
        <v>1.0</v>
      </c>
      <c r="O871" s="90" t="s">
        <v>5003</v>
      </c>
      <c r="P871" s="48" t="str">
        <f t="array" ref="P871">HYPERLINK(INDEX('File Links'!B:B, MATCH(O871, 'File Links'!C:C, 0)))
</f>
        <v>https://drive.google.com/file/d/1EqvEPwgwndawziGmIPqgl3yNKOI51OAS/view?usp=drivesdk</v>
      </c>
      <c r="Q871" s="69" t="s">
        <v>5004</v>
      </c>
      <c r="R871" s="69" t="s">
        <v>5005</v>
      </c>
      <c r="S871" s="75"/>
      <c r="T871" s="864">
        <v>1.0</v>
      </c>
      <c r="U871" s="69" t="s">
        <v>5006</v>
      </c>
      <c r="V871" s="68" t="s">
        <v>2024</v>
      </c>
      <c r="W871" s="50" t="str">
        <f t="array" ref="W871">HYPERLINK(INDEX('File Links'!B:B, MATCH(U871, 'File Links'!C:C, 0)))
</f>
        <v>https://drive.google.com/file/d/1UFSIBKXNmPXd3__1cxrsTy9PbNax45wB/view?usp=drivesdk</v>
      </c>
      <c r="X871" s="75"/>
      <c r="Y871" s="69" t="s">
        <v>1820</v>
      </c>
      <c r="Z871" s="75" t="s">
        <v>5018</v>
      </c>
      <c r="AA871" s="68" t="s">
        <v>5019</v>
      </c>
      <c r="AB871" s="69" t="s">
        <v>5084</v>
      </c>
      <c r="AC871" s="75" t="s">
        <v>5063</v>
      </c>
      <c r="AD871" s="1233">
        <v>26.0</v>
      </c>
      <c r="AE871" s="573">
        <f t="shared" si="52"/>
        <v>324</v>
      </c>
      <c r="AF871" s="69" t="s">
        <v>5085</v>
      </c>
      <c r="AG871" s="90" t="s">
        <v>162</v>
      </c>
      <c r="AH871" s="69" t="s">
        <v>2444</v>
      </c>
      <c r="AI871" s="573">
        <v>0.05</v>
      </c>
      <c r="AJ871" s="87" t="s">
        <v>127</v>
      </c>
      <c r="AK871" s="69" t="s">
        <v>128</v>
      </c>
      <c r="AL871" s="75" t="s">
        <v>132</v>
      </c>
      <c r="AM871" s="75"/>
      <c r="AN871" s="573">
        <v>196.0</v>
      </c>
      <c r="AO871" s="69" t="s">
        <v>5086</v>
      </c>
      <c r="AP871" s="69" t="s">
        <v>162</v>
      </c>
      <c r="AQ871" s="69" t="s">
        <v>5024</v>
      </c>
      <c r="AR871" s="573">
        <v>0.05</v>
      </c>
      <c r="AS871" s="87" t="s">
        <v>329</v>
      </c>
      <c r="AT871" s="87" t="s">
        <v>128</v>
      </c>
      <c r="AU871" s="86" t="s">
        <v>132</v>
      </c>
      <c r="AV871" s="86"/>
      <c r="AW871" s="86" t="s">
        <v>134</v>
      </c>
      <c r="AX871" s="84"/>
      <c r="AY871" s="84"/>
      <c r="AZ871" s="64"/>
    </row>
    <row r="872">
      <c r="A872" s="65" t="s">
        <v>520</v>
      </c>
      <c r="B872" s="65" t="s">
        <v>107</v>
      </c>
      <c r="C872" s="65" t="s">
        <v>144</v>
      </c>
      <c r="D872" s="66"/>
      <c r="E872" s="86" t="s">
        <v>4998</v>
      </c>
      <c r="F872" s="69" t="s">
        <v>5087</v>
      </c>
      <c r="G872" s="69" t="s">
        <v>144</v>
      </c>
      <c r="H872" s="798">
        <v>45478.0</v>
      </c>
      <c r="I872" s="566">
        <v>45638.0</v>
      </c>
      <c r="J872" s="68" t="s">
        <v>5017</v>
      </c>
      <c r="K872" s="75"/>
      <c r="L872" s="69" t="s">
        <v>5001</v>
      </c>
      <c r="M872" s="69" t="s">
        <v>5002</v>
      </c>
      <c r="N872" s="862">
        <v>1.0</v>
      </c>
      <c r="O872" s="90" t="s">
        <v>5003</v>
      </c>
      <c r="P872" s="48" t="str">
        <f t="array" ref="P872">HYPERLINK(INDEX('File Links'!B:B, MATCH(O872, 'File Links'!C:C, 0)))
</f>
        <v>https://drive.google.com/file/d/1EqvEPwgwndawziGmIPqgl3yNKOI51OAS/view?usp=drivesdk</v>
      </c>
      <c r="Q872" s="69" t="s">
        <v>5004</v>
      </c>
      <c r="R872" s="69" t="s">
        <v>5005</v>
      </c>
      <c r="S872" s="75"/>
      <c r="T872" s="864">
        <v>1.0</v>
      </c>
      <c r="U872" s="69" t="s">
        <v>5006</v>
      </c>
      <c r="V872" s="68" t="s">
        <v>2024</v>
      </c>
      <c r="W872" s="50" t="str">
        <f t="array" ref="W872">HYPERLINK(INDEX('File Links'!B:B, MATCH(U872, 'File Links'!C:C, 0)))
</f>
        <v>https://drive.google.com/file/d/1UFSIBKXNmPXd3__1cxrsTy9PbNax45wB/view?usp=drivesdk</v>
      </c>
      <c r="X872" s="75"/>
      <c r="Y872" s="69" t="s">
        <v>1820</v>
      </c>
      <c r="Z872" s="75" t="s">
        <v>5018</v>
      </c>
      <c r="AA872" s="68" t="s">
        <v>5019</v>
      </c>
      <c r="AB872" s="68" t="s">
        <v>5084</v>
      </c>
      <c r="AC872" s="75" t="s">
        <v>5063</v>
      </c>
      <c r="AD872" s="1233">
        <v>26.0</v>
      </c>
      <c r="AE872" s="573">
        <f t="shared" si="52"/>
        <v>324</v>
      </c>
      <c r="AF872" s="69" t="s">
        <v>5088</v>
      </c>
      <c r="AG872" s="90" t="s">
        <v>162</v>
      </c>
      <c r="AH872" s="69" t="s">
        <v>2443</v>
      </c>
      <c r="AI872" s="573">
        <v>0.05</v>
      </c>
      <c r="AJ872" s="87" t="s">
        <v>329</v>
      </c>
      <c r="AK872" s="69" t="s">
        <v>128</v>
      </c>
      <c r="AL872" s="75" t="s">
        <v>132</v>
      </c>
      <c r="AM872" s="75"/>
      <c r="AN872" s="573">
        <v>185.0</v>
      </c>
      <c r="AO872" s="69" t="s">
        <v>5089</v>
      </c>
      <c r="AP872" s="69" t="s">
        <v>162</v>
      </c>
      <c r="AQ872" s="69" t="s">
        <v>5029</v>
      </c>
      <c r="AR872" s="573">
        <v>0.05</v>
      </c>
      <c r="AS872" s="87" t="s">
        <v>329</v>
      </c>
      <c r="AT872" s="87" t="s">
        <v>128</v>
      </c>
      <c r="AU872" s="86" t="s">
        <v>132</v>
      </c>
      <c r="AV872" s="86"/>
      <c r="AW872" s="86" t="s">
        <v>134</v>
      </c>
      <c r="AX872" s="84"/>
      <c r="AY872" s="84"/>
      <c r="AZ872" s="64"/>
      <c r="BA872" s="178"/>
      <c r="BB872" s="178"/>
      <c r="BC872" s="178"/>
      <c r="BD872" s="178"/>
      <c r="BE872" s="178"/>
      <c r="BF872" s="178"/>
      <c r="BG872" s="178"/>
      <c r="BH872" s="178"/>
      <c r="BI872" s="178"/>
      <c r="BJ872" s="178"/>
      <c r="BK872" s="178"/>
      <c r="BL872" s="178"/>
      <c r="BM872" s="178"/>
      <c r="BN872" s="178"/>
      <c r="BO872" s="178"/>
      <c r="BP872" s="178"/>
      <c r="BQ872" s="178"/>
      <c r="BR872" s="178"/>
      <c r="BS872" s="178"/>
      <c r="BT872" s="178"/>
      <c r="BU872" s="178"/>
      <c r="BV872" s="178"/>
      <c r="BW872" s="178"/>
      <c r="BX872" s="178"/>
      <c r="BY872" s="178"/>
      <c r="BZ872" s="178"/>
      <c r="CA872" s="178"/>
      <c r="CB872" s="178"/>
      <c r="CC872" s="178"/>
      <c r="CD872" s="178"/>
      <c r="CE872" s="178"/>
      <c r="CF872" s="178"/>
      <c r="CG872" s="178"/>
      <c r="CH872" s="178"/>
      <c r="CI872" s="178"/>
      <c r="CJ872" s="178"/>
      <c r="CK872" s="178"/>
      <c r="CL872" s="178"/>
      <c r="CM872" s="178"/>
      <c r="CN872" s="178"/>
      <c r="CO872" s="178"/>
      <c r="CP872" s="178"/>
      <c r="CQ872" s="178"/>
      <c r="CR872" s="178"/>
      <c r="CS872" s="178"/>
      <c r="CT872" s="178"/>
      <c r="CU872" s="178"/>
      <c r="CV872" s="178"/>
      <c r="CW872" s="178"/>
      <c r="CX872" s="178"/>
      <c r="CY872" s="178"/>
      <c r="CZ872" s="178"/>
      <c r="DA872" s="178"/>
      <c r="DB872" s="178"/>
      <c r="DC872" s="178"/>
      <c r="DD872" s="178"/>
      <c r="DE872" s="178"/>
      <c r="DF872" s="178"/>
      <c r="DG872" s="178"/>
    </row>
    <row r="873">
      <c r="A873" s="65" t="s">
        <v>520</v>
      </c>
      <c r="B873" s="65" t="s">
        <v>107</v>
      </c>
      <c r="C873" s="65" t="s">
        <v>144</v>
      </c>
      <c r="D873" s="66"/>
      <c r="E873" s="86" t="s">
        <v>4998</v>
      </c>
      <c r="F873" s="69" t="s">
        <v>5090</v>
      </c>
      <c r="G873" s="69" t="s">
        <v>144</v>
      </c>
      <c r="H873" s="798">
        <v>45478.0</v>
      </c>
      <c r="I873" s="566">
        <v>45638.0</v>
      </c>
      <c r="J873" s="68" t="s">
        <v>5017</v>
      </c>
      <c r="K873" s="75"/>
      <c r="L873" s="69" t="s">
        <v>5001</v>
      </c>
      <c r="M873" s="69" t="s">
        <v>5002</v>
      </c>
      <c r="N873" s="862">
        <v>1.0</v>
      </c>
      <c r="O873" s="90" t="s">
        <v>5003</v>
      </c>
      <c r="P873" s="48" t="str">
        <f t="array" ref="P873">HYPERLINK(INDEX('File Links'!B:B, MATCH(O873, 'File Links'!C:C, 0)))
</f>
        <v>https://drive.google.com/file/d/1EqvEPwgwndawziGmIPqgl3yNKOI51OAS/view?usp=drivesdk</v>
      </c>
      <c r="Q873" s="69" t="s">
        <v>5004</v>
      </c>
      <c r="R873" s="69" t="s">
        <v>5005</v>
      </c>
      <c r="S873" s="75"/>
      <c r="T873" s="864">
        <v>1.0</v>
      </c>
      <c r="U873" s="69" t="s">
        <v>5006</v>
      </c>
      <c r="V873" s="68" t="s">
        <v>2024</v>
      </c>
      <c r="W873" s="50" t="str">
        <f t="array" ref="W873">HYPERLINK(INDEX('File Links'!B:B, MATCH(U873, 'File Links'!C:C, 0)))
</f>
        <v>https://drive.google.com/file/d/1UFSIBKXNmPXd3__1cxrsTy9PbNax45wB/view?usp=drivesdk</v>
      </c>
      <c r="X873" s="75"/>
      <c r="Y873" s="69" t="s">
        <v>1820</v>
      </c>
      <c r="Z873" s="75" t="s">
        <v>5018</v>
      </c>
      <c r="AA873" s="68" t="s">
        <v>5019</v>
      </c>
      <c r="AB873" s="68" t="s">
        <v>5084</v>
      </c>
      <c r="AC873" s="75" t="s">
        <v>5063</v>
      </c>
      <c r="AD873" s="1233">
        <v>26.0</v>
      </c>
      <c r="AE873" s="573">
        <f t="shared" si="52"/>
        <v>324</v>
      </c>
      <c r="AF873" s="69" t="s">
        <v>5091</v>
      </c>
      <c r="AG873" s="90" t="s">
        <v>162</v>
      </c>
      <c r="AH873" s="69" t="s">
        <v>2444</v>
      </c>
      <c r="AI873" s="573">
        <v>0.01</v>
      </c>
      <c r="AJ873" s="87" t="s">
        <v>127</v>
      </c>
      <c r="AK873" s="69" t="s">
        <v>128</v>
      </c>
      <c r="AL873" s="75" t="s">
        <v>132</v>
      </c>
      <c r="AM873" s="75"/>
      <c r="AN873" s="573">
        <v>196.0</v>
      </c>
      <c r="AO873" s="69" t="s">
        <v>5092</v>
      </c>
      <c r="AP873" s="69" t="s">
        <v>162</v>
      </c>
      <c r="AQ873" s="69" t="s">
        <v>2030</v>
      </c>
      <c r="AR873" s="573">
        <v>0.05</v>
      </c>
      <c r="AS873" s="87" t="s">
        <v>329</v>
      </c>
      <c r="AT873" s="87" t="s">
        <v>128</v>
      </c>
      <c r="AU873" s="86" t="s">
        <v>132</v>
      </c>
      <c r="AV873" s="86"/>
      <c r="AW873" s="86" t="s">
        <v>134</v>
      </c>
      <c r="AX873" s="84"/>
      <c r="AY873" s="84"/>
      <c r="AZ873" s="64"/>
    </row>
    <row r="874">
      <c r="A874" s="65" t="s">
        <v>520</v>
      </c>
      <c r="B874" s="65" t="s">
        <v>107</v>
      </c>
      <c r="C874" s="65" t="s">
        <v>144</v>
      </c>
      <c r="D874" s="66"/>
      <c r="E874" s="86" t="s">
        <v>4998</v>
      </c>
      <c r="F874" s="69" t="s">
        <v>5093</v>
      </c>
      <c r="G874" s="69" t="s">
        <v>144</v>
      </c>
      <c r="H874" s="798">
        <v>45478.0</v>
      </c>
      <c r="I874" s="566">
        <v>45638.0</v>
      </c>
      <c r="J874" s="68" t="s">
        <v>5017</v>
      </c>
      <c r="K874" s="75"/>
      <c r="L874" s="69" t="s">
        <v>5001</v>
      </c>
      <c r="M874" s="69" t="s">
        <v>5002</v>
      </c>
      <c r="N874" s="862">
        <v>1.0</v>
      </c>
      <c r="O874" s="90" t="s">
        <v>5003</v>
      </c>
      <c r="P874" s="48" t="str">
        <f t="array" ref="P874">HYPERLINK(INDEX('File Links'!B:B, MATCH(O874, 'File Links'!C:C, 0)))
</f>
        <v>https://drive.google.com/file/d/1EqvEPwgwndawziGmIPqgl3yNKOI51OAS/view?usp=drivesdk</v>
      </c>
      <c r="Q874" s="69" t="s">
        <v>5004</v>
      </c>
      <c r="R874" s="69" t="s">
        <v>5005</v>
      </c>
      <c r="S874" s="75"/>
      <c r="T874" s="864">
        <v>1.0</v>
      </c>
      <c r="U874" s="69" t="s">
        <v>5006</v>
      </c>
      <c r="V874" s="68" t="s">
        <v>2024</v>
      </c>
      <c r="W874" s="50" t="str">
        <f t="array" ref="W874">HYPERLINK(INDEX('File Links'!B:B, MATCH(U874, 'File Links'!C:C, 0)))
</f>
        <v>https://drive.google.com/file/d/1UFSIBKXNmPXd3__1cxrsTy9PbNax45wB/view?usp=drivesdk</v>
      </c>
      <c r="X874" s="75"/>
      <c r="Y874" s="69" t="s">
        <v>1820</v>
      </c>
      <c r="Z874" s="75" t="s">
        <v>5018</v>
      </c>
      <c r="AA874" s="68" t="s">
        <v>5019</v>
      </c>
      <c r="AB874" s="68" t="s">
        <v>5084</v>
      </c>
      <c r="AC874" s="75" t="s">
        <v>5063</v>
      </c>
      <c r="AD874" s="1233">
        <v>26.0</v>
      </c>
      <c r="AE874" s="573">
        <f t="shared" si="52"/>
        <v>324</v>
      </c>
      <c r="AF874" s="69" t="s">
        <v>5094</v>
      </c>
      <c r="AG874" s="90" t="s">
        <v>162</v>
      </c>
      <c r="AH874" s="69" t="s">
        <v>2443</v>
      </c>
      <c r="AI874" s="573">
        <v>0.05</v>
      </c>
      <c r="AJ874" s="87" t="s">
        <v>329</v>
      </c>
      <c r="AK874" s="69" t="s">
        <v>128</v>
      </c>
      <c r="AL874" s="75" t="s">
        <v>132</v>
      </c>
      <c r="AM874" s="75"/>
      <c r="AN874" s="573">
        <v>185.0</v>
      </c>
      <c r="AO874" s="69" t="s">
        <v>5095</v>
      </c>
      <c r="AP874" s="69" t="s">
        <v>162</v>
      </c>
      <c r="AQ874" s="69" t="s">
        <v>1186</v>
      </c>
      <c r="AR874" s="573">
        <v>0.05</v>
      </c>
      <c r="AS874" s="87" t="s">
        <v>329</v>
      </c>
      <c r="AT874" s="87" t="s">
        <v>128</v>
      </c>
      <c r="AU874" s="86" t="s">
        <v>132</v>
      </c>
      <c r="AV874" s="86"/>
      <c r="AW874" s="86" t="s">
        <v>134</v>
      </c>
      <c r="AX874" s="84"/>
      <c r="AY874" s="84"/>
      <c r="AZ874" s="64"/>
      <c r="BA874" s="178"/>
      <c r="BB874" s="178"/>
      <c r="BC874" s="178"/>
      <c r="BD874" s="178"/>
      <c r="BE874" s="178"/>
      <c r="BF874" s="178"/>
      <c r="BG874" s="178"/>
      <c r="BH874" s="178"/>
      <c r="BI874" s="178"/>
      <c r="BJ874" s="178"/>
      <c r="BK874" s="178"/>
      <c r="BL874" s="178"/>
      <c r="BM874" s="178"/>
      <c r="BN874" s="178"/>
      <c r="BO874" s="178"/>
      <c r="BP874" s="178"/>
      <c r="BQ874" s="178"/>
      <c r="BR874" s="178"/>
      <c r="BS874" s="178"/>
      <c r="BT874" s="178"/>
      <c r="BU874" s="178"/>
      <c r="BV874" s="178"/>
      <c r="BW874" s="178"/>
      <c r="BX874" s="178"/>
      <c r="BY874" s="178"/>
      <c r="BZ874" s="178"/>
      <c r="CA874" s="178"/>
      <c r="CB874" s="178"/>
      <c r="CC874" s="178"/>
      <c r="CD874" s="178"/>
      <c r="CE874" s="178"/>
      <c r="CF874" s="178"/>
      <c r="CG874" s="178"/>
      <c r="CH874" s="178"/>
      <c r="CI874" s="178"/>
      <c r="CJ874" s="178"/>
      <c r="CK874" s="178"/>
      <c r="CL874" s="178"/>
      <c r="CM874" s="178"/>
      <c r="CN874" s="178"/>
      <c r="CO874" s="178"/>
      <c r="CP874" s="178"/>
      <c r="CQ874" s="178"/>
      <c r="CR874" s="178"/>
      <c r="CS874" s="178"/>
      <c r="CT874" s="178"/>
      <c r="CU874" s="178"/>
      <c r="CV874" s="178"/>
      <c r="CW874" s="178"/>
      <c r="CX874" s="178"/>
      <c r="CY874" s="178"/>
      <c r="CZ874" s="178"/>
      <c r="DA874" s="178"/>
      <c r="DB874" s="178"/>
      <c r="DC874" s="178"/>
      <c r="DD874" s="178"/>
      <c r="DE874" s="178"/>
      <c r="DF874" s="178"/>
      <c r="DG874" s="178"/>
    </row>
    <row r="875">
      <c r="A875" s="65" t="s">
        <v>520</v>
      </c>
      <c r="B875" s="65" t="s">
        <v>107</v>
      </c>
      <c r="C875" s="65" t="s">
        <v>144</v>
      </c>
      <c r="D875" s="66"/>
      <c r="E875" s="86" t="s">
        <v>4998</v>
      </c>
      <c r="F875" s="69" t="s">
        <v>5096</v>
      </c>
      <c r="G875" s="69" t="s">
        <v>144</v>
      </c>
      <c r="H875" s="798">
        <v>45478.0</v>
      </c>
      <c r="I875" s="566">
        <v>45638.0</v>
      </c>
      <c r="J875" s="68" t="s">
        <v>5017</v>
      </c>
      <c r="K875" s="75"/>
      <c r="L875" s="69" t="s">
        <v>5001</v>
      </c>
      <c r="M875" s="69" t="s">
        <v>5002</v>
      </c>
      <c r="N875" s="862">
        <v>1.0</v>
      </c>
      <c r="O875" s="90" t="s">
        <v>5003</v>
      </c>
      <c r="P875" s="48" t="str">
        <f t="array" ref="P875">HYPERLINK(INDEX('File Links'!B:B, MATCH(O875, 'File Links'!C:C, 0)))
</f>
        <v>https://drive.google.com/file/d/1EqvEPwgwndawziGmIPqgl3yNKOI51OAS/view?usp=drivesdk</v>
      </c>
      <c r="Q875" s="69" t="s">
        <v>5004</v>
      </c>
      <c r="R875" s="69" t="s">
        <v>5005</v>
      </c>
      <c r="S875" s="75"/>
      <c r="T875" s="864">
        <v>1.0</v>
      </c>
      <c r="U875" s="69" t="s">
        <v>5006</v>
      </c>
      <c r="V875" s="68" t="s">
        <v>2024</v>
      </c>
      <c r="W875" s="50" t="str">
        <f t="array" ref="W875">HYPERLINK(INDEX('File Links'!B:B, MATCH(U875, 'File Links'!C:C, 0)))
</f>
        <v>https://drive.google.com/file/d/1UFSIBKXNmPXd3__1cxrsTy9PbNax45wB/view?usp=drivesdk</v>
      </c>
      <c r="X875" s="75"/>
      <c r="Y875" s="69" t="s">
        <v>1820</v>
      </c>
      <c r="Z875" s="75" t="s">
        <v>5018</v>
      </c>
      <c r="AA875" s="68" t="s">
        <v>5019</v>
      </c>
      <c r="AB875" s="68" t="s">
        <v>5097</v>
      </c>
      <c r="AC875" s="75" t="s">
        <v>5077</v>
      </c>
      <c r="AD875" s="1233">
        <v>26.0</v>
      </c>
      <c r="AE875" s="573">
        <f t="shared" si="52"/>
        <v>324</v>
      </c>
      <c r="AF875" s="75" t="s">
        <v>5098</v>
      </c>
      <c r="AG875" s="90" t="s">
        <v>162</v>
      </c>
      <c r="AH875" s="69" t="s">
        <v>2444</v>
      </c>
      <c r="AI875" s="573">
        <v>0.05</v>
      </c>
      <c r="AJ875" s="87" t="s">
        <v>329</v>
      </c>
      <c r="AK875" s="69" t="s">
        <v>128</v>
      </c>
      <c r="AL875" s="75" t="s">
        <v>132</v>
      </c>
      <c r="AM875" s="75"/>
      <c r="AN875" s="573">
        <v>196.0</v>
      </c>
      <c r="AO875" s="69" t="s">
        <v>5099</v>
      </c>
      <c r="AP875" s="69" t="s">
        <v>162</v>
      </c>
      <c r="AQ875" s="69" t="s">
        <v>5039</v>
      </c>
      <c r="AR875" s="573">
        <v>0.05</v>
      </c>
      <c r="AS875" s="87" t="s">
        <v>329</v>
      </c>
      <c r="AT875" s="87" t="s">
        <v>128</v>
      </c>
      <c r="AU875" s="86" t="s">
        <v>132</v>
      </c>
      <c r="AV875" s="86"/>
      <c r="AW875" s="86" t="s">
        <v>134</v>
      </c>
      <c r="AX875" s="84"/>
      <c r="AY875" s="84"/>
      <c r="AZ875" s="64"/>
    </row>
    <row r="876">
      <c r="A876" s="65" t="s">
        <v>520</v>
      </c>
      <c r="B876" s="65" t="s">
        <v>107</v>
      </c>
      <c r="C876" s="65" t="s">
        <v>144</v>
      </c>
      <c r="D876" s="66"/>
      <c r="E876" s="86" t="s">
        <v>4998</v>
      </c>
      <c r="F876" s="69" t="s">
        <v>5100</v>
      </c>
      <c r="G876" s="69" t="s">
        <v>144</v>
      </c>
      <c r="H876" s="798">
        <v>45478.0</v>
      </c>
      <c r="I876" s="566">
        <v>45638.0</v>
      </c>
      <c r="J876" s="68" t="s">
        <v>5017</v>
      </c>
      <c r="K876" s="75"/>
      <c r="L876" s="69" t="s">
        <v>5001</v>
      </c>
      <c r="M876" s="69" t="s">
        <v>5002</v>
      </c>
      <c r="N876" s="862">
        <v>1.0</v>
      </c>
      <c r="O876" s="90" t="s">
        <v>5003</v>
      </c>
      <c r="P876" s="48" t="str">
        <f t="array" ref="P876">HYPERLINK(INDEX('File Links'!B:B, MATCH(O876, 'File Links'!C:C, 0)))
</f>
        <v>https://drive.google.com/file/d/1EqvEPwgwndawziGmIPqgl3yNKOI51OAS/view?usp=drivesdk</v>
      </c>
      <c r="Q876" s="69" t="s">
        <v>5004</v>
      </c>
      <c r="R876" s="69" t="s">
        <v>5005</v>
      </c>
      <c r="S876" s="75"/>
      <c r="T876" s="864">
        <v>1.0</v>
      </c>
      <c r="U876" s="69" t="s">
        <v>5006</v>
      </c>
      <c r="V876" s="68" t="s">
        <v>2024</v>
      </c>
      <c r="W876" s="50" t="str">
        <f t="array" ref="W876">HYPERLINK(INDEX('File Links'!B:B, MATCH(U876, 'File Links'!C:C, 0)))
</f>
        <v>https://drive.google.com/file/d/1UFSIBKXNmPXd3__1cxrsTy9PbNax45wB/view?usp=drivesdk</v>
      </c>
      <c r="X876" s="75"/>
      <c r="Y876" s="69" t="s">
        <v>1820</v>
      </c>
      <c r="Z876" s="75" t="s">
        <v>5018</v>
      </c>
      <c r="AA876" s="68" t="s">
        <v>5019</v>
      </c>
      <c r="AB876" s="68" t="s">
        <v>5097</v>
      </c>
      <c r="AC876" s="75" t="s">
        <v>5077</v>
      </c>
      <c r="AD876" s="1233">
        <v>26.0</v>
      </c>
      <c r="AE876" s="573">
        <f t="shared" si="52"/>
        <v>324</v>
      </c>
      <c r="AF876" s="69" t="s">
        <v>5101</v>
      </c>
      <c r="AG876" s="90" t="s">
        <v>162</v>
      </c>
      <c r="AH876" s="69" t="s">
        <v>2443</v>
      </c>
      <c r="AI876" s="573">
        <v>0.05</v>
      </c>
      <c r="AJ876" s="87" t="s">
        <v>329</v>
      </c>
      <c r="AK876" s="69" t="s">
        <v>128</v>
      </c>
      <c r="AL876" s="75" t="s">
        <v>132</v>
      </c>
      <c r="AM876" s="75"/>
      <c r="AN876" s="573">
        <v>185.0</v>
      </c>
      <c r="AO876" s="69" t="s">
        <v>5102</v>
      </c>
      <c r="AP876" s="69" t="s">
        <v>162</v>
      </c>
      <c r="AQ876" s="69" t="s">
        <v>1830</v>
      </c>
      <c r="AR876" s="573">
        <v>0.05</v>
      </c>
      <c r="AS876" s="87" t="s">
        <v>329</v>
      </c>
      <c r="AT876" s="87" t="s">
        <v>128</v>
      </c>
      <c r="AU876" s="86" t="s">
        <v>132</v>
      </c>
      <c r="AV876" s="86"/>
      <c r="AW876" s="86" t="s">
        <v>134</v>
      </c>
      <c r="AX876" s="84"/>
      <c r="AY876" s="84"/>
      <c r="AZ876" s="64"/>
      <c r="BA876" s="178"/>
      <c r="BB876" s="178"/>
      <c r="BC876" s="178"/>
      <c r="BD876" s="178"/>
      <c r="BE876" s="178"/>
      <c r="BF876" s="178"/>
      <c r="BG876" s="178"/>
      <c r="BH876" s="178"/>
      <c r="BI876" s="178"/>
      <c r="BJ876" s="178"/>
      <c r="BK876" s="178"/>
      <c r="BL876" s="178"/>
      <c r="BM876" s="178"/>
      <c r="BN876" s="178"/>
      <c r="BO876" s="178"/>
      <c r="BP876" s="178"/>
      <c r="BQ876" s="178"/>
      <c r="BR876" s="178"/>
      <c r="BS876" s="178"/>
      <c r="BT876" s="178"/>
      <c r="BU876" s="178"/>
      <c r="BV876" s="178"/>
      <c r="BW876" s="178"/>
      <c r="BX876" s="178"/>
      <c r="BY876" s="178"/>
      <c r="BZ876" s="178"/>
      <c r="CA876" s="178"/>
      <c r="CB876" s="178"/>
      <c r="CC876" s="178"/>
      <c r="CD876" s="178"/>
      <c r="CE876" s="178"/>
      <c r="CF876" s="178"/>
      <c r="CG876" s="178"/>
      <c r="CH876" s="178"/>
      <c r="CI876" s="178"/>
      <c r="CJ876" s="178"/>
      <c r="CK876" s="178"/>
      <c r="CL876" s="178"/>
      <c r="CM876" s="178"/>
      <c r="CN876" s="178"/>
      <c r="CO876" s="178"/>
      <c r="CP876" s="178"/>
      <c r="CQ876" s="178"/>
      <c r="CR876" s="178"/>
      <c r="CS876" s="178"/>
      <c r="CT876" s="178"/>
      <c r="CU876" s="178"/>
      <c r="CV876" s="178"/>
      <c r="CW876" s="178"/>
      <c r="CX876" s="178"/>
      <c r="CY876" s="178"/>
      <c r="CZ876" s="178"/>
      <c r="DA876" s="178"/>
      <c r="DB876" s="178"/>
      <c r="DC876" s="178"/>
      <c r="DD876" s="178"/>
      <c r="DE876" s="178"/>
      <c r="DF876" s="178"/>
      <c r="DG876" s="178"/>
    </row>
    <row r="877">
      <c r="A877" s="65" t="s">
        <v>520</v>
      </c>
      <c r="B877" s="65" t="s">
        <v>107</v>
      </c>
      <c r="C877" s="65" t="s">
        <v>144</v>
      </c>
      <c r="D877" s="66"/>
      <c r="E877" s="86" t="s">
        <v>4998</v>
      </c>
      <c r="F877" s="69" t="s">
        <v>5103</v>
      </c>
      <c r="G877" s="69" t="s">
        <v>144</v>
      </c>
      <c r="H877" s="798">
        <v>45478.0</v>
      </c>
      <c r="I877" s="566">
        <v>45638.0</v>
      </c>
      <c r="J877" s="68" t="s">
        <v>5017</v>
      </c>
      <c r="K877" s="75"/>
      <c r="L877" s="69" t="s">
        <v>5001</v>
      </c>
      <c r="M877" s="69" t="s">
        <v>5002</v>
      </c>
      <c r="N877" s="862">
        <v>1.0</v>
      </c>
      <c r="O877" s="90" t="s">
        <v>5003</v>
      </c>
      <c r="P877" s="48" t="str">
        <f t="array" ref="P877">HYPERLINK(INDEX('File Links'!B:B, MATCH(O877, 'File Links'!C:C, 0)))
</f>
        <v>https://drive.google.com/file/d/1EqvEPwgwndawziGmIPqgl3yNKOI51OAS/view?usp=drivesdk</v>
      </c>
      <c r="Q877" s="69" t="s">
        <v>5004</v>
      </c>
      <c r="R877" s="69" t="s">
        <v>5005</v>
      </c>
      <c r="S877" s="75"/>
      <c r="T877" s="864">
        <v>1.0</v>
      </c>
      <c r="U877" s="69" t="s">
        <v>5006</v>
      </c>
      <c r="V877" s="68" t="s">
        <v>2024</v>
      </c>
      <c r="W877" s="50" t="str">
        <f t="array" ref="W877">HYPERLINK(INDEX('File Links'!B:B, MATCH(U877, 'File Links'!C:C, 0)))
</f>
        <v>https://drive.google.com/file/d/1UFSIBKXNmPXd3__1cxrsTy9PbNax45wB/view?usp=drivesdk</v>
      </c>
      <c r="X877" s="75"/>
      <c r="Y877" s="69" t="s">
        <v>1820</v>
      </c>
      <c r="Z877" s="75" t="s">
        <v>5018</v>
      </c>
      <c r="AA877" s="68" t="s">
        <v>5019</v>
      </c>
      <c r="AB877" s="68" t="s">
        <v>5104</v>
      </c>
      <c r="AC877" s="75" t="s">
        <v>5105</v>
      </c>
      <c r="AD877" s="1233" t="s">
        <v>5106</v>
      </c>
      <c r="AE877" s="573">
        <f t="shared" si="52"/>
        <v>324</v>
      </c>
      <c r="AF877" s="69" t="s">
        <v>5107</v>
      </c>
      <c r="AG877" s="90" t="s">
        <v>162</v>
      </c>
      <c r="AH877" s="69" t="s">
        <v>2443</v>
      </c>
      <c r="AI877" s="573">
        <v>0.426</v>
      </c>
      <c r="AJ877" s="87" t="s">
        <v>164</v>
      </c>
      <c r="AK877" s="69" t="s">
        <v>211</v>
      </c>
      <c r="AL877" s="75" t="s">
        <v>129</v>
      </c>
      <c r="AM877" s="75"/>
      <c r="AN877" s="573">
        <v>196.0</v>
      </c>
      <c r="AO877" s="69" t="s">
        <v>5108</v>
      </c>
      <c r="AP877" s="69" t="s">
        <v>162</v>
      </c>
      <c r="AQ877" s="69" t="s">
        <v>5024</v>
      </c>
      <c r="AR877" s="573">
        <v>0.9</v>
      </c>
      <c r="AS877" s="87" t="s">
        <v>164</v>
      </c>
      <c r="AT877" s="87" t="s">
        <v>211</v>
      </c>
      <c r="AU877" s="86" t="s">
        <v>129</v>
      </c>
      <c r="AV877" s="86"/>
      <c r="AW877" s="86" t="s">
        <v>134</v>
      </c>
      <c r="AX877" s="84"/>
      <c r="AY877" s="84"/>
      <c r="AZ877" s="64"/>
    </row>
    <row r="878">
      <c r="A878" s="65" t="s">
        <v>520</v>
      </c>
      <c r="B878" s="65" t="s">
        <v>107</v>
      </c>
      <c r="C878" s="65" t="s">
        <v>144</v>
      </c>
      <c r="D878" s="66"/>
      <c r="E878" s="86" t="s">
        <v>4998</v>
      </c>
      <c r="F878" s="69" t="s">
        <v>5109</v>
      </c>
      <c r="G878" s="69" t="s">
        <v>144</v>
      </c>
      <c r="H878" s="798">
        <v>45478.0</v>
      </c>
      <c r="I878" s="566">
        <v>45638.0</v>
      </c>
      <c r="J878" s="68" t="s">
        <v>5017</v>
      </c>
      <c r="K878" s="75"/>
      <c r="L878" s="69" t="s">
        <v>5001</v>
      </c>
      <c r="M878" s="69" t="s">
        <v>5002</v>
      </c>
      <c r="N878" s="862">
        <v>1.0</v>
      </c>
      <c r="O878" s="90" t="s">
        <v>5003</v>
      </c>
      <c r="P878" s="48" t="str">
        <f t="array" ref="P878">HYPERLINK(INDEX('File Links'!B:B, MATCH(O878, 'File Links'!C:C, 0)))
</f>
        <v>https://drive.google.com/file/d/1EqvEPwgwndawziGmIPqgl3yNKOI51OAS/view?usp=drivesdk</v>
      </c>
      <c r="Q878" s="69" t="s">
        <v>5004</v>
      </c>
      <c r="R878" s="69" t="s">
        <v>5005</v>
      </c>
      <c r="S878" s="75"/>
      <c r="T878" s="864">
        <v>1.0</v>
      </c>
      <c r="U878" s="69" t="s">
        <v>5006</v>
      </c>
      <c r="V878" s="68" t="s">
        <v>2024</v>
      </c>
      <c r="W878" s="50" t="str">
        <f t="array" ref="W878">HYPERLINK(INDEX('File Links'!B:B, MATCH(U878, 'File Links'!C:C, 0)))
</f>
        <v>https://drive.google.com/file/d/1UFSIBKXNmPXd3__1cxrsTy9PbNax45wB/view?usp=drivesdk</v>
      </c>
      <c r="X878" s="75"/>
      <c r="Y878" s="69" t="s">
        <v>1820</v>
      </c>
      <c r="Z878" s="75" t="s">
        <v>5018</v>
      </c>
      <c r="AA878" s="68" t="s">
        <v>5019</v>
      </c>
      <c r="AB878" s="68" t="s">
        <v>5104</v>
      </c>
      <c r="AC878" s="75" t="s">
        <v>5105</v>
      </c>
      <c r="AD878" s="1233" t="s">
        <v>5106</v>
      </c>
      <c r="AE878" s="573">
        <f t="shared" si="52"/>
        <v>324</v>
      </c>
      <c r="AF878" s="69" t="s">
        <v>5110</v>
      </c>
      <c r="AG878" s="90" t="s">
        <v>162</v>
      </c>
      <c r="AH878" s="69" t="s">
        <v>5049</v>
      </c>
      <c r="AI878" s="573">
        <v>0.418</v>
      </c>
      <c r="AJ878" s="87" t="s">
        <v>164</v>
      </c>
      <c r="AK878" s="69" t="s">
        <v>211</v>
      </c>
      <c r="AL878" s="75" t="s">
        <v>129</v>
      </c>
      <c r="AM878" s="75"/>
      <c r="AN878" s="573">
        <v>185.0</v>
      </c>
      <c r="AO878" s="69" t="s">
        <v>5111</v>
      </c>
      <c r="AP878" s="69" t="s">
        <v>162</v>
      </c>
      <c r="AQ878" s="69" t="s">
        <v>5029</v>
      </c>
      <c r="AR878" s="573">
        <v>0.988</v>
      </c>
      <c r="AS878" s="87" t="s">
        <v>164</v>
      </c>
      <c r="AT878" s="87" t="s">
        <v>211</v>
      </c>
      <c r="AU878" s="86" t="s">
        <v>129</v>
      </c>
      <c r="AV878" s="86"/>
      <c r="AW878" s="86" t="s">
        <v>134</v>
      </c>
      <c r="AX878" s="84"/>
      <c r="AY878" s="84"/>
      <c r="AZ878" s="64"/>
      <c r="BA878" s="178"/>
      <c r="BB878" s="178"/>
      <c r="BC878" s="178"/>
      <c r="BD878" s="178"/>
      <c r="BE878" s="178"/>
      <c r="BF878" s="178"/>
      <c r="BG878" s="178"/>
      <c r="BH878" s="178"/>
      <c r="BI878" s="178"/>
      <c r="BJ878" s="178"/>
      <c r="BK878" s="178"/>
      <c r="BL878" s="178"/>
      <c r="BM878" s="178"/>
      <c r="BN878" s="178"/>
      <c r="BO878" s="178"/>
      <c r="BP878" s="178"/>
      <c r="BQ878" s="178"/>
      <c r="BR878" s="178"/>
      <c r="BS878" s="178"/>
      <c r="BT878" s="178"/>
      <c r="BU878" s="178"/>
      <c r="BV878" s="178"/>
      <c r="BW878" s="178"/>
      <c r="BX878" s="178"/>
      <c r="BY878" s="178"/>
      <c r="BZ878" s="178"/>
      <c r="CA878" s="178"/>
      <c r="CB878" s="178"/>
      <c r="CC878" s="178"/>
      <c r="CD878" s="178"/>
      <c r="CE878" s="178"/>
      <c r="CF878" s="178"/>
      <c r="CG878" s="178"/>
      <c r="CH878" s="178"/>
      <c r="CI878" s="178"/>
      <c r="CJ878" s="178"/>
      <c r="CK878" s="178"/>
      <c r="CL878" s="178"/>
      <c r="CM878" s="178"/>
      <c r="CN878" s="178"/>
      <c r="CO878" s="178"/>
      <c r="CP878" s="178"/>
      <c r="CQ878" s="178"/>
      <c r="CR878" s="178"/>
      <c r="CS878" s="178"/>
      <c r="CT878" s="178"/>
      <c r="CU878" s="178"/>
      <c r="CV878" s="178"/>
      <c r="CW878" s="178"/>
      <c r="CX878" s="178"/>
      <c r="CY878" s="178"/>
      <c r="CZ878" s="178"/>
      <c r="DA878" s="178"/>
      <c r="DB878" s="178"/>
      <c r="DC878" s="178"/>
      <c r="DD878" s="178"/>
      <c r="DE878" s="178"/>
      <c r="DF878" s="178"/>
      <c r="DG878" s="178"/>
    </row>
    <row r="879">
      <c r="A879" s="65" t="s">
        <v>520</v>
      </c>
      <c r="B879" s="65" t="s">
        <v>107</v>
      </c>
      <c r="C879" s="65" t="s">
        <v>144</v>
      </c>
      <c r="D879" s="66"/>
      <c r="E879" s="86" t="s">
        <v>4998</v>
      </c>
      <c r="F879" s="69" t="s">
        <v>5112</v>
      </c>
      <c r="G879" s="69" t="s">
        <v>144</v>
      </c>
      <c r="H879" s="798">
        <v>45478.0</v>
      </c>
      <c r="I879" s="566">
        <v>45638.0</v>
      </c>
      <c r="J879" s="68" t="s">
        <v>5017</v>
      </c>
      <c r="K879" s="75"/>
      <c r="L879" s="69" t="s">
        <v>5001</v>
      </c>
      <c r="M879" s="69" t="s">
        <v>5002</v>
      </c>
      <c r="N879" s="862">
        <v>1.0</v>
      </c>
      <c r="O879" s="90" t="s">
        <v>5003</v>
      </c>
      <c r="P879" s="48" t="str">
        <f t="array" ref="P879">HYPERLINK(INDEX('File Links'!B:B, MATCH(O879, 'File Links'!C:C, 0)))
</f>
        <v>https://drive.google.com/file/d/1EqvEPwgwndawziGmIPqgl3yNKOI51OAS/view?usp=drivesdk</v>
      </c>
      <c r="Q879" s="69" t="s">
        <v>5004</v>
      </c>
      <c r="R879" s="69" t="s">
        <v>5005</v>
      </c>
      <c r="S879" s="75"/>
      <c r="T879" s="864">
        <v>1.0</v>
      </c>
      <c r="U879" s="69" t="s">
        <v>5006</v>
      </c>
      <c r="V879" s="68" t="s">
        <v>2024</v>
      </c>
      <c r="W879" s="50" t="str">
        <f t="array" ref="W879">HYPERLINK(INDEX('File Links'!B:B, MATCH(U879, 'File Links'!C:C, 0)))
</f>
        <v>https://drive.google.com/file/d/1UFSIBKXNmPXd3__1cxrsTy9PbNax45wB/view?usp=drivesdk</v>
      </c>
      <c r="X879" s="75"/>
      <c r="Y879" s="69" t="s">
        <v>1820</v>
      </c>
      <c r="Z879" s="75" t="s">
        <v>5018</v>
      </c>
      <c r="AA879" s="68" t="s">
        <v>5019</v>
      </c>
      <c r="AB879" s="68" t="s">
        <v>5104</v>
      </c>
      <c r="AC879" s="75" t="s">
        <v>5105</v>
      </c>
      <c r="AD879" s="1233" t="s">
        <v>5106</v>
      </c>
      <c r="AE879" s="573">
        <f t="shared" si="52"/>
        <v>324</v>
      </c>
      <c r="AF879" s="69" t="s">
        <v>5113</v>
      </c>
      <c r="AG879" s="90" t="s">
        <v>162</v>
      </c>
      <c r="AH879" s="69" t="s">
        <v>2443</v>
      </c>
      <c r="AI879" s="1233">
        <v>0.575</v>
      </c>
      <c r="AJ879" s="87" t="s">
        <v>164</v>
      </c>
      <c r="AK879" s="69" t="s">
        <v>211</v>
      </c>
      <c r="AL879" s="75" t="s">
        <v>129</v>
      </c>
      <c r="AM879" s="75"/>
      <c r="AN879" s="573">
        <v>196.0</v>
      </c>
      <c r="AO879" s="69" t="s">
        <v>5114</v>
      </c>
      <c r="AP879" s="69" t="s">
        <v>162</v>
      </c>
      <c r="AQ879" s="69" t="s">
        <v>2030</v>
      </c>
      <c r="AR879" s="1233">
        <v>0.99</v>
      </c>
      <c r="AS879" s="87" t="s">
        <v>164</v>
      </c>
      <c r="AT879" s="87" t="s">
        <v>211</v>
      </c>
      <c r="AU879" s="86" t="s">
        <v>129</v>
      </c>
      <c r="AV879" s="86"/>
      <c r="AW879" s="86" t="s">
        <v>134</v>
      </c>
      <c r="AX879" s="84"/>
      <c r="AY879" s="84"/>
      <c r="AZ879" s="64"/>
    </row>
    <row r="880">
      <c r="A880" s="65" t="s">
        <v>520</v>
      </c>
      <c r="B880" s="65" t="s">
        <v>107</v>
      </c>
      <c r="C880" s="65" t="s">
        <v>144</v>
      </c>
      <c r="D880" s="66"/>
      <c r="E880" s="86" t="s">
        <v>4998</v>
      </c>
      <c r="F880" s="69" t="s">
        <v>5115</v>
      </c>
      <c r="G880" s="69" t="s">
        <v>144</v>
      </c>
      <c r="H880" s="798">
        <v>45478.0</v>
      </c>
      <c r="I880" s="566">
        <v>45638.0</v>
      </c>
      <c r="J880" s="68" t="s">
        <v>5017</v>
      </c>
      <c r="K880" s="75"/>
      <c r="L880" s="69" t="s">
        <v>5001</v>
      </c>
      <c r="M880" s="69" t="s">
        <v>5002</v>
      </c>
      <c r="N880" s="862">
        <v>1.0</v>
      </c>
      <c r="O880" s="90" t="s">
        <v>5003</v>
      </c>
      <c r="P880" s="48" t="str">
        <f t="array" ref="P880">HYPERLINK(INDEX('File Links'!B:B, MATCH(O880, 'File Links'!C:C, 0)))
</f>
        <v>https://drive.google.com/file/d/1EqvEPwgwndawziGmIPqgl3yNKOI51OAS/view?usp=drivesdk</v>
      </c>
      <c r="Q880" s="69" t="s">
        <v>5004</v>
      </c>
      <c r="R880" s="69" t="s">
        <v>5005</v>
      </c>
      <c r="S880" s="75"/>
      <c r="T880" s="864">
        <v>1.0</v>
      </c>
      <c r="U880" s="69" t="s">
        <v>5006</v>
      </c>
      <c r="V880" s="68" t="s">
        <v>2024</v>
      </c>
      <c r="W880" s="50" t="str">
        <f t="array" ref="W880">HYPERLINK(INDEX('File Links'!B:B, MATCH(U880, 'File Links'!C:C, 0)))
</f>
        <v>https://drive.google.com/file/d/1UFSIBKXNmPXd3__1cxrsTy9PbNax45wB/view?usp=drivesdk</v>
      </c>
      <c r="X880" s="75"/>
      <c r="Y880" s="69" t="s">
        <v>1820</v>
      </c>
      <c r="Z880" s="75" t="s">
        <v>5018</v>
      </c>
      <c r="AA880" s="68" t="s">
        <v>5019</v>
      </c>
      <c r="AB880" s="68" t="s">
        <v>5104</v>
      </c>
      <c r="AC880" s="75" t="s">
        <v>5105</v>
      </c>
      <c r="AD880" s="1233" t="s">
        <v>5106</v>
      </c>
      <c r="AE880" s="573">
        <f t="shared" si="52"/>
        <v>324</v>
      </c>
      <c r="AF880" s="69" t="s">
        <v>5116</v>
      </c>
      <c r="AG880" s="90" t="s">
        <v>162</v>
      </c>
      <c r="AH880" s="69" t="s">
        <v>5049</v>
      </c>
      <c r="AI880" s="573">
        <v>0.581</v>
      </c>
      <c r="AJ880" s="87" t="s">
        <v>164</v>
      </c>
      <c r="AK880" s="69" t="s">
        <v>211</v>
      </c>
      <c r="AL880" s="75" t="s">
        <v>129</v>
      </c>
      <c r="AM880" s="75"/>
      <c r="AN880" s="573">
        <v>185.0</v>
      </c>
      <c r="AO880" s="69" t="s">
        <v>5117</v>
      </c>
      <c r="AP880" s="69" t="s">
        <v>162</v>
      </c>
      <c r="AQ880" s="69" t="s">
        <v>1186</v>
      </c>
      <c r="AR880" s="573">
        <v>0.997</v>
      </c>
      <c r="AS880" s="87" t="s">
        <v>164</v>
      </c>
      <c r="AT880" s="87" t="s">
        <v>211</v>
      </c>
      <c r="AU880" s="86" t="s">
        <v>129</v>
      </c>
      <c r="AV880" s="86"/>
      <c r="AW880" s="86" t="s">
        <v>134</v>
      </c>
      <c r="AX880" s="84"/>
      <c r="AY880" s="84"/>
      <c r="AZ880" s="64"/>
      <c r="BA880" s="178"/>
      <c r="BB880" s="178"/>
      <c r="BC880" s="178"/>
      <c r="BD880" s="178"/>
      <c r="BE880" s="178"/>
      <c r="BF880" s="178"/>
      <c r="BG880" s="178"/>
      <c r="BH880" s="178"/>
      <c r="BI880" s="178"/>
      <c r="BJ880" s="178"/>
      <c r="BK880" s="178"/>
      <c r="BL880" s="178"/>
      <c r="BM880" s="178"/>
      <c r="BN880" s="178"/>
      <c r="BO880" s="178"/>
      <c r="BP880" s="178"/>
      <c r="BQ880" s="178"/>
      <c r="BR880" s="178"/>
      <c r="BS880" s="178"/>
      <c r="BT880" s="178"/>
      <c r="BU880" s="178"/>
      <c r="BV880" s="178"/>
      <c r="BW880" s="178"/>
      <c r="BX880" s="178"/>
      <c r="BY880" s="178"/>
      <c r="BZ880" s="178"/>
      <c r="CA880" s="178"/>
      <c r="CB880" s="178"/>
      <c r="CC880" s="178"/>
      <c r="CD880" s="178"/>
      <c r="CE880" s="178"/>
      <c r="CF880" s="178"/>
      <c r="CG880" s="178"/>
      <c r="CH880" s="178"/>
      <c r="CI880" s="178"/>
      <c r="CJ880" s="178"/>
      <c r="CK880" s="178"/>
      <c r="CL880" s="178"/>
      <c r="CM880" s="178"/>
      <c r="CN880" s="178"/>
      <c r="CO880" s="178"/>
      <c r="CP880" s="178"/>
      <c r="CQ880" s="178"/>
      <c r="CR880" s="178"/>
      <c r="CS880" s="178"/>
      <c r="CT880" s="178"/>
      <c r="CU880" s="178"/>
      <c r="CV880" s="178"/>
      <c r="CW880" s="178"/>
      <c r="CX880" s="178"/>
      <c r="CY880" s="178"/>
      <c r="CZ880" s="178"/>
      <c r="DA880" s="178"/>
      <c r="DB880" s="178"/>
      <c r="DC880" s="178"/>
      <c r="DD880" s="178"/>
      <c r="DE880" s="178"/>
      <c r="DF880" s="178"/>
      <c r="DG880" s="178"/>
    </row>
    <row r="881">
      <c r="A881" s="65" t="s">
        <v>520</v>
      </c>
      <c r="B881" s="65" t="s">
        <v>107</v>
      </c>
      <c r="C881" s="65" t="s">
        <v>144</v>
      </c>
      <c r="D881" s="66"/>
      <c r="E881" s="86" t="s">
        <v>4998</v>
      </c>
      <c r="F881" s="69" t="s">
        <v>5118</v>
      </c>
      <c r="G881" s="69" t="s">
        <v>144</v>
      </c>
      <c r="H881" s="798">
        <v>45478.0</v>
      </c>
      <c r="I881" s="566">
        <v>45638.0</v>
      </c>
      <c r="J881" s="68" t="s">
        <v>5017</v>
      </c>
      <c r="K881" s="75"/>
      <c r="L881" s="69" t="s">
        <v>5001</v>
      </c>
      <c r="M881" s="69" t="s">
        <v>5002</v>
      </c>
      <c r="N881" s="862">
        <v>1.0</v>
      </c>
      <c r="O881" s="90" t="s">
        <v>5003</v>
      </c>
      <c r="P881" s="48" t="str">
        <f t="array" ref="P881">HYPERLINK(INDEX('File Links'!B:B, MATCH(O881, 'File Links'!C:C, 0)))
</f>
        <v>https://drive.google.com/file/d/1EqvEPwgwndawziGmIPqgl3yNKOI51OAS/view?usp=drivesdk</v>
      </c>
      <c r="Q881" s="69" t="s">
        <v>5004</v>
      </c>
      <c r="R881" s="69" t="s">
        <v>5005</v>
      </c>
      <c r="S881" s="75"/>
      <c r="T881" s="864">
        <v>1.0</v>
      </c>
      <c r="U881" s="69" t="s">
        <v>5006</v>
      </c>
      <c r="V881" s="68" t="s">
        <v>2024</v>
      </c>
      <c r="W881" s="50" t="str">
        <f t="array" ref="W881">HYPERLINK(INDEX('File Links'!B:B, MATCH(U881, 'File Links'!C:C, 0)))
</f>
        <v>https://drive.google.com/file/d/1UFSIBKXNmPXd3__1cxrsTy9PbNax45wB/view?usp=drivesdk</v>
      </c>
      <c r="X881" s="75"/>
      <c r="Y881" s="69" t="s">
        <v>1820</v>
      </c>
      <c r="Z881" s="75" t="s">
        <v>5018</v>
      </c>
      <c r="AA881" s="68" t="s">
        <v>5019</v>
      </c>
      <c r="AB881" s="68" t="s">
        <v>5104</v>
      </c>
      <c r="AC881" s="75" t="s">
        <v>5105</v>
      </c>
      <c r="AD881" s="1233" t="s">
        <v>5106</v>
      </c>
      <c r="AE881" s="573">
        <f t="shared" si="52"/>
        <v>324</v>
      </c>
      <c r="AF881" s="69" t="s">
        <v>5119</v>
      </c>
      <c r="AG881" s="90" t="s">
        <v>162</v>
      </c>
      <c r="AH881" s="69" t="s">
        <v>2443</v>
      </c>
      <c r="AI881" s="573">
        <v>0.548</v>
      </c>
      <c r="AJ881" s="87" t="s">
        <v>164</v>
      </c>
      <c r="AK881" s="69" t="s">
        <v>211</v>
      </c>
      <c r="AL881" s="75" t="s">
        <v>129</v>
      </c>
      <c r="AM881" s="75"/>
      <c r="AN881" s="573">
        <v>196.0</v>
      </c>
      <c r="AO881" s="69" t="s">
        <v>5120</v>
      </c>
      <c r="AP881" s="69" t="s">
        <v>162</v>
      </c>
      <c r="AQ881" s="69" t="s">
        <v>5039</v>
      </c>
      <c r="AR881" s="573">
        <v>0.991</v>
      </c>
      <c r="AS881" s="87" t="s">
        <v>164</v>
      </c>
      <c r="AT881" s="87" t="s">
        <v>211</v>
      </c>
      <c r="AU881" s="86" t="s">
        <v>129</v>
      </c>
      <c r="AV881" s="86"/>
      <c r="AW881" s="86" t="s">
        <v>134</v>
      </c>
      <c r="AX881" s="84"/>
      <c r="AY881" s="84"/>
      <c r="AZ881" s="64"/>
    </row>
    <row r="882">
      <c r="A882" s="65" t="s">
        <v>520</v>
      </c>
      <c r="B882" s="65" t="s">
        <v>107</v>
      </c>
      <c r="C882" s="65" t="s">
        <v>144</v>
      </c>
      <c r="D882" s="66"/>
      <c r="E882" s="86" t="s">
        <v>4998</v>
      </c>
      <c r="F882" s="69" t="s">
        <v>5121</v>
      </c>
      <c r="G882" s="69" t="s">
        <v>144</v>
      </c>
      <c r="H882" s="798">
        <v>45478.0</v>
      </c>
      <c r="I882" s="566">
        <v>45638.0</v>
      </c>
      <c r="J882" s="68" t="s">
        <v>5017</v>
      </c>
      <c r="K882" s="75"/>
      <c r="L882" s="69" t="s">
        <v>5001</v>
      </c>
      <c r="M882" s="69" t="s">
        <v>5002</v>
      </c>
      <c r="N882" s="862">
        <v>1.0</v>
      </c>
      <c r="O882" s="90" t="s">
        <v>5003</v>
      </c>
      <c r="P882" s="48" t="str">
        <f t="array" ref="P882">HYPERLINK(INDEX('File Links'!B:B, MATCH(O882, 'File Links'!C:C, 0)))
</f>
        <v>https://drive.google.com/file/d/1EqvEPwgwndawziGmIPqgl3yNKOI51OAS/view?usp=drivesdk</v>
      </c>
      <c r="Q882" s="69" t="s">
        <v>5004</v>
      </c>
      <c r="R882" s="69" t="s">
        <v>5005</v>
      </c>
      <c r="S882" s="75"/>
      <c r="T882" s="864">
        <v>1.0</v>
      </c>
      <c r="U882" s="69" t="s">
        <v>5006</v>
      </c>
      <c r="V882" s="68" t="s">
        <v>2024</v>
      </c>
      <c r="W882" s="50" t="str">
        <f t="array" ref="W882">HYPERLINK(INDEX('File Links'!B:B, MATCH(U882, 'File Links'!C:C, 0)))
</f>
        <v>https://drive.google.com/file/d/1UFSIBKXNmPXd3__1cxrsTy9PbNax45wB/view?usp=drivesdk</v>
      </c>
      <c r="X882" s="75"/>
      <c r="Y882" s="69" t="s">
        <v>1820</v>
      </c>
      <c r="Z882" s="75" t="s">
        <v>5018</v>
      </c>
      <c r="AA882" s="68" t="s">
        <v>5019</v>
      </c>
      <c r="AB882" s="68" t="s">
        <v>5104</v>
      </c>
      <c r="AC882" s="75" t="s">
        <v>5105</v>
      </c>
      <c r="AD882" s="1233" t="s">
        <v>5106</v>
      </c>
      <c r="AE882" s="573">
        <f t="shared" si="52"/>
        <v>324</v>
      </c>
      <c r="AF882" s="69" t="s">
        <v>5122</v>
      </c>
      <c r="AG882" s="90" t="s">
        <v>162</v>
      </c>
      <c r="AH882" s="69" t="s">
        <v>5049</v>
      </c>
      <c r="AI882" s="573">
        <v>0.553</v>
      </c>
      <c r="AJ882" s="87" t="s">
        <v>164</v>
      </c>
      <c r="AK882" s="69" t="s">
        <v>211</v>
      </c>
      <c r="AL882" s="75" t="s">
        <v>129</v>
      </c>
      <c r="AM882" s="75"/>
      <c r="AN882" s="573">
        <v>185.0</v>
      </c>
      <c r="AO882" s="69" t="s">
        <v>5123</v>
      </c>
      <c r="AP882" s="69" t="s">
        <v>162</v>
      </c>
      <c r="AQ882" s="69" t="s">
        <v>1830</v>
      </c>
      <c r="AR882" s="573">
        <v>1.0</v>
      </c>
      <c r="AS882" s="87" t="s">
        <v>164</v>
      </c>
      <c r="AT882" s="87" t="s">
        <v>211</v>
      </c>
      <c r="AU882" s="86" t="s">
        <v>129</v>
      </c>
      <c r="AV882" s="86"/>
      <c r="AW882" s="86" t="s">
        <v>134</v>
      </c>
      <c r="AX882" s="84"/>
      <c r="AY882" s="84"/>
      <c r="AZ882" s="64"/>
      <c r="BA882" s="178"/>
      <c r="BB882" s="178"/>
      <c r="BC882" s="178"/>
      <c r="BD882" s="178"/>
      <c r="BE882" s="178"/>
      <c r="BF882" s="178"/>
      <c r="BG882" s="178"/>
      <c r="BH882" s="178"/>
      <c r="BI882" s="178"/>
      <c r="BJ882" s="178"/>
      <c r="BK882" s="178"/>
      <c r="BL882" s="178"/>
      <c r="BM882" s="178"/>
      <c r="BN882" s="178"/>
      <c r="BO882" s="178"/>
      <c r="BP882" s="178"/>
      <c r="BQ882" s="178"/>
      <c r="BR882" s="178"/>
      <c r="BS882" s="178"/>
      <c r="BT882" s="178"/>
      <c r="BU882" s="178"/>
      <c r="BV882" s="178"/>
      <c r="BW882" s="178"/>
      <c r="BX882" s="178"/>
      <c r="BY882" s="178"/>
      <c r="BZ882" s="178"/>
      <c r="CA882" s="178"/>
      <c r="CB882" s="178"/>
      <c r="CC882" s="178"/>
      <c r="CD882" s="178"/>
      <c r="CE882" s="178"/>
      <c r="CF882" s="178"/>
      <c r="CG882" s="178"/>
      <c r="CH882" s="178"/>
      <c r="CI882" s="178"/>
      <c r="CJ882" s="178"/>
      <c r="CK882" s="178"/>
      <c r="CL882" s="178"/>
      <c r="CM882" s="178"/>
      <c r="CN882" s="178"/>
      <c r="CO882" s="178"/>
      <c r="CP882" s="178"/>
      <c r="CQ882" s="178"/>
      <c r="CR882" s="178"/>
      <c r="CS882" s="178"/>
      <c r="CT882" s="178"/>
      <c r="CU882" s="178"/>
      <c r="CV882" s="178"/>
      <c r="CW882" s="178"/>
      <c r="CX882" s="178"/>
      <c r="CY882" s="178"/>
      <c r="CZ882" s="178"/>
      <c r="DA882" s="178"/>
      <c r="DB882" s="178"/>
      <c r="DC882" s="178"/>
      <c r="DD882" s="178"/>
      <c r="DE882" s="178"/>
      <c r="DF882" s="178"/>
      <c r="DG882" s="178"/>
    </row>
    <row r="883">
      <c r="A883" s="65" t="s">
        <v>520</v>
      </c>
      <c r="B883" s="65" t="s">
        <v>107</v>
      </c>
      <c r="C883" s="65" t="s">
        <v>144</v>
      </c>
      <c r="D883" s="66"/>
      <c r="E883" s="86" t="s">
        <v>4998</v>
      </c>
      <c r="F883" s="69" t="s">
        <v>5124</v>
      </c>
      <c r="G883" s="69" t="s">
        <v>144</v>
      </c>
      <c r="H883" s="798">
        <v>45478.0</v>
      </c>
      <c r="I883" s="566">
        <v>45638.0</v>
      </c>
      <c r="J883" s="68" t="s">
        <v>5017</v>
      </c>
      <c r="K883" s="75"/>
      <c r="L883" s="69" t="s">
        <v>5001</v>
      </c>
      <c r="M883" s="69" t="s">
        <v>5002</v>
      </c>
      <c r="N883" s="862">
        <v>1.0</v>
      </c>
      <c r="O883" s="90" t="s">
        <v>5003</v>
      </c>
      <c r="P883" s="48" t="str">
        <f t="array" ref="P883">HYPERLINK(INDEX('File Links'!B:B, MATCH(O883, 'File Links'!C:C, 0)))
</f>
        <v>https://drive.google.com/file/d/1EqvEPwgwndawziGmIPqgl3yNKOI51OAS/view?usp=drivesdk</v>
      </c>
      <c r="Q883" s="69" t="s">
        <v>5004</v>
      </c>
      <c r="R883" s="69" t="s">
        <v>5005</v>
      </c>
      <c r="S883" s="75"/>
      <c r="T883" s="864">
        <v>1.0</v>
      </c>
      <c r="U883" s="69" t="s">
        <v>5006</v>
      </c>
      <c r="V883" s="68" t="s">
        <v>2024</v>
      </c>
      <c r="W883" s="50" t="str">
        <f t="array" ref="W883">HYPERLINK(INDEX('File Links'!B:B, MATCH(U883, 'File Links'!C:C, 0)))
</f>
        <v>https://drive.google.com/file/d/1UFSIBKXNmPXd3__1cxrsTy9PbNax45wB/view?usp=drivesdk</v>
      </c>
      <c r="X883" s="75"/>
      <c r="Y883" s="69" t="s">
        <v>1820</v>
      </c>
      <c r="Z883" s="75" t="s">
        <v>5018</v>
      </c>
      <c r="AA883" s="68" t="s">
        <v>5019</v>
      </c>
      <c r="AB883" s="69" t="s">
        <v>5125</v>
      </c>
      <c r="AC883" s="75" t="s">
        <v>5045</v>
      </c>
      <c r="AD883" s="1233">
        <v>18.0</v>
      </c>
      <c r="AE883" s="573">
        <f t="shared" si="52"/>
        <v>324</v>
      </c>
      <c r="AF883" s="69" t="s">
        <v>5126</v>
      </c>
      <c r="AG883" s="90" t="s">
        <v>162</v>
      </c>
      <c r="AH883" s="69" t="s">
        <v>2444</v>
      </c>
      <c r="AI883" s="573">
        <v>0.01</v>
      </c>
      <c r="AJ883" s="87" t="s">
        <v>127</v>
      </c>
      <c r="AK883" s="69" t="s">
        <v>128</v>
      </c>
      <c r="AL883" s="75" t="s">
        <v>132</v>
      </c>
      <c r="AM883" s="75"/>
      <c r="AN883" s="573">
        <v>196.0</v>
      </c>
      <c r="AO883" s="69" t="s">
        <v>5127</v>
      </c>
      <c r="AP883" s="69" t="s">
        <v>162</v>
      </c>
      <c r="AQ883" s="69" t="s">
        <v>5024</v>
      </c>
      <c r="AR883" s="573">
        <v>0.01</v>
      </c>
      <c r="AS883" s="87" t="s">
        <v>127</v>
      </c>
      <c r="AT883" s="87" t="s">
        <v>128</v>
      </c>
      <c r="AU883" s="86" t="s">
        <v>132</v>
      </c>
      <c r="AV883" s="86"/>
      <c r="AW883" s="86" t="s">
        <v>134</v>
      </c>
      <c r="AX883" s="84"/>
      <c r="AY883" s="84"/>
      <c r="AZ883" s="64"/>
    </row>
    <row r="884">
      <c r="A884" s="65" t="s">
        <v>520</v>
      </c>
      <c r="B884" s="65" t="s">
        <v>107</v>
      </c>
      <c r="C884" s="65" t="s">
        <v>144</v>
      </c>
      <c r="D884" s="66"/>
      <c r="E884" s="86" t="s">
        <v>4998</v>
      </c>
      <c r="F884" s="69" t="s">
        <v>5128</v>
      </c>
      <c r="G884" s="69" t="s">
        <v>144</v>
      </c>
      <c r="H884" s="798">
        <v>45478.0</v>
      </c>
      <c r="I884" s="566">
        <v>45638.0</v>
      </c>
      <c r="J884" s="68" t="s">
        <v>5017</v>
      </c>
      <c r="K884" s="75"/>
      <c r="L884" s="69" t="s">
        <v>5001</v>
      </c>
      <c r="M884" s="69" t="s">
        <v>5002</v>
      </c>
      <c r="N884" s="862">
        <v>1.0</v>
      </c>
      <c r="O884" s="90" t="s">
        <v>5003</v>
      </c>
      <c r="P884" s="48" t="str">
        <f t="array" ref="P884">HYPERLINK(INDEX('File Links'!B:B, MATCH(O884, 'File Links'!C:C, 0)))
</f>
        <v>https://drive.google.com/file/d/1EqvEPwgwndawziGmIPqgl3yNKOI51OAS/view?usp=drivesdk</v>
      </c>
      <c r="Q884" s="69" t="s">
        <v>5004</v>
      </c>
      <c r="R884" s="69" t="s">
        <v>5005</v>
      </c>
      <c r="S884" s="75"/>
      <c r="T884" s="864">
        <v>1.0</v>
      </c>
      <c r="U884" s="69" t="s">
        <v>5006</v>
      </c>
      <c r="V884" s="68" t="s">
        <v>2024</v>
      </c>
      <c r="W884" s="50" t="str">
        <f t="array" ref="W884">HYPERLINK(INDEX('File Links'!B:B, MATCH(U884, 'File Links'!C:C, 0)))
</f>
        <v>https://drive.google.com/file/d/1UFSIBKXNmPXd3__1cxrsTy9PbNax45wB/view?usp=drivesdk</v>
      </c>
      <c r="X884" s="75"/>
      <c r="Y884" s="69" t="s">
        <v>1820</v>
      </c>
      <c r="Z884" s="75" t="s">
        <v>5018</v>
      </c>
      <c r="AA884" s="68" t="s">
        <v>5019</v>
      </c>
      <c r="AB884" s="68" t="s">
        <v>5125</v>
      </c>
      <c r="AC884" s="75" t="s">
        <v>5045</v>
      </c>
      <c r="AD884" s="1233">
        <v>18.0</v>
      </c>
      <c r="AE884" s="573">
        <f t="shared" si="52"/>
        <v>324</v>
      </c>
      <c r="AF884" s="69" t="s">
        <v>5129</v>
      </c>
      <c r="AG884" s="90" t="s">
        <v>162</v>
      </c>
      <c r="AH884" s="69" t="s">
        <v>2443</v>
      </c>
      <c r="AI884" s="573">
        <v>0.01</v>
      </c>
      <c r="AJ884" s="87" t="s">
        <v>127</v>
      </c>
      <c r="AK884" s="69" t="s">
        <v>128</v>
      </c>
      <c r="AL884" s="75" t="s">
        <v>132</v>
      </c>
      <c r="AM884" s="75"/>
      <c r="AN884" s="573">
        <v>185.0</v>
      </c>
      <c r="AO884" s="69" t="s">
        <v>5130</v>
      </c>
      <c r="AP884" s="69" t="s">
        <v>162</v>
      </c>
      <c r="AQ884" s="69" t="s">
        <v>5029</v>
      </c>
      <c r="AR884" s="573">
        <v>0.05</v>
      </c>
      <c r="AS884" s="87" t="s">
        <v>127</v>
      </c>
      <c r="AT884" s="87" t="s">
        <v>128</v>
      </c>
      <c r="AU884" s="86" t="s">
        <v>132</v>
      </c>
      <c r="AV884" s="86"/>
      <c r="AW884" s="86" t="s">
        <v>134</v>
      </c>
      <c r="AX884" s="84"/>
      <c r="AY884" s="84"/>
      <c r="AZ884" s="64"/>
      <c r="BA884" s="178"/>
      <c r="BB884" s="178"/>
      <c r="BC884" s="178"/>
      <c r="BD884" s="178"/>
      <c r="BE884" s="178"/>
      <c r="BF884" s="178"/>
      <c r="BG884" s="178"/>
      <c r="BH884" s="178"/>
      <c r="BI884" s="178"/>
      <c r="BJ884" s="178"/>
      <c r="BK884" s="178"/>
      <c r="BL884" s="178"/>
      <c r="BM884" s="178"/>
      <c r="BN884" s="178"/>
      <c r="BO884" s="178"/>
      <c r="BP884" s="178"/>
      <c r="BQ884" s="178"/>
      <c r="BR884" s="178"/>
      <c r="BS884" s="178"/>
      <c r="BT884" s="178"/>
      <c r="BU884" s="178"/>
      <c r="BV884" s="178"/>
      <c r="BW884" s="178"/>
      <c r="BX884" s="178"/>
      <c r="BY884" s="178"/>
      <c r="BZ884" s="178"/>
      <c r="CA884" s="178"/>
      <c r="CB884" s="178"/>
      <c r="CC884" s="178"/>
      <c r="CD884" s="178"/>
      <c r="CE884" s="178"/>
      <c r="CF884" s="178"/>
      <c r="CG884" s="178"/>
      <c r="CH884" s="178"/>
      <c r="CI884" s="178"/>
      <c r="CJ884" s="178"/>
      <c r="CK884" s="178"/>
      <c r="CL884" s="178"/>
      <c r="CM884" s="178"/>
      <c r="CN884" s="178"/>
      <c r="CO884" s="178"/>
      <c r="CP884" s="178"/>
      <c r="CQ884" s="178"/>
      <c r="CR884" s="178"/>
      <c r="CS884" s="178"/>
      <c r="CT884" s="178"/>
      <c r="CU884" s="178"/>
      <c r="CV884" s="178"/>
      <c r="CW884" s="178"/>
      <c r="CX884" s="178"/>
      <c r="CY884" s="178"/>
      <c r="CZ884" s="178"/>
      <c r="DA884" s="178"/>
      <c r="DB884" s="178"/>
      <c r="DC884" s="178"/>
      <c r="DD884" s="178"/>
      <c r="DE884" s="178"/>
      <c r="DF884" s="178"/>
      <c r="DG884" s="178"/>
    </row>
    <row r="885">
      <c r="A885" s="65" t="s">
        <v>520</v>
      </c>
      <c r="B885" s="65" t="s">
        <v>107</v>
      </c>
      <c r="C885" s="65" t="s">
        <v>144</v>
      </c>
      <c r="D885" s="66"/>
      <c r="E885" s="86" t="s">
        <v>4998</v>
      </c>
      <c r="F885" s="69" t="s">
        <v>5131</v>
      </c>
      <c r="G885" s="69" t="s">
        <v>144</v>
      </c>
      <c r="H885" s="798">
        <v>45478.0</v>
      </c>
      <c r="I885" s="566">
        <v>45638.0</v>
      </c>
      <c r="J885" s="68" t="s">
        <v>5017</v>
      </c>
      <c r="K885" s="75"/>
      <c r="L885" s="69" t="s">
        <v>5001</v>
      </c>
      <c r="M885" s="69" t="s">
        <v>5002</v>
      </c>
      <c r="N885" s="862">
        <v>1.0</v>
      </c>
      <c r="O885" s="90" t="s">
        <v>5003</v>
      </c>
      <c r="P885" s="48" t="str">
        <f t="array" ref="P885">HYPERLINK(INDEX('File Links'!B:B, MATCH(O885, 'File Links'!C:C, 0)))
</f>
        <v>https://drive.google.com/file/d/1EqvEPwgwndawziGmIPqgl3yNKOI51OAS/view?usp=drivesdk</v>
      </c>
      <c r="Q885" s="69" t="s">
        <v>5004</v>
      </c>
      <c r="R885" s="69" t="s">
        <v>5005</v>
      </c>
      <c r="S885" s="75"/>
      <c r="T885" s="864">
        <v>1.0</v>
      </c>
      <c r="U885" s="69" t="s">
        <v>5006</v>
      </c>
      <c r="V885" s="68" t="s">
        <v>2024</v>
      </c>
      <c r="W885" s="50" t="str">
        <f t="array" ref="W885">HYPERLINK(INDEX('File Links'!B:B, MATCH(U885, 'File Links'!C:C, 0)))
</f>
        <v>https://drive.google.com/file/d/1UFSIBKXNmPXd3__1cxrsTy9PbNax45wB/view?usp=drivesdk</v>
      </c>
      <c r="X885" s="75"/>
      <c r="Y885" s="69" t="s">
        <v>1820</v>
      </c>
      <c r="Z885" s="75" t="s">
        <v>5018</v>
      </c>
      <c r="AA885" s="68" t="s">
        <v>5019</v>
      </c>
      <c r="AB885" s="68" t="s">
        <v>5132</v>
      </c>
      <c r="AC885" s="75" t="s">
        <v>5133</v>
      </c>
      <c r="AD885" s="1233">
        <v>26.0</v>
      </c>
      <c r="AE885" s="573">
        <f t="shared" si="52"/>
        <v>324</v>
      </c>
      <c r="AF885" s="75" t="s">
        <v>5134</v>
      </c>
      <c r="AG885" s="90" t="s">
        <v>162</v>
      </c>
      <c r="AH885" s="69" t="s">
        <v>2444</v>
      </c>
      <c r="AI885" s="573">
        <v>0.01</v>
      </c>
      <c r="AJ885" s="87" t="s">
        <v>127</v>
      </c>
      <c r="AK885" s="69" t="s">
        <v>128</v>
      </c>
      <c r="AL885" s="75" t="s">
        <v>132</v>
      </c>
      <c r="AM885" s="75"/>
      <c r="AN885" s="573">
        <v>196.0</v>
      </c>
      <c r="AO885" s="69" t="s">
        <v>5135</v>
      </c>
      <c r="AP885" s="69" t="s">
        <v>162</v>
      </c>
      <c r="AQ885" s="69" t="s">
        <v>2030</v>
      </c>
      <c r="AR885" s="573">
        <v>0.01</v>
      </c>
      <c r="AS885" s="87" t="s">
        <v>127</v>
      </c>
      <c r="AT885" s="87" t="s">
        <v>128</v>
      </c>
      <c r="AU885" s="86" t="s">
        <v>132</v>
      </c>
      <c r="AV885" s="86"/>
      <c r="AW885" s="86" t="s">
        <v>134</v>
      </c>
      <c r="AX885" s="84"/>
      <c r="AY885" s="84"/>
      <c r="AZ885" s="64"/>
    </row>
    <row r="886">
      <c r="A886" s="65" t="s">
        <v>520</v>
      </c>
      <c r="B886" s="65" t="s">
        <v>107</v>
      </c>
      <c r="C886" s="65" t="s">
        <v>144</v>
      </c>
      <c r="D886" s="66"/>
      <c r="E886" s="86" t="s">
        <v>4998</v>
      </c>
      <c r="F886" s="69" t="s">
        <v>5136</v>
      </c>
      <c r="G886" s="69" t="s">
        <v>144</v>
      </c>
      <c r="H886" s="798">
        <v>45478.0</v>
      </c>
      <c r="I886" s="566">
        <v>45638.0</v>
      </c>
      <c r="J886" s="68" t="s">
        <v>5017</v>
      </c>
      <c r="K886" s="75"/>
      <c r="L886" s="69" t="s">
        <v>5001</v>
      </c>
      <c r="M886" s="69" t="s">
        <v>5002</v>
      </c>
      <c r="N886" s="862">
        <v>1.0</v>
      </c>
      <c r="O886" s="90" t="s">
        <v>5003</v>
      </c>
      <c r="P886" s="48" t="str">
        <f t="array" ref="P886">HYPERLINK(INDEX('File Links'!B:B, MATCH(O886, 'File Links'!C:C, 0)))
</f>
        <v>https://drive.google.com/file/d/1EqvEPwgwndawziGmIPqgl3yNKOI51OAS/view?usp=drivesdk</v>
      </c>
      <c r="Q886" s="69" t="s">
        <v>5004</v>
      </c>
      <c r="R886" s="69" t="s">
        <v>5005</v>
      </c>
      <c r="S886" s="75"/>
      <c r="T886" s="864">
        <v>1.0</v>
      </c>
      <c r="U886" s="69" t="s">
        <v>5006</v>
      </c>
      <c r="V886" s="68" t="s">
        <v>2024</v>
      </c>
      <c r="W886" s="50" t="str">
        <f t="array" ref="W886">HYPERLINK(INDEX('File Links'!B:B, MATCH(U886, 'File Links'!C:C, 0)))
</f>
        <v>https://drive.google.com/file/d/1UFSIBKXNmPXd3__1cxrsTy9PbNax45wB/view?usp=drivesdk</v>
      </c>
      <c r="X886" s="75"/>
      <c r="Y886" s="69" t="s">
        <v>1820</v>
      </c>
      <c r="Z886" s="75" t="s">
        <v>5018</v>
      </c>
      <c r="AA886" s="68" t="s">
        <v>5019</v>
      </c>
      <c r="AB886" s="68" t="s">
        <v>5132</v>
      </c>
      <c r="AC886" s="75" t="s">
        <v>5133</v>
      </c>
      <c r="AD886" s="1233">
        <v>26.0</v>
      </c>
      <c r="AE886" s="573">
        <f t="shared" si="52"/>
        <v>324</v>
      </c>
      <c r="AF886" s="75" t="s">
        <v>5137</v>
      </c>
      <c r="AG886" s="90" t="s">
        <v>162</v>
      </c>
      <c r="AH886" s="69" t="s">
        <v>2443</v>
      </c>
      <c r="AI886" s="573">
        <v>0.01</v>
      </c>
      <c r="AJ886" s="87" t="s">
        <v>127</v>
      </c>
      <c r="AK886" s="69" t="s">
        <v>128</v>
      </c>
      <c r="AL886" s="75" t="s">
        <v>132</v>
      </c>
      <c r="AM886" s="75"/>
      <c r="AN886" s="573">
        <v>185.0</v>
      </c>
      <c r="AO886" s="69" t="s">
        <v>5138</v>
      </c>
      <c r="AP886" s="69" t="s">
        <v>162</v>
      </c>
      <c r="AQ886" s="69" t="s">
        <v>1186</v>
      </c>
      <c r="AR886" s="573">
        <v>0.01</v>
      </c>
      <c r="AS886" s="87" t="s">
        <v>127</v>
      </c>
      <c r="AT886" s="87" t="s">
        <v>128</v>
      </c>
      <c r="AU886" s="86" t="s">
        <v>132</v>
      </c>
      <c r="AV886" s="86"/>
      <c r="AW886" s="86" t="s">
        <v>134</v>
      </c>
      <c r="AX886" s="84"/>
      <c r="AY886" s="84"/>
      <c r="AZ886" s="64"/>
      <c r="BA886" s="178"/>
      <c r="BB886" s="178"/>
      <c r="BC886" s="178"/>
      <c r="BD886" s="178"/>
      <c r="BE886" s="178"/>
      <c r="BF886" s="178"/>
      <c r="BG886" s="178"/>
      <c r="BH886" s="178"/>
      <c r="BI886" s="178"/>
      <c r="BJ886" s="178"/>
      <c r="BK886" s="178"/>
      <c r="BL886" s="178"/>
      <c r="BM886" s="178"/>
      <c r="BN886" s="178"/>
      <c r="BO886" s="178"/>
      <c r="BP886" s="178"/>
      <c r="BQ886" s="178"/>
      <c r="BR886" s="178"/>
      <c r="BS886" s="178"/>
      <c r="BT886" s="178"/>
      <c r="BU886" s="178"/>
      <c r="BV886" s="178"/>
      <c r="BW886" s="178"/>
      <c r="BX886" s="178"/>
      <c r="BY886" s="178"/>
      <c r="BZ886" s="178"/>
      <c r="CA886" s="178"/>
      <c r="CB886" s="178"/>
      <c r="CC886" s="178"/>
      <c r="CD886" s="178"/>
      <c r="CE886" s="178"/>
      <c r="CF886" s="178"/>
      <c r="CG886" s="178"/>
      <c r="CH886" s="178"/>
      <c r="CI886" s="178"/>
      <c r="CJ886" s="178"/>
      <c r="CK886" s="178"/>
      <c r="CL886" s="178"/>
      <c r="CM886" s="178"/>
      <c r="CN886" s="178"/>
      <c r="CO886" s="178"/>
      <c r="CP886" s="178"/>
      <c r="CQ886" s="178"/>
      <c r="CR886" s="178"/>
      <c r="CS886" s="178"/>
      <c r="CT886" s="178"/>
      <c r="CU886" s="178"/>
      <c r="CV886" s="178"/>
      <c r="CW886" s="178"/>
      <c r="CX886" s="178"/>
      <c r="CY886" s="178"/>
      <c r="CZ886" s="178"/>
      <c r="DA886" s="178"/>
      <c r="DB886" s="178"/>
      <c r="DC886" s="178"/>
      <c r="DD886" s="178"/>
      <c r="DE886" s="178"/>
      <c r="DF886" s="178"/>
      <c r="DG886" s="178"/>
    </row>
    <row r="887">
      <c r="A887" s="65" t="s">
        <v>520</v>
      </c>
      <c r="B887" s="65" t="s">
        <v>107</v>
      </c>
      <c r="C887" s="65" t="s">
        <v>144</v>
      </c>
      <c r="D887" s="66"/>
      <c r="E887" s="86" t="s">
        <v>4998</v>
      </c>
      <c r="F887" s="69" t="s">
        <v>5139</v>
      </c>
      <c r="G887" s="69" t="s">
        <v>144</v>
      </c>
      <c r="H887" s="798">
        <v>45478.0</v>
      </c>
      <c r="I887" s="566">
        <v>45638.0</v>
      </c>
      <c r="J887" s="68" t="s">
        <v>5017</v>
      </c>
      <c r="K887" s="75"/>
      <c r="L887" s="69" t="s">
        <v>5001</v>
      </c>
      <c r="M887" s="69" t="s">
        <v>5002</v>
      </c>
      <c r="N887" s="862">
        <v>1.0</v>
      </c>
      <c r="O887" s="90" t="s">
        <v>5003</v>
      </c>
      <c r="P887" s="48" t="str">
        <f t="array" ref="P887">HYPERLINK(INDEX('File Links'!B:B, MATCH(O887, 'File Links'!C:C, 0)))
</f>
        <v>https://drive.google.com/file/d/1EqvEPwgwndawziGmIPqgl3yNKOI51OAS/view?usp=drivesdk</v>
      </c>
      <c r="Q887" s="69" t="s">
        <v>5004</v>
      </c>
      <c r="R887" s="69" t="s">
        <v>5005</v>
      </c>
      <c r="S887" s="75"/>
      <c r="T887" s="864">
        <v>1.0</v>
      </c>
      <c r="U887" s="69" t="s">
        <v>5006</v>
      </c>
      <c r="V887" s="68" t="s">
        <v>2024</v>
      </c>
      <c r="W887" s="50" t="str">
        <f t="array" ref="W887">HYPERLINK(INDEX('File Links'!B:B, MATCH(U887, 'File Links'!C:C, 0)))
</f>
        <v>https://drive.google.com/file/d/1UFSIBKXNmPXd3__1cxrsTy9PbNax45wB/view?usp=drivesdk</v>
      </c>
      <c r="X887" s="75"/>
      <c r="Y887" s="69" t="s">
        <v>1820</v>
      </c>
      <c r="Z887" s="75" t="s">
        <v>5018</v>
      </c>
      <c r="AA887" s="68" t="s">
        <v>5019</v>
      </c>
      <c r="AB887" s="68" t="s">
        <v>5125</v>
      </c>
      <c r="AC887" s="75" t="s">
        <v>5045</v>
      </c>
      <c r="AD887" s="1233">
        <v>18.0</v>
      </c>
      <c r="AE887" s="573">
        <f t="shared" si="52"/>
        <v>324</v>
      </c>
      <c r="AF887" s="69" t="s">
        <v>5140</v>
      </c>
      <c r="AG887" s="90" t="s">
        <v>162</v>
      </c>
      <c r="AH887" s="69" t="s">
        <v>2444</v>
      </c>
      <c r="AI887" s="573">
        <v>0.01</v>
      </c>
      <c r="AJ887" s="87" t="s">
        <v>127</v>
      </c>
      <c r="AK887" s="69" t="s">
        <v>128</v>
      </c>
      <c r="AL887" s="75" t="s">
        <v>132</v>
      </c>
      <c r="AM887" s="75"/>
      <c r="AN887" s="573">
        <v>196.0</v>
      </c>
      <c r="AO887" s="69" t="s">
        <v>5141</v>
      </c>
      <c r="AP887" s="69" t="s">
        <v>162</v>
      </c>
      <c r="AQ887" s="69" t="s">
        <v>5039</v>
      </c>
      <c r="AR887" s="573">
        <v>0.05</v>
      </c>
      <c r="AS887" s="87" t="s">
        <v>127</v>
      </c>
      <c r="AT887" s="87" t="s">
        <v>128</v>
      </c>
      <c r="AU887" s="86" t="s">
        <v>132</v>
      </c>
      <c r="AV887" s="86"/>
      <c r="AW887" s="86" t="s">
        <v>134</v>
      </c>
      <c r="AX887" s="84"/>
      <c r="AY887" s="84"/>
      <c r="AZ887" s="64"/>
    </row>
    <row r="888">
      <c r="A888" s="65" t="s">
        <v>520</v>
      </c>
      <c r="B888" s="65" t="s">
        <v>107</v>
      </c>
      <c r="C888" s="65" t="s">
        <v>144</v>
      </c>
      <c r="D888" s="66"/>
      <c r="E888" s="86" t="s">
        <v>4998</v>
      </c>
      <c r="F888" s="69" t="s">
        <v>5142</v>
      </c>
      <c r="G888" s="69" t="s">
        <v>144</v>
      </c>
      <c r="H888" s="798">
        <v>45478.0</v>
      </c>
      <c r="I888" s="566">
        <v>45638.0</v>
      </c>
      <c r="J888" s="68" t="s">
        <v>5017</v>
      </c>
      <c r="K888" s="75"/>
      <c r="L888" s="69" t="s">
        <v>5001</v>
      </c>
      <c r="M888" s="69" t="s">
        <v>5002</v>
      </c>
      <c r="N888" s="862">
        <v>1.0</v>
      </c>
      <c r="O888" s="90" t="s">
        <v>5003</v>
      </c>
      <c r="P888" s="48" t="str">
        <f t="array" ref="P888">HYPERLINK(INDEX('File Links'!B:B, MATCH(O888, 'File Links'!C:C, 0)))
</f>
        <v>https://drive.google.com/file/d/1EqvEPwgwndawziGmIPqgl3yNKOI51OAS/view?usp=drivesdk</v>
      </c>
      <c r="Q888" s="69" t="s">
        <v>5004</v>
      </c>
      <c r="R888" s="69" t="s">
        <v>5005</v>
      </c>
      <c r="S888" s="75"/>
      <c r="T888" s="864">
        <v>1.0</v>
      </c>
      <c r="U888" s="69" t="s">
        <v>5006</v>
      </c>
      <c r="V888" s="68" t="s">
        <v>2024</v>
      </c>
      <c r="W888" s="50" t="str">
        <f t="array" ref="W888">HYPERLINK(INDEX('File Links'!B:B, MATCH(U888, 'File Links'!C:C, 0)))
</f>
        <v>https://drive.google.com/file/d/1UFSIBKXNmPXd3__1cxrsTy9PbNax45wB/view?usp=drivesdk</v>
      </c>
      <c r="X888" s="75"/>
      <c r="Y888" s="69" t="s">
        <v>1820</v>
      </c>
      <c r="Z888" s="75" t="s">
        <v>5018</v>
      </c>
      <c r="AA888" s="68" t="s">
        <v>5019</v>
      </c>
      <c r="AB888" s="68" t="s">
        <v>5125</v>
      </c>
      <c r="AC888" s="75" t="s">
        <v>5045</v>
      </c>
      <c r="AD888" s="1233">
        <v>18.0</v>
      </c>
      <c r="AE888" s="573">
        <f t="shared" si="52"/>
        <v>324</v>
      </c>
      <c r="AF888" s="69" t="s">
        <v>5143</v>
      </c>
      <c r="AG888" s="90" t="s">
        <v>162</v>
      </c>
      <c r="AH888" s="69" t="s">
        <v>2443</v>
      </c>
      <c r="AI888" s="573">
        <v>0.01</v>
      </c>
      <c r="AJ888" s="87" t="s">
        <v>127</v>
      </c>
      <c r="AK888" s="69" t="s">
        <v>128</v>
      </c>
      <c r="AL888" s="75" t="s">
        <v>132</v>
      </c>
      <c r="AM888" s="75"/>
      <c r="AN888" s="573">
        <v>185.0</v>
      </c>
      <c r="AO888" s="69" t="s">
        <v>5144</v>
      </c>
      <c r="AP888" s="69" t="s">
        <v>162</v>
      </c>
      <c r="AQ888" s="69" t="s">
        <v>1830</v>
      </c>
      <c r="AR888" s="573">
        <v>0.01</v>
      </c>
      <c r="AS888" s="87" t="s">
        <v>127</v>
      </c>
      <c r="AT888" s="87" t="s">
        <v>128</v>
      </c>
      <c r="AU888" s="86" t="s">
        <v>132</v>
      </c>
      <c r="AV888" s="86"/>
      <c r="AW888" s="86" t="s">
        <v>134</v>
      </c>
      <c r="AX888" s="84"/>
      <c r="AY888" s="84"/>
      <c r="AZ888" s="64"/>
      <c r="BA888" s="178"/>
      <c r="BB888" s="178"/>
      <c r="BC888" s="178"/>
      <c r="BD888" s="178"/>
      <c r="BE888" s="178"/>
      <c r="BF888" s="178"/>
      <c r="BG888" s="178"/>
      <c r="BH888" s="178"/>
      <c r="BI888" s="178"/>
      <c r="BJ888" s="178"/>
      <c r="BK888" s="178"/>
      <c r="BL888" s="178"/>
      <c r="BM888" s="178"/>
      <c r="BN888" s="178"/>
      <c r="BO888" s="178"/>
      <c r="BP888" s="178"/>
      <c r="BQ888" s="178"/>
      <c r="BR888" s="178"/>
      <c r="BS888" s="178"/>
      <c r="BT888" s="178"/>
      <c r="BU888" s="178"/>
      <c r="BV888" s="178"/>
      <c r="BW888" s="178"/>
      <c r="BX888" s="178"/>
      <c r="BY888" s="178"/>
      <c r="BZ888" s="178"/>
      <c r="CA888" s="178"/>
      <c r="CB888" s="178"/>
      <c r="CC888" s="178"/>
      <c r="CD888" s="178"/>
      <c r="CE888" s="178"/>
      <c r="CF888" s="178"/>
      <c r="CG888" s="178"/>
      <c r="CH888" s="178"/>
      <c r="CI888" s="178"/>
      <c r="CJ888" s="178"/>
      <c r="CK888" s="178"/>
      <c r="CL888" s="178"/>
      <c r="CM888" s="178"/>
      <c r="CN888" s="178"/>
      <c r="CO888" s="178"/>
      <c r="CP888" s="178"/>
      <c r="CQ888" s="178"/>
      <c r="CR888" s="178"/>
      <c r="CS888" s="178"/>
      <c r="CT888" s="178"/>
      <c r="CU888" s="178"/>
      <c r="CV888" s="178"/>
      <c r="CW888" s="178"/>
      <c r="CX888" s="178"/>
      <c r="CY888" s="178"/>
      <c r="CZ888" s="178"/>
      <c r="DA888" s="178"/>
      <c r="DB888" s="178"/>
      <c r="DC888" s="178"/>
      <c r="DD888" s="178"/>
      <c r="DE888" s="178"/>
      <c r="DF888" s="178"/>
      <c r="DG888" s="178"/>
    </row>
    <row r="889">
      <c r="A889" s="65" t="s">
        <v>520</v>
      </c>
      <c r="B889" s="65" t="s">
        <v>107</v>
      </c>
      <c r="C889" s="65" t="s">
        <v>144</v>
      </c>
      <c r="D889" s="66"/>
      <c r="E889" s="86" t="s">
        <v>4998</v>
      </c>
      <c r="F889" s="69" t="s">
        <v>5145</v>
      </c>
      <c r="G889" s="69" t="s">
        <v>144</v>
      </c>
      <c r="H889" s="798">
        <v>45478.0</v>
      </c>
      <c r="I889" s="566">
        <v>45638.0</v>
      </c>
      <c r="J889" s="68" t="s">
        <v>5017</v>
      </c>
      <c r="K889" s="75"/>
      <c r="L889" s="69" t="s">
        <v>5001</v>
      </c>
      <c r="M889" s="69" t="s">
        <v>5002</v>
      </c>
      <c r="N889" s="862">
        <v>1.0</v>
      </c>
      <c r="O889" s="90" t="s">
        <v>5003</v>
      </c>
      <c r="P889" s="48" t="str">
        <f t="array" ref="P889">HYPERLINK(INDEX('File Links'!B:B, MATCH(O889, 'File Links'!C:C, 0)))
</f>
        <v>https://drive.google.com/file/d/1EqvEPwgwndawziGmIPqgl3yNKOI51OAS/view?usp=drivesdk</v>
      </c>
      <c r="Q889" s="69" t="s">
        <v>5004</v>
      </c>
      <c r="R889" s="69" t="s">
        <v>5005</v>
      </c>
      <c r="S889" s="75"/>
      <c r="T889" s="864">
        <v>1.0</v>
      </c>
      <c r="U889" s="69" t="s">
        <v>5006</v>
      </c>
      <c r="V889" s="68" t="s">
        <v>2024</v>
      </c>
      <c r="W889" s="50" t="str">
        <f t="array" ref="W889">HYPERLINK(INDEX('File Links'!B:B, MATCH(U889, 'File Links'!C:C, 0)))
</f>
        <v>https://drive.google.com/file/d/1UFSIBKXNmPXd3__1cxrsTy9PbNax45wB/view?usp=drivesdk</v>
      </c>
      <c r="X889" s="75"/>
      <c r="Y889" s="69" t="s">
        <v>1820</v>
      </c>
      <c r="Z889" s="75" t="s">
        <v>5018</v>
      </c>
      <c r="AA889" s="68" t="s">
        <v>5019</v>
      </c>
      <c r="AB889" s="69" t="s">
        <v>5146</v>
      </c>
      <c r="AC889" s="75" t="s">
        <v>5045</v>
      </c>
      <c r="AD889" s="1233">
        <v>18.0</v>
      </c>
      <c r="AE889" s="573">
        <f t="shared" si="52"/>
        <v>324</v>
      </c>
      <c r="AF889" s="69" t="s">
        <v>5147</v>
      </c>
      <c r="AG889" s="90" t="s">
        <v>162</v>
      </c>
      <c r="AH889" s="69" t="s">
        <v>2444</v>
      </c>
      <c r="AI889" s="573">
        <v>0.01</v>
      </c>
      <c r="AJ889" s="87" t="s">
        <v>127</v>
      </c>
      <c r="AK889" s="69" t="s">
        <v>128</v>
      </c>
      <c r="AL889" s="75" t="s">
        <v>132</v>
      </c>
      <c r="AM889" s="75"/>
      <c r="AN889" s="573">
        <v>196.0</v>
      </c>
      <c r="AO889" s="69" t="s">
        <v>5148</v>
      </c>
      <c r="AP889" s="69" t="s">
        <v>162</v>
      </c>
      <c r="AQ889" s="69" t="s">
        <v>5024</v>
      </c>
      <c r="AR889" s="573">
        <v>0.01</v>
      </c>
      <c r="AS889" s="87" t="s">
        <v>127</v>
      </c>
      <c r="AT889" s="87" t="s">
        <v>128</v>
      </c>
      <c r="AU889" s="86" t="s">
        <v>132</v>
      </c>
      <c r="AV889" s="86"/>
      <c r="AW889" s="86" t="s">
        <v>134</v>
      </c>
      <c r="AX889" s="84"/>
      <c r="AY889" s="84"/>
      <c r="AZ889" s="64"/>
    </row>
    <row r="890">
      <c r="A890" s="65" t="s">
        <v>520</v>
      </c>
      <c r="B890" s="65" t="s">
        <v>107</v>
      </c>
      <c r="C890" s="65" t="s">
        <v>144</v>
      </c>
      <c r="D890" s="66"/>
      <c r="E890" s="86" t="s">
        <v>4998</v>
      </c>
      <c r="F890" s="69" t="s">
        <v>5149</v>
      </c>
      <c r="G890" s="69" t="s">
        <v>144</v>
      </c>
      <c r="H890" s="798">
        <v>45478.0</v>
      </c>
      <c r="I890" s="566">
        <v>45638.0</v>
      </c>
      <c r="J890" s="68" t="s">
        <v>5017</v>
      </c>
      <c r="K890" s="75"/>
      <c r="L890" s="69" t="s">
        <v>5001</v>
      </c>
      <c r="M890" s="69" t="s">
        <v>5002</v>
      </c>
      <c r="N890" s="862">
        <v>1.0</v>
      </c>
      <c r="O890" s="90" t="s">
        <v>5003</v>
      </c>
      <c r="P890" s="48" t="str">
        <f t="array" ref="P890">HYPERLINK(INDEX('File Links'!B:B, MATCH(O890, 'File Links'!C:C, 0)))
</f>
        <v>https://drive.google.com/file/d/1EqvEPwgwndawziGmIPqgl3yNKOI51OAS/view?usp=drivesdk</v>
      </c>
      <c r="Q890" s="69" t="s">
        <v>5004</v>
      </c>
      <c r="R890" s="69" t="s">
        <v>5005</v>
      </c>
      <c r="S890" s="75"/>
      <c r="T890" s="864">
        <v>1.0</v>
      </c>
      <c r="U890" s="69" t="s">
        <v>5006</v>
      </c>
      <c r="V890" s="68" t="s">
        <v>2024</v>
      </c>
      <c r="W890" s="50" t="str">
        <f t="array" ref="W890">HYPERLINK(INDEX('File Links'!B:B, MATCH(U890, 'File Links'!C:C, 0)))
</f>
        <v>https://drive.google.com/file/d/1UFSIBKXNmPXd3__1cxrsTy9PbNax45wB/view?usp=drivesdk</v>
      </c>
      <c r="X890" s="75"/>
      <c r="Y890" s="69" t="s">
        <v>1820</v>
      </c>
      <c r="Z890" s="75" t="s">
        <v>5018</v>
      </c>
      <c r="AA890" s="68" t="s">
        <v>5019</v>
      </c>
      <c r="AB890" s="68" t="s">
        <v>5146</v>
      </c>
      <c r="AC890" s="75" t="s">
        <v>5045</v>
      </c>
      <c r="AD890" s="1233">
        <v>18.0</v>
      </c>
      <c r="AE890" s="573">
        <f t="shared" si="52"/>
        <v>324</v>
      </c>
      <c r="AF890" s="69" t="s">
        <v>5150</v>
      </c>
      <c r="AG890" s="90" t="s">
        <v>162</v>
      </c>
      <c r="AH890" s="69" t="s">
        <v>2443</v>
      </c>
      <c r="AI890" s="573">
        <v>0.1</v>
      </c>
      <c r="AJ890" s="87" t="s">
        <v>127</v>
      </c>
      <c r="AK890" s="69" t="s">
        <v>128</v>
      </c>
      <c r="AL890" s="75" t="s">
        <v>132</v>
      </c>
      <c r="AM890" s="75"/>
      <c r="AN890" s="573">
        <v>185.0</v>
      </c>
      <c r="AO890" s="69" t="s">
        <v>5151</v>
      </c>
      <c r="AP890" s="69" t="s">
        <v>162</v>
      </c>
      <c r="AQ890" s="69" t="s">
        <v>5029</v>
      </c>
      <c r="AR890" s="573">
        <v>0.01</v>
      </c>
      <c r="AS890" s="87" t="s">
        <v>127</v>
      </c>
      <c r="AT890" s="87" t="s">
        <v>128</v>
      </c>
      <c r="AU890" s="86" t="s">
        <v>132</v>
      </c>
      <c r="AV890" s="86"/>
      <c r="AW890" s="86" t="s">
        <v>134</v>
      </c>
      <c r="AX890" s="84"/>
      <c r="AY890" s="84"/>
      <c r="AZ890" s="64"/>
      <c r="BA890" s="178"/>
      <c r="BB890" s="178"/>
      <c r="BC890" s="178"/>
      <c r="BD890" s="178"/>
      <c r="BE890" s="178"/>
      <c r="BF890" s="178"/>
      <c r="BG890" s="178"/>
      <c r="BH890" s="178"/>
      <c r="BI890" s="178"/>
      <c r="BJ890" s="178"/>
      <c r="BK890" s="178"/>
      <c r="BL890" s="178"/>
      <c r="BM890" s="178"/>
      <c r="BN890" s="178"/>
      <c r="BO890" s="178"/>
      <c r="BP890" s="178"/>
      <c r="BQ890" s="178"/>
      <c r="BR890" s="178"/>
      <c r="BS890" s="178"/>
      <c r="BT890" s="178"/>
      <c r="BU890" s="178"/>
      <c r="BV890" s="178"/>
      <c r="BW890" s="178"/>
      <c r="BX890" s="178"/>
      <c r="BY890" s="178"/>
      <c r="BZ890" s="178"/>
      <c r="CA890" s="178"/>
      <c r="CB890" s="178"/>
      <c r="CC890" s="178"/>
      <c r="CD890" s="178"/>
      <c r="CE890" s="178"/>
      <c r="CF890" s="178"/>
      <c r="CG890" s="178"/>
      <c r="CH890" s="178"/>
      <c r="CI890" s="178"/>
      <c r="CJ890" s="178"/>
      <c r="CK890" s="178"/>
      <c r="CL890" s="178"/>
      <c r="CM890" s="178"/>
      <c r="CN890" s="178"/>
      <c r="CO890" s="178"/>
      <c r="CP890" s="178"/>
      <c r="CQ890" s="178"/>
      <c r="CR890" s="178"/>
      <c r="CS890" s="178"/>
      <c r="CT890" s="178"/>
      <c r="CU890" s="178"/>
      <c r="CV890" s="178"/>
      <c r="CW890" s="178"/>
      <c r="CX890" s="178"/>
      <c r="CY890" s="178"/>
      <c r="CZ890" s="178"/>
      <c r="DA890" s="178"/>
      <c r="DB890" s="178"/>
      <c r="DC890" s="178"/>
      <c r="DD890" s="178"/>
      <c r="DE890" s="178"/>
      <c r="DF890" s="178"/>
      <c r="DG890" s="178"/>
    </row>
    <row r="891">
      <c r="A891" s="65" t="s">
        <v>520</v>
      </c>
      <c r="B891" s="65" t="s">
        <v>107</v>
      </c>
      <c r="C891" s="65" t="s">
        <v>144</v>
      </c>
      <c r="D891" s="66"/>
      <c r="E891" s="86" t="s">
        <v>4998</v>
      </c>
      <c r="F891" s="69" t="s">
        <v>5152</v>
      </c>
      <c r="G891" s="69" t="s">
        <v>144</v>
      </c>
      <c r="H891" s="798">
        <v>45478.0</v>
      </c>
      <c r="I891" s="566">
        <v>45638.0</v>
      </c>
      <c r="J891" s="68" t="s">
        <v>5017</v>
      </c>
      <c r="K891" s="75"/>
      <c r="L891" s="69" t="s">
        <v>5001</v>
      </c>
      <c r="M891" s="69" t="s">
        <v>5002</v>
      </c>
      <c r="N891" s="862">
        <v>1.0</v>
      </c>
      <c r="O891" s="90" t="s">
        <v>5003</v>
      </c>
      <c r="P891" s="48" t="str">
        <f t="array" ref="P891">HYPERLINK(INDEX('File Links'!B:B, MATCH(O891, 'File Links'!C:C, 0)))
</f>
        <v>https://drive.google.com/file/d/1EqvEPwgwndawziGmIPqgl3yNKOI51OAS/view?usp=drivesdk</v>
      </c>
      <c r="Q891" s="69" t="s">
        <v>5004</v>
      </c>
      <c r="R891" s="69" t="s">
        <v>5005</v>
      </c>
      <c r="S891" s="75"/>
      <c r="T891" s="864">
        <v>1.0</v>
      </c>
      <c r="U891" s="69" t="s">
        <v>5006</v>
      </c>
      <c r="V891" s="68" t="s">
        <v>2024</v>
      </c>
      <c r="W891" s="50" t="str">
        <f t="array" ref="W891">HYPERLINK(INDEX('File Links'!B:B, MATCH(U891, 'File Links'!C:C, 0)))
</f>
        <v>https://drive.google.com/file/d/1UFSIBKXNmPXd3__1cxrsTy9PbNax45wB/view?usp=drivesdk</v>
      </c>
      <c r="X891" s="75"/>
      <c r="Y891" s="69" t="s">
        <v>1820</v>
      </c>
      <c r="Z891" s="75" t="s">
        <v>5018</v>
      </c>
      <c r="AA891" s="68" t="s">
        <v>5019</v>
      </c>
      <c r="AB891" s="68" t="s">
        <v>5153</v>
      </c>
      <c r="AC891" s="75" t="s">
        <v>5133</v>
      </c>
      <c r="AD891" s="1233">
        <v>26.0</v>
      </c>
      <c r="AE891" s="573">
        <f t="shared" si="52"/>
        <v>324</v>
      </c>
      <c r="AF891" s="75" t="s">
        <v>5154</v>
      </c>
      <c r="AG891" s="90" t="s">
        <v>162</v>
      </c>
      <c r="AH891" s="69" t="s">
        <v>2444</v>
      </c>
      <c r="AI891" s="573">
        <v>0.05</v>
      </c>
      <c r="AJ891" s="87" t="s">
        <v>329</v>
      </c>
      <c r="AK891" s="69" t="s">
        <v>128</v>
      </c>
      <c r="AL891" s="75" t="s">
        <v>132</v>
      </c>
      <c r="AM891" s="75"/>
      <c r="AN891" s="573">
        <v>196.0</v>
      </c>
      <c r="AO891" s="69" t="s">
        <v>5155</v>
      </c>
      <c r="AP891" s="69" t="s">
        <v>162</v>
      </c>
      <c r="AQ891" s="69" t="s">
        <v>2030</v>
      </c>
      <c r="AR891" s="573">
        <v>0.01</v>
      </c>
      <c r="AS891" s="87" t="s">
        <v>127</v>
      </c>
      <c r="AT891" s="87" t="s">
        <v>128</v>
      </c>
      <c r="AU891" s="86" t="s">
        <v>132</v>
      </c>
      <c r="AV891" s="86"/>
      <c r="AW891" s="86" t="s">
        <v>134</v>
      </c>
      <c r="AX891" s="84"/>
      <c r="AY891" s="84"/>
      <c r="AZ891" s="64"/>
    </row>
    <row r="892">
      <c r="A892" s="65" t="s">
        <v>520</v>
      </c>
      <c r="B892" s="65" t="s">
        <v>107</v>
      </c>
      <c r="C892" s="65" t="s">
        <v>144</v>
      </c>
      <c r="D892" s="66"/>
      <c r="E892" s="86" t="s">
        <v>4998</v>
      </c>
      <c r="F892" s="69" t="s">
        <v>5156</v>
      </c>
      <c r="G892" s="69" t="s">
        <v>144</v>
      </c>
      <c r="H892" s="798">
        <v>45478.0</v>
      </c>
      <c r="I892" s="566">
        <v>45638.0</v>
      </c>
      <c r="J892" s="68" t="s">
        <v>5017</v>
      </c>
      <c r="K892" s="75"/>
      <c r="L892" s="69" t="s">
        <v>5001</v>
      </c>
      <c r="M892" s="69" t="s">
        <v>5002</v>
      </c>
      <c r="N892" s="862">
        <v>1.0</v>
      </c>
      <c r="O892" s="90" t="s">
        <v>5003</v>
      </c>
      <c r="P892" s="48" t="str">
        <f t="array" ref="P892">HYPERLINK(INDEX('File Links'!B:B, MATCH(O892, 'File Links'!C:C, 0)))
</f>
        <v>https://drive.google.com/file/d/1EqvEPwgwndawziGmIPqgl3yNKOI51OAS/view?usp=drivesdk</v>
      </c>
      <c r="Q892" s="69" t="s">
        <v>5004</v>
      </c>
      <c r="R892" s="69" t="s">
        <v>5005</v>
      </c>
      <c r="S892" s="75"/>
      <c r="T892" s="864">
        <v>1.0</v>
      </c>
      <c r="U892" s="69" t="s">
        <v>5006</v>
      </c>
      <c r="V892" s="68" t="s">
        <v>2024</v>
      </c>
      <c r="W892" s="50" t="str">
        <f t="array" ref="W892">HYPERLINK(INDEX('File Links'!B:B, MATCH(U892, 'File Links'!C:C, 0)))
</f>
        <v>https://drive.google.com/file/d/1UFSIBKXNmPXd3__1cxrsTy9PbNax45wB/view?usp=drivesdk</v>
      </c>
      <c r="X892" s="75"/>
      <c r="Y892" s="69" t="s">
        <v>1820</v>
      </c>
      <c r="Z892" s="75" t="s">
        <v>5018</v>
      </c>
      <c r="AA892" s="68" t="s">
        <v>5019</v>
      </c>
      <c r="AB892" s="68" t="s">
        <v>5153</v>
      </c>
      <c r="AC892" s="75" t="s">
        <v>5133</v>
      </c>
      <c r="AD892" s="1233">
        <v>26.0</v>
      </c>
      <c r="AE892" s="573">
        <f t="shared" si="52"/>
        <v>324</v>
      </c>
      <c r="AF892" s="75" t="s">
        <v>5157</v>
      </c>
      <c r="AG892" s="90" t="s">
        <v>162</v>
      </c>
      <c r="AH892" s="69" t="s">
        <v>2443</v>
      </c>
      <c r="AI892" s="573">
        <v>0.1</v>
      </c>
      <c r="AJ892" s="87" t="s">
        <v>127</v>
      </c>
      <c r="AK892" s="69" t="s">
        <v>128</v>
      </c>
      <c r="AL892" s="75" t="s">
        <v>132</v>
      </c>
      <c r="AM892" s="75"/>
      <c r="AN892" s="573">
        <v>185.0</v>
      </c>
      <c r="AO892" s="69" t="s">
        <v>5158</v>
      </c>
      <c r="AP892" s="69" t="s">
        <v>162</v>
      </c>
      <c r="AQ892" s="69" t="s">
        <v>1186</v>
      </c>
      <c r="AR892" s="573">
        <v>0.01</v>
      </c>
      <c r="AS892" s="87" t="s">
        <v>127</v>
      </c>
      <c r="AT892" s="87" t="s">
        <v>128</v>
      </c>
      <c r="AU892" s="86" t="s">
        <v>132</v>
      </c>
      <c r="AV892" s="86"/>
      <c r="AW892" s="86" t="s">
        <v>134</v>
      </c>
      <c r="AX892" s="84"/>
      <c r="AY892" s="84"/>
      <c r="AZ892" s="64"/>
      <c r="BA892" s="178"/>
      <c r="BB892" s="178"/>
      <c r="BC892" s="178"/>
      <c r="BD892" s="178"/>
      <c r="BE892" s="178"/>
      <c r="BF892" s="178"/>
      <c r="BG892" s="178"/>
      <c r="BH892" s="178"/>
      <c r="BI892" s="178"/>
      <c r="BJ892" s="178"/>
      <c r="BK892" s="178"/>
      <c r="BL892" s="178"/>
      <c r="BM892" s="178"/>
      <c r="BN892" s="178"/>
      <c r="BO892" s="178"/>
      <c r="BP892" s="178"/>
      <c r="BQ892" s="178"/>
      <c r="BR892" s="178"/>
      <c r="BS892" s="178"/>
      <c r="BT892" s="178"/>
      <c r="BU892" s="178"/>
      <c r="BV892" s="178"/>
      <c r="BW892" s="178"/>
      <c r="BX892" s="178"/>
      <c r="BY892" s="178"/>
      <c r="BZ892" s="178"/>
      <c r="CA892" s="178"/>
      <c r="CB892" s="178"/>
      <c r="CC892" s="178"/>
      <c r="CD892" s="178"/>
      <c r="CE892" s="178"/>
      <c r="CF892" s="178"/>
      <c r="CG892" s="178"/>
      <c r="CH892" s="178"/>
      <c r="CI892" s="178"/>
      <c r="CJ892" s="178"/>
      <c r="CK892" s="178"/>
      <c r="CL892" s="178"/>
      <c r="CM892" s="178"/>
      <c r="CN892" s="178"/>
      <c r="CO892" s="178"/>
      <c r="CP892" s="178"/>
      <c r="CQ892" s="178"/>
      <c r="CR892" s="178"/>
      <c r="CS892" s="178"/>
      <c r="CT892" s="178"/>
      <c r="CU892" s="178"/>
      <c r="CV892" s="178"/>
      <c r="CW892" s="178"/>
      <c r="CX892" s="178"/>
      <c r="CY892" s="178"/>
      <c r="CZ892" s="178"/>
      <c r="DA892" s="178"/>
      <c r="DB892" s="178"/>
      <c r="DC892" s="178"/>
      <c r="DD892" s="178"/>
      <c r="DE892" s="178"/>
      <c r="DF892" s="178"/>
      <c r="DG892" s="178"/>
    </row>
    <row r="893">
      <c r="A893" s="65" t="s">
        <v>520</v>
      </c>
      <c r="B893" s="65" t="s">
        <v>107</v>
      </c>
      <c r="C893" s="65" t="s">
        <v>144</v>
      </c>
      <c r="D893" s="66"/>
      <c r="E893" s="86" t="s">
        <v>4998</v>
      </c>
      <c r="F893" s="69" t="s">
        <v>5159</v>
      </c>
      <c r="G893" s="69" t="s">
        <v>144</v>
      </c>
      <c r="H893" s="798">
        <v>45478.0</v>
      </c>
      <c r="I893" s="566">
        <v>45638.0</v>
      </c>
      <c r="J893" s="68" t="s">
        <v>5017</v>
      </c>
      <c r="K893" s="75"/>
      <c r="L893" s="69" t="s">
        <v>5001</v>
      </c>
      <c r="M893" s="69" t="s">
        <v>5002</v>
      </c>
      <c r="N893" s="862">
        <v>1.0</v>
      </c>
      <c r="O893" s="90" t="s">
        <v>5003</v>
      </c>
      <c r="P893" s="48" t="str">
        <f t="array" ref="P893">HYPERLINK(INDEX('File Links'!B:B, MATCH(O893, 'File Links'!C:C, 0)))
</f>
        <v>https://drive.google.com/file/d/1EqvEPwgwndawziGmIPqgl3yNKOI51OAS/view?usp=drivesdk</v>
      </c>
      <c r="Q893" s="69" t="s">
        <v>5004</v>
      </c>
      <c r="R893" s="69" t="s">
        <v>5005</v>
      </c>
      <c r="S893" s="75"/>
      <c r="T893" s="864">
        <v>1.0</v>
      </c>
      <c r="U893" s="69" t="s">
        <v>5006</v>
      </c>
      <c r="V893" s="68" t="s">
        <v>2024</v>
      </c>
      <c r="W893" s="50" t="str">
        <f t="array" ref="W893">HYPERLINK(INDEX('File Links'!B:B, MATCH(U893, 'File Links'!C:C, 0)))
</f>
        <v>https://drive.google.com/file/d/1UFSIBKXNmPXd3__1cxrsTy9PbNax45wB/view?usp=drivesdk</v>
      </c>
      <c r="X893" s="75"/>
      <c r="Y893" s="69" t="s">
        <v>1820</v>
      </c>
      <c r="Z893" s="75" t="s">
        <v>5018</v>
      </c>
      <c r="AA893" s="68" t="s">
        <v>5019</v>
      </c>
      <c r="AB893" s="68" t="s">
        <v>5146</v>
      </c>
      <c r="AC893" s="75" t="s">
        <v>5045</v>
      </c>
      <c r="AD893" s="1233">
        <v>18.0</v>
      </c>
      <c r="AE893" s="573">
        <f t="shared" si="52"/>
        <v>324</v>
      </c>
      <c r="AF893" s="69" t="s">
        <v>5160</v>
      </c>
      <c r="AG893" s="90" t="s">
        <v>162</v>
      </c>
      <c r="AH893" s="69" t="s">
        <v>2444</v>
      </c>
      <c r="AI893" s="573">
        <v>0.01</v>
      </c>
      <c r="AJ893" s="87" t="s">
        <v>127</v>
      </c>
      <c r="AK893" s="69" t="s">
        <v>128</v>
      </c>
      <c r="AL893" s="75" t="s">
        <v>132</v>
      </c>
      <c r="AM893" s="75"/>
      <c r="AN893" s="573">
        <v>196.0</v>
      </c>
      <c r="AO893" s="69" t="s">
        <v>5161</v>
      </c>
      <c r="AP893" s="69" t="s">
        <v>162</v>
      </c>
      <c r="AQ893" s="69" t="s">
        <v>5039</v>
      </c>
      <c r="AR893" s="573">
        <v>0.1</v>
      </c>
      <c r="AS893" s="87" t="s">
        <v>127</v>
      </c>
      <c r="AT893" s="87" t="s">
        <v>128</v>
      </c>
      <c r="AU893" s="86" t="s">
        <v>132</v>
      </c>
      <c r="AV893" s="86"/>
      <c r="AW893" s="86" t="s">
        <v>134</v>
      </c>
      <c r="AX893" s="84"/>
      <c r="AY893" s="84"/>
      <c r="AZ893" s="64"/>
    </row>
    <row r="894">
      <c r="A894" s="65" t="s">
        <v>520</v>
      </c>
      <c r="B894" s="65" t="s">
        <v>107</v>
      </c>
      <c r="C894" s="65" t="s">
        <v>144</v>
      </c>
      <c r="D894" s="66"/>
      <c r="E894" s="86" t="s">
        <v>4998</v>
      </c>
      <c r="F894" s="69" t="s">
        <v>5162</v>
      </c>
      <c r="G894" s="69" t="s">
        <v>144</v>
      </c>
      <c r="H894" s="798">
        <v>45478.0</v>
      </c>
      <c r="I894" s="566">
        <v>45638.0</v>
      </c>
      <c r="J894" s="68" t="s">
        <v>5017</v>
      </c>
      <c r="K894" s="75"/>
      <c r="L894" s="69" t="s">
        <v>5001</v>
      </c>
      <c r="M894" s="69" t="s">
        <v>5002</v>
      </c>
      <c r="N894" s="862">
        <v>1.0</v>
      </c>
      <c r="O894" s="90" t="s">
        <v>5003</v>
      </c>
      <c r="P894" s="48" t="str">
        <f t="array" ref="P894">HYPERLINK(INDEX('File Links'!B:B, MATCH(O894, 'File Links'!C:C, 0)))
</f>
        <v>https://drive.google.com/file/d/1EqvEPwgwndawziGmIPqgl3yNKOI51OAS/view?usp=drivesdk</v>
      </c>
      <c r="Q894" s="69" t="s">
        <v>5004</v>
      </c>
      <c r="R894" s="69" t="s">
        <v>5005</v>
      </c>
      <c r="S894" s="75"/>
      <c r="T894" s="864">
        <v>1.0</v>
      </c>
      <c r="U894" s="69" t="s">
        <v>5006</v>
      </c>
      <c r="V894" s="68" t="s">
        <v>2024</v>
      </c>
      <c r="W894" s="50" t="str">
        <f t="array" ref="W894">HYPERLINK(INDEX('File Links'!B:B, MATCH(U894, 'File Links'!C:C, 0)))
</f>
        <v>https://drive.google.com/file/d/1UFSIBKXNmPXd3__1cxrsTy9PbNax45wB/view?usp=drivesdk</v>
      </c>
      <c r="X894" s="75"/>
      <c r="Y894" s="69" t="s">
        <v>1820</v>
      </c>
      <c r="Z894" s="75" t="s">
        <v>5018</v>
      </c>
      <c r="AA894" s="68" t="s">
        <v>5019</v>
      </c>
      <c r="AB894" s="68" t="s">
        <v>5146</v>
      </c>
      <c r="AC894" s="75" t="s">
        <v>5045</v>
      </c>
      <c r="AD894" s="1233">
        <v>18.0</v>
      </c>
      <c r="AE894" s="573">
        <f t="shared" si="52"/>
        <v>324</v>
      </c>
      <c r="AF894" s="69" t="s">
        <v>5163</v>
      </c>
      <c r="AG894" s="90" t="s">
        <v>162</v>
      </c>
      <c r="AH894" s="69" t="s">
        <v>2443</v>
      </c>
      <c r="AI894" s="573">
        <v>0.01</v>
      </c>
      <c r="AJ894" s="87" t="s">
        <v>127</v>
      </c>
      <c r="AK894" s="69" t="s">
        <v>128</v>
      </c>
      <c r="AL894" s="75" t="s">
        <v>132</v>
      </c>
      <c r="AM894" s="75"/>
      <c r="AN894" s="573">
        <v>185.0</v>
      </c>
      <c r="AO894" s="69" t="s">
        <v>5164</v>
      </c>
      <c r="AP894" s="69" t="s">
        <v>162</v>
      </c>
      <c r="AQ894" s="69" t="s">
        <v>1830</v>
      </c>
      <c r="AR894" s="573">
        <v>0.05</v>
      </c>
      <c r="AS894" s="87" t="s">
        <v>127</v>
      </c>
      <c r="AT894" s="87" t="s">
        <v>128</v>
      </c>
      <c r="AU894" s="86" t="s">
        <v>132</v>
      </c>
      <c r="AV894" s="86"/>
      <c r="AW894" s="86" t="s">
        <v>134</v>
      </c>
      <c r="AX894" s="84"/>
      <c r="AY894" s="84"/>
      <c r="AZ894" s="64"/>
      <c r="BA894" s="178"/>
      <c r="BB894" s="178"/>
      <c r="BC894" s="178"/>
      <c r="BD894" s="178"/>
      <c r="BE894" s="178"/>
      <c r="BF894" s="178"/>
      <c r="BG894" s="178"/>
      <c r="BH894" s="178"/>
      <c r="BI894" s="178"/>
      <c r="BJ894" s="178"/>
      <c r="BK894" s="178"/>
      <c r="BL894" s="178"/>
      <c r="BM894" s="178"/>
      <c r="BN894" s="178"/>
      <c r="BO894" s="178"/>
      <c r="BP894" s="178"/>
      <c r="BQ894" s="178"/>
      <c r="BR894" s="178"/>
      <c r="BS894" s="178"/>
      <c r="BT894" s="178"/>
      <c r="BU894" s="178"/>
      <c r="BV894" s="178"/>
      <c r="BW894" s="178"/>
      <c r="BX894" s="178"/>
      <c r="BY894" s="178"/>
      <c r="BZ894" s="178"/>
      <c r="CA894" s="178"/>
      <c r="CB894" s="178"/>
      <c r="CC894" s="178"/>
      <c r="CD894" s="178"/>
      <c r="CE894" s="178"/>
      <c r="CF894" s="178"/>
      <c r="CG894" s="178"/>
      <c r="CH894" s="178"/>
      <c r="CI894" s="178"/>
      <c r="CJ894" s="178"/>
      <c r="CK894" s="178"/>
      <c r="CL894" s="178"/>
      <c r="CM894" s="178"/>
      <c r="CN894" s="178"/>
      <c r="CO894" s="178"/>
      <c r="CP894" s="178"/>
      <c r="CQ894" s="178"/>
      <c r="CR894" s="178"/>
      <c r="CS894" s="178"/>
      <c r="CT894" s="178"/>
      <c r="CU894" s="178"/>
      <c r="CV894" s="178"/>
      <c r="CW894" s="178"/>
      <c r="CX894" s="178"/>
      <c r="CY894" s="178"/>
      <c r="CZ894" s="178"/>
      <c r="DA894" s="178"/>
      <c r="DB894" s="178"/>
      <c r="DC894" s="178"/>
      <c r="DD894" s="178"/>
      <c r="DE894" s="178"/>
      <c r="DF894" s="178"/>
      <c r="DG894" s="178"/>
    </row>
    <row r="895">
      <c r="A895" s="65" t="s">
        <v>520</v>
      </c>
      <c r="B895" s="65" t="s">
        <v>107</v>
      </c>
      <c r="C895" s="65" t="s">
        <v>144</v>
      </c>
      <c r="D895" s="66"/>
      <c r="E895" s="86" t="s">
        <v>4998</v>
      </c>
      <c r="F895" s="69" t="s">
        <v>5165</v>
      </c>
      <c r="G895" s="69" t="s">
        <v>144</v>
      </c>
      <c r="H895" s="798">
        <v>45478.0</v>
      </c>
      <c r="I895" s="566">
        <v>45638.0</v>
      </c>
      <c r="J895" s="68" t="s">
        <v>5017</v>
      </c>
      <c r="K895" s="75"/>
      <c r="L895" s="69" t="s">
        <v>5001</v>
      </c>
      <c r="M895" s="69" t="s">
        <v>5002</v>
      </c>
      <c r="N895" s="862">
        <v>1.0</v>
      </c>
      <c r="O895" s="90" t="s">
        <v>5003</v>
      </c>
      <c r="P895" s="48" t="str">
        <f t="array" ref="P895">HYPERLINK(INDEX('File Links'!B:B, MATCH(O895, 'File Links'!C:C, 0)))
</f>
        <v>https://drive.google.com/file/d/1EqvEPwgwndawziGmIPqgl3yNKOI51OAS/view?usp=drivesdk</v>
      </c>
      <c r="Q895" s="69" t="s">
        <v>5004</v>
      </c>
      <c r="R895" s="69" t="s">
        <v>5005</v>
      </c>
      <c r="S895" s="75"/>
      <c r="T895" s="864">
        <v>1.0</v>
      </c>
      <c r="U895" s="69" t="s">
        <v>5006</v>
      </c>
      <c r="V895" s="68" t="s">
        <v>2024</v>
      </c>
      <c r="W895" s="50" t="str">
        <f t="array" ref="W895">HYPERLINK(INDEX('File Links'!B:B, MATCH(U895, 'File Links'!C:C, 0)))
</f>
        <v>https://drive.google.com/file/d/1UFSIBKXNmPXd3__1cxrsTy9PbNax45wB/view?usp=drivesdk</v>
      </c>
      <c r="X895" s="75"/>
      <c r="Y895" s="69" t="s">
        <v>1820</v>
      </c>
      <c r="Z895" s="75" t="s">
        <v>5018</v>
      </c>
      <c r="AA895" s="68" t="s">
        <v>5019</v>
      </c>
      <c r="AB895" s="68" t="s">
        <v>5166</v>
      </c>
      <c r="AC895" s="75" t="s">
        <v>5167</v>
      </c>
      <c r="AD895" s="1233">
        <v>26.0</v>
      </c>
      <c r="AE895" s="573">
        <f t="shared" si="52"/>
        <v>324</v>
      </c>
      <c r="AF895" s="69" t="s">
        <v>5168</v>
      </c>
      <c r="AG895" s="90" t="s">
        <v>162</v>
      </c>
      <c r="AH895" s="69" t="s">
        <v>2444</v>
      </c>
      <c r="AI895" s="573">
        <v>0.05</v>
      </c>
      <c r="AJ895" s="87" t="s">
        <v>329</v>
      </c>
      <c r="AK895" s="69" t="s">
        <v>128</v>
      </c>
      <c r="AL895" s="75" t="s">
        <v>132</v>
      </c>
      <c r="AM895" s="75"/>
      <c r="AN895" s="573">
        <v>196.0</v>
      </c>
      <c r="AO895" s="69" t="s">
        <v>5169</v>
      </c>
      <c r="AP895" s="69" t="s">
        <v>162</v>
      </c>
      <c r="AQ895" s="69" t="s">
        <v>5024</v>
      </c>
      <c r="AR895" s="573">
        <v>0.05</v>
      </c>
      <c r="AS895" s="87" t="s">
        <v>329</v>
      </c>
      <c r="AT895" s="87" t="s">
        <v>128</v>
      </c>
      <c r="AU895" s="86" t="s">
        <v>132</v>
      </c>
      <c r="AV895" s="86"/>
      <c r="AW895" s="86" t="s">
        <v>134</v>
      </c>
      <c r="AX895" s="84"/>
      <c r="AY895" s="84"/>
      <c r="AZ895" s="64"/>
    </row>
    <row r="896">
      <c r="A896" s="65" t="s">
        <v>520</v>
      </c>
      <c r="B896" s="65" t="s">
        <v>107</v>
      </c>
      <c r="C896" s="65" t="s">
        <v>144</v>
      </c>
      <c r="D896" s="66"/>
      <c r="E896" s="86" t="s">
        <v>4998</v>
      </c>
      <c r="F896" s="69" t="s">
        <v>5165</v>
      </c>
      <c r="G896" s="69" t="s">
        <v>144</v>
      </c>
      <c r="H896" s="798">
        <v>45478.0</v>
      </c>
      <c r="I896" s="566">
        <v>45638.0</v>
      </c>
      <c r="J896" s="68" t="s">
        <v>5017</v>
      </c>
      <c r="K896" s="75"/>
      <c r="L896" s="69" t="s">
        <v>5001</v>
      </c>
      <c r="M896" s="69" t="s">
        <v>5002</v>
      </c>
      <c r="N896" s="862">
        <v>1.0</v>
      </c>
      <c r="O896" s="90" t="s">
        <v>5003</v>
      </c>
      <c r="P896" s="48" t="str">
        <f t="array" ref="P896">HYPERLINK(INDEX('File Links'!B:B, MATCH(O896, 'File Links'!C:C, 0)))
</f>
        <v>https://drive.google.com/file/d/1EqvEPwgwndawziGmIPqgl3yNKOI51OAS/view?usp=drivesdk</v>
      </c>
      <c r="Q896" s="69" t="s">
        <v>5004</v>
      </c>
      <c r="R896" s="69" t="s">
        <v>5005</v>
      </c>
      <c r="S896" s="75"/>
      <c r="T896" s="864">
        <v>1.0</v>
      </c>
      <c r="U896" s="69" t="s">
        <v>5006</v>
      </c>
      <c r="V896" s="68" t="s">
        <v>2024</v>
      </c>
      <c r="W896" s="50" t="str">
        <f t="array" ref="W896">HYPERLINK(INDEX('File Links'!B:B, MATCH(U896, 'File Links'!C:C, 0)))
</f>
        <v>https://drive.google.com/file/d/1UFSIBKXNmPXd3__1cxrsTy9PbNax45wB/view?usp=drivesdk</v>
      </c>
      <c r="X896" s="75"/>
      <c r="Y896" s="69" t="s">
        <v>1820</v>
      </c>
      <c r="Z896" s="75" t="s">
        <v>5018</v>
      </c>
      <c r="AA896" s="68" t="s">
        <v>5019</v>
      </c>
      <c r="AB896" s="68" t="s">
        <v>5170</v>
      </c>
      <c r="AC896" s="75" t="s">
        <v>5167</v>
      </c>
      <c r="AD896" s="1233">
        <v>26.0</v>
      </c>
      <c r="AE896" s="573">
        <f t="shared" si="52"/>
        <v>324</v>
      </c>
      <c r="AF896" s="69" t="s">
        <v>5171</v>
      </c>
      <c r="AG896" s="90" t="s">
        <v>162</v>
      </c>
      <c r="AH896" s="69" t="s">
        <v>5049</v>
      </c>
      <c r="AI896" s="573">
        <v>0.05</v>
      </c>
      <c r="AJ896" s="87" t="s">
        <v>329</v>
      </c>
      <c r="AK896" s="69" t="s">
        <v>128</v>
      </c>
      <c r="AL896" s="75" t="s">
        <v>132</v>
      </c>
      <c r="AM896" s="75"/>
      <c r="AN896" s="573">
        <v>185.0</v>
      </c>
      <c r="AO896" s="69" t="s">
        <v>5172</v>
      </c>
      <c r="AP896" s="69" t="s">
        <v>162</v>
      </c>
      <c r="AQ896" s="69" t="s">
        <v>5029</v>
      </c>
      <c r="AR896" s="573">
        <v>0.05</v>
      </c>
      <c r="AS896" s="87" t="s">
        <v>127</v>
      </c>
      <c r="AT896" s="87" t="s">
        <v>128</v>
      </c>
      <c r="AU896" s="86" t="s">
        <v>132</v>
      </c>
      <c r="AV896" s="86"/>
      <c r="AW896" s="86" t="s">
        <v>134</v>
      </c>
      <c r="AX896" s="84"/>
      <c r="AY896" s="84"/>
      <c r="AZ896" s="64"/>
      <c r="BA896" s="178"/>
      <c r="BB896" s="178"/>
      <c r="BC896" s="178"/>
      <c r="BD896" s="178"/>
      <c r="BE896" s="178"/>
      <c r="BF896" s="178"/>
      <c r="BG896" s="178"/>
      <c r="BH896" s="178"/>
      <c r="BI896" s="178"/>
      <c r="BJ896" s="178"/>
      <c r="BK896" s="178"/>
      <c r="BL896" s="178"/>
      <c r="BM896" s="178"/>
      <c r="BN896" s="178"/>
      <c r="BO896" s="178"/>
      <c r="BP896" s="178"/>
      <c r="BQ896" s="178"/>
      <c r="BR896" s="178"/>
      <c r="BS896" s="178"/>
      <c r="BT896" s="178"/>
      <c r="BU896" s="178"/>
      <c r="BV896" s="178"/>
      <c r="BW896" s="178"/>
      <c r="BX896" s="178"/>
      <c r="BY896" s="178"/>
      <c r="BZ896" s="178"/>
      <c r="CA896" s="178"/>
      <c r="CB896" s="178"/>
      <c r="CC896" s="178"/>
      <c r="CD896" s="178"/>
      <c r="CE896" s="178"/>
      <c r="CF896" s="178"/>
      <c r="CG896" s="178"/>
      <c r="CH896" s="178"/>
      <c r="CI896" s="178"/>
      <c r="CJ896" s="178"/>
      <c r="CK896" s="178"/>
      <c r="CL896" s="178"/>
      <c r="CM896" s="178"/>
      <c r="CN896" s="178"/>
      <c r="CO896" s="178"/>
      <c r="CP896" s="178"/>
      <c r="CQ896" s="178"/>
      <c r="CR896" s="178"/>
      <c r="CS896" s="178"/>
      <c r="CT896" s="178"/>
      <c r="CU896" s="178"/>
      <c r="CV896" s="178"/>
      <c r="CW896" s="178"/>
      <c r="CX896" s="178"/>
      <c r="CY896" s="178"/>
      <c r="CZ896" s="178"/>
      <c r="DA896" s="178"/>
      <c r="DB896" s="178"/>
      <c r="DC896" s="178"/>
      <c r="DD896" s="178"/>
      <c r="DE896" s="178"/>
      <c r="DF896" s="178"/>
      <c r="DG896" s="178"/>
    </row>
    <row r="897">
      <c r="A897" s="65" t="s">
        <v>520</v>
      </c>
      <c r="B897" s="65" t="s">
        <v>107</v>
      </c>
      <c r="C897" s="65" t="s">
        <v>144</v>
      </c>
      <c r="D897" s="66"/>
      <c r="E897" s="86" t="s">
        <v>4998</v>
      </c>
      <c r="F897" s="69" t="s">
        <v>5173</v>
      </c>
      <c r="G897" s="69" t="s">
        <v>144</v>
      </c>
      <c r="H897" s="798">
        <v>45478.0</v>
      </c>
      <c r="I897" s="566">
        <v>45638.0</v>
      </c>
      <c r="J897" s="68" t="s">
        <v>5017</v>
      </c>
      <c r="K897" s="75"/>
      <c r="L897" s="69" t="s">
        <v>5001</v>
      </c>
      <c r="M897" s="69" t="s">
        <v>5002</v>
      </c>
      <c r="N897" s="862">
        <v>1.0</v>
      </c>
      <c r="O897" s="90" t="s">
        <v>5003</v>
      </c>
      <c r="P897" s="48" t="str">
        <f t="array" ref="P897">HYPERLINK(INDEX('File Links'!B:B, MATCH(O897, 'File Links'!C:C, 0)))
</f>
        <v>https://drive.google.com/file/d/1EqvEPwgwndawziGmIPqgl3yNKOI51OAS/view?usp=drivesdk</v>
      </c>
      <c r="Q897" s="69" t="s">
        <v>5004</v>
      </c>
      <c r="R897" s="69" t="s">
        <v>5005</v>
      </c>
      <c r="S897" s="75"/>
      <c r="T897" s="864">
        <v>1.0</v>
      </c>
      <c r="U897" s="69" t="s">
        <v>5006</v>
      </c>
      <c r="V897" s="68" t="s">
        <v>2024</v>
      </c>
      <c r="W897" s="50" t="str">
        <f t="array" ref="W897">HYPERLINK(INDEX('File Links'!B:B, MATCH(U897, 'File Links'!C:C, 0)))
</f>
        <v>https://drive.google.com/file/d/1UFSIBKXNmPXd3__1cxrsTy9PbNax45wB/view?usp=drivesdk</v>
      </c>
      <c r="X897" s="75"/>
      <c r="Y897" s="69" t="s">
        <v>1820</v>
      </c>
      <c r="Z897" s="75" t="s">
        <v>5018</v>
      </c>
      <c r="AA897" s="68" t="s">
        <v>5019</v>
      </c>
      <c r="AB897" s="68" t="s">
        <v>5170</v>
      </c>
      <c r="AC897" s="75" t="s">
        <v>5167</v>
      </c>
      <c r="AD897" s="1233">
        <v>26.0</v>
      </c>
      <c r="AE897" s="573">
        <f t="shared" si="52"/>
        <v>324</v>
      </c>
      <c r="AF897" s="69" t="s">
        <v>5174</v>
      </c>
      <c r="AG897" s="90" t="s">
        <v>162</v>
      </c>
      <c r="AH897" s="69" t="s">
        <v>2444</v>
      </c>
      <c r="AI897" s="573">
        <v>0.05</v>
      </c>
      <c r="AJ897" s="87" t="s">
        <v>329</v>
      </c>
      <c r="AK897" s="69" t="s">
        <v>128</v>
      </c>
      <c r="AL897" s="75" t="s">
        <v>132</v>
      </c>
      <c r="AM897" s="75"/>
      <c r="AN897" s="573">
        <v>196.0</v>
      </c>
      <c r="AO897" s="69" t="s">
        <v>5175</v>
      </c>
      <c r="AP897" s="69" t="s">
        <v>162</v>
      </c>
      <c r="AQ897" s="69" t="s">
        <v>2030</v>
      </c>
      <c r="AR897" s="573">
        <v>0.05</v>
      </c>
      <c r="AS897" s="87" t="s">
        <v>329</v>
      </c>
      <c r="AT897" s="87" t="s">
        <v>128</v>
      </c>
      <c r="AU897" s="86" t="s">
        <v>132</v>
      </c>
      <c r="AV897" s="86"/>
      <c r="AW897" s="86" t="s">
        <v>134</v>
      </c>
      <c r="AX897" s="84"/>
      <c r="AY897" s="84"/>
      <c r="AZ897" s="64"/>
    </row>
    <row r="898">
      <c r="A898" s="65" t="s">
        <v>520</v>
      </c>
      <c r="B898" s="65" t="s">
        <v>107</v>
      </c>
      <c r="C898" s="65" t="s">
        <v>144</v>
      </c>
      <c r="D898" s="66"/>
      <c r="E898" s="86" t="s">
        <v>4998</v>
      </c>
      <c r="F898" s="69" t="s">
        <v>5173</v>
      </c>
      <c r="G898" s="69" t="s">
        <v>144</v>
      </c>
      <c r="H898" s="798">
        <v>45478.0</v>
      </c>
      <c r="I898" s="566">
        <v>45638.0</v>
      </c>
      <c r="J898" s="68" t="s">
        <v>5017</v>
      </c>
      <c r="K898" s="75"/>
      <c r="L898" s="69" t="s">
        <v>5001</v>
      </c>
      <c r="M898" s="69" t="s">
        <v>5002</v>
      </c>
      <c r="N898" s="862">
        <v>1.0</v>
      </c>
      <c r="O898" s="90" t="s">
        <v>5003</v>
      </c>
      <c r="P898" s="48" t="str">
        <f t="array" ref="P898">HYPERLINK(INDEX('File Links'!B:B, MATCH(O898, 'File Links'!C:C, 0)))
</f>
        <v>https://drive.google.com/file/d/1EqvEPwgwndawziGmIPqgl3yNKOI51OAS/view?usp=drivesdk</v>
      </c>
      <c r="Q898" s="69" t="s">
        <v>5004</v>
      </c>
      <c r="R898" s="69" t="s">
        <v>5005</v>
      </c>
      <c r="S898" s="75"/>
      <c r="T898" s="864">
        <v>1.0</v>
      </c>
      <c r="U898" s="69" t="s">
        <v>5006</v>
      </c>
      <c r="V898" s="68" t="s">
        <v>2024</v>
      </c>
      <c r="W898" s="50" t="str">
        <f t="array" ref="W898">HYPERLINK(INDEX('File Links'!B:B, MATCH(U898, 'File Links'!C:C, 0)))
</f>
        <v>https://drive.google.com/file/d/1UFSIBKXNmPXd3__1cxrsTy9PbNax45wB/view?usp=drivesdk</v>
      </c>
      <c r="X898" s="75"/>
      <c r="Y898" s="69" t="s">
        <v>1820</v>
      </c>
      <c r="Z898" s="75" t="s">
        <v>5018</v>
      </c>
      <c r="AA898" s="68" t="s">
        <v>5019</v>
      </c>
      <c r="AB898" s="68" t="s">
        <v>5170</v>
      </c>
      <c r="AC898" s="75" t="s">
        <v>5167</v>
      </c>
      <c r="AD898" s="1233">
        <v>26.0</v>
      </c>
      <c r="AE898" s="573">
        <f t="shared" si="52"/>
        <v>324</v>
      </c>
      <c r="AF898" s="69" t="s">
        <v>5176</v>
      </c>
      <c r="AG898" s="90" t="s">
        <v>162</v>
      </c>
      <c r="AH898" s="69" t="s">
        <v>5049</v>
      </c>
      <c r="AI898" s="573">
        <v>0.05</v>
      </c>
      <c r="AJ898" s="87" t="s">
        <v>329</v>
      </c>
      <c r="AK898" s="69" t="s">
        <v>128</v>
      </c>
      <c r="AL898" s="75" t="s">
        <v>132</v>
      </c>
      <c r="AM898" s="75"/>
      <c r="AN898" s="573">
        <v>185.0</v>
      </c>
      <c r="AO898" s="69" t="s">
        <v>5177</v>
      </c>
      <c r="AP898" s="69" t="s">
        <v>162</v>
      </c>
      <c r="AQ898" s="69" t="s">
        <v>1186</v>
      </c>
      <c r="AR898" s="573">
        <v>0.1</v>
      </c>
      <c r="AS898" s="87" t="s">
        <v>127</v>
      </c>
      <c r="AT898" s="87" t="s">
        <v>128</v>
      </c>
      <c r="AU898" s="86" t="s">
        <v>132</v>
      </c>
      <c r="AV898" s="86"/>
      <c r="AW898" s="86" t="s">
        <v>134</v>
      </c>
      <c r="AX898" s="84"/>
      <c r="AY898" s="84"/>
      <c r="AZ898" s="64"/>
      <c r="BA898" s="178"/>
      <c r="BB898" s="178"/>
      <c r="BC898" s="178"/>
      <c r="BD898" s="178"/>
      <c r="BE898" s="178"/>
      <c r="BF898" s="178"/>
      <c r="BG898" s="178"/>
      <c r="BH898" s="178"/>
      <c r="BI898" s="178"/>
      <c r="BJ898" s="178"/>
      <c r="BK898" s="178"/>
      <c r="BL898" s="178"/>
      <c r="BM898" s="178"/>
      <c r="BN898" s="178"/>
      <c r="BO898" s="178"/>
      <c r="BP898" s="178"/>
      <c r="BQ898" s="178"/>
      <c r="BR898" s="178"/>
      <c r="BS898" s="178"/>
      <c r="BT898" s="178"/>
      <c r="BU898" s="178"/>
      <c r="BV898" s="178"/>
      <c r="BW898" s="178"/>
      <c r="BX898" s="178"/>
      <c r="BY898" s="178"/>
      <c r="BZ898" s="178"/>
      <c r="CA898" s="178"/>
      <c r="CB898" s="178"/>
      <c r="CC898" s="178"/>
      <c r="CD898" s="178"/>
      <c r="CE898" s="178"/>
      <c r="CF898" s="178"/>
      <c r="CG898" s="178"/>
      <c r="CH898" s="178"/>
      <c r="CI898" s="178"/>
      <c r="CJ898" s="178"/>
      <c r="CK898" s="178"/>
      <c r="CL898" s="178"/>
      <c r="CM898" s="178"/>
      <c r="CN898" s="178"/>
      <c r="CO898" s="178"/>
      <c r="CP898" s="178"/>
      <c r="CQ898" s="178"/>
      <c r="CR898" s="178"/>
      <c r="CS898" s="178"/>
      <c r="CT898" s="178"/>
      <c r="CU898" s="178"/>
      <c r="CV898" s="178"/>
      <c r="CW898" s="178"/>
      <c r="CX898" s="178"/>
      <c r="CY898" s="178"/>
      <c r="CZ898" s="178"/>
      <c r="DA898" s="178"/>
      <c r="DB898" s="178"/>
      <c r="DC898" s="178"/>
      <c r="DD898" s="178"/>
      <c r="DE898" s="178"/>
      <c r="DF898" s="178"/>
      <c r="DG898" s="178"/>
    </row>
    <row r="899">
      <c r="A899" s="65" t="s">
        <v>520</v>
      </c>
      <c r="B899" s="65" t="s">
        <v>107</v>
      </c>
      <c r="C899" s="65" t="s">
        <v>144</v>
      </c>
      <c r="D899" s="66"/>
      <c r="E899" s="86" t="s">
        <v>4998</v>
      </c>
      <c r="F899" s="69" t="s">
        <v>5178</v>
      </c>
      <c r="G899" s="69" t="s">
        <v>144</v>
      </c>
      <c r="H899" s="798">
        <v>45478.0</v>
      </c>
      <c r="I899" s="566">
        <v>45638.0</v>
      </c>
      <c r="J899" s="68" t="s">
        <v>5017</v>
      </c>
      <c r="K899" s="75"/>
      <c r="L899" s="69" t="s">
        <v>5001</v>
      </c>
      <c r="M899" s="69" t="s">
        <v>5002</v>
      </c>
      <c r="N899" s="862">
        <v>1.0</v>
      </c>
      <c r="O899" s="90" t="s">
        <v>5003</v>
      </c>
      <c r="P899" s="48" t="str">
        <f t="array" ref="P899">HYPERLINK(INDEX('File Links'!B:B, MATCH(O899, 'File Links'!C:C, 0)))
</f>
        <v>https://drive.google.com/file/d/1EqvEPwgwndawziGmIPqgl3yNKOI51OAS/view?usp=drivesdk</v>
      </c>
      <c r="Q899" s="69" t="s">
        <v>5004</v>
      </c>
      <c r="R899" s="69" t="s">
        <v>5005</v>
      </c>
      <c r="S899" s="75"/>
      <c r="T899" s="864">
        <v>1.0</v>
      </c>
      <c r="U899" s="69" t="s">
        <v>5006</v>
      </c>
      <c r="V899" s="68" t="s">
        <v>2024</v>
      </c>
      <c r="W899" s="50" t="str">
        <f t="array" ref="W899">HYPERLINK(INDEX('File Links'!B:B, MATCH(U899, 'File Links'!C:C, 0)))
</f>
        <v>https://drive.google.com/file/d/1UFSIBKXNmPXd3__1cxrsTy9PbNax45wB/view?usp=drivesdk</v>
      </c>
      <c r="X899" s="75"/>
      <c r="Y899" s="69" t="s">
        <v>1820</v>
      </c>
      <c r="Z899" s="75" t="s">
        <v>5018</v>
      </c>
      <c r="AA899" s="68" t="s">
        <v>5019</v>
      </c>
      <c r="AB899" s="68" t="s">
        <v>5170</v>
      </c>
      <c r="AC899" s="75" t="s">
        <v>5167</v>
      </c>
      <c r="AD899" s="1233">
        <v>26.0</v>
      </c>
      <c r="AE899" s="573">
        <f t="shared" si="52"/>
        <v>324</v>
      </c>
      <c r="AF899" s="69" t="s">
        <v>5179</v>
      </c>
      <c r="AG899" s="90" t="s">
        <v>162</v>
      </c>
      <c r="AH899" s="69" t="s">
        <v>2444</v>
      </c>
      <c r="AI899" s="573">
        <v>0.1</v>
      </c>
      <c r="AJ899" s="87" t="s">
        <v>127</v>
      </c>
      <c r="AK899" s="69" t="s">
        <v>128</v>
      </c>
      <c r="AL899" s="75" t="s">
        <v>132</v>
      </c>
      <c r="AM899" s="75"/>
      <c r="AN899" s="573">
        <v>196.0</v>
      </c>
      <c r="AO899" s="69" t="s">
        <v>5180</v>
      </c>
      <c r="AP899" s="69" t="s">
        <v>162</v>
      </c>
      <c r="AQ899" s="69" t="s">
        <v>5039</v>
      </c>
      <c r="AR899" s="573">
        <v>0.05</v>
      </c>
      <c r="AS899" s="87" t="s">
        <v>329</v>
      </c>
      <c r="AT899" s="87" t="s">
        <v>128</v>
      </c>
      <c r="AU899" s="86" t="s">
        <v>132</v>
      </c>
      <c r="AV899" s="86"/>
      <c r="AW899" s="86" t="s">
        <v>134</v>
      </c>
      <c r="AX899" s="84"/>
      <c r="AY899" s="84"/>
      <c r="AZ899" s="64"/>
    </row>
    <row r="900">
      <c r="A900" s="65" t="s">
        <v>520</v>
      </c>
      <c r="B900" s="65" t="s">
        <v>107</v>
      </c>
      <c r="C900" s="65" t="s">
        <v>144</v>
      </c>
      <c r="D900" s="66"/>
      <c r="E900" s="86" t="s">
        <v>4998</v>
      </c>
      <c r="F900" s="69" t="s">
        <v>5178</v>
      </c>
      <c r="G900" s="69" t="s">
        <v>144</v>
      </c>
      <c r="H900" s="798">
        <v>45478.0</v>
      </c>
      <c r="I900" s="566">
        <v>45638.0</v>
      </c>
      <c r="J900" s="68" t="s">
        <v>5017</v>
      </c>
      <c r="K900" s="75"/>
      <c r="L900" s="69" t="s">
        <v>5001</v>
      </c>
      <c r="M900" s="69" t="s">
        <v>5002</v>
      </c>
      <c r="N900" s="862">
        <v>1.0</v>
      </c>
      <c r="O900" s="90" t="s">
        <v>5003</v>
      </c>
      <c r="P900" s="48" t="str">
        <f t="array" ref="P900">HYPERLINK(INDEX('File Links'!B:B, MATCH(O900, 'File Links'!C:C, 0)))
</f>
        <v>https://drive.google.com/file/d/1EqvEPwgwndawziGmIPqgl3yNKOI51OAS/view?usp=drivesdk</v>
      </c>
      <c r="Q900" s="69" t="s">
        <v>5004</v>
      </c>
      <c r="R900" s="69" t="s">
        <v>5005</v>
      </c>
      <c r="S900" s="75"/>
      <c r="T900" s="864">
        <v>1.0</v>
      </c>
      <c r="U900" s="69" t="s">
        <v>5006</v>
      </c>
      <c r="V900" s="68" t="s">
        <v>2024</v>
      </c>
      <c r="W900" s="50" t="str">
        <f t="array" ref="W900">HYPERLINK(INDEX('File Links'!B:B, MATCH(U900, 'File Links'!C:C, 0)))
</f>
        <v>https://drive.google.com/file/d/1UFSIBKXNmPXd3__1cxrsTy9PbNax45wB/view?usp=drivesdk</v>
      </c>
      <c r="X900" s="75"/>
      <c r="Y900" s="69" t="s">
        <v>1820</v>
      </c>
      <c r="Z900" s="75" t="s">
        <v>5018</v>
      </c>
      <c r="AA900" s="68" t="s">
        <v>5019</v>
      </c>
      <c r="AB900" s="68" t="s">
        <v>5170</v>
      </c>
      <c r="AC900" s="75" t="s">
        <v>5167</v>
      </c>
      <c r="AD900" s="1233">
        <v>26.0</v>
      </c>
      <c r="AE900" s="573">
        <f t="shared" si="52"/>
        <v>324</v>
      </c>
      <c r="AF900" s="69" t="s">
        <v>5181</v>
      </c>
      <c r="AG900" s="90" t="s">
        <v>162</v>
      </c>
      <c r="AH900" s="69" t="s">
        <v>5049</v>
      </c>
      <c r="AI900" s="573">
        <v>0.05</v>
      </c>
      <c r="AJ900" s="87" t="s">
        <v>329</v>
      </c>
      <c r="AK900" s="69" t="s">
        <v>128</v>
      </c>
      <c r="AL900" s="75" t="s">
        <v>132</v>
      </c>
      <c r="AM900" s="75"/>
      <c r="AN900" s="573">
        <v>185.0</v>
      </c>
      <c r="AO900" s="69" t="s">
        <v>5177</v>
      </c>
      <c r="AP900" s="69" t="s">
        <v>162</v>
      </c>
      <c r="AQ900" s="69" t="s">
        <v>1830</v>
      </c>
      <c r="AR900" s="573">
        <v>0.1</v>
      </c>
      <c r="AS900" s="87" t="s">
        <v>127</v>
      </c>
      <c r="AT900" s="87" t="s">
        <v>128</v>
      </c>
      <c r="AU900" s="86" t="s">
        <v>132</v>
      </c>
      <c r="AV900" s="86"/>
      <c r="AW900" s="86" t="s">
        <v>134</v>
      </c>
      <c r="AX900" s="84"/>
      <c r="AY900" s="84"/>
      <c r="AZ900" s="64"/>
      <c r="BA900" s="178"/>
      <c r="BB900" s="178"/>
      <c r="BC900" s="178"/>
      <c r="BD900" s="178"/>
      <c r="BE900" s="178"/>
      <c r="BF900" s="178"/>
      <c r="BG900" s="178"/>
      <c r="BH900" s="178"/>
      <c r="BI900" s="178"/>
      <c r="BJ900" s="178"/>
      <c r="BK900" s="178"/>
      <c r="BL900" s="178"/>
      <c r="BM900" s="178"/>
      <c r="BN900" s="178"/>
      <c r="BO900" s="178"/>
      <c r="BP900" s="178"/>
      <c r="BQ900" s="178"/>
      <c r="BR900" s="178"/>
      <c r="BS900" s="178"/>
      <c r="BT900" s="178"/>
      <c r="BU900" s="178"/>
      <c r="BV900" s="178"/>
      <c r="BW900" s="178"/>
      <c r="BX900" s="178"/>
      <c r="BY900" s="178"/>
      <c r="BZ900" s="178"/>
      <c r="CA900" s="178"/>
      <c r="CB900" s="178"/>
      <c r="CC900" s="178"/>
      <c r="CD900" s="178"/>
      <c r="CE900" s="178"/>
      <c r="CF900" s="178"/>
      <c r="CG900" s="178"/>
      <c r="CH900" s="178"/>
      <c r="CI900" s="178"/>
      <c r="CJ900" s="178"/>
      <c r="CK900" s="178"/>
      <c r="CL900" s="178"/>
      <c r="CM900" s="178"/>
      <c r="CN900" s="178"/>
      <c r="CO900" s="178"/>
      <c r="CP900" s="178"/>
      <c r="CQ900" s="178"/>
      <c r="CR900" s="178"/>
      <c r="CS900" s="178"/>
      <c r="CT900" s="178"/>
      <c r="CU900" s="178"/>
      <c r="CV900" s="178"/>
      <c r="CW900" s="178"/>
      <c r="CX900" s="178"/>
      <c r="CY900" s="178"/>
      <c r="CZ900" s="178"/>
      <c r="DA900" s="178"/>
      <c r="DB900" s="178"/>
      <c r="DC900" s="178"/>
      <c r="DD900" s="178"/>
      <c r="DE900" s="178"/>
      <c r="DF900" s="178"/>
      <c r="DG900" s="178"/>
    </row>
    <row r="901">
      <c r="A901" s="65" t="s">
        <v>520</v>
      </c>
      <c r="B901" s="65" t="s">
        <v>107</v>
      </c>
      <c r="C901" s="65" t="s">
        <v>144</v>
      </c>
      <c r="D901" s="66"/>
      <c r="E901" s="86" t="s">
        <v>4998</v>
      </c>
      <c r="F901" s="69" t="s">
        <v>5182</v>
      </c>
      <c r="G901" s="69" t="s">
        <v>144</v>
      </c>
      <c r="H901" s="798">
        <v>45478.0</v>
      </c>
      <c r="I901" s="566">
        <v>45638.0</v>
      </c>
      <c r="J901" s="68" t="s">
        <v>5017</v>
      </c>
      <c r="K901" s="75"/>
      <c r="L901" s="69" t="s">
        <v>5001</v>
      </c>
      <c r="M901" s="69" t="s">
        <v>5002</v>
      </c>
      <c r="N901" s="862">
        <v>1.0</v>
      </c>
      <c r="O901" s="90" t="s">
        <v>5003</v>
      </c>
      <c r="P901" s="48" t="str">
        <f t="array" ref="P901">HYPERLINK(INDEX('File Links'!B:B, MATCH(O901, 'File Links'!C:C, 0)))
</f>
        <v>https://drive.google.com/file/d/1EqvEPwgwndawziGmIPqgl3yNKOI51OAS/view?usp=drivesdk</v>
      </c>
      <c r="Q901" s="69" t="s">
        <v>5004</v>
      </c>
      <c r="R901" s="69" t="s">
        <v>5005</v>
      </c>
      <c r="S901" s="75"/>
      <c r="T901" s="864">
        <v>1.0</v>
      </c>
      <c r="U901" s="69" t="s">
        <v>5006</v>
      </c>
      <c r="V901" s="68" t="s">
        <v>2024</v>
      </c>
      <c r="W901" s="50" t="str">
        <f t="array" ref="W901">HYPERLINK(INDEX('File Links'!B:B, MATCH(U901, 'File Links'!C:C, 0)))
</f>
        <v>https://drive.google.com/file/d/1UFSIBKXNmPXd3__1cxrsTy9PbNax45wB/view?usp=drivesdk</v>
      </c>
      <c r="X901" s="75"/>
      <c r="Y901" s="69" t="s">
        <v>1820</v>
      </c>
      <c r="Z901" s="75" t="s">
        <v>5018</v>
      </c>
      <c r="AA901" s="68" t="s">
        <v>5019</v>
      </c>
      <c r="AB901" s="79" t="s">
        <v>5183</v>
      </c>
      <c r="AC901" s="75" t="s">
        <v>5184</v>
      </c>
      <c r="AD901" s="1233">
        <v>26.0</v>
      </c>
      <c r="AE901" s="573">
        <f t="shared" si="52"/>
        <v>324</v>
      </c>
      <c r="AF901" s="75" t="s">
        <v>5185</v>
      </c>
      <c r="AG901" s="90" t="s">
        <v>162</v>
      </c>
      <c r="AH901" s="69" t="s">
        <v>2443</v>
      </c>
      <c r="AI901" s="573">
        <v>0.05</v>
      </c>
      <c r="AJ901" s="87" t="s">
        <v>127</v>
      </c>
      <c r="AK901" s="69" t="s">
        <v>128</v>
      </c>
      <c r="AL901" s="75" t="s">
        <v>132</v>
      </c>
      <c r="AM901" s="75"/>
      <c r="AN901" s="573">
        <v>185.0</v>
      </c>
      <c r="AO901" s="69" t="s">
        <v>5186</v>
      </c>
      <c r="AP901" s="69" t="s">
        <v>162</v>
      </c>
      <c r="AQ901" s="69" t="s">
        <v>5029</v>
      </c>
      <c r="AR901" s="573">
        <v>0.05</v>
      </c>
      <c r="AS901" s="87" t="s">
        <v>127</v>
      </c>
      <c r="AT901" s="87" t="s">
        <v>128</v>
      </c>
      <c r="AU901" s="86" t="s">
        <v>132</v>
      </c>
      <c r="AV901" s="86"/>
      <c r="AW901" s="86" t="s">
        <v>134</v>
      </c>
      <c r="AX901" s="84"/>
      <c r="AY901" s="84"/>
      <c r="AZ901" s="64"/>
    </row>
    <row r="902">
      <c r="A902" s="65" t="s">
        <v>520</v>
      </c>
      <c r="B902" s="65" t="s">
        <v>107</v>
      </c>
      <c r="C902" s="65" t="s">
        <v>144</v>
      </c>
      <c r="D902" s="66"/>
      <c r="E902" s="86" t="s">
        <v>4998</v>
      </c>
      <c r="F902" s="69" t="s">
        <v>5187</v>
      </c>
      <c r="G902" s="69" t="s">
        <v>144</v>
      </c>
      <c r="H902" s="798">
        <v>45478.0</v>
      </c>
      <c r="I902" s="566">
        <v>45638.0</v>
      </c>
      <c r="J902" s="68" t="s">
        <v>5017</v>
      </c>
      <c r="K902" s="75"/>
      <c r="L902" s="69" t="s">
        <v>5001</v>
      </c>
      <c r="M902" s="69" t="s">
        <v>5002</v>
      </c>
      <c r="N902" s="862">
        <v>1.0</v>
      </c>
      <c r="O902" s="90" t="s">
        <v>5003</v>
      </c>
      <c r="P902" s="48" t="str">
        <f t="array" ref="P902">HYPERLINK(INDEX('File Links'!B:B, MATCH(O902, 'File Links'!C:C, 0)))
</f>
        <v>https://drive.google.com/file/d/1EqvEPwgwndawziGmIPqgl3yNKOI51OAS/view?usp=drivesdk</v>
      </c>
      <c r="Q902" s="69" t="s">
        <v>5004</v>
      </c>
      <c r="R902" s="69" t="s">
        <v>5005</v>
      </c>
      <c r="S902" s="75"/>
      <c r="T902" s="864">
        <v>1.0</v>
      </c>
      <c r="U902" s="69" t="s">
        <v>5006</v>
      </c>
      <c r="V902" s="68" t="s">
        <v>2024</v>
      </c>
      <c r="W902" s="50" t="str">
        <f t="array" ref="W902">HYPERLINK(INDEX('File Links'!B:B, MATCH(U902, 'File Links'!C:C, 0)))
</f>
        <v>https://drive.google.com/file/d/1UFSIBKXNmPXd3__1cxrsTy9PbNax45wB/view?usp=drivesdk</v>
      </c>
      <c r="X902" s="75"/>
      <c r="Y902" s="69" t="s">
        <v>1820</v>
      </c>
      <c r="Z902" s="75" t="s">
        <v>5018</v>
      </c>
      <c r="AA902" s="68" t="s">
        <v>5019</v>
      </c>
      <c r="AB902" s="79" t="s">
        <v>5183</v>
      </c>
      <c r="AC902" s="75" t="s">
        <v>5184</v>
      </c>
      <c r="AD902" s="1233">
        <v>26.0</v>
      </c>
      <c r="AE902" s="573">
        <f t="shared" si="52"/>
        <v>324</v>
      </c>
      <c r="AF902" s="75" t="s">
        <v>5188</v>
      </c>
      <c r="AG902" s="90" t="s">
        <v>162</v>
      </c>
      <c r="AH902" s="69" t="s">
        <v>2443</v>
      </c>
      <c r="AI902" s="573">
        <v>0.05</v>
      </c>
      <c r="AJ902" s="87" t="s">
        <v>329</v>
      </c>
      <c r="AK902" s="69" t="s">
        <v>128</v>
      </c>
      <c r="AL902" s="75" t="s">
        <v>132</v>
      </c>
      <c r="AM902" s="75"/>
      <c r="AN902" s="573">
        <v>185.0</v>
      </c>
      <c r="AO902" s="69" t="s">
        <v>5189</v>
      </c>
      <c r="AP902" s="69" t="s">
        <v>162</v>
      </c>
      <c r="AQ902" s="69" t="s">
        <v>1186</v>
      </c>
      <c r="AR902" s="573">
        <v>0.05</v>
      </c>
      <c r="AS902" s="87" t="s">
        <v>127</v>
      </c>
      <c r="AT902" s="87" t="s">
        <v>128</v>
      </c>
      <c r="AU902" s="86" t="s">
        <v>132</v>
      </c>
      <c r="AV902" s="86"/>
      <c r="AW902" s="86" t="s">
        <v>134</v>
      </c>
      <c r="AX902" s="84"/>
      <c r="AY902" s="84"/>
      <c r="AZ902" s="64"/>
      <c r="BA902" s="178"/>
      <c r="BB902" s="178"/>
      <c r="BC902" s="178"/>
      <c r="BD902" s="178"/>
      <c r="BE902" s="178"/>
      <c r="BF902" s="178"/>
      <c r="BG902" s="178"/>
      <c r="BH902" s="178"/>
      <c r="BI902" s="178"/>
      <c r="BJ902" s="178"/>
      <c r="BK902" s="178"/>
      <c r="BL902" s="178"/>
      <c r="BM902" s="178"/>
      <c r="BN902" s="178"/>
      <c r="BO902" s="178"/>
      <c r="BP902" s="178"/>
      <c r="BQ902" s="178"/>
      <c r="BR902" s="178"/>
      <c r="BS902" s="178"/>
      <c r="BT902" s="178"/>
      <c r="BU902" s="178"/>
      <c r="BV902" s="178"/>
      <c r="BW902" s="178"/>
      <c r="BX902" s="178"/>
      <c r="BY902" s="178"/>
      <c r="BZ902" s="178"/>
      <c r="CA902" s="178"/>
      <c r="CB902" s="178"/>
      <c r="CC902" s="178"/>
      <c r="CD902" s="178"/>
      <c r="CE902" s="178"/>
      <c r="CF902" s="178"/>
      <c r="CG902" s="178"/>
      <c r="CH902" s="178"/>
      <c r="CI902" s="178"/>
      <c r="CJ902" s="178"/>
      <c r="CK902" s="178"/>
      <c r="CL902" s="178"/>
      <c r="CM902" s="178"/>
      <c r="CN902" s="178"/>
      <c r="CO902" s="178"/>
      <c r="CP902" s="178"/>
      <c r="CQ902" s="178"/>
      <c r="CR902" s="178"/>
      <c r="CS902" s="178"/>
      <c r="CT902" s="178"/>
      <c r="CU902" s="178"/>
      <c r="CV902" s="178"/>
      <c r="CW902" s="178"/>
      <c r="CX902" s="178"/>
      <c r="CY902" s="178"/>
      <c r="CZ902" s="178"/>
      <c r="DA902" s="178"/>
      <c r="DB902" s="178"/>
      <c r="DC902" s="178"/>
      <c r="DD902" s="178"/>
      <c r="DE902" s="178"/>
      <c r="DF902" s="178"/>
      <c r="DG902" s="178"/>
    </row>
    <row r="903">
      <c r="A903" s="65" t="s">
        <v>520</v>
      </c>
      <c r="B903" s="65" t="s">
        <v>107</v>
      </c>
      <c r="C903" s="65" t="s">
        <v>144</v>
      </c>
      <c r="D903" s="66"/>
      <c r="E903" s="86" t="s">
        <v>4998</v>
      </c>
      <c r="F903" s="69" t="s">
        <v>5190</v>
      </c>
      <c r="G903" s="69" t="s">
        <v>144</v>
      </c>
      <c r="H903" s="798">
        <v>45478.0</v>
      </c>
      <c r="I903" s="566">
        <v>45638.0</v>
      </c>
      <c r="J903" s="68" t="s">
        <v>5017</v>
      </c>
      <c r="K903" s="75"/>
      <c r="L903" s="69" t="s">
        <v>5001</v>
      </c>
      <c r="M903" s="69" t="s">
        <v>5002</v>
      </c>
      <c r="N903" s="862">
        <v>1.0</v>
      </c>
      <c r="O903" s="90" t="s">
        <v>5003</v>
      </c>
      <c r="P903" s="48" t="str">
        <f t="array" ref="P903">HYPERLINK(INDEX('File Links'!B:B, MATCH(O903, 'File Links'!C:C, 0)))
</f>
        <v>https://drive.google.com/file/d/1EqvEPwgwndawziGmIPqgl3yNKOI51OAS/view?usp=drivesdk</v>
      </c>
      <c r="Q903" s="69" t="s">
        <v>5004</v>
      </c>
      <c r="R903" s="69" t="s">
        <v>5005</v>
      </c>
      <c r="S903" s="75"/>
      <c r="T903" s="864">
        <v>1.0</v>
      </c>
      <c r="U903" s="69" t="s">
        <v>5006</v>
      </c>
      <c r="V903" s="68" t="s">
        <v>2024</v>
      </c>
      <c r="W903" s="50" t="str">
        <f t="array" ref="W903">HYPERLINK(INDEX('File Links'!B:B, MATCH(U903, 'File Links'!C:C, 0)))
</f>
        <v>https://drive.google.com/file/d/1UFSIBKXNmPXd3__1cxrsTy9PbNax45wB/view?usp=drivesdk</v>
      </c>
      <c r="X903" s="75"/>
      <c r="Y903" s="69" t="s">
        <v>1820</v>
      </c>
      <c r="Z903" s="75" t="s">
        <v>5018</v>
      </c>
      <c r="AA903" s="68" t="s">
        <v>5019</v>
      </c>
      <c r="AB903" s="79" t="s">
        <v>5183</v>
      </c>
      <c r="AC903" s="75" t="s">
        <v>5184</v>
      </c>
      <c r="AD903" s="1233">
        <v>26.0</v>
      </c>
      <c r="AE903" s="573">
        <f t="shared" si="52"/>
        <v>324</v>
      </c>
      <c r="AF903" s="69" t="s">
        <v>5191</v>
      </c>
      <c r="AG903" s="90" t="s">
        <v>162</v>
      </c>
      <c r="AH903" s="69" t="s">
        <v>2443</v>
      </c>
      <c r="AI903" s="573">
        <v>0.05</v>
      </c>
      <c r="AJ903" s="87" t="s">
        <v>329</v>
      </c>
      <c r="AK903" s="69" t="s">
        <v>128</v>
      </c>
      <c r="AL903" s="75" t="s">
        <v>132</v>
      </c>
      <c r="AM903" s="75"/>
      <c r="AN903" s="573">
        <v>185.0</v>
      </c>
      <c r="AO903" s="69" t="s">
        <v>5192</v>
      </c>
      <c r="AP903" s="69" t="s">
        <v>162</v>
      </c>
      <c r="AQ903" s="69" t="s">
        <v>1830</v>
      </c>
      <c r="AR903" s="573">
        <v>0.01</v>
      </c>
      <c r="AS903" s="87" t="s">
        <v>127</v>
      </c>
      <c r="AT903" s="87" t="s">
        <v>128</v>
      </c>
      <c r="AU903" s="86" t="s">
        <v>132</v>
      </c>
      <c r="AV903" s="86"/>
      <c r="AW903" s="86" t="s">
        <v>134</v>
      </c>
      <c r="AX903" s="84"/>
      <c r="AY903" s="84"/>
      <c r="AZ903" s="64"/>
    </row>
    <row r="904">
      <c r="A904" s="65" t="s">
        <v>520</v>
      </c>
      <c r="B904" s="65" t="s">
        <v>107</v>
      </c>
      <c r="C904" s="65" t="s">
        <v>144</v>
      </c>
      <c r="D904" s="66"/>
      <c r="E904" s="86" t="s">
        <v>4998</v>
      </c>
      <c r="F904" s="69" t="s">
        <v>5193</v>
      </c>
      <c r="G904" s="69" t="s">
        <v>144</v>
      </c>
      <c r="H904" s="798">
        <v>45478.0</v>
      </c>
      <c r="I904" s="566">
        <v>45638.0</v>
      </c>
      <c r="J904" s="68" t="s">
        <v>5017</v>
      </c>
      <c r="K904" s="75"/>
      <c r="L904" s="69" t="s">
        <v>5001</v>
      </c>
      <c r="M904" s="69" t="s">
        <v>5002</v>
      </c>
      <c r="N904" s="862">
        <v>1.0</v>
      </c>
      <c r="O904" s="90" t="s">
        <v>5003</v>
      </c>
      <c r="P904" s="48" t="str">
        <f t="array" ref="P904">HYPERLINK(INDEX('File Links'!B:B, MATCH(O904, 'File Links'!C:C, 0)))
</f>
        <v>https://drive.google.com/file/d/1EqvEPwgwndawziGmIPqgl3yNKOI51OAS/view?usp=drivesdk</v>
      </c>
      <c r="Q904" s="69" t="s">
        <v>5004</v>
      </c>
      <c r="R904" s="69" t="s">
        <v>5005</v>
      </c>
      <c r="S904" s="75"/>
      <c r="T904" s="864">
        <v>1.0</v>
      </c>
      <c r="U904" s="69" t="s">
        <v>5006</v>
      </c>
      <c r="V904" s="68" t="s">
        <v>2024</v>
      </c>
      <c r="W904" s="50" t="str">
        <f t="array" ref="W904">HYPERLINK(INDEX('File Links'!B:B, MATCH(U904, 'File Links'!C:C, 0)))
</f>
        <v>https://drive.google.com/file/d/1UFSIBKXNmPXd3__1cxrsTy9PbNax45wB/view?usp=drivesdk</v>
      </c>
      <c r="X904" s="75"/>
      <c r="Y904" s="69" t="s">
        <v>1820</v>
      </c>
      <c r="Z904" s="75" t="s">
        <v>5018</v>
      </c>
      <c r="AA904" s="68" t="s">
        <v>5019</v>
      </c>
      <c r="AB904" s="79" t="s">
        <v>5194</v>
      </c>
      <c r="AC904" s="75" t="s">
        <v>5184</v>
      </c>
      <c r="AD904" s="1233">
        <v>26.0</v>
      </c>
      <c r="AE904" s="573">
        <f t="shared" si="52"/>
        <v>324</v>
      </c>
      <c r="AF904" s="75" t="s">
        <v>5195</v>
      </c>
      <c r="AG904" s="90" t="s">
        <v>162</v>
      </c>
      <c r="AH904" s="69" t="s">
        <v>5049</v>
      </c>
      <c r="AI904" s="573">
        <v>0.05</v>
      </c>
      <c r="AJ904" s="87" t="s">
        <v>329</v>
      </c>
      <c r="AK904" s="69" t="s">
        <v>128</v>
      </c>
      <c r="AL904" s="75" t="s">
        <v>132</v>
      </c>
      <c r="AM904" s="75"/>
      <c r="AN904" s="573">
        <v>185.0</v>
      </c>
      <c r="AO904" s="69" t="s">
        <v>5196</v>
      </c>
      <c r="AP904" s="69" t="s">
        <v>162</v>
      </c>
      <c r="AQ904" s="69" t="s">
        <v>5029</v>
      </c>
      <c r="AR904" s="573">
        <v>0.05</v>
      </c>
      <c r="AS904" s="87" t="s">
        <v>329</v>
      </c>
      <c r="AT904" s="87" t="s">
        <v>128</v>
      </c>
      <c r="AU904" s="86" t="s">
        <v>132</v>
      </c>
      <c r="AV904" s="86"/>
      <c r="AW904" s="86" t="s">
        <v>134</v>
      </c>
      <c r="AX904" s="84"/>
      <c r="AY904" s="84"/>
      <c r="AZ904" s="64"/>
      <c r="BA904" s="178"/>
      <c r="BB904" s="178"/>
      <c r="BC904" s="178"/>
      <c r="BD904" s="178"/>
      <c r="BE904" s="178"/>
      <c r="BF904" s="178"/>
      <c r="BG904" s="178"/>
      <c r="BH904" s="178"/>
      <c r="BI904" s="178"/>
      <c r="BJ904" s="178"/>
      <c r="BK904" s="178"/>
      <c r="BL904" s="178"/>
      <c r="BM904" s="178"/>
      <c r="BN904" s="178"/>
      <c r="BO904" s="178"/>
      <c r="BP904" s="178"/>
      <c r="BQ904" s="178"/>
      <c r="BR904" s="178"/>
      <c r="BS904" s="178"/>
      <c r="BT904" s="178"/>
      <c r="BU904" s="178"/>
      <c r="BV904" s="178"/>
      <c r="BW904" s="178"/>
      <c r="BX904" s="178"/>
      <c r="BY904" s="178"/>
      <c r="BZ904" s="178"/>
      <c r="CA904" s="178"/>
      <c r="CB904" s="178"/>
      <c r="CC904" s="178"/>
      <c r="CD904" s="178"/>
      <c r="CE904" s="178"/>
      <c r="CF904" s="178"/>
      <c r="CG904" s="178"/>
      <c r="CH904" s="178"/>
      <c r="CI904" s="178"/>
      <c r="CJ904" s="178"/>
      <c r="CK904" s="178"/>
      <c r="CL904" s="178"/>
      <c r="CM904" s="178"/>
      <c r="CN904" s="178"/>
      <c r="CO904" s="178"/>
      <c r="CP904" s="178"/>
      <c r="CQ904" s="178"/>
      <c r="CR904" s="178"/>
      <c r="CS904" s="178"/>
      <c r="CT904" s="178"/>
      <c r="CU904" s="178"/>
      <c r="CV904" s="178"/>
      <c r="CW904" s="178"/>
      <c r="CX904" s="178"/>
      <c r="CY904" s="178"/>
      <c r="CZ904" s="178"/>
      <c r="DA904" s="178"/>
      <c r="DB904" s="178"/>
      <c r="DC904" s="178"/>
      <c r="DD904" s="178"/>
      <c r="DE904" s="178"/>
      <c r="DF904" s="178"/>
      <c r="DG904" s="178"/>
    </row>
    <row r="905">
      <c r="A905" s="65" t="s">
        <v>520</v>
      </c>
      <c r="B905" s="65" t="s">
        <v>107</v>
      </c>
      <c r="C905" s="65" t="s">
        <v>144</v>
      </c>
      <c r="D905" s="66"/>
      <c r="E905" s="86" t="s">
        <v>4998</v>
      </c>
      <c r="F905" s="69" t="s">
        <v>5197</v>
      </c>
      <c r="G905" s="69" t="s">
        <v>144</v>
      </c>
      <c r="H905" s="798">
        <v>45478.0</v>
      </c>
      <c r="I905" s="566">
        <v>45638.0</v>
      </c>
      <c r="J905" s="68" t="s">
        <v>5017</v>
      </c>
      <c r="K905" s="75"/>
      <c r="L905" s="69" t="s">
        <v>5001</v>
      </c>
      <c r="M905" s="69" t="s">
        <v>5002</v>
      </c>
      <c r="N905" s="862">
        <v>1.0</v>
      </c>
      <c r="O905" s="90" t="s">
        <v>5003</v>
      </c>
      <c r="P905" s="48" t="str">
        <f t="array" ref="P905">HYPERLINK(INDEX('File Links'!B:B, MATCH(O905, 'File Links'!C:C, 0)))
</f>
        <v>https://drive.google.com/file/d/1EqvEPwgwndawziGmIPqgl3yNKOI51OAS/view?usp=drivesdk</v>
      </c>
      <c r="Q905" s="69" t="s">
        <v>5004</v>
      </c>
      <c r="R905" s="69" t="s">
        <v>5005</v>
      </c>
      <c r="S905" s="75"/>
      <c r="T905" s="864">
        <v>1.0</v>
      </c>
      <c r="U905" s="69" t="s">
        <v>5006</v>
      </c>
      <c r="V905" s="68" t="s">
        <v>2024</v>
      </c>
      <c r="W905" s="50" t="str">
        <f t="array" ref="W905">HYPERLINK(INDEX('File Links'!B:B, MATCH(U905, 'File Links'!C:C, 0)))
</f>
        <v>https://drive.google.com/file/d/1UFSIBKXNmPXd3__1cxrsTy9PbNax45wB/view?usp=drivesdk</v>
      </c>
      <c r="X905" s="75"/>
      <c r="Y905" s="69" t="s">
        <v>1820</v>
      </c>
      <c r="Z905" s="75" t="s">
        <v>5018</v>
      </c>
      <c r="AA905" s="68" t="s">
        <v>5019</v>
      </c>
      <c r="AB905" s="79" t="s">
        <v>5194</v>
      </c>
      <c r="AC905" s="75" t="s">
        <v>5184</v>
      </c>
      <c r="AD905" s="1233">
        <v>26.0</v>
      </c>
      <c r="AE905" s="573">
        <f t="shared" si="52"/>
        <v>324</v>
      </c>
      <c r="AF905" s="75" t="s">
        <v>5198</v>
      </c>
      <c r="AG905" s="90" t="s">
        <v>162</v>
      </c>
      <c r="AH905" s="69" t="s">
        <v>5049</v>
      </c>
      <c r="AI905" s="573">
        <v>0.1</v>
      </c>
      <c r="AJ905" s="87" t="s">
        <v>127</v>
      </c>
      <c r="AK905" s="69" t="s">
        <v>128</v>
      </c>
      <c r="AL905" s="75" t="s">
        <v>132</v>
      </c>
      <c r="AM905" s="75"/>
      <c r="AN905" s="573">
        <v>185.0</v>
      </c>
      <c r="AO905" s="69" t="s">
        <v>5199</v>
      </c>
      <c r="AP905" s="69" t="s">
        <v>162</v>
      </c>
      <c r="AQ905" s="69" t="s">
        <v>1186</v>
      </c>
      <c r="AR905" s="573">
        <v>0.05</v>
      </c>
      <c r="AS905" s="87" t="s">
        <v>329</v>
      </c>
      <c r="AT905" s="87" t="s">
        <v>128</v>
      </c>
      <c r="AU905" s="86" t="s">
        <v>132</v>
      </c>
      <c r="AV905" s="86"/>
      <c r="AW905" s="86" t="s">
        <v>134</v>
      </c>
      <c r="AX905" s="84"/>
      <c r="AY905" s="84"/>
      <c r="AZ905" s="64"/>
    </row>
    <row r="906">
      <c r="A906" s="65" t="s">
        <v>520</v>
      </c>
      <c r="B906" s="65" t="s">
        <v>107</v>
      </c>
      <c r="C906" s="65" t="s">
        <v>144</v>
      </c>
      <c r="D906" s="66"/>
      <c r="E906" s="86" t="s">
        <v>4998</v>
      </c>
      <c r="F906" s="69" t="s">
        <v>5200</v>
      </c>
      <c r="G906" s="69" t="s">
        <v>144</v>
      </c>
      <c r="H906" s="798">
        <v>45478.0</v>
      </c>
      <c r="I906" s="566">
        <v>45638.0</v>
      </c>
      <c r="J906" s="68" t="s">
        <v>5017</v>
      </c>
      <c r="K906" s="75"/>
      <c r="L906" s="69" t="s">
        <v>5001</v>
      </c>
      <c r="M906" s="69" t="s">
        <v>5002</v>
      </c>
      <c r="N906" s="862">
        <v>1.0</v>
      </c>
      <c r="O906" s="90" t="s">
        <v>5003</v>
      </c>
      <c r="P906" s="48" t="str">
        <f t="array" ref="P906">HYPERLINK(INDEX('File Links'!B:B, MATCH(O906, 'File Links'!C:C, 0)))
</f>
        <v>https://drive.google.com/file/d/1EqvEPwgwndawziGmIPqgl3yNKOI51OAS/view?usp=drivesdk</v>
      </c>
      <c r="Q906" s="69" t="s">
        <v>5004</v>
      </c>
      <c r="R906" s="69" t="s">
        <v>5005</v>
      </c>
      <c r="S906" s="75"/>
      <c r="T906" s="864">
        <v>1.0</v>
      </c>
      <c r="U906" s="69" t="s">
        <v>5006</v>
      </c>
      <c r="V906" s="68" t="s">
        <v>2024</v>
      </c>
      <c r="W906" s="50" t="str">
        <f t="array" ref="W906">HYPERLINK(INDEX('File Links'!B:B, MATCH(U906, 'File Links'!C:C, 0)))
</f>
        <v>https://drive.google.com/file/d/1UFSIBKXNmPXd3__1cxrsTy9PbNax45wB/view?usp=drivesdk</v>
      </c>
      <c r="X906" s="75"/>
      <c r="Y906" s="69" t="s">
        <v>1820</v>
      </c>
      <c r="Z906" s="75" t="s">
        <v>5018</v>
      </c>
      <c r="AA906" s="68" t="s">
        <v>5019</v>
      </c>
      <c r="AB906" s="79" t="s">
        <v>5194</v>
      </c>
      <c r="AC906" s="75" t="s">
        <v>5184</v>
      </c>
      <c r="AD906" s="1233">
        <v>26.0</v>
      </c>
      <c r="AE906" s="573">
        <f t="shared" si="52"/>
        <v>324</v>
      </c>
      <c r="AF906" s="69" t="s">
        <v>5201</v>
      </c>
      <c r="AG906" s="90" t="s">
        <v>162</v>
      </c>
      <c r="AH906" s="69" t="s">
        <v>5049</v>
      </c>
      <c r="AI906" s="573">
        <v>0.05</v>
      </c>
      <c r="AJ906" s="87" t="s">
        <v>329</v>
      </c>
      <c r="AK906" s="69" t="s">
        <v>128</v>
      </c>
      <c r="AL906" s="75" t="s">
        <v>132</v>
      </c>
      <c r="AM906" s="75"/>
      <c r="AN906" s="573">
        <v>185.0</v>
      </c>
      <c r="AO906" s="69" t="s">
        <v>5202</v>
      </c>
      <c r="AP906" s="69" t="s">
        <v>162</v>
      </c>
      <c r="AQ906" s="69" t="s">
        <v>1830</v>
      </c>
      <c r="AR906" s="573">
        <v>0.05</v>
      </c>
      <c r="AS906" s="87" t="s">
        <v>329</v>
      </c>
      <c r="AT906" s="87" t="s">
        <v>128</v>
      </c>
      <c r="AU906" s="86" t="s">
        <v>132</v>
      </c>
      <c r="AV906" s="86"/>
      <c r="AW906" s="86" t="s">
        <v>134</v>
      </c>
      <c r="AX906" s="84"/>
      <c r="AY906" s="84"/>
      <c r="AZ906" s="64"/>
      <c r="BA906" s="178"/>
      <c r="BB906" s="178"/>
      <c r="BC906" s="178"/>
      <c r="BD906" s="178"/>
      <c r="BE906" s="178"/>
      <c r="BF906" s="178"/>
      <c r="BG906" s="178"/>
      <c r="BH906" s="178"/>
      <c r="BI906" s="178"/>
      <c r="BJ906" s="178"/>
      <c r="BK906" s="178"/>
      <c r="BL906" s="178"/>
      <c r="BM906" s="178"/>
      <c r="BN906" s="178"/>
      <c r="BO906" s="178"/>
      <c r="BP906" s="178"/>
      <c r="BQ906" s="178"/>
      <c r="BR906" s="178"/>
      <c r="BS906" s="178"/>
      <c r="BT906" s="178"/>
      <c r="BU906" s="178"/>
      <c r="BV906" s="178"/>
      <c r="BW906" s="178"/>
      <c r="BX906" s="178"/>
      <c r="BY906" s="178"/>
      <c r="BZ906" s="178"/>
      <c r="CA906" s="178"/>
      <c r="CB906" s="178"/>
      <c r="CC906" s="178"/>
      <c r="CD906" s="178"/>
      <c r="CE906" s="178"/>
      <c r="CF906" s="178"/>
      <c r="CG906" s="178"/>
      <c r="CH906" s="178"/>
      <c r="CI906" s="178"/>
      <c r="CJ906" s="178"/>
      <c r="CK906" s="178"/>
      <c r="CL906" s="178"/>
      <c r="CM906" s="178"/>
      <c r="CN906" s="178"/>
      <c r="CO906" s="178"/>
      <c r="CP906" s="178"/>
      <c r="CQ906" s="178"/>
      <c r="CR906" s="178"/>
      <c r="CS906" s="178"/>
      <c r="CT906" s="178"/>
      <c r="CU906" s="178"/>
      <c r="CV906" s="178"/>
      <c r="CW906" s="178"/>
      <c r="CX906" s="178"/>
      <c r="CY906" s="178"/>
      <c r="CZ906" s="178"/>
      <c r="DA906" s="178"/>
      <c r="DB906" s="178"/>
      <c r="DC906" s="178"/>
      <c r="DD906" s="178"/>
      <c r="DE906" s="178"/>
      <c r="DF906" s="178"/>
      <c r="DG906" s="178"/>
    </row>
    <row r="907">
      <c r="A907" s="41" t="s">
        <v>279</v>
      </c>
      <c r="B907" s="41" t="s">
        <v>107</v>
      </c>
      <c r="C907" s="41" t="s">
        <v>2064</v>
      </c>
      <c r="E907" s="60" t="s">
        <v>5203</v>
      </c>
      <c r="F907" s="52" t="s">
        <v>5204</v>
      </c>
      <c r="G907" s="147" t="s">
        <v>2067</v>
      </c>
      <c r="H907" s="140">
        <v>45478.0</v>
      </c>
      <c r="I907" s="140">
        <v>45633.0</v>
      </c>
      <c r="J907" s="147" t="s">
        <v>5205</v>
      </c>
      <c r="K907" s="60"/>
      <c r="L907" s="147" t="s">
        <v>5206</v>
      </c>
      <c r="M907" s="147" t="s">
        <v>5207</v>
      </c>
      <c r="N907" s="147" t="s">
        <v>2846</v>
      </c>
      <c r="O907" s="147" t="s">
        <v>5208</v>
      </c>
      <c r="P907" s="544" t="str">
        <f t="array" ref="P907">HYPERLINK(INDEX('File Links'!B:B, MATCH(O907, 'File Links'!C:C, 0)))
</f>
        <v>#N/A</v>
      </c>
      <c r="Q907" s="147" t="s">
        <v>5209</v>
      </c>
      <c r="R907" s="147" t="s">
        <v>5210</v>
      </c>
      <c r="S907" s="60"/>
      <c r="T907" s="147" t="s">
        <v>2846</v>
      </c>
      <c r="U907" s="147" t="s">
        <v>5211</v>
      </c>
      <c r="V907" s="147" t="s">
        <v>5212</v>
      </c>
      <c r="W907" s="45" t="str">
        <f t="array" ref="W907">HYPERLINK(INDEX('File Links'!B:B, MATCH(U907, 'File Links'!C:C, 0)))
</f>
        <v>#N/A</v>
      </c>
      <c r="X907" s="60"/>
      <c r="Y907" s="147" t="s">
        <v>1820</v>
      </c>
      <c r="Z907" s="147" t="s">
        <v>5213</v>
      </c>
      <c r="AA907" s="60"/>
      <c r="AB907" s="147" t="s">
        <v>5214</v>
      </c>
      <c r="AC907" s="60"/>
      <c r="AD907" s="60"/>
      <c r="AE907" s="60"/>
      <c r="AF907" s="60"/>
      <c r="AG907" s="329"/>
      <c r="AH907" s="55"/>
      <c r="AI907" s="55"/>
      <c r="AJ907" s="60"/>
      <c r="AK907" s="55"/>
      <c r="AL907" s="60"/>
      <c r="AM907" s="60"/>
      <c r="AN907" s="60"/>
      <c r="AO907" s="60"/>
      <c r="AP907" s="60"/>
      <c r="AQ907" s="60"/>
      <c r="AR907" s="60"/>
      <c r="AS907" s="60"/>
      <c r="AT907" s="60"/>
      <c r="AU907" s="60"/>
      <c r="AV907" s="60"/>
      <c r="AW907" s="60" t="s">
        <v>134</v>
      </c>
      <c r="AZ907" s="64"/>
    </row>
    <row r="908">
      <c r="A908" s="85" t="s">
        <v>279</v>
      </c>
      <c r="B908" s="85" t="s">
        <v>107</v>
      </c>
      <c r="C908" s="85" t="s">
        <v>2064</v>
      </c>
      <c r="D908" s="84"/>
      <c r="E908" s="86" t="s">
        <v>5215</v>
      </c>
      <c r="F908" s="69" t="s">
        <v>5216</v>
      </c>
      <c r="G908" s="87" t="s">
        <v>2067</v>
      </c>
      <c r="H908" s="798">
        <v>45478.0</v>
      </c>
      <c r="I908" s="798">
        <v>45633.0</v>
      </c>
      <c r="J908" s="87" t="s">
        <v>3870</v>
      </c>
      <c r="K908" s="86"/>
      <c r="L908" s="87" t="s">
        <v>5217</v>
      </c>
      <c r="M908" s="87" t="s">
        <v>5218</v>
      </c>
      <c r="N908" s="87" t="s">
        <v>2846</v>
      </c>
      <c r="O908" s="87" t="s">
        <v>5219</v>
      </c>
      <c r="P908" s="48" t="str">
        <f t="array" ref="P908">HYPERLINK(INDEX('File Links'!B:B, MATCH(O908, 'File Links'!C:C, 0)))
</f>
        <v>https://drive.google.com/file/d/1MSm1yoidPn8M-5atsMIFyyg354c4jcsA/view?usp=drivesdk</v>
      </c>
      <c r="Q908" s="87" t="s">
        <v>5220</v>
      </c>
      <c r="R908" s="87" t="s">
        <v>5221</v>
      </c>
      <c r="S908" s="86"/>
      <c r="T908" s="87" t="s">
        <v>2846</v>
      </c>
      <c r="U908" s="87" t="s">
        <v>5222</v>
      </c>
      <c r="V908" s="87" t="s">
        <v>5223</v>
      </c>
      <c r="W908" s="45" t="str">
        <f t="array" ref="W908">HYPERLINK(INDEX('File Links'!B:B, MATCH(U908, 'File Links'!C:C, 0)))
</f>
        <v>#N/A</v>
      </c>
      <c r="X908" s="86"/>
      <c r="Y908" s="87" t="s">
        <v>220</v>
      </c>
      <c r="Z908" s="87" t="s">
        <v>3870</v>
      </c>
      <c r="AA908" s="86"/>
      <c r="AB908" s="87" t="s">
        <v>5224</v>
      </c>
      <c r="AC908" s="87" t="s">
        <v>5225</v>
      </c>
      <c r="AD908" s="87" t="s">
        <v>5226</v>
      </c>
      <c r="AE908" s="89">
        <v>70.0</v>
      </c>
      <c r="AF908" s="89">
        <v>-0.004</v>
      </c>
      <c r="AG908" s="90" t="s">
        <v>356</v>
      </c>
      <c r="AH908" s="69" t="s">
        <v>5227</v>
      </c>
      <c r="AI908" s="573">
        <v>0.583</v>
      </c>
      <c r="AJ908" s="87" t="s">
        <v>164</v>
      </c>
      <c r="AK908" s="69" t="s">
        <v>179</v>
      </c>
      <c r="AL908" s="86" t="s">
        <v>129</v>
      </c>
      <c r="AM908" s="87" t="s">
        <v>2846</v>
      </c>
      <c r="AN908" s="89">
        <v>137.0</v>
      </c>
      <c r="AO908" s="89">
        <v>0.319</v>
      </c>
      <c r="AP908" s="87" t="s">
        <v>356</v>
      </c>
      <c r="AQ908" s="87" t="s">
        <v>892</v>
      </c>
      <c r="AR908" s="1234">
        <v>0.924</v>
      </c>
      <c r="AS908" s="87" t="s">
        <v>164</v>
      </c>
      <c r="AT908" s="87" t="s">
        <v>179</v>
      </c>
      <c r="AU908" s="86" t="s">
        <v>129</v>
      </c>
      <c r="AV908" s="86" t="s">
        <v>2846</v>
      </c>
      <c r="AW908" s="86" t="s">
        <v>134</v>
      </c>
      <c r="AX908" s="84"/>
      <c r="AY908" s="84"/>
      <c r="AZ908" s="64"/>
      <c r="BA908" s="178"/>
      <c r="BB908" s="178"/>
      <c r="BC908" s="178"/>
      <c r="BD908" s="178"/>
      <c r="BE908" s="178"/>
      <c r="BF908" s="178"/>
      <c r="BG908" s="178"/>
      <c r="BH908" s="178"/>
      <c r="BI908" s="178"/>
      <c r="BJ908" s="178"/>
      <c r="BK908" s="178"/>
      <c r="BL908" s="178"/>
      <c r="BM908" s="178"/>
      <c r="BN908" s="178"/>
      <c r="BO908" s="178"/>
      <c r="BP908" s="178"/>
      <c r="BQ908" s="178"/>
      <c r="BR908" s="178"/>
      <c r="BS908" s="178"/>
      <c r="BT908" s="178"/>
      <c r="BU908" s="178"/>
      <c r="BV908" s="178"/>
      <c r="BW908" s="178"/>
      <c r="BX908" s="178"/>
      <c r="BY908" s="178"/>
      <c r="BZ908" s="178"/>
      <c r="CA908" s="178"/>
      <c r="CB908" s="178"/>
      <c r="CC908" s="178"/>
      <c r="CD908" s="178"/>
      <c r="CE908" s="178"/>
      <c r="CF908" s="178"/>
      <c r="CG908" s="178"/>
      <c r="CH908" s="178"/>
      <c r="CI908" s="178"/>
      <c r="CJ908" s="178"/>
      <c r="CK908" s="178"/>
      <c r="CL908" s="178"/>
      <c r="CM908" s="178"/>
      <c r="CN908" s="178"/>
      <c r="CO908" s="178"/>
      <c r="CP908" s="178"/>
      <c r="CQ908" s="178"/>
      <c r="CR908" s="178"/>
      <c r="CS908" s="178"/>
      <c r="CT908" s="178"/>
      <c r="CU908" s="178"/>
      <c r="CV908" s="178"/>
      <c r="CW908" s="178"/>
      <c r="CX908" s="178"/>
      <c r="CY908" s="178"/>
      <c r="CZ908" s="178"/>
      <c r="DA908" s="178"/>
      <c r="DB908" s="178"/>
      <c r="DC908" s="178"/>
      <c r="DD908" s="178"/>
      <c r="DE908" s="178"/>
      <c r="DF908" s="178"/>
      <c r="DG908" s="178"/>
    </row>
    <row r="909">
      <c r="A909" s="85" t="s">
        <v>279</v>
      </c>
      <c r="B909" s="85" t="s">
        <v>107</v>
      </c>
      <c r="C909" s="85" t="s">
        <v>2064</v>
      </c>
      <c r="D909" s="84"/>
      <c r="E909" s="86" t="s">
        <v>5215</v>
      </c>
      <c r="F909" s="69" t="s">
        <v>5216</v>
      </c>
      <c r="G909" s="87" t="s">
        <v>2880</v>
      </c>
      <c r="H909" s="798">
        <v>45633.0</v>
      </c>
      <c r="I909" s="1235"/>
      <c r="J909" s="87" t="s">
        <v>5228</v>
      </c>
      <c r="K909" s="86"/>
      <c r="L909" s="87" t="s">
        <v>5217</v>
      </c>
      <c r="M909" s="87" t="s">
        <v>5218</v>
      </c>
      <c r="N909" s="87" t="s">
        <v>2846</v>
      </c>
      <c r="O909" s="87" t="s">
        <v>5219</v>
      </c>
      <c r="P909" s="48" t="str">
        <f t="array" ref="P909">HYPERLINK(INDEX('File Links'!B:B, MATCH(O909, 'File Links'!C:C, 0)))
</f>
        <v>https://drive.google.com/file/d/1MSm1yoidPn8M-5atsMIFyyg354c4jcsA/view?usp=drivesdk</v>
      </c>
      <c r="Q909" s="87" t="s">
        <v>5220</v>
      </c>
      <c r="R909" s="87" t="s">
        <v>5221</v>
      </c>
      <c r="S909" s="86"/>
      <c r="T909" s="87" t="s">
        <v>2846</v>
      </c>
      <c r="U909" s="87" t="s">
        <v>5222</v>
      </c>
      <c r="V909" s="87" t="s">
        <v>5223</v>
      </c>
      <c r="W909" s="45" t="str">
        <f t="array" ref="W909">HYPERLINK(INDEX('File Links'!B:B, MATCH(U909, 'File Links'!C:C, 0)))
</f>
        <v>#N/A</v>
      </c>
      <c r="X909" s="86"/>
      <c r="Y909" s="87" t="s">
        <v>220</v>
      </c>
      <c r="Z909" s="87" t="s">
        <v>2846</v>
      </c>
      <c r="AA909" s="86"/>
      <c r="AB909" s="87" t="s">
        <v>5229</v>
      </c>
      <c r="AC909" s="87" t="s">
        <v>5230</v>
      </c>
      <c r="AD909" s="87" t="s">
        <v>5226</v>
      </c>
      <c r="AE909" s="89">
        <v>70.0</v>
      </c>
      <c r="AF909" s="86"/>
      <c r="AG909" s="574"/>
      <c r="AH909" s="75"/>
      <c r="AI909" s="1236">
        <v>0.594</v>
      </c>
      <c r="AJ909" s="87" t="s">
        <v>164</v>
      </c>
      <c r="AK909" s="69" t="s">
        <v>179</v>
      </c>
      <c r="AL909" s="86" t="s">
        <v>129</v>
      </c>
      <c r="AM909" s="87" t="s">
        <v>2846</v>
      </c>
      <c r="AN909" s="89">
        <v>69.0</v>
      </c>
      <c r="AO909" s="86"/>
      <c r="AP909" s="86"/>
      <c r="AQ909" s="86"/>
      <c r="AR909" s="1234">
        <v>0.699</v>
      </c>
      <c r="AS909" s="87" t="s">
        <v>164</v>
      </c>
      <c r="AT909" s="87" t="s">
        <v>179</v>
      </c>
      <c r="AU909" s="86" t="s">
        <v>129</v>
      </c>
      <c r="AV909" s="86" t="s">
        <v>2846</v>
      </c>
      <c r="AW909" s="86" t="s">
        <v>134</v>
      </c>
      <c r="AX909" s="84"/>
      <c r="AY909" s="84"/>
      <c r="AZ909" s="64"/>
    </row>
    <row r="910">
      <c r="A910" s="85" t="s">
        <v>279</v>
      </c>
      <c r="B910" s="85" t="s">
        <v>107</v>
      </c>
      <c r="C910" s="85" t="s">
        <v>2064</v>
      </c>
      <c r="D910" s="84"/>
      <c r="E910" s="86" t="s">
        <v>5215</v>
      </c>
      <c r="F910" s="69" t="s">
        <v>5216</v>
      </c>
      <c r="G910" s="87" t="s">
        <v>2880</v>
      </c>
      <c r="H910" s="798">
        <v>45633.0</v>
      </c>
      <c r="I910" s="1235"/>
      <c r="J910" s="87" t="s">
        <v>5231</v>
      </c>
      <c r="K910" s="86"/>
      <c r="L910" s="87" t="s">
        <v>5217</v>
      </c>
      <c r="M910" s="87" t="s">
        <v>5218</v>
      </c>
      <c r="N910" s="87" t="s">
        <v>2846</v>
      </c>
      <c r="O910" s="87" t="s">
        <v>5219</v>
      </c>
      <c r="P910" s="48" t="str">
        <f t="array" ref="P910">HYPERLINK(INDEX('File Links'!B:B, MATCH(O910, 'File Links'!C:C, 0)))
</f>
        <v>https://drive.google.com/file/d/1MSm1yoidPn8M-5atsMIFyyg354c4jcsA/view?usp=drivesdk</v>
      </c>
      <c r="Q910" s="87" t="s">
        <v>5220</v>
      </c>
      <c r="R910" s="87" t="s">
        <v>5221</v>
      </c>
      <c r="S910" s="86"/>
      <c r="T910" s="87" t="s">
        <v>2846</v>
      </c>
      <c r="U910" s="87" t="s">
        <v>5222</v>
      </c>
      <c r="V910" s="87" t="s">
        <v>5223</v>
      </c>
      <c r="W910" s="45" t="str">
        <f t="array" ref="W910">HYPERLINK(INDEX('File Links'!B:B, MATCH(U910, 'File Links'!C:C, 0)))
</f>
        <v>#N/A</v>
      </c>
      <c r="X910" s="86"/>
      <c r="Y910" s="87" t="s">
        <v>220</v>
      </c>
      <c r="Z910" s="87" t="s">
        <v>2846</v>
      </c>
      <c r="AA910" s="86"/>
      <c r="AB910" s="87" t="s">
        <v>5229</v>
      </c>
      <c r="AC910" s="87" t="s">
        <v>5232</v>
      </c>
      <c r="AD910" s="87" t="s">
        <v>5226</v>
      </c>
      <c r="AE910" s="89">
        <v>70.0</v>
      </c>
      <c r="AF910" s="89">
        <v>1.097</v>
      </c>
      <c r="AG910" s="90" t="s">
        <v>356</v>
      </c>
      <c r="AH910" s="69" t="s">
        <v>5227</v>
      </c>
      <c r="AI910" s="1236">
        <v>1.0E-4</v>
      </c>
      <c r="AJ910" s="87" t="s">
        <v>164</v>
      </c>
      <c r="AK910" s="69" t="s">
        <v>179</v>
      </c>
      <c r="AL910" s="86" t="s">
        <v>129</v>
      </c>
      <c r="AM910" s="87" t="s">
        <v>2846</v>
      </c>
      <c r="AN910" s="89">
        <v>68.0</v>
      </c>
      <c r="AO910" s="89">
        <v>0.259</v>
      </c>
      <c r="AP910" s="87" t="s">
        <v>356</v>
      </c>
      <c r="AQ910" s="87" t="s">
        <v>892</v>
      </c>
      <c r="AR910" s="1234">
        <v>0.665</v>
      </c>
      <c r="AS910" s="87" t="s">
        <v>164</v>
      </c>
      <c r="AT910" s="87" t="s">
        <v>179</v>
      </c>
      <c r="AU910" s="86" t="s">
        <v>129</v>
      </c>
      <c r="AV910" s="86" t="s">
        <v>2846</v>
      </c>
      <c r="AW910" s="86" t="s">
        <v>134</v>
      </c>
      <c r="AX910" s="84"/>
      <c r="AY910" s="84"/>
      <c r="AZ910" s="64"/>
      <c r="BA910" s="178"/>
      <c r="BB910" s="178"/>
      <c r="BC910" s="178"/>
      <c r="BD910" s="178"/>
      <c r="BE910" s="178"/>
      <c r="BF910" s="178"/>
      <c r="BG910" s="178"/>
      <c r="BH910" s="178"/>
      <c r="BI910" s="178"/>
      <c r="BJ910" s="178"/>
      <c r="BK910" s="178"/>
      <c r="BL910" s="178"/>
      <c r="BM910" s="178"/>
      <c r="BN910" s="178"/>
      <c r="BO910" s="178"/>
      <c r="BP910" s="178"/>
      <c r="BQ910" s="178"/>
      <c r="BR910" s="178"/>
      <c r="BS910" s="178"/>
      <c r="BT910" s="178"/>
      <c r="BU910" s="178"/>
      <c r="BV910" s="178"/>
      <c r="BW910" s="178"/>
      <c r="BX910" s="178"/>
      <c r="BY910" s="178"/>
      <c r="BZ910" s="178"/>
      <c r="CA910" s="178"/>
      <c r="CB910" s="178"/>
      <c r="CC910" s="178"/>
      <c r="CD910" s="178"/>
      <c r="CE910" s="178"/>
      <c r="CF910" s="178"/>
      <c r="CG910" s="178"/>
      <c r="CH910" s="178"/>
      <c r="CI910" s="178"/>
      <c r="CJ910" s="178"/>
      <c r="CK910" s="178"/>
      <c r="CL910" s="178"/>
      <c r="CM910" s="178"/>
      <c r="CN910" s="178"/>
      <c r="CO910" s="178"/>
      <c r="CP910" s="178"/>
      <c r="CQ910" s="178"/>
      <c r="CR910" s="178"/>
      <c r="CS910" s="178"/>
      <c r="CT910" s="178"/>
      <c r="CU910" s="178"/>
      <c r="CV910" s="178"/>
      <c r="CW910" s="178"/>
      <c r="CX910" s="178"/>
      <c r="CY910" s="178"/>
      <c r="CZ910" s="178"/>
      <c r="DA910" s="178"/>
      <c r="DB910" s="178"/>
      <c r="DC910" s="178"/>
      <c r="DD910" s="178"/>
      <c r="DE910" s="178"/>
      <c r="DF910" s="178"/>
      <c r="DG910" s="178"/>
    </row>
    <row r="911">
      <c r="A911" s="85" t="s">
        <v>279</v>
      </c>
      <c r="B911" s="85" t="s">
        <v>107</v>
      </c>
      <c r="C911" s="85" t="s">
        <v>2064</v>
      </c>
      <c r="D911" s="84"/>
      <c r="E911" s="86" t="s">
        <v>5233</v>
      </c>
      <c r="F911" s="69" t="s">
        <v>5234</v>
      </c>
      <c r="G911" s="87" t="s">
        <v>2067</v>
      </c>
      <c r="H911" s="798">
        <v>45478.0</v>
      </c>
      <c r="I911" s="798">
        <v>45634.0</v>
      </c>
      <c r="J911" s="87" t="s">
        <v>5205</v>
      </c>
      <c r="K911" s="86"/>
      <c r="L911" s="87" t="s">
        <v>5235</v>
      </c>
      <c r="M911" s="87" t="s">
        <v>5236</v>
      </c>
      <c r="N911" s="87" t="s">
        <v>2846</v>
      </c>
      <c r="O911" s="87" t="s">
        <v>5237</v>
      </c>
      <c r="P911" s="544" t="str">
        <f t="array" ref="P911">HYPERLINK(INDEX('File Links'!B:B, MATCH(O911, 'File Links'!C:C, 0)))
</f>
        <v>#N/A</v>
      </c>
      <c r="Q911" s="87" t="s">
        <v>5238</v>
      </c>
      <c r="R911" s="87" t="s">
        <v>5239</v>
      </c>
      <c r="S911" s="86"/>
      <c r="T911" s="87" t="s">
        <v>2846</v>
      </c>
      <c r="U911" s="87" t="s">
        <v>5240</v>
      </c>
      <c r="V911" s="87" t="s">
        <v>5241</v>
      </c>
      <c r="W911" s="45" t="str">
        <f t="array" ref="W911">HYPERLINK(INDEX('File Links'!B:B, MATCH(U911, 'File Links'!C:C, 0)))
</f>
        <v>#N/A</v>
      </c>
      <c r="X911" s="86"/>
      <c r="Y911" s="87" t="s">
        <v>1820</v>
      </c>
      <c r="Z911" s="86"/>
      <c r="AA911" s="86"/>
      <c r="AB911" s="87" t="s">
        <v>5242</v>
      </c>
      <c r="AC911" s="86"/>
      <c r="AD911" s="86"/>
      <c r="AE911" s="86"/>
      <c r="AF911" s="86"/>
      <c r="AG911" s="574"/>
      <c r="AH911" s="75"/>
      <c r="AI911" s="75"/>
      <c r="AJ911" s="86"/>
      <c r="AK911" s="75"/>
      <c r="AL911" s="86"/>
      <c r="AM911" s="86"/>
      <c r="AN911" s="86"/>
      <c r="AO911" s="1237"/>
      <c r="AP911" s="86"/>
      <c r="AQ911" s="86"/>
      <c r="AR911" s="1237"/>
      <c r="AS911" s="86"/>
      <c r="AT911" s="86"/>
      <c r="AU911" s="86"/>
      <c r="AV911" s="86"/>
      <c r="AW911" s="86"/>
      <c r="AX911" s="84"/>
      <c r="AY911" s="84"/>
      <c r="AZ911" s="64"/>
    </row>
    <row r="912">
      <c r="A912" s="85" t="s">
        <v>279</v>
      </c>
      <c r="B912" s="85" t="s">
        <v>107</v>
      </c>
      <c r="C912" s="85" t="s">
        <v>2064</v>
      </c>
      <c r="D912" s="84"/>
      <c r="E912" s="86" t="s">
        <v>5243</v>
      </c>
      <c r="F912" s="69" t="s">
        <v>5244</v>
      </c>
      <c r="G912" s="87" t="s">
        <v>2067</v>
      </c>
      <c r="H912" s="798">
        <v>45478.0</v>
      </c>
      <c r="I912" s="798">
        <v>45634.0</v>
      </c>
      <c r="J912" s="87" t="s">
        <v>5205</v>
      </c>
      <c r="K912" s="86"/>
      <c r="L912" s="87" t="s">
        <v>5245</v>
      </c>
      <c r="M912" s="87" t="s">
        <v>5246</v>
      </c>
      <c r="N912" s="87" t="s">
        <v>2846</v>
      </c>
      <c r="O912" s="87" t="s">
        <v>5247</v>
      </c>
      <c r="P912" s="48" t="str">
        <f t="array" ref="P912">HYPERLINK(INDEX('File Links'!B:B, MATCH(O912, 'File Links'!C:C, 0)))
</f>
        <v>https://drive.google.com/file/d/11AH2LlIZsd9ZFfFjWFxFf5MBHzmbtt8i/view?usp=drivesdk</v>
      </c>
      <c r="Q912" s="87" t="s">
        <v>5248</v>
      </c>
      <c r="R912" s="87" t="s">
        <v>5249</v>
      </c>
      <c r="S912" s="86"/>
      <c r="T912" s="87" t="s">
        <v>2846</v>
      </c>
      <c r="U912" s="87" t="s">
        <v>5250</v>
      </c>
      <c r="V912" s="87" t="s">
        <v>5251</v>
      </c>
      <c r="W912" s="45" t="str">
        <f t="array" ref="W912">HYPERLINK(INDEX('File Links'!B:B, MATCH(U912, 'File Links'!C:C, 0)))
</f>
        <v>#N/A</v>
      </c>
      <c r="X912" s="86"/>
      <c r="Y912" s="87" t="s">
        <v>1820</v>
      </c>
      <c r="Z912" s="86"/>
      <c r="AA912" s="86"/>
      <c r="AB912" s="87" t="s">
        <v>5252</v>
      </c>
      <c r="AC912" s="86"/>
      <c r="AD912" s="86"/>
      <c r="AE912" s="86"/>
      <c r="AF912" s="86"/>
      <c r="AG912" s="574"/>
      <c r="AH912" s="75"/>
      <c r="AI912" s="75"/>
      <c r="AJ912" s="86"/>
      <c r="AK912" s="75"/>
      <c r="AL912" s="86"/>
      <c r="AM912" s="86"/>
      <c r="AN912" s="86"/>
      <c r="AO912" s="1237"/>
      <c r="AP912" s="86"/>
      <c r="AQ912" s="86"/>
      <c r="AR912" s="1237"/>
      <c r="AS912" s="86"/>
      <c r="AT912" s="86"/>
      <c r="AU912" s="86"/>
      <c r="AV912" s="86"/>
      <c r="AW912" s="86"/>
      <c r="AX912" s="84"/>
      <c r="AY912" s="84"/>
      <c r="AZ912" s="64"/>
      <c r="BA912" s="178"/>
      <c r="BB912" s="178"/>
      <c r="BC912" s="178"/>
      <c r="BD912" s="178"/>
      <c r="BE912" s="178"/>
      <c r="BF912" s="178"/>
      <c r="BG912" s="178"/>
      <c r="BH912" s="178"/>
      <c r="BI912" s="178"/>
      <c r="BJ912" s="178"/>
      <c r="BK912" s="178"/>
      <c r="BL912" s="178"/>
      <c r="BM912" s="178"/>
      <c r="BN912" s="178"/>
      <c r="BO912" s="178"/>
      <c r="BP912" s="178"/>
      <c r="BQ912" s="178"/>
      <c r="BR912" s="178"/>
      <c r="BS912" s="178"/>
      <c r="BT912" s="178"/>
      <c r="BU912" s="178"/>
      <c r="BV912" s="178"/>
      <c r="BW912" s="178"/>
      <c r="BX912" s="178"/>
      <c r="BY912" s="178"/>
      <c r="BZ912" s="178"/>
      <c r="CA912" s="178"/>
      <c r="CB912" s="178"/>
      <c r="CC912" s="178"/>
      <c r="CD912" s="178"/>
      <c r="CE912" s="178"/>
      <c r="CF912" s="178"/>
      <c r="CG912" s="178"/>
      <c r="CH912" s="178"/>
      <c r="CI912" s="178"/>
      <c r="CJ912" s="178"/>
      <c r="CK912" s="178"/>
      <c r="CL912" s="178"/>
      <c r="CM912" s="178"/>
      <c r="CN912" s="178"/>
      <c r="CO912" s="178"/>
      <c r="CP912" s="178"/>
      <c r="CQ912" s="178"/>
      <c r="CR912" s="178"/>
      <c r="CS912" s="178"/>
      <c r="CT912" s="178"/>
      <c r="CU912" s="178"/>
      <c r="CV912" s="178"/>
      <c r="CW912" s="178"/>
      <c r="CX912" s="178"/>
      <c r="CY912" s="178"/>
      <c r="CZ912" s="178"/>
      <c r="DA912" s="178"/>
      <c r="DB912" s="178"/>
      <c r="DC912" s="178"/>
      <c r="DD912" s="178"/>
      <c r="DE912" s="178"/>
      <c r="DF912" s="178"/>
      <c r="DG912" s="178"/>
    </row>
    <row r="913">
      <c r="A913" s="85" t="s">
        <v>279</v>
      </c>
      <c r="B913" s="85" t="s">
        <v>107</v>
      </c>
      <c r="C913" s="85" t="s">
        <v>2064</v>
      </c>
      <c r="D913" s="84"/>
      <c r="E913" s="86" t="s">
        <v>5253</v>
      </c>
      <c r="F913" s="69" t="s">
        <v>5254</v>
      </c>
      <c r="G913" s="87" t="s">
        <v>2067</v>
      </c>
      <c r="H913" s="798">
        <v>45478.0</v>
      </c>
      <c r="I913" s="798">
        <v>45634.0</v>
      </c>
      <c r="J913" s="87" t="s">
        <v>5255</v>
      </c>
      <c r="K913" s="86"/>
      <c r="L913" s="87" t="s">
        <v>5256</v>
      </c>
      <c r="M913" s="87" t="s">
        <v>5257</v>
      </c>
      <c r="N913" s="87" t="s">
        <v>2846</v>
      </c>
      <c r="O913" s="87" t="s">
        <v>5258</v>
      </c>
      <c r="P913" s="544" t="str">
        <f t="array" ref="P913">HYPERLINK(INDEX('File Links'!B:B, MATCH(O913, 'File Links'!C:C, 0)))
</f>
        <v>#N/A</v>
      </c>
      <c r="Q913" s="87" t="s">
        <v>5259</v>
      </c>
      <c r="R913" s="87" t="s">
        <v>1819</v>
      </c>
      <c r="S913" s="86"/>
      <c r="T913" s="87" t="s">
        <v>2846</v>
      </c>
      <c r="U913" s="87" t="s">
        <v>5260</v>
      </c>
      <c r="V913" s="87" t="s">
        <v>5261</v>
      </c>
      <c r="W913" s="45" t="str">
        <f t="array" ref="W913">HYPERLINK(INDEX('File Links'!B:B, MATCH(U913, 'File Links'!C:C, 0)))
</f>
        <v>#N/A</v>
      </c>
      <c r="X913" s="86"/>
      <c r="Y913" s="87" t="s">
        <v>1820</v>
      </c>
      <c r="Z913" s="86"/>
      <c r="AA913" s="87" t="s">
        <v>5262</v>
      </c>
      <c r="AB913" s="87" t="s">
        <v>5263</v>
      </c>
      <c r="AC913" s="87" t="s">
        <v>5264</v>
      </c>
      <c r="AD913" s="87" t="s">
        <v>5265</v>
      </c>
      <c r="AE913" s="89">
        <v>1342.0</v>
      </c>
      <c r="AF913" s="89">
        <v>0.078</v>
      </c>
      <c r="AG913" s="90" t="s">
        <v>356</v>
      </c>
      <c r="AH913" s="69" t="s">
        <v>5265</v>
      </c>
      <c r="AI913" s="573">
        <v>0.05</v>
      </c>
      <c r="AJ913" s="87" t="s">
        <v>127</v>
      </c>
      <c r="AK913" s="69" t="s">
        <v>179</v>
      </c>
      <c r="AL913" s="86" t="s">
        <v>132</v>
      </c>
      <c r="AM913" s="87" t="s">
        <v>2846</v>
      </c>
      <c r="AN913" s="89">
        <v>882.0</v>
      </c>
      <c r="AO913" s="89">
        <v>-0.04</v>
      </c>
      <c r="AP913" s="87" t="s">
        <v>356</v>
      </c>
      <c r="AQ913" s="87" t="s">
        <v>2268</v>
      </c>
      <c r="AR913" s="87" t="s">
        <v>2384</v>
      </c>
      <c r="AS913" s="86"/>
      <c r="AT913" s="86"/>
      <c r="AU913" s="86"/>
      <c r="AV913" s="86" t="s">
        <v>2846</v>
      </c>
      <c r="AW913" s="86" t="s">
        <v>134</v>
      </c>
      <c r="AX913" s="84"/>
      <c r="AY913" s="84"/>
      <c r="AZ913" s="64"/>
    </row>
    <row r="914" ht="18.75" customHeight="1">
      <c r="A914" s="344" t="s">
        <v>143</v>
      </c>
      <c r="B914" s="344" t="s">
        <v>107</v>
      </c>
      <c r="C914" s="344" t="s">
        <v>144</v>
      </c>
      <c r="D914" s="624"/>
      <c r="E914" s="179" t="s">
        <v>5266</v>
      </c>
      <c r="F914" s="180" t="s">
        <v>5267</v>
      </c>
      <c r="G914" s="180" t="s">
        <v>144</v>
      </c>
      <c r="H914" s="620">
        <v>45638.0</v>
      </c>
      <c r="I914" s="617">
        <v>45677.0</v>
      </c>
      <c r="J914" s="182" t="s">
        <v>4345</v>
      </c>
      <c r="K914" s="183"/>
      <c r="L914" s="508" t="s">
        <v>4346</v>
      </c>
      <c r="M914" s="180" t="s">
        <v>4347</v>
      </c>
      <c r="N914" s="1238" t="s">
        <v>5268</v>
      </c>
      <c r="O914" s="184" t="s">
        <v>4348</v>
      </c>
      <c r="P914" s="48" t="str">
        <f t="array" ref="P914">HYPERLINK(INDEX('File Links'!B:B, MATCH(O914, 'File Links'!C:C, 0)))
</f>
        <v>https://drive.google.com/file/d/1-8o-L3-LBDg-R5swBEF53YfzOD1dWuZJ/view?usp=drivesdk</v>
      </c>
      <c r="Q914" s="182" t="s">
        <v>5269</v>
      </c>
      <c r="R914" s="180" t="s">
        <v>5270</v>
      </c>
      <c r="S914" s="183"/>
      <c r="T914" s="1239">
        <v>2.0</v>
      </c>
      <c r="U914" s="180" t="s">
        <v>5271</v>
      </c>
      <c r="V914" s="180" t="s">
        <v>5272</v>
      </c>
      <c r="W914" s="45" t="str">
        <f t="array" ref="W914">HYPERLINK(INDEX('File Links'!B:B, MATCH(U914, 'File Links'!C:C, 0)))
</f>
        <v>#N/A</v>
      </c>
      <c r="X914" s="183"/>
      <c r="Y914" s="180" t="s">
        <v>220</v>
      </c>
      <c r="Z914" s="182" t="s">
        <v>4352</v>
      </c>
      <c r="AA914" s="182" t="s">
        <v>4353</v>
      </c>
      <c r="AB914" s="180" t="s">
        <v>5273</v>
      </c>
      <c r="AC914" s="180" t="s">
        <v>5274</v>
      </c>
      <c r="AD914" s="187">
        <v>7.0</v>
      </c>
      <c r="AE914" s="1240">
        <v>94.0</v>
      </c>
      <c r="AF914" s="187">
        <v>0.66</v>
      </c>
      <c r="AG914" s="184" t="s">
        <v>166</v>
      </c>
      <c r="AH914" s="187">
        <v>7.0</v>
      </c>
      <c r="AI914" s="187">
        <v>0.01</v>
      </c>
      <c r="AJ914" s="188" t="s">
        <v>127</v>
      </c>
      <c r="AK914" s="180" t="s">
        <v>128</v>
      </c>
      <c r="AL914" s="183" t="s">
        <v>129</v>
      </c>
      <c r="AM914" s="350" t="s">
        <v>165</v>
      </c>
      <c r="AN914" s="187">
        <v>182.0</v>
      </c>
      <c r="AO914" s="187">
        <v>0.215</v>
      </c>
      <c r="AP914" s="180" t="s">
        <v>166</v>
      </c>
      <c r="AQ914" s="180" t="s">
        <v>5275</v>
      </c>
      <c r="AR914" s="187">
        <v>0.925</v>
      </c>
      <c r="AS914" s="188" t="s">
        <v>164</v>
      </c>
      <c r="AT914" s="188" t="s">
        <v>128</v>
      </c>
      <c r="AU914" s="179" t="s">
        <v>129</v>
      </c>
      <c r="AV914" s="829" t="s">
        <v>5276</v>
      </c>
      <c r="AW914" s="1241" t="s">
        <v>142</v>
      </c>
      <c r="AX914" s="178"/>
      <c r="AY914" s="177" t="s">
        <v>135</v>
      </c>
      <c r="BA914" s="84"/>
      <c r="BB914" s="84"/>
      <c r="BC914" s="84"/>
      <c r="BD914" s="84"/>
      <c r="BE914" s="84"/>
      <c r="BF914" s="84"/>
      <c r="BG914" s="84"/>
      <c r="BH914" s="84"/>
      <c r="BI914" s="84"/>
      <c r="BJ914" s="84"/>
      <c r="BK914" s="84"/>
      <c r="BL914" s="84"/>
      <c r="BM914" s="84"/>
      <c r="BN914" s="84"/>
      <c r="BO914" s="84"/>
      <c r="BP914" s="84"/>
      <c r="BQ914" s="84"/>
      <c r="BR914" s="84"/>
      <c r="BS914" s="84"/>
      <c r="BT914" s="84"/>
      <c r="BU914" s="84"/>
      <c r="BV914" s="84"/>
      <c r="BW914" s="84"/>
      <c r="BX914" s="84"/>
      <c r="BY914" s="84"/>
      <c r="BZ914" s="84"/>
      <c r="CA914" s="84"/>
      <c r="CB914" s="84"/>
      <c r="CC914" s="84"/>
      <c r="CD914" s="84"/>
      <c r="CE914" s="84"/>
      <c r="CF914" s="84"/>
      <c r="CG914" s="84"/>
      <c r="CH914" s="84"/>
      <c r="CI914" s="84"/>
      <c r="CJ914" s="84"/>
      <c r="CK914" s="84"/>
      <c r="CL914" s="84"/>
      <c r="CM914" s="84"/>
      <c r="CN914" s="84"/>
      <c r="CO914" s="84"/>
      <c r="CP914" s="84"/>
      <c r="CQ914" s="84"/>
      <c r="CR914" s="84"/>
      <c r="CS914" s="84"/>
      <c r="CT914" s="84"/>
      <c r="CU914" s="84"/>
      <c r="CV914" s="84"/>
      <c r="CW914" s="84"/>
      <c r="CX914" s="84"/>
      <c r="CY914" s="84"/>
      <c r="CZ914" s="84"/>
      <c r="DA914" s="84"/>
      <c r="DB914" s="84"/>
      <c r="DC914" s="84"/>
      <c r="DD914" s="84"/>
      <c r="DE914" s="84"/>
      <c r="DF914" s="84"/>
      <c r="DG914" s="84"/>
    </row>
    <row r="915" ht="18.75" customHeight="1">
      <c r="A915" s="344" t="s">
        <v>143</v>
      </c>
      <c r="B915" s="344" t="s">
        <v>107</v>
      </c>
      <c r="C915" s="344" t="s">
        <v>144</v>
      </c>
      <c r="D915" s="624"/>
      <c r="E915" s="179" t="s">
        <v>5266</v>
      </c>
      <c r="F915" s="180" t="s">
        <v>5267</v>
      </c>
      <c r="G915" s="180" t="s">
        <v>144</v>
      </c>
      <c r="H915" s="620">
        <v>45638.0</v>
      </c>
      <c r="I915" s="617">
        <v>45677.0</v>
      </c>
      <c r="J915" s="182" t="s">
        <v>4345</v>
      </c>
      <c r="K915" s="183"/>
      <c r="L915" s="508" t="s">
        <v>4346</v>
      </c>
      <c r="M915" s="180" t="s">
        <v>4347</v>
      </c>
      <c r="N915" s="1238" t="s">
        <v>5268</v>
      </c>
      <c r="O915" s="184" t="s">
        <v>4348</v>
      </c>
      <c r="P915" s="48" t="str">
        <f t="array" ref="P915">HYPERLINK(INDEX('File Links'!B:B, MATCH(O915, 'File Links'!C:C, 0)))
</f>
        <v>https://drive.google.com/file/d/1-8o-L3-LBDg-R5swBEF53YfzOD1dWuZJ/view?usp=drivesdk</v>
      </c>
      <c r="Q915" s="182" t="s">
        <v>5269</v>
      </c>
      <c r="R915" s="180" t="s">
        <v>5270</v>
      </c>
      <c r="S915" s="183"/>
      <c r="T915" s="1239">
        <v>2.0</v>
      </c>
      <c r="U915" s="180" t="s">
        <v>5271</v>
      </c>
      <c r="V915" s="180" t="s">
        <v>5272</v>
      </c>
      <c r="W915" s="45" t="str">
        <f t="array" ref="W915">HYPERLINK(INDEX('File Links'!B:B, MATCH(U915, 'File Links'!C:C, 0)))
</f>
        <v>#N/A</v>
      </c>
      <c r="X915" s="183"/>
      <c r="Y915" s="180" t="s">
        <v>220</v>
      </c>
      <c r="Z915" s="182" t="s">
        <v>4352</v>
      </c>
      <c r="AA915" s="182" t="s">
        <v>4353</v>
      </c>
      <c r="AB915" s="180" t="s">
        <v>5273</v>
      </c>
      <c r="AC915" s="180" t="s">
        <v>5277</v>
      </c>
      <c r="AD915" s="187">
        <v>7.0</v>
      </c>
      <c r="AE915" s="1240">
        <v>94.0</v>
      </c>
      <c r="AF915" s="187">
        <v>0.03</v>
      </c>
      <c r="AG915" s="184" t="s">
        <v>130</v>
      </c>
      <c r="AH915" s="187">
        <v>7.0</v>
      </c>
      <c r="AI915" s="187">
        <v>0.08</v>
      </c>
      <c r="AJ915" s="188" t="s">
        <v>164</v>
      </c>
      <c r="AK915" s="180" t="s">
        <v>128</v>
      </c>
      <c r="AL915" s="183" t="s">
        <v>132</v>
      </c>
      <c r="AM915" s="350" t="s">
        <v>165</v>
      </c>
      <c r="AN915" s="187">
        <v>182.0</v>
      </c>
      <c r="AO915" s="187">
        <v>0.001</v>
      </c>
      <c r="AP915" s="180" t="s">
        <v>130</v>
      </c>
      <c r="AQ915" s="180" t="s">
        <v>5275</v>
      </c>
      <c r="AR915" s="187">
        <v>0.216</v>
      </c>
      <c r="AS915" s="188" t="s">
        <v>127</v>
      </c>
      <c r="AT915" s="188" t="s">
        <v>128</v>
      </c>
      <c r="AU915" s="179" t="s">
        <v>132</v>
      </c>
      <c r="AV915" s="829" t="s">
        <v>5276</v>
      </c>
      <c r="AW915" s="1241" t="s">
        <v>142</v>
      </c>
      <c r="AX915" s="178"/>
      <c r="AY915" s="177" t="s">
        <v>135</v>
      </c>
      <c r="BA915" s="84"/>
      <c r="BB915" s="84"/>
      <c r="BC915" s="84"/>
      <c r="BD915" s="84"/>
      <c r="BE915" s="84"/>
      <c r="BF915" s="84"/>
      <c r="BG915" s="84"/>
      <c r="BH915" s="84"/>
      <c r="BI915" s="84"/>
      <c r="BJ915" s="84"/>
      <c r="BK915" s="84"/>
      <c r="BL915" s="84"/>
      <c r="BM915" s="84"/>
      <c r="BN915" s="84"/>
      <c r="BO915" s="84"/>
      <c r="BP915" s="84"/>
      <c r="BQ915" s="84"/>
      <c r="BR915" s="84"/>
      <c r="BS915" s="84"/>
      <c r="BT915" s="84"/>
      <c r="BU915" s="84"/>
      <c r="BV915" s="84"/>
      <c r="BW915" s="84"/>
      <c r="BX915" s="84"/>
      <c r="BY915" s="84"/>
      <c r="BZ915" s="84"/>
      <c r="CA915" s="84"/>
      <c r="CB915" s="84"/>
      <c r="CC915" s="84"/>
      <c r="CD915" s="84"/>
      <c r="CE915" s="84"/>
      <c r="CF915" s="84"/>
      <c r="CG915" s="84"/>
      <c r="CH915" s="84"/>
      <c r="CI915" s="84"/>
      <c r="CJ915" s="84"/>
      <c r="CK915" s="84"/>
      <c r="CL915" s="84"/>
      <c r="CM915" s="84"/>
      <c r="CN915" s="84"/>
      <c r="CO915" s="84"/>
      <c r="CP915" s="84"/>
      <c r="CQ915" s="84"/>
      <c r="CR915" s="84"/>
      <c r="CS915" s="84"/>
      <c r="CT915" s="84"/>
      <c r="CU915" s="84"/>
      <c r="CV915" s="84"/>
      <c r="CW915" s="84"/>
      <c r="CX915" s="84"/>
      <c r="CY915" s="84"/>
      <c r="CZ915" s="84"/>
      <c r="DA915" s="84"/>
      <c r="DB915" s="84"/>
      <c r="DC915" s="84"/>
      <c r="DD915" s="84"/>
      <c r="DE915" s="84"/>
      <c r="DF915" s="84"/>
      <c r="DG915" s="84"/>
    </row>
    <row r="916" ht="18.75" customHeight="1">
      <c r="A916" s="177" t="s">
        <v>106</v>
      </c>
      <c r="B916" s="177" t="s">
        <v>107</v>
      </c>
      <c r="C916" s="177" t="s">
        <v>169</v>
      </c>
      <c r="D916" s="178"/>
      <c r="E916" s="179" t="s">
        <v>5266</v>
      </c>
      <c r="F916" s="180" t="s">
        <v>5267</v>
      </c>
      <c r="G916" s="188" t="s">
        <v>169</v>
      </c>
      <c r="H916" s="616">
        <v>45637.0</v>
      </c>
      <c r="I916" s="617">
        <v>45677.0</v>
      </c>
      <c r="J916" s="188" t="s">
        <v>5278</v>
      </c>
      <c r="K916" s="179"/>
      <c r="L916" s="508" t="s">
        <v>4346</v>
      </c>
      <c r="M916" s="188" t="s">
        <v>4347</v>
      </c>
      <c r="N916" s="695" t="s">
        <v>5268</v>
      </c>
      <c r="O916" s="188" t="s">
        <v>4348</v>
      </c>
      <c r="P916" s="48" t="str">
        <f t="array" ref="P916">HYPERLINK(INDEX('File Links'!B:B, MATCH(O916, 'File Links'!C:C, 0)))
</f>
        <v>https://drive.google.com/file/d/1-8o-L3-LBDg-R5swBEF53YfzOD1dWuZJ/view?usp=drivesdk</v>
      </c>
      <c r="Q916" s="188" t="s">
        <v>5269</v>
      </c>
      <c r="R916" s="188" t="s">
        <v>5270</v>
      </c>
      <c r="S916" s="179"/>
      <c r="T916" s="695">
        <v>2.0</v>
      </c>
      <c r="U916" s="188" t="s">
        <v>5271</v>
      </c>
      <c r="V916" s="188" t="s">
        <v>5279</v>
      </c>
      <c r="W916" s="45" t="str">
        <f t="array" ref="W916">HYPERLINK(INDEX('File Links'!B:B, MATCH(U916, 'File Links'!C:C, 0)))
</f>
        <v>#N/A</v>
      </c>
      <c r="X916" s="179"/>
      <c r="Y916" s="1242" t="s">
        <v>220</v>
      </c>
      <c r="Z916" s="188" t="s">
        <v>4360</v>
      </c>
      <c r="AA916" s="188" t="s">
        <v>4361</v>
      </c>
      <c r="AB916" s="188" t="s">
        <v>5280</v>
      </c>
      <c r="AC916" s="188" t="s">
        <v>5281</v>
      </c>
      <c r="AD916" s="188" t="s">
        <v>125</v>
      </c>
      <c r="AE916" s="695">
        <v>94.0</v>
      </c>
      <c r="AF916" s="188" t="s">
        <v>5282</v>
      </c>
      <c r="AG916" s="184" t="s">
        <v>166</v>
      </c>
      <c r="AH916" s="180" t="s">
        <v>125</v>
      </c>
      <c r="AI916" s="180" t="s">
        <v>3552</v>
      </c>
      <c r="AJ916" s="188" t="s">
        <v>127</v>
      </c>
      <c r="AK916" s="180" t="s">
        <v>179</v>
      </c>
      <c r="AL916" s="179" t="s">
        <v>129</v>
      </c>
      <c r="AM916" s="179"/>
      <c r="AN916" s="695">
        <v>182.0</v>
      </c>
      <c r="AO916" s="188" t="s">
        <v>5283</v>
      </c>
      <c r="AP916" s="188" t="s">
        <v>166</v>
      </c>
      <c r="AQ916" s="188" t="s">
        <v>5284</v>
      </c>
      <c r="AR916" s="188" t="s">
        <v>5285</v>
      </c>
      <c r="AS916" s="188" t="s">
        <v>164</v>
      </c>
      <c r="AT916" s="188" t="s">
        <v>128</v>
      </c>
      <c r="AU916" s="179" t="s">
        <v>132</v>
      </c>
      <c r="AV916" s="829" t="s">
        <v>5286</v>
      </c>
      <c r="AW916" s="1241" t="s">
        <v>134</v>
      </c>
      <c r="AX916" s="178"/>
      <c r="AY916" s="177" t="s">
        <v>135</v>
      </c>
      <c r="BA916" s="84"/>
      <c r="BB916" s="84"/>
      <c r="BC916" s="84"/>
      <c r="BD916" s="84"/>
      <c r="BE916" s="84"/>
      <c r="BF916" s="84"/>
      <c r="BG916" s="84"/>
      <c r="BH916" s="84"/>
      <c r="BI916" s="84"/>
      <c r="BJ916" s="84"/>
      <c r="BK916" s="84"/>
      <c r="BL916" s="84"/>
      <c r="BM916" s="84"/>
      <c r="BN916" s="84"/>
      <c r="BO916" s="84"/>
      <c r="BP916" s="84"/>
      <c r="BQ916" s="84"/>
      <c r="BR916" s="84"/>
      <c r="BS916" s="84"/>
      <c r="BT916" s="84"/>
      <c r="BU916" s="84"/>
      <c r="BV916" s="84"/>
      <c r="BW916" s="84"/>
      <c r="BX916" s="84"/>
      <c r="BY916" s="84"/>
      <c r="BZ916" s="84"/>
      <c r="CA916" s="84"/>
      <c r="CB916" s="84"/>
      <c r="CC916" s="84"/>
      <c r="CD916" s="84"/>
      <c r="CE916" s="84"/>
      <c r="CF916" s="84"/>
      <c r="CG916" s="84"/>
      <c r="CH916" s="84"/>
      <c r="CI916" s="84"/>
      <c r="CJ916" s="84"/>
      <c r="CK916" s="84"/>
      <c r="CL916" s="84"/>
      <c r="CM916" s="84"/>
      <c r="CN916" s="84"/>
      <c r="CO916" s="84"/>
      <c r="CP916" s="84"/>
      <c r="CQ916" s="84"/>
      <c r="CR916" s="84"/>
      <c r="CS916" s="84"/>
      <c r="CT916" s="84"/>
      <c r="CU916" s="84"/>
      <c r="CV916" s="84"/>
      <c r="CW916" s="84"/>
      <c r="CX916" s="84"/>
      <c r="CY916" s="84"/>
      <c r="CZ916" s="84"/>
      <c r="DA916" s="84"/>
      <c r="DB916" s="84"/>
      <c r="DC916" s="84"/>
      <c r="DD916" s="84"/>
      <c r="DE916" s="84"/>
      <c r="DF916" s="84"/>
      <c r="DG916" s="84"/>
    </row>
    <row r="917" ht="18.75" customHeight="1">
      <c r="A917" s="41" t="s">
        <v>279</v>
      </c>
      <c r="B917" s="41" t="s">
        <v>107</v>
      </c>
      <c r="C917" s="41" t="s">
        <v>2064</v>
      </c>
      <c r="E917" s="60" t="s">
        <v>5287</v>
      </c>
      <c r="F917" s="52" t="s">
        <v>5288</v>
      </c>
      <c r="G917" s="147" t="s">
        <v>2067</v>
      </c>
      <c r="H917" s="140">
        <v>45478.0</v>
      </c>
      <c r="I917" s="140">
        <v>45634.0</v>
      </c>
      <c r="J917" s="60"/>
      <c r="K917" s="60"/>
      <c r="L917" s="147" t="s">
        <v>5289</v>
      </c>
      <c r="M917" s="147" t="s">
        <v>2071</v>
      </c>
      <c r="N917" s="147" t="s">
        <v>2846</v>
      </c>
      <c r="O917" s="145" t="s">
        <v>5290</v>
      </c>
      <c r="P917" s="48" t="str">
        <f t="array" ref="P917">HYPERLINK(INDEX('File Links'!B:B, MATCH(O917, 'File Links'!C:C, 0)))
</f>
        <v>https://drive.google.com/file/d/1jEnrVGc2PxWYnqqR5b5QggE9HgY-tjOC/view?usp=drivesdk</v>
      </c>
      <c r="Q917" s="147" t="s">
        <v>5291</v>
      </c>
      <c r="R917" s="147" t="s">
        <v>5292</v>
      </c>
      <c r="S917" s="60"/>
      <c r="T917" s="147" t="s">
        <v>2846</v>
      </c>
      <c r="U917" s="145" t="s">
        <v>5293</v>
      </c>
      <c r="V917" s="147" t="s">
        <v>5294</v>
      </c>
      <c r="W917" s="45" t="str">
        <f t="array" ref="W917">HYPERLINK(INDEX('File Links'!B:B, MATCH(U917, 'File Links'!C:C, 0)))
</f>
        <v>#N/A</v>
      </c>
      <c r="X917" s="60"/>
      <c r="Y917" s="147" t="s">
        <v>235</v>
      </c>
      <c r="Z917" s="60"/>
      <c r="AA917" s="60"/>
      <c r="AB917" s="147" t="s">
        <v>5295</v>
      </c>
      <c r="AC917" s="60"/>
      <c r="AD917" s="60"/>
      <c r="AE917" s="60"/>
      <c r="AF917" s="60"/>
      <c r="AG917" s="329"/>
      <c r="AH917" s="55"/>
      <c r="AI917" s="55"/>
      <c r="AJ917" s="60"/>
      <c r="AK917" s="55"/>
      <c r="AL917" s="60"/>
      <c r="AM917" s="60"/>
      <c r="AN917" s="60"/>
      <c r="AO917" s="60"/>
      <c r="AP917" s="60"/>
      <c r="AQ917" s="60"/>
      <c r="AR917" s="60"/>
      <c r="AS917" s="60"/>
      <c r="AT917" s="60"/>
      <c r="AU917" s="60"/>
      <c r="AV917" s="60"/>
      <c r="AW917" s="60"/>
      <c r="BA917" s="84"/>
      <c r="BB917" s="84"/>
      <c r="BC917" s="84"/>
      <c r="BD917" s="84"/>
      <c r="BE917" s="84"/>
      <c r="BF917" s="84"/>
      <c r="BG917" s="84"/>
      <c r="BH917" s="84"/>
      <c r="BI917" s="84"/>
      <c r="BJ917" s="84"/>
      <c r="BK917" s="84"/>
      <c r="BL917" s="84"/>
      <c r="BM917" s="84"/>
      <c r="BN917" s="84"/>
      <c r="BO917" s="84"/>
      <c r="BP917" s="84"/>
      <c r="BQ917" s="84"/>
      <c r="BR917" s="84"/>
      <c r="BS917" s="84"/>
      <c r="BT917" s="84"/>
      <c r="BU917" s="84"/>
      <c r="BV917" s="84"/>
      <c r="BW917" s="84"/>
      <c r="BX917" s="84"/>
      <c r="BY917" s="84"/>
      <c r="BZ917" s="84"/>
      <c r="CA917" s="84"/>
      <c r="CB917" s="84"/>
      <c r="CC917" s="84"/>
      <c r="CD917" s="84"/>
      <c r="CE917" s="84"/>
      <c r="CF917" s="84"/>
      <c r="CG917" s="84"/>
      <c r="CH917" s="84"/>
      <c r="CI917" s="84"/>
      <c r="CJ917" s="84"/>
      <c r="CK917" s="84"/>
      <c r="CL917" s="84"/>
      <c r="CM917" s="84"/>
      <c r="CN917" s="84"/>
      <c r="CO917" s="84"/>
      <c r="CP917" s="84"/>
      <c r="CQ917" s="84"/>
      <c r="CR917" s="84"/>
      <c r="CS917" s="84"/>
      <c r="CT917" s="84"/>
      <c r="CU917" s="84"/>
      <c r="CV917" s="84"/>
      <c r="CW917" s="84"/>
      <c r="CX917" s="84"/>
      <c r="CY917" s="84"/>
      <c r="CZ917" s="84"/>
      <c r="DA917" s="84"/>
      <c r="DB917" s="84"/>
      <c r="DC917" s="84"/>
      <c r="DD917" s="84"/>
      <c r="DE917" s="84"/>
      <c r="DF917" s="84"/>
      <c r="DG917" s="84"/>
    </row>
    <row r="918" ht="18.75" customHeight="1">
      <c r="A918" s="314" t="s">
        <v>143</v>
      </c>
      <c r="B918" s="314" t="s">
        <v>107</v>
      </c>
      <c r="C918" s="316" t="s">
        <v>108</v>
      </c>
      <c r="D918" s="215"/>
      <c r="E918" s="322" t="s">
        <v>5296</v>
      </c>
      <c r="F918" s="386" t="s">
        <v>5297</v>
      </c>
      <c r="G918" s="386" t="s">
        <v>5298</v>
      </c>
      <c r="H918" s="979">
        <v>45641.0</v>
      </c>
      <c r="I918" s="617">
        <v>45677.0</v>
      </c>
      <c r="J918" s="364"/>
      <c r="K918" s="321" t="s">
        <v>5299</v>
      </c>
      <c r="L918" s="386" t="s">
        <v>3980</v>
      </c>
      <c r="M918" s="386" t="s">
        <v>3981</v>
      </c>
      <c r="N918" s="957">
        <v>2.0</v>
      </c>
      <c r="O918" s="599" t="s">
        <v>5300</v>
      </c>
      <c r="P918" s="48" t="str">
        <f t="array" ref="P918">HYPERLINK(INDEX('File Links'!B:B, MATCH(O918, 'File Links'!C:C, 0)))
</f>
        <v>https://drive.google.com/file/d/1dqYztlMOBsUY1H2Tadvsh9mJOiZQ1nVh/view?usp=drivesdk</v>
      </c>
      <c r="Q918" s="1243" t="s">
        <v>5301</v>
      </c>
      <c r="R918" s="315" t="s">
        <v>5302</v>
      </c>
      <c r="S918" s="364"/>
      <c r="T918" s="819">
        <v>3.0</v>
      </c>
      <c r="U918" s="1244" t="s">
        <v>5303</v>
      </c>
      <c r="V918" s="364"/>
      <c r="W918" s="45" t="str">
        <f t="array" ref="W918">HYPERLINK(INDEX('File Links'!B:B, MATCH(U918, 'File Links'!C:C, 0)))
</f>
        <v>#N/A</v>
      </c>
      <c r="X918" s="364"/>
      <c r="Y918" s="364" t="s">
        <v>203</v>
      </c>
      <c r="Z918" s="321" t="s">
        <v>3994</v>
      </c>
      <c r="AA918" s="364" t="s">
        <v>5304</v>
      </c>
      <c r="AB918" s="364" t="s">
        <v>5305</v>
      </c>
      <c r="AC918" s="321" t="s">
        <v>5306</v>
      </c>
      <c r="AD918" s="364" t="s">
        <v>861</v>
      </c>
      <c r="AE918" s="957">
        <v>51.0</v>
      </c>
      <c r="AF918" s="957">
        <v>0.08</v>
      </c>
      <c r="AG918" s="600" t="s">
        <v>130</v>
      </c>
      <c r="AH918" s="364" t="s">
        <v>861</v>
      </c>
      <c r="AI918" s="957">
        <v>0.05</v>
      </c>
      <c r="AJ918" s="322" t="s">
        <v>127</v>
      </c>
      <c r="AK918" s="364" t="s">
        <v>211</v>
      </c>
      <c r="AL918" s="364" t="s">
        <v>129</v>
      </c>
      <c r="AM918" s="350" t="s">
        <v>165</v>
      </c>
      <c r="AN918" s="957">
        <v>698.0</v>
      </c>
      <c r="AO918" s="957">
        <v>0.02</v>
      </c>
      <c r="AP918" s="364" t="s">
        <v>166</v>
      </c>
      <c r="AQ918" s="364" t="s">
        <v>625</v>
      </c>
      <c r="AR918" s="957">
        <v>0.84</v>
      </c>
      <c r="AS918" s="322" t="s">
        <v>164</v>
      </c>
      <c r="AT918" s="322" t="s">
        <v>211</v>
      </c>
      <c r="AU918" s="322" t="s">
        <v>129</v>
      </c>
      <c r="AV918" s="945" t="s">
        <v>5307</v>
      </c>
      <c r="AW918" s="947" t="s">
        <v>134</v>
      </c>
      <c r="AX918" s="316" t="s">
        <v>5308</v>
      </c>
      <c r="AY918" s="332" t="s">
        <v>135</v>
      </c>
      <c r="BA918" s="84"/>
      <c r="BB918" s="84"/>
      <c r="BC918" s="84"/>
      <c r="BD918" s="84"/>
      <c r="BE918" s="84"/>
      <c r="BF918" s="84"/>
      <c r="BG918" s="84"/>
      <c r="BH918" s="84"/>
      <c r="BI918" s="84"/>
      <c r="BJ918" s="84"/>
      <c r="BK918" s="84"/>
      <c r="BL918" s="84"/>
      <c r="BM918" s="84"/>
      <c r="BN918" s="84"/>
      <c r="BO918" s="84"/>
      <c r="BP918" s="84"/>
      <c r="BQ918" s="84"/>
      <c r="BR918" s="84"/>
      <c r="BS918" s="84"/>
      <c r="BT918" s="84"/>
      <c r="BU918" s="84"/>
      <c r="BV918" s="84"/>
      <c r="BW918" s="84"/>
      <c r="BX918" s="84"/>
      <c r="BY918" s="84"/>
      <c r="BZ918" s="84"/>
      <c r="CA918" s="84"/>
      <c r="CB918" s="84"/>
      <c r="CC918" s="84"/>
      <c r="CD918" s="84"/>
      <c r="CE918" s="84"/>
      <c r="CF918" s="84"/>
      <c r="CG918" s="84"/>
      <c r="CH918" s="84"/>
      <c r="CI918" s="84"/>
      <c r="CJ918" s="84"/>
      <c r="CK918" s="84"/>
      <c r="CL918" s="84"/>
      <c r="CM918" s="84"/>
      <c r="CN918" s="84"/>
      <c r="CO918" s="84"/>
      <c r="CP918" s="84"/>
      <c r="CQ918" s="84"/>
      <c r="CR918" s="84"/>
      <c r="CS918" s="84"/>
      <c r="CT918" s="84"/>
      <c r="CU918" s="84"/>
      <c r="CV918" s="84"/>
      <c r="CW918" s="84"/>
      <c r="CX918" s="84"/>
      <c r="CY918" s="84"/>
      <c r="CZ918" s="84"/>
      <c r="DA918" s="84"/>
      <c r="DB918" s="84"/>
      <c r="DC918" s="84"/>
      <c r="DD918" s="84"/>
      <c r="DE918" s="84"/>
      <c r="DF918" s="84"/>
      <c r="DG918" s="84"/>
    </row>
    <row r="919" ht="18.75" customHeight="1">
      <c r="A919" s="316" t="s">
        <v>106</v>
      </c>
      <c r="B919" s="316" t="s">
        <v>107</v>
      </c>
      <c r="C919" s="316" t="s">
        <v>136</v>
      </c>
      <c r="D919" s="215"/>
      <c r="E919" s="316" t="s">
        <v>5296</v>
      </c>
      <c r="F919" s="314" t="s">
        <v>5297</v>
      </c>
      <c r="G919" s="314" t="s">
        <v>5309</v>
      </c>
      <c r="H919" s="318">
        <v>45644.0</v>
      </c>
      <c r="I919" s="617">
        <v>45677.0</v>
      </c>
      <c r="J919" s="319"/>
      <c r="K919" s="319"/>
      <c r="L919" s="314" t="s">
        <v>3980</v>
      </c>
      <c r="M919" s="314" t="s">
        <v>3981</v>
      </c>
      <c r="N919" s="319"/>
      <c r="O919" s="314" t="s">
        <v>5300</v>
      </c>
      <c r="P919" s="48" t="str">
        <f t="array" ref="P919">HYPERLINK(INDEX('File Links'!B:B, MATCH(O919, 'File Links'!C:C, 0)))
</f>
        <v>https://drive.google.com/file/d/1dqYztlMOBsUY1H2Tadvsh9mJOiZQ1nVh/view?usp=drivesdk</v>
      </c>
      <c r="Q919" s="314" t="s">
        <v>5310</v>
      </c>
      <c r="R919" s="314" t="s">
        <v>5311</v>
      </c>
      <c r="S919" s="319"/>
      <c r="T919" s="819">
        <v>3.0</v>
      </c>
      <c r="U919" s="314" t="s">
        <v>5303</v>
      </c>
      <c r="V919" s="319"/>
      <c r="W919" s="45" t="str">
        <f t="array" ref="W919">HYPERLINK(INDEX('File Links'!B:B, MATCH(U919, 'File Links'!C:C, 0)))
</f>
        <v>#N/A</v>
      </c>
      <c r="X919" s="314"/>
      <c r="Y919" s="314" t="s">
        <v>139</v>
      </c>
      <c r="Z919" s="319"/>
      <c r="AA919" s="319"/>
      <c r="AB919" s="319"/>
      <c r="AC919" s="319"/>
      <c r="AD919" s="319"/>
      <c r="AE919" s="319"/>
      <c r="AF919" s="319"/>
      <c r="AG919" s="314"/>
      <c r="AH919" s="319"/>
      <c r="AI919" s="319"/>
      <c r="AJ919" s="215"/>
      <c r="AK919" s="319"/>
      <c r="AL919" s="319"/>
      <c r="AM919" s="319"/>
      <c r="AN919" s="319"/>
      <c r="AO919" s="314">
        <v>0.02</v>
      </c>
      <c r="AP919" s="314" t="s">
        <v>2782</v>
      </c>
      <c r="AQ919" s="319"/>
      <c r="AR919" s="314" t="s">
        <v>141</v>
      </c>
      <c r="AS919" s="215"/>
      <c r="AT919" s="215"/>
      <c r="AU919" s="322"/>
      <c r="AV919" s="215"/>
      <c r="AW919" s="316" t="s">
        <v>142</v>
      </c>
      <c r="AX919" s="215"/>
      <c r="AY919" s="332" t="s">
        <v>135</v>
      </c>
      <c r="BA919" s="84"/>
      <c r="BB919" s="84"/>
      <c r="BC919" s="84"/>
      <c r="BD919" s="84"/>
      <c r="BE919" s="84"/>
      <c r="BF919" s="84"/>
      <c r="BG919" s="84"/>
      <c r="BH919" s="84"/>
      <c r="BI919" s="84"/>
      <c r="BJ919" s="84"/>
      <c r="BK919" s="84"/>
      <c r="BL919" s="84"/>
      <c r="BM919" s="84"/>
      <c r="BN919" s="84"/>
      <c r="BO919" s="84"/>
      <c r="BP919" s="84"/>
      <c r="BQ919" s="84"/>
      <c r="BR919" s="84"/>
      <c r="BS919" s="84"/>
      <c r="BT919" s="84"/>
      <c r="BU919" s="84"/>
      <c r="BV919" s="84"/>
      <c r="BW919" s="84"/>
      <c r="BX919" s="84"/>
      <c r="BY919" s="84"/>
      <c r="BZ919" s="84"/>
      <c r="CA919" s="84"/>
      <c r="CB919" s="84"/>
      <c r="CC919" s="84"/>
      <c r="CD919" s="84"/>
      <c r="CE919" s="84"/>
      <c r="CF919" s="84"/>
      <c r="CG919" s="84"/>
      <c r="CH919" s="84"/>
      <c r="CI919" s="84"/>
      <c r="CJ919" s="84"/>
      <c r="CK919" s="84"/>
      <c r="CL919" s="84"/>
      <c r="CM919" s="84"/>
      <c r="CN919" s="84"/>
      <c r="CO919" s="84"/>
      <c r="CP919" s="84"/>
      <c r="CQ919" s="84"/>
      <c r="CR919" s="84"/>
      <c r="CS919" s="84"/>
      <c r="CT919" s="84"/>
      <c r="CU919" s="84"/>
      <c r="CV919" s="84"/>
      <c r="CW919" s="84"/>
      <c r="CX919" s="84"/>
      <c r="CY919" s="84"/>
      <c r="CZ919" s="84"/>
      <c r="DA919" s="84"/>
      <c r="DB919" s="84"/>
      <c r="DC919" s="84"/>
      <c r="DD919" s="84"/>
      <c r="DE919" s="84"/>
      <c r="DF919" s="84"/>
      <c r="DG919" s="84"/>
    </row>
    <row r="920" ht="18.75" customHeight="1">
      <c r="A920" s="314" t="s">
        <v>143</v>
      </c>
      <c r="B920" s="331" t="s">
        <v>107</v>
      </c>
      <c r="C920" s="331" t="s">
        <v>144</v>
      </c>
      <c r="D920" s="335"/>
      <c r="E920" s="738" t="s">
        <v>5312</v>
      </c>
      <c r="F920" s="736" t="s">
        <v>5313</v>
      </c>
      <c r="G920" s="736" t="s">
        <v>144</v>
      </c>
      <c r="H920" s="1224">
        <v>45638.0</v>
      </c>
      <c r="I920" s="617">
        <v>45677.0</v>
      </c>
      <c r="J920" s="1225" t="s">
        <v>5314</v>
      </c>
      <c r="K920" s="741"/>
      <c r="L920" s="736" t="s">
        <v>4948</v>
      </c>
      <c r="M920" s="736" t="s">
        <v>4949</v>
      </c>
      <c r="N920" s="727">
        <v>1.0</v>
      </c>
      <c r="O920" s="929" t="s">
        <v>4950</v>
      </c>
      <c r="P920" s="48" t="str">
        <f t="array" ref="P920">HYPERLINK(INDEX('File Links'!B:B, MATCH(O920, 'File Links'!C:C, 0)))
</f>
        <v>https://drive.google.com/file/d/1CSCUNAQZCt3s32RgzUwXe6pe5scvK0yY/view?usp=drivesdk</v>
      </c>
      <c r="Q920" s="736" t="s">
        <v>5315</v>
      </c>
      <c r="R920" s="736" t="s">
        <v>5316</v>
      </c>
      <c r="S920" s="741"/>
      <c r="T920" s="727">
        <v>1.0</v>
      </c>
      <c r="U920" s="736" t="s">
        <v>5317</v>
      </c>
      <c r="V920" s="1007" t="s">
        <v>155</v>
      </c>
      <c r="W920" s="45" t="str">
        <f t="array" ref="W920">HYPERLINK(INDEX('File Links'!B:B, MATCH(U920, 'File Links'!C:C, 0)))
</f>
        <v>#N/A</v>
      </c>
      <c r="X920" s="741"/>
      <c r="Y920" s="736" t="s">
        <v>220</v>
      </c>
      <c r="Z920" s="736" t="s">
        <v>4967</v>
      </c>
      <c r="AA920" s="1229" t="s">
        <v>4968</v>
      </c>
      <c r="AB920" s="741" t="s">
        <v>4969</v>
      </c>
      <c r="AC920" s="741" t="s">
        <v>4970</v>
      </c>
      <c r="AD920" s="1230">
        <v>5.0</v>
      </c>
      <c r="AE920" s="744">
        <v>218.0</v>
      </c>
      <c r="AF920" s="744">
        <v>-0.29</v>
      </c>
      <c r="AG920" s="929" t="s">
        <v>166</v>
      </c>
      <c r="AH920" s="736" t="s">
        <v>1062</v>
      </c>
      <c r="AI920" s="744">
        <v>0.04</v>
      </c>
      <c r="AJ920" s="734" t="s">
        <v>164</v>
      </c>
      <c r="AK920" s="736" t="s">
        <v>179</v>
      </c>
      <c r="AL920" s="741" t="s">
        <v>129</v>
      </c>
      <c r="AM920" s="350" t="s">
        <v>165</v>
      </c>
      <c r="AN920" s="744">
        <v>387.0</v>
      </c>
      <c r="AO920" s="744">
        <v>0.12375</v>
      </c>
      <c r="AP920" s="736" t="s">
        <v>166</v>
      </c>
      <c r="AQ920" s="727" t="s">
        <v>165</v>
      </c>
      <c r="AR920" s="744">
        <v>0.05</v>
      </c>
      <c r="AS920" s="734" t="s">
        <v>329</v>
      </c>
      <c r="AT920" s="734" t="s">
        <v>179</v>
      </c>
      <c r="AU920" s="738" t="s">
        <v>129</v>
      </c>
      <c r="AV920" s="930" t="s">
        <v>5318</v>
      </c>
      <c r="AW920" s="933" t="s">
        <v>142</v>
      </c>
      <c r="AX920" s="333"/>
      <c r="AY920" s="332" t="s">
        <v>135</v>
      </c>
      <c r="BA920" s="84"/>
      <c r="BB920" s="84"/>
      <c r="BC920" s="84"/>
      <c r="BD920" s="84"/>
      <c r="BE920" s="84"/>
      <c r="BF920" s="84"/>
      <c r="BG920" s="84"/>
      <c r="BH920" s="84"/>
      <c r="BI920" s="84"/>
      <c r="BJ920" s="84"/>
      <c r="BK920" s="84"/>
      <c r="BL920" s="84"/>
      <c r="BM920" s="84"/>
      <c r="BN920" s="84"/>
      <c r="BO920" s="84"/>
      <c r="BP920" s="84"/>
      <c r="BQ920" s="84"/>
      <c r="BR920" s="84"/>
      <c r="BS920" s="84"/>
      <c r="BT920" s="84"/>
      <c r="BU920" s="84"/>
      <c r="BV920" s="84"/>
      <c r="BW920" s="84"/>
      <c r="BX920" s="84"/>
      <c r="BY920" s="84"/>
      <c r="BZ920" s="84"/>
      <c r="CA920" s="84"/>
      <c r="CB920" s="84"/>
      <c r="CC920" s="84"/>
      <c r="CD920" s="84"/>
      <c r="CE920" s="84"/>
      <c r="CF920" s="84"/>
      <c r="CG920" s="84"/>
      <c r="CH920" s="84"/>
      <c r="CI920" s="84"/>
      <c r="CJ920" s="84"/>
      <c r="CK920" s="84"/>
      <c r="CL920" s="84"/>
      <c r="CM920" s="84"/>
      <c r="CN920" s="84"/>
      <c r="CO920" s="84"/>
      <c r="CP920" s="84"/>
      <c r="CQ920" s="84"/>
      <c r="CR920" s="84"/>
      <c r="CS920" s="84"/>
      <c r="CT920" s="84"/>
      <c r="CU920" s="84"/>
      <c r="CV920" s="84"/>
      <c r="CW920" s="84"/>
      <c r="CX920" s="84"/>
      <c r="CY920" s="84"/>
      <c r="CZ920" s="84"/>
      <c r="DA920" s="84"/>
      <c r="DB920" s="84"/>
      <c r="DC920" s="84"/>
      <c r="DD920" s="84"/>
      <c r="DE920" s="84"/>
      <c r="DF920" s="84"/>
      <c r="DG920" s="84"/>
    </row>
    <row r="921" ht="18.75" customHeight="1">
      <c r="A921" s="332" t="s">
        <v>106</v>
      </c>
      <c r="B921" s="332" t="s">
        <v>107</v>
      </c>
      <c r="C921" s="332" t="s">
        <v>169</v>
      </c>
      <c r="D921" s="333"/>
      <c r="E921" s="738" t="s">
        <v>5312</v>
      </c>
      <c r="F921" s="736" t="s">
        <v>5313</v>
      </c>
      <c r="G921" s="734" t="s">
        <v>169</v>
      </c>
      <c r="H921" s="1245">
        <v>45651.0</v>
      </c>
      <c r="I921" s="617">
        <v>45677.0</v>
      </c>
      <c r="J921" s="734" t="s">
        <v>5319</v>
      </c>
      <c r="K921" s="738"/>
      <c r="L921" s="734" t="s">
        <v>4948</v>
      </c>
      <c r="M921" s="734" t="s">
        <v>4949</v>
      </c>
      <c r="N921" s="739">
        <v>2.0</v>
      </c>
      <c r="O921" s="734" t="s">
        <v>4950</v>
      </c>
      <c r="P921" s="48" t="str">
        <f t="array" ref="P921">HYPERLINK(INDEX('File Links'!B:B, MATCH(O921, 'File Links'!C:C, 0)))
</f>
        <v>https://drive.google.com/file/d/1CSCUNAQZCt3s32RgzUwXe6pe5scvK0yY/view?usp=drivesdk</v>
      </c>
      <c r="Q921" s="734" t="s">
        <v>5315</v>
      </c>
      <c r="R921" s="734" t="s">
        <v>5316</v>
      </c>
      <c r="S921" s="738"/>
      <c r="T921" s="738"/>
      <c r="U921" s="734" t="s">
        <v>5317</v>
      </c>
      <c r="V921" s="734" t="s">
        <v>155</v>
      </c>
      <c r="W921" s="45" t="str">
        <f t="array" ref="W921">HYPERLINK(INDEX('File Links'!B:B, MATCH(U921, 'File Links'!C:C, 0)))
</f>
        <v>#N/A</v>
      </c>
      <c r="X921" s="738"/>
      <c r="Y921" s="734" t="s">
        <v>220</v>
      </c>
      <c r="Z921" s="734" t="s">
        <v>4954</v>
      </c>
      <c r="AA921" s="734" t="s">
        <v>4955</v>
      </c>
      <c r="AB921" s="734" t="s">
        <v>5320</v>
      </c>
      <c r="AC921" s="734" t="s">
        <v>4970</v>
      </c>
      <c r="AD921" s="734" t="s">
        <v>892</v>
      </c>
      <c r="AE921" s="739">
        <v>218.0</v>
      </c>
      <c r="AF921" s="734" t="s">
        <v>5321</v>
      </c>
      <c r="AG921" s="929" t="s">
        <v>166</v>
      </c>
      <c r="AH921" s="736" t="s">
        <v>892</v>
      </c>
      <c r="AI921" s="736" t="s">
        <v>5322</v>
      </c>
      <c r="AJ921" s="734" t="s">
        <v>164</v>
      </c>
      <c r="AK921" s="736" t="s">
        <v>179</v>
      </c>
      <c r="AL921" s="738" t="s">
        <v>129</v>
      </c>
      <c r="AM921" s="738"/>
      <c r="AN921" s="739">
        <v>387.0</v>
      </c>
      <c r="AO921" s="738"/>
      <c r="AP921" s="738"/>
      <c r="AQ921" s="738"/>
      <c r="AR921" s="738"/>
      <c r="AS921" s="738"/>
      <c r="AT921" s="738"/>
      <c r="AU921" s="738"/>
      <c r="AV921" s="930" t="s">
        <v>5323</v>
      </c>
      <c r="AW921" s="738"/>
      <c r="AX921" s="333"/>
      <c r="AY921" s="332" t="s">
        <v>135</v>
      </c>
      <c r="BA921" s="84"/>
      <c r="BB921" s="84"/>
      <c r="BC921" s="84"/>
      <c r="BD921" s="84"/>
      <c r="BE921" s="84"/>
      <c r="BF921" s="84"/>
      <c r="BG921" s="84"/>
      <c r="BH921" s="84"/>
      <c r="BI921" s="84"/>
      <c r="BJ921" s="84"/>
      <c r="BK921" s="84"/>
      <c r="BL921" s="84"/>
      <c r="BM921" s="84"/>
      <c r="BN921" s="84"/>
      <c r="BO921" s="84"/>
      <c r="BP921" s="84"/>
      <c r="BQ921" s="84"/>
      <c r="BR921" s="84"/>
      <c r="BS921" s="84"/>
      <c r="BT921" s="84"/>
      <c r="BU921" s="84"/>
      <c r="BV921" s="84"/>
      <c r="BW921" s="84"/>
      <c r="BX921" s="84"/>
      <c r="BY921" s="84"/>
      <c r="BZ921" s="84"/>
      <c r="CA921" s="84"/>
      <c r="CB921" s="84"/>
      <c r="CC921" s="84"/>
      <c r="CD921" s="84"/>
      <c r="CE921" s="84"/>
      <c r="CF921" s="84"/>
      <c r="CG921" s="84"/>
      <c r="CH921" s="84"/>
      <c r="CI921" s="84"/>
      <c r="CJ921" s="84"/>
      <c r="CK921" s="84"/>
      <c r="CL921" s="84"/>
      <c r="CM921" s="84"/>
      <c r="CN921" s="84"/>
      <c r="CO921" s="84"/>
      <c r="CP921" s="84"/>
      <c r="CQ921" s="84"/>
      <c r="CR921" s="84"/>
      <c r="CS921" s="84"/>
      <c r="CT921" s="84"/>
      <c r="CU921" s="84"/>
      <c r="CV921" s="84"/>
      <c r="CW921" s="84"/>
      <c r="CX921" s="84"/>
      <c r="CY921" s="84"/>
      <c r="CZ921" s="84"/>
      <c r="DA921" s="84"/>
      <c r="DB921" s="84"/>
      <c r="DC921" s="84"/>
      <c r="DD921" s="84"/>
      <c r="DE921" s="84"/>
      <c r="DF921" s="84"/>
      <c r="DG921" s="84"/>
    </row>
    <row r="922" ht="18.75" customHeight="1">
      <c r="A922" s="142" t="s">
        <v>106</v>
      </c>
      <c r="B922" s="136" t="s">
        <v>107</v>
      </c>
      <c r="C922" s="136" t="s">
        <v>3672</v>
      </c>
      <c r="D922" s="64"/>
      <c r="E922" s="1246" t="s">
        <v>5324</v>
      </c>
      <c r="F922" s="147" t="s">
        <v>5325</v>
      </c>
      <c r="G922" s="1247" t="s">
        <v>3673</v>
      </c>
      <c r="H922" s="140">
        <v>45667.0</v>
      </c>
      <c r="I922" s="1248">
        <v>45691.0</v>
      </c>
      <c r="J922" s="147" t="s">
        <v>5326</v>
      </c>
      <c r="K922" s="60"/>
      <c r="L922" s="147" t="s">
        <v>5327</v>
      </c>
      <c r="M922" s="147" t="s">
        <v>5328</v>
      </c>
      <c r="N922" s="144">
        <v>1.0</v>
      </c>
      <c r="O922" s="147" t="str">
        <f>SUBSTITUTE(LOWER(M922), "/", "--") &amp;  ".pdf"</f>
        <v>10.1111--1467-8284.00419.pdf</v>
      </c>
      <c r="P922" s="48" t="str">
        <f t="array" ref="P922">HYPERLINK(INDEX('File Links'!B:B, MATCH(O922, 'File Links'!C:C, 0)))
</f>
        <v>https://drive.google.com/file/d/10xyzPhQJ8BoXAmXBEBA_mIn8qqh_KbTE/view?usp=drivesdk</v>
      </c>
      <c r="Q922" s="1249" t="s">
        <v>5329</v>
      </c>
      <c r="R922" s="303" t="s">
        <v>5330</v>
      </c>
      <c r="S922" s="303" t="s">
        <v>5331</v>
      </c>
      <c r="T922" s="490">
        <v>1.0</v>
      </c>
      <c r="U922" s="847" t="s">
        <v>5332</v>
      </c>
      <c r="V922" s="1212" t="s">
        <v>5333</v>
      </c>
      <c r="W922" s="50" t="str">
        <f t="array" ref="W922">HYPERLINK(INDEX('File Links'!B:B, MATCH(U922, 'File Links'!C:C, 0)))
</f>
        <v>https://drive.google.com/file/d/1hjI3aqifdfXjWhQAlvKCKKtvjuncAn5M/view?usp=drivesdk</v>
      </c>
      <c r="X922" s="60"/>
      <c r="Y922" s="147" t="s">
        <v>156</v>
      </c>
      <c r="Z922" s="847" t="s">
        <v>5334</v>
      </c>
      <c r="AA922" s="1250" t="s">
        <v>5335</v>
      </c>
      <c r="AB922" s="147" t="s">
        <v>5336</v>
      </c>
      <c r="AC922" s="147" t="s">
        <v>5337</v>
      </c>
      <c r="AD922" s="147" t="s">
        <v>5338</v>
      </c>
      <c r="AE922" s="144">
        <v>78.0</v>
      </c>
      <c r="AF922" s="147" t="s">
        <v>5339</v>
      </c>
      <c r="AG922" s="147" t="s">
        <v>162</v>
      </c>
      <c r="AH922" s="330" t="s">
        <v>210</v>
      </c>
      <c r="AI922" s="355">
        <v>0.001</v>
      </c>
      <c r="AJ922" s="52" t="s">
        <v>127</v>
      </c>
      <c r="AK922" s="147" t="s">
        <v>179</v>
      </c>
      <c r="AL922" s="52" t="s">
        <v>129</v>
      </c>
      <c r="AM922" s="60"/>
      <c r="AN922" s="1251">
        <v>100.0</v>
      </c>
      <c r="AO922" s="1251">
        <v>0.61</v>
      </c>
      <c r="AP922" s="147" t="s">
        <v>5340</v>
      </c>
      <c r="AQ922" s="147" t="s">
        <v>5331</v>
      </c>
      <c r="AR922" s="144">
        <v>0.001</v>
      </c>
      <c r="AS922" s="147" t="s">
        <v>164</v>
      </c>
      <c r="AT922" s="147" t="s">
        <v>179</v>
      </c>
      <c r="AU922" s="147" t="s">
        <v>129</v>
      </c>
      <c r="AV922" s="303" t="s">
        <v>5341</v>
      </c>
      <c r="AW922" s="147" t="s">
        <v>134</v>
      </c>
      <c r="AY922" s="60" t="s">
        <v>244</v>
      </c>
      <c r="BA922" s="84"/>
      <c r="BB922" s="84"/>
      <c r="BC922" s="84"/>
      <c r="BD922" s="84"/>
      <c r="BE922" s="84"/>
      <c r="BF922" s="84"/>
      <c r="BG922" s="84"/>
      <c r="BH922" s="84"/>
      <c r="BI922" s="84"/>
      <c r="BJ922" s="84"/>
      <c r="BK922" s="84"/>
      <c r="BL922" s="84"/>
      <c r="BM922" s="84"/>
      <c r="BN922" s="84"/>
      <c r="BO922" s="84"/>
      <c r="BP922" s="84"/>
      <c r="BQ922" s="84"/>
      <c r="BR922" s="84"/>
      <c r="BS922" s="84"/>
      <c r="BT922" s="84"/>
      <c r="BU922" s="84"/>
      <c r="BV922" s="84"/>
      <c r="BW922" s="84"/>
      <c r="BX922" s="84"/>
      <c r="BY922" s="84"/>
      <c r="BZ922" s="84"/>
      <c r="CA922" s="84"/>
      <c r="CB922" s="84"/>
      <c r="CC922" s="84"/>
      <c r="CD922" s="84"/>
      <c r="CE922" s="84"/>
      <c r="CF922" s="84"/>
      <c r="CG922" s="84"/>
      <c r="CH922" s="84"/>
      <c r="CI922" s="84"/>
      <c r="CJ922" s="84"/>
      <c r="CK922" s="84"/>
      <c r="CL922" s="84"/>
      <c r="CM922" s="84"/>
      <c r="CN922" s="84"/>
      <c r="CO922" s="84"/>
      <c r="CP922" s="84"/>
      <c r="CQ922" s="84"/>
      <c r="CR922" s="84"/>
      <c r="CS922" s="84"/>
      <c r="CT922" s="84"/>
      <c r="CU922" s="84"/>
      <c r="CV922" s="84"/>
      <c r="CW922" s="84"/>
      <c r="CX922" s="84"/>
      <c r="CY922" s="84"/>
      <c r="CZ922" s="84"/>
      <c r="DA922" s="84"/>
      <c r="DB922" s="84"/>
      <c r="DC922" s="84"/>
      <c r="DD922" s="84"/>
      <c r="DE922" s="84"/>
      <c r="DF922" s="84"/>
      <c r="DG922" s="84"/>
    </row>
    <row r="923" ht="18.75" customHeight="1">
      <c r="A923" s="314" t="s">
        <v>143</v>
      </c>
      <c r="B923" s="136" t="s">
        <v>107</v>
      </c>
      <c r="C923" s="136" t="s">
        <v>243</v>
      </c>
      <c r="D923" s="64"/>
      <c r="E923" s="1246" t="s">
        <v>5324</v>
      </c>
      <c r="F923" s="147" t="s">
        <v>5325</v>
      </c>
      <c r="G923" s="1247" t="s">
        <v>244</v>
      </c>
      <c r="H923" s="140">
        <v>45331.0</v>
      </c>
      <c r="I923" s="1248">
        <v>45691.0</v>
      </c>
      <c r="J923" s="142" t="s">
        <v>5342</v>
      </c>
      <c r="K923" s="60"/>
      <c r="L923" s="147" t="s">
        <v>5327</v>
      </c>
      <c r="M923" s="140" t="s">
        <v>5328</v>
      </c>
      <c r="N923" s="115">
        <v>1.0</v>
      </c>
      <c r="O923" s="1252" t="s">
        <v>5343</v>
      </c>
      <c r="P923" s="48" t="str">
        <f t="array" ref="P923">HYPERLINK(INDEX('File Links'!B:B, MATCH(O923, 'File Links'!C:C, 0)))
</f>
        <v>https://drive.google.com/file/d/10xyzPhQJ8BoXAmXBEBA_mIn8qqh_KbTE/view?usp=drivesdk</v>
      </c>
      <c r="Q923" s="1249" t="s">
        <v>5329</v>
      </c>
      <c r="R923" s="147" t="s">
        <v>5330</v>
      </c>
      <c r="S923" s="60"/>
      <c r="T923" s="60"/>
      <c r="U923" s="847" t="s">
        <v>5332</v>
      </c>
      <c r="V923" s="1212" t="s">
        <v>5333</v>
      </c>
      <c r="W923" s="50" t="str">
        <f t="array" ref="W923">HYPERLINK(INDEX('File Links'!B:B, MATCH(U923, 'File Links'!C:C, 0)))
</f>
        <v>https://drive.google.com/file/d/1hjI3aqifdfXjWhQAlvKCKKtvjuncAn5M/view?usp=drivesdk</v>
      </c>
      <c r="X923" s="60"/>
      <c r="Y923" s="142" t="s">
        <v>156</v>
      </c>
      <c r="Z923" s="115" t="s">
        <v>165</v>
      </c>
      <c r="AA923" s="1253" t="s">
        <v>5344</v>
      </c>
      <c r="AB923" s="142" t="s">
        <v>5345</v>
      </c>
      <c r="AC923" s="142" t="s">
        <v>5346</v>
      </c>
      <c r="AD923" s="147" t="s">
        <v>505</v>
      </c>
      <c r="AE923" s="1254">
        <v>78.0</v>
      </c>
      <c r="AF923" s="147" t="s">
        <v>5339</v>
      </c>
      <c r="AG923" s="147" t="s">
        <v>162</v>
      </c>
      <c r="AH923" s="330" t="s">
        <v>5347</v>
      </c>
      <c r="AI923" s="1255">
        <v>0.001</v>
      </c>
      <c r="AJ923" s="355" t="s">
        <v>127</v>
      </c>
      <c r="AK923" s="142" t="s">
        <v>179</v>
      </c>
      <c r="AL923" s="1246" t="s">
        <v>129</v>
      </c>
      <c r="AM923" s="142" t="s">
        <v>129</v>
      </c>
      <c r="AN923" s="1251">
        <v>100.0</v>
      </c>
      <c r="AO923" s="144">
        <v>0.61</v>
      </c>
      <c r="AP923" s="147" t="s">
        <v>5340</v>
      </c>
      <c r="AQ923" s="147" t="s">
        <v>5348</v>
      </c>
      <c r="AR923" s="1254">
        <v>0.001</v>
      </c>
      <c r="AS923" s="144" t="s">
        <v>164</v>
      </c>
      <c r="AT923" s="142" t="s">
        <v>179</v>
      </c>
      <c r="AU923" s="142" t="s">
        <v>129</v>
      </c>
      <c r="AV923" s="1256" t="s">
        <v>5349</v>
      </c>
      <c r="AW923" s="142" t="s">
        <v>134</v>
      </c>
      <c r="AY923" s="60" t="s">
        <v>244</v>
      </c>
      <c r="BA923" s="84"/>
      <c r="BB923" s="84"/>
      <c r="BC923" s="84"/>
      <c r="BD923" s="84"/>
      <c r="BE923" s="84"/>
      <c r="BF923" s="84"/>
      <c r="BG923" s="84"/>
      <c r="BH923" s="84"/>
      <c r="BI923" s="84"/>
      <c r="BJ923" s="84"/>
      <c r="BK923" s="84"/>
      <c r="BL923" s="84"/>
      <c r="BM923" s="84"/>
      <c r="BN923" s="84"/>
      <c r="BO923" s="84"/>
      <c r="BP923" s="84"/>
      <c r="BQ923" s="84"/>
      <c r="BR923" s="84"/>
      <c r="BS923" s="84"/>
      <c r="BT923" s="84"/>
      <c r="BU923" s="84"/>
      <c r="BV923" s="84"/>
      <c r="BW923" s="84"/>
      <c r="BX923" s="84"/>
      <c r="BY923" s="84"/>
      <c r="BZ923" s="84"/>
      <c r="CA923" s="84"/>
      <c r="CB923" s="84"/>
      <c r="CC923" s="84"/>
      <c r="CD923" s="84"/>
      <c r="CE923" s="84"/>
      <c r="CF923" s="84"/>
      <c r="CG923" s="84"/>
      <c r="CH923" s="84"/>
      <c r="CI923" s="84"/>
      <c r="CJ923" s="84"/>
      <c r="CK923" s="84"/>
      <c r="CL923" s="84"/>
      <c r="CM923" s="84"/>
      <c r="CN923" s="84"/>
      <c r="CO923" s="84"/>
      <c r="CP923" s="84"/>
      <c r="CQ923" s="84"/>
      <c r="CR923" s="84"/>
      <c r="CS923" s="84"/>
      <c r="CT923" s="84"/>
      <c r="CU923" s="84"/>
      <c r="CV923" s="84"/>
      <c r="CW923" s="84"/>
      <c r="CX923" s="84"/>
      <c r="CY923" s="84"/>
      <c r="CZ923" s="84"/>
      <c r="DA923" s="84"/>
      <c r="DB923" s="84"/>
      <c r="DC923" s="84"/>
      <c r="DD923" s="84"/>
      <c r="DE923" s="84"/>
      <c r="DF923" s="84"/>
      <c r="DG923" s="84"/>
    </row>
    <row r="924" ht="18.75" customHeight="1">
      <c r="A924" s="314" t="s">
        <v>5350</v>
      </c>
      <c r="B924" s="136" t="s">
        <v>107</v>
      </c>
      <c r="C924" s="136" t="s">
        <v>243</v>
      </c>
      <c r="D924" s="64"/>
      <c r="E924" s="1257" t="s">
        <v>5351</v>
      </c>
      <c r="F924" s="147" t="s">
        <v>5352</v>
      </c>
      <c r="G924" s="1247" t="s">
        <v>244</v>
      </c>
      <c r="H924" s="140">
        <v>45331.0</v>
      </c>
      <c r="I924" s="1248">
        <v>45691.0</v>
      </c>
      <c r="J924" s="147" t="s">
        <v>5353</v>
      </c>
      <c r="K924" s="525" t="s">
        <v>5354</v>
      </c>
      <c r="L924" s="147" t="s">
        <v>5355</v>
      </c>
      <c r="M924" s="147" t="s">
        <v>5356</v>
      </c>
      <c r="N924" s="115">
        <v>1.0</v>
      </c>
      <c r="O924" s="847" t="s">
        <v>5357</v>
      </c>
      <c r="P924" s="48" t="str">
        <f t="array" ref="P924">HYPERLINK(INDEX('File Links'!B:B, MATCH(O924, 'File Links'!C:C, 0)))
</f>
        <v>https://drive.google.com/file/d/1tNde2WsKCKtTxCH7EfB-a1TjXERl50pJ/view?usp=drivesdk</v>
      </c>
      <c r="Q924" s="1249" t="s">
        <v>5329</v>
      </c>
      <c r="R924" s="147" t="s">
        <v>5330</v>
      </c>
      <c r="S924" s="60"/>
      <c r="T924" s="60"/>
      <c r="U924" s="847" t="s">
        <v>5332</v>
      </c>
      <c r="V924" s="1212" t="s">
        <v>5333</v>
      </c>
      <c r="W924" s="50" t="str">
        <f t="array" ref="W924">HYPERLINK(INDEX('File Links'!B:B, MATCH(U924, 'File Links'!C:C, 0)))
</f>
        <v>https://drive.google.com/file/d/1hjI3aqifdfXjWhQAlvKCKKtvjuncAn5M/view?usp=drivesdk</v>
      </c>
      <c r="X924" s="60"/>
      <c r="Y924" s="147" t="s">
        <v>156</v>
      </c>
      <c r="Z924" s="115" t="s">
        <v>165</v>
      </c>
      <c r="AA924" s="147" t="s">
        <v>5344</v>
      </c>
      <c r="AB924" s="511"/>
      <c r="AC924" s="147" t="s">
        <v>165</v>
      </c>
      <c r="AD924" s="147" t="s">
        <v>165</v>
      </c>
      <c r="AE924" s="144">
        <v>21.0</v>
      </c>
      <c r="AF924" s="144">
        <v>0.32</v>
      </c>
      <c r="AG924" s="147" t="s">
        <v>5340</v>
      </c>
      <c r="AH924" s="1258" t="s">
        <v>5358</v>
      </c>
      <c r="AI924" s="355">
        <v>0.004089</v>
      </c>
      <c r="AJ924" s="52" t="s">
        <v>164</v>
      </c>
      <c r="AK924" s="147" t="s">
        <v>179</v>
      </c>
      <c r="AL924" s="1246" t="s">
        <v>129</v>
      </c>
      <c r="AM924" s="147" t="s">
        <v>129</v>
      </c>
      <c r="AN924" s="1259">
        <v>161.0</v>
      </c>
      <c r="AO924" s="1259">
        <v>0.12</v>
      </c>
      <c r="AP924" s="1260" t="s">
        <v>5340</v>
      </c>
      <c r="AQ924" s="1260" t="s">
        <v>5359</v>
      </c>
      <c r="AR924" s="144">
        <v>0.1343</v>
      </c>
      <c r="AS924" s="147" t="s">
        <v>164</v>
      </c>
      <c r="AT924" s="147" t="s">
        <v>179</v>
      </c>
      <c r="AU924" s="142" t="s">
        <v>129</v>
      </c>
      <c r="AV924" s="1261" t="s">
        <v>5360</v>
      </c>
      <c r="AW924" s="142" t="s">
        <v>134</v>
      </c>
      <c r="AY924" s="60" t="s">
        <v>244</v>
      </c>
      <c r="BA924" s="84"/>
      <c r="BB924" s="84"/>
      <c r="BC924" s="84"/>
      <c r="BD924" s="84"/>
      <c r="BE924" s="84"/>
      <c r="BF924" s="84"/>
      <c r="BG924" s="84"/>
      <c r="BH924" s="84"/>
      <c r="BI924" s="84"/>
      <c r="BJ924" s="84"/>
      <c r="BK924" s="84"/>
      <c r="BL924" s="84"/>
      <c r="BM924" s="84"/>
      <c r="BN924" s="84"/>
      <c r="BO924" s="84"/>
      <c r="BP924" s="84"/>
      <c r="BQ924" s="84"/>
      <c r="BR924" s="84"/>
      <c r="BS924" s="84"/>
      <c r="BT924" s="84"/>
      <c r="BU924" s="84"/>
      <c r="BV924" s="84"/>
      <c r="BW924" s="84"/>
      <c r="BX924" s="84"/>
      <c r="BY924" s="84"/>
      <c r="BZ924" s="84"/>
      <c r="CA924" s="84"/>
      <c r="CB924" s="84"/>
      <c r="CC924" s="84"/>
      <c r="CD924" s="84"/>
      <c r="CE924" s="84"/>
      <c r="CF924" s="84"/>
      <c r="CG924" s="84"/>
      <c r="CH924" s="84"/>
      <c r="CI924" s="84"/>
      <c r="CJ924" s="84"/>
      <c r="CK924" s="84"/>
      <c r="CL924" s="84"/>
      <c r="CM924" s="84"/>
      <c r="CN924" s="84"/>
      <c r="CO924" s="84"/>
      <c r="CP924" s="84"/>
      <c r="CQ924" s="84"/>
      <c r="CR924" s="84"/>
      <c r="CS924" s="84"/>
      <c r="CT924" s="84"/>
      <c r="CU924" s="84"/>
      <c r="CV924" s="84"/>
      <c r="CW924" s="84"/>
      <c r="CX924" s="84"/>
      <c r="CY924" s="84"/>
      <c r="CZ924" s="84"/>
      <c r="DA924" s="84"/>
      <c r="DB924" s="84"/>
      <c r="DC924" s="84"/>
      <c r="DD924" s="84"/>
      <c r="DE924" s="84"/>
      <c r="DF924" s="84"/>
      <c r="DG924" s="84"/>
    </row>
    <row r="925" ht="18.75" customHeight="1">
      <c r="A925" s="143" t="s">
        <v>143</v>
      </c>
      <c r="B925" s="136" t="s">
        <v>107</v>
      </c>
      <c r="C925" s="136" t="s">
        <v>3672</v>
      </c>
      <c r="D925" s="64"/>
      <c r="E925" s="1246" t="s">
        <v>5361</v>
      </c>
      <c r="F925" s="147" t="s">
        <v>5362</v>
      </c>
      <c r="G925" s="1247" t="s">
        <v>3673</v>
      </c>
      <c r="H925" s="140">
        <v>45667.0</v>
      </c>
      <c r="I925" s="1248">
        <v>45691.0</v>
      </c>
      <c r="J925" s="60"/>
      <c r="K925" s="60"/>
      <c r="L925" s="139" t="s">
        <v>5363</v>
      </c>
      <c r="M925" s="147" t="s">
        <v>5364</v>
      </c>
      <c r="N925" s="115">
        <v>1.0</v>
      </c>
      <c r="O925" s="847" t="str">
        <f>SUBSTITUTE(LOWER(M925), "/", "--") &amp;  ".pdf"</f>
        <v>10.1163--156853706776931222.pdf</v>
      </c>
      <c r="P925" s="48" t="str">
        <f t="array" ref="P925">HYPERLINK(INDEX('File Links'!B:B, MATCH(O925, 'File Links'!C:C, 0)))
</f>
        <v>https://drive.google.com/file/d/1_KweoGhNrt_00Umu1vsjHfibTm4z9cNE/view?usp=drivesdk</v>
      </c>
      <c r="Q925" s="1249" t="s">
        <v>5329</v>
      </c>
      <c r="R925" s="303" t="s">
        <v>5330</v>
      </c>
      <c r="S925" s="303" t="s">
        <v>5331</v>
      </c>
      <c r="T925" s="144">
        <v>11.0</v>
      </c>
      <c r="U925" s="847" t="s">
        <v>5332</v>
      </c>
      <c r="V925" s="1212" t="s">
        <v>5333</v>
      </c>
      <c r="W925" s="50" t="str">
        <f t="array" ref="W925">HYPERLINK(INDEX('File Links'!B:B, MATCH(U925, 'File Links'!C:C, 0)))
</f>
        <v>https://drive.google.com/file/d/1hjI3aqifdfXjWhQAlvKCKKtvjuncAn5M/view?usp=drivesdk</v>
      </c>
      <c r="X925" s="60"/>
      <c r="Y925" s="147" t="s">
        <v>156</v>
      </c>
      <c r="Z925" s="115" t="s">
        <v>5365</v>
      </c>
      <c r="AA925" s="139" t="s">
        <v>5366</v>
      </c>
      <c r="AB925" s="511"/>
      <c r="AC925" s="147" t="s">
        <v>5367</v>
      </c>
      <c r="AD925" s="147" t="s">
        <v>5368</v>
      </c>
      <c r="AE925" s="144">
        <v>41.0</v>
      </c>
      <c r="AF925" s="1262" t="s">
        <v>5369</v>
      </c>
      <c r="AG925" s="147" t="s">
        <v>162</v>
      </c>
      <c r="AH925" s="330" t="s">
        <v>5370</v>
      </c>
      <c r="AI925" s="355">
        <v>0.001</v>
      </c>
      <c r="AJ925" s="52" t="s">
        <v>127</v>
      </c>
      <c r="AK925" s="147" t="s">
        <v>179</v>
      </c>
      <c r="AL925" s="52" t="s">
        <v>129</v>
      </c>
      <c r="AM925" s="60"/>
      <c r="AN925" s="144">
        <v>48.0</v>
      </c>
      <c r="AO925" s="1251">
        <v>0.61</v>
      </c>
      <c r="AP925" s="147" t="s">
        <v>5340</v>
      </c>
      <c r="AQ925" s="147" t="s">
        <v>5331</v>
      </c>
      <c r="AR925" s="144">
        <v>0.001</v>
      </c>
      <c r="AS925" s="147" t="s">
        <v>127</v>
      </c>
      <c r="AT925" s="147" t="s">
        <v>179</v>
      </c>
      <c r="AU925" s="147" t="s">
        <v>129</v>
      </c>
      <c r="AV925" s="303" t="s">
        <v>5371</v>
      </c>
      <c r="AW925" s="147" t="s">
        <v>134</v>
      </c>
      <c r="AY925" s="60" t="s">
        <v>244</v>
      </c>
      <c r="BA925" s="84"/>
      <c r="BB925" s="84"/>
      <c r="BC925" s="84"/>
      <c r="BD925" s="84"/>
      <c r="BE925" s="84"/>
      <c r="BF925" s="84"/>
      <c r="BG925" s="84"/>
      <c r="BH925" s="84"/>
      <c r="BI925" s="84"/>
      <c r="BJ925" s="84"/>
      <c r="BK925" s="84"/>
      <c r="BL925" s="84"/>
      <c r="BM925" s="84"/>
      <c r="BN925" s="84"/>
      <c r="BO925" s="84"/>
      <c r="BP925" s="84"/>
      <c r="BQ925" s="84"/>
      <c r="BR925" s="84"/>
      <c r="BS925" s="84"/>
      <c r="BT925" s="84"/>
      <c r="BU925" s="84"/>
      <c r="BV925" s="84"/>
      <c r="BW925" s="84"/>
      <c r="BX925" s="84"/>
      <c r="BY925" s="84"/>
      <c r="BZ925" s="84"/>
      <c r="CA925" s="84"/>
      <c r="CB925" s="84"/>
      <c r="CC925" s="84"/>
      <c r="CD925" s="84"/>
      <c r="CE925" s="84"/>
      <c r="CF925" s="84"/>
      <c r="CG925" s="84"/>
      <c r="CH925" s="84"/>
      <c r="CI925" s="84"/>
      <c r="CJ925" s="84"/>
      <c r="CK925" s="84"/>
      <c r="CL925" s="84"/>
      <c r="CM925" s="84"/>
      <c r="CN925" s="84"/>
      <c r="CO925" s="84"/>
      <c r="CP925" s="84"/>
      <c r="CQ925" s="84"/>
      <c r="CR925" s="84"/>
      <c r="CS925" s="84"/>
      <c r="CT925" s="84"/>
      <c r="CU925" s="84"/>
      <c r="CV925" s="84"/>
      <c r="CW925" s="84"/>
      <c r="CX925" s="84"/>
      <c r="CY925" s="84"/>
      <c r="CZ925" s="84"/>
      <c r="DA925" s="84"/>
      <c r="DB925" s="84"/>
      <c r="DC925" s="84"/>
      <c r="DD925" s="84"/>
      <c r="DE925" s="84"/>
      <c r="DF925" s="84"/>
      <c r="DG925" s="84"/>
    </row>
    <row r="926" ht="18.75" customHeight="1">
      <c r="A926" s="314" t="s">
        <v>106</v>
      </c>
      <c r="B926" s="136" t="s">
        <v>107</v>
      </c>
      <c r="C926" s="136" t="s">
        <v>243</v>
      </c>
      <c r="D926" s="64"/>
      <c r="E926" s="1246" t="s">
        <v>5361</v>
      </c>
      <c r="F926" s="147" t="s">
        <v>5362</v>
      </c>
      <c r="G926" s="1247" t="s">
        <v>244</v>
      </c>
      <c r="H926" s="140">
        <v>45331.0</v>
      </c>
      <c r="I926" s="1248">
        <v>45691.0</v>
      </c>
      <c r="J926" s="142" t="s">
        <v>5372</v>
      </c>
      <c r="K926" s="60"/>
      <c r="L926" s="139" t="s">
        <v>5363</v>
      </c>
      <c r="M926" s="147" t="s">
        <v>5364</v>
      </c>
      <c r="N926" s="115">
        <v>1.0</v>
      </c>
      <c r="O926" s="847" t="s">
        <v>5373</v>
      </c>
      <c r="P926" s="48" t="str">
        <f t="array" ref="P926">HYPERLINK(INDEX('File Links'!B:B, MATCH(O926, 'File Links'!C:C, 0)))
</f>
        <v>https://drive.google.com/file/d/1_KweoGhNrt_00Umu1vsjHfibTm4z9cNE/view?usp=drivesdk</v>
      </c>
      <c r="Q926" s="1249" t="s">
        <v>5329</v>
      </c>
      <c r="R926" s="147" t="s">
        <v>5330</v>
      </c>
      <c r="S926" s="60"/>
      <c r="T926" s="115">
        <v>11.0</v>
      </c>
      <c r="U926" s="847" t="s">
        <v>5332</v>
      </c>
      <c r="V926" s="1212" t="s">
        <v>5333</v>
      </c>
      <c r="W926" s="50" t="str">
        <f t="array" ref="W926">HYPERLINK(INDEX('File Links'!B:B, MATCH(U926, 'File Links'!C:C, 0)))
</f>
        <v>https://drive.google.com/file/d/1hjI3aqifdfXjWhQAlvKCKKtvjuncAn5M/view?usp=drivesdk</v>
      </c>
      <c r="X926" s="60"/>
      <c r="Y926" s="147" t="s">
        <v>156</v>
      </c>
      <c r="Z926" s="115" t="s">
        <v>5365</v>
      </c>
      <c r="AA926" s="147" t="s">
        <v>5344</v>
      </c>
      <c r="AB926" s="511"/>
      <c r="AC926" s="147" t="s">
        <v>5374</v>
      </c>
      <c r="AD926" s="147" t="s">
        <v>1574</v>
      </c>
      <c r="AE926" s="144">
        <v>41.0</v>
      </c>
      <c r="AF926" s="1262" t="s">
        <v>5369</v>
      </c>
      <c r="AG926" s="147" t="s">
        <v>162</v>
      </c>
      <c r="AH926" s="330" t="s">
        <v>5375</v>
      </c>
      <c r="AI926" s="355">
        <v>0.001</v>
      </c>
      <c r="AJ926" s="52" t="s">
        <v>127</v>
      </c>
      <c r="AK926" s="147" t="s">
        <v>179</v>
      </c>
      <c r="AL926" s="1246" t="s">
        <v>129</v>
      </c>
      <c r="AM926" s="147" t="s">
        <v>129</v>
      </c>
      <c r="AN926" s="1251">
        <v>48.0</v>
      </c>
      <c r="AO926" s="144">
        <v>0.61</v>
      </c>
      <c r="AP926" s="147" t="s">
        <v>5340</v>
      </c>
      <c r="AQ926" s="147" t="s">
        <v>5376</v>
      </c>
      <c r="AR926" s="144">
        <v>0.001</v>
      </c>
      <c r="AS926" s="147" t="s">
        <v>127</v>
      </c>
      <c r="AT926" s="147" t="s">
        <v>179</v>
      </c>
      <c r="AU926" s="142" t="s">
        <v>129</v>
      </c>
      <c r="AV926" s="1263" t="s">
        <v>5377</v>
      </c>
      <c r="AW926" s="142" t="s">
        <v>134</v>
      </c>
      <c r="AY926" s="60" t="s">
        <v>244</v>
      </c>
      <c r="BA926" s="84"/>
      <c r="BB926" s="84"/>
      <c r="BC926" s="84"/>
      <c r="BD926" s="84"/>
      <c r="BE926" s="84"/>
      <c r="BF926" s="84"/>
      <c r="BG926" s="84"/>
      <c r="BH926" s="84"/>
      <c r="BI926" s="84"/>
      <c r="BJ926" s="84"/>
      <c r="BK926" s="84"/>
      <c r="BL926" s="84"/>
      <c r="BM926" s="84"/>
      <c r="BN926" s="84"/>
      <c r="BO926" s="84"/>
      <c r="BP926" s="84"/>
      <c r="BQ926" s="84"/>
      <c r="BR926" s="84"/>
      <c r="BS926" s="84"/>
      <c r="BT926" s="84"/>
      <c r="BU926" s="84"/>
      <c r="BV926" s="84"/>
      <c r="BW926" s="84"/>
      <c r="BX926" s="84"/>
      <c r="BY926" s="84"/>
      <c r="BZ926" s="84"/>
      <c r="CA926" s="84"/>
      <c r="CB926" s="84"/>
      <c r="CC926" s="84"/>
      <c r="CD926" s="84"/>
      <c r="CE926" s="84"/>
      <c r="CF926" s="84"/>
      <c r="CG926" s="84"/>
      <c r="CH926" s="84"/>
      <c r="CI926" s="84"/>
      <c r="CJ926" s="84"/>
      <c r="CK926" s="84"/>
      <c r="CL926" s="84"/>
      <c r="CM926" s="84"/>
      <c r="CN926" s="84"/>
      <c r="CO926" s="84"/>
      <c r="CP926" s="84"/>
      <c r="CQ926" s="84"/>
      <c r="CR926" s="84"/>
      <c r="CS926" s="84"/>
      <c r="CT926" s="84"/>
      <c r="CU926" s="84"/>
      <c r="CV926" s="84"/>
      <c r="CW926" s="84"/>
      <c r="CX926" s="84"/>
      <c r="CY926" s="84"/>
      <c r="CZ926" s="84"/>
      <c r="DA926" s="84"/>
      <c r="DB926" s="84"/>
      <c r="DC926" s="84"/>
      <c r="DD926" s="84"/>
      <c r="DE926" s="84"/>
      <c r="DF926" s="84"/>
      <c r="DG926" s="84"/>
    </row>
    <row r="927" ht="18.75" customHeight="1">
      <c r="A927" s="60" t="s">
        <v>106</v>
      </c>
      <c r="B927" s="136" t="s">
        <v>107</v>
      </c>
      <c r="C927" s="136" t="s">
        <v>3672</v>
      </c>
      <c r="D927" s="64"/>
      <c r="E927" s="1257" t="s">
        <v>5378</v>
      </c>
      <c r="F927" s="147" t="s">
        <v>5379</v>
      </c>
      <c r="G927" s="1247" t="s">
        <v>3673</v>
      </c>
      <c r="H927" s="140">
        <v>45667.0</v>
      </c>
      <c r="I927" s="1248">
        <v>45691.0</v>
      </c>
      <c r="J927" s="147" t="s">
        <v>5380</v>
      </c>
      <c r="K927" s="60"/>
      <c r="L927" s="147" t="s">
        <v>5381</v>
      </c>
      <c r="M927" s="147" t="s">
        <v>5382</v>
      </c>
      <c r="N927" s="144">
        <v>3.0</v>
      </c>
      <c r="O927" s="847" t="str">
        <f>SUBSTITUTE(LOWER(M927), "/", "--") &amp;  ".pdf"</f>
        <v>10.1163--156853706776931385.pdf</v>
      </c>
      <c r="P927" s="48" t="str">
        <f t="array" ref="P927">HYPERLINK(INDEX('File Links'!B:B, MATCH(O927, 'File Links'!C:C, 0)))
</f>
        <v>https://drive.google.com/file/d/1XAdHa8ntbQreOrtrubV-Qgfz8m_7szBt/view?usp=drivesdk</v>
      </c>
      <c r="Q927" s="1249" t="s">
        <v>5329</v>
      </c>
      <c r="R927" s="303" t="s">
        <v>5330</v>
      </c>
      <c r="S927" s="303" t="s">
        <v>5331</v>
      </c>
      <c r="T927" s="144">
        <v>12.0</v>
      </c>
      <c r="U927" s="847" t="s">
        <v>5332</v>
      </c>
      <c r="V927" s="1212" t="s">
        <v>5333</v>
      </c>
      <c r="W927" s="50" t="str">
        <f t="array" ref="W927">HYPERLINK(INDEX('File Links'!B:B, MATCH(U927, 'File Links'!C:C, 0)))
</f>
        <v>https://drive.google.com/file/d/1hjI3aqifdfXjWhQAlvKCKKtvjuncAn5M/view?usp=drivesdk</v>
      </c>
      <c r="X927" s="60"/>
      <c r="Y927" s="147" t="s">
        <v>156</v>
      </c>
      <c r="Z927" s="115" t="s">
        <v>165</v>
      </c>
      <c r="AA927" s="147" t="s">
        <v>5383</v>
      </c>
      <c r="AB927" s="511"/>
      <c r="AC927" s="147" t="s">
        <v>5384</v>
      </c>
      <c r="AD927" s="147" t="s">
        <v>5385</v>
      </c>
      <c r="AE927" s="144">
        <v>8.0</v>
      </c>
      <c r="AF927" s="1262" t="s">
        <v>5386</v>
      </c>
      <c r="AG927" s="147" t="s">
        <v>162</v>
      </c>
      <c r="AH927" s="330" t="s">
        <v>297</v>
      </c>
      <c r="AI927" s="355">
        <v>0.05</v>
      </c>
      <c r="AJ927" s="52" t="s">
        <v>127</v>
      </c>
      <c r="AK927" s="147" t="s">
        <v>128</v>
      </c>
      <c r="AL927" s="52" t="s">
        <v>129</v>
      </c>
      <c r="AM927" s="60"/>
      <c r="AN927" s="1251">
        <v>50.0</v>
      </c>
      <c r="AO927" s="1264">
        <v>0.44</v>
      </c>
      <c r="AP927" s="147" t="s">
        <v>5340</v>
      </c>
      <c r="AQ927" s="147" t="s">
        <v>5387</v>
      </c>
      <c r="AR927" s="1265">
        <v>0.002863</v>
      </c>
      <c r="AS927" s="147" t="s">
        <v>164</v>
      </c>
      <c r="AT927" s="147" t="s">
        <v>179</v>
      </c>
      <c r="AU927" s="147" t="s">
        <v>129</v>
      </c>
      <c r="AV927" s="303" t="s">
        <v>5388</v>
      </c>
      <c r="AW927" s="147" t="s">
        <v>134</v>
      </c>
      <c r="AY927" s="60" t="s">
        <v>244</v>
      </c>
      <c r="BA927" s="84"/>
      <c r="BB927" s="84"/>
      <c r="BC927" s="84"/>
      <c r="BD927" s="84"/>
      <c r="BE927" s="84"/>
      <c r="BF927" s="84"/>
      <c r="BG927" s="84"/>
      <c r="BH927" s="84"/>
      <c r="BI927" s="84"/>
      <c r="BJ927" s="84"/>
      <c r="BK927" s="84"/>
      <c r="BL927" s="84"/>
      <c r="BM927" s="84"/>
      <c r="BN927" s="84"/>
      <c r="BO927" s="84"/>
      <c r="BP927" s="84"/>
      <c r="BQ927" s="84"/>
      <c r="BR927" s="84"/>
      <c r="BS927" s="84"/>
      <c r="BT927" s="84"/>
      <c r="BU927" s="84"/>
      <c r="BV927" s="84"/>
      <c r="BW927" s="84"/>
      <c r="BX927" s="84"/>
      <c r="BY927" s="84"/>
      <c r="BZ927" s="84"/>
      <c r="CA927" s="84"/>
      <c r="CB927" s="84"/>
      <c r="CC927" s="84"/>
      <c r="CD927" s="84"/>
      <c r="CE927" s="84"/>
      <c r="CF927" s="84"/>
      <c r="CG927" s="84"/>
      <c r="CH927" s="84"/>
      <c r="CI927" s="84"/>
      <c r="CJ927" s="84"/>
      <c r="CK927" s="84"/>
      <c r="CL927" s="84"/>
      <c r="CM927" s="84"/>
      <c r="CN927" s="84"/>
      <c r="CO927" s="84"/>
      <c r="CP927" s="84"/>
      <c r="CQ927" s="84"/>
      <c r="CR927" s="84"/>
      <c r="CS927" s="84"/>
      <c r="CT927" s="84"/>
      <c r="CU927" s="84"/>
      <c r="CV927" s="84"/>
      <c r="CW927" s="84"/>
      <c r="CX927" s="84"/>
      <c r="CY927" s="84"/>
      <c r="CZ927" s="84"/>
      <c r="DA927" s="84"/>
      <c r="DB927" s="84"/>
      <c r="DC927" s="84"/>
      <c r="DD927" s="84"/>
      <c r="DE927" s="84"/>
      <c r="DF927" s="84"/>
      <c r="DG927" s="84"/>
    </row>
    <row r="928" ht="18.75" customHeight="1">
      <c r="A928" s="314" t="s">
        <v>5350</v>
      </c>
      <c r="B928" s="136" t="s">
        <v>107</v>
      </c>
      <c r="C928" s="136" t="s">
        <v>243</v>
      </c>
      <c r="D928" s="64"/>
      <c r="E928" s="1257" t="s">
        <v>5378</v>
      </c>
      <c r="F928" s="147" t="s">
        <v>5379</v>
      </c>
      <c r="G928" s="1247" t="s">
        <v>244</v>
      </c>
      <c r="H928" s="140">
        <v>45331.0</v>
      </c>
      <c r="I928" s="1248">
        <v>45691.0</v>
      </c>
      <c r="J928" s="142" t="s">
        <v>5389</v>
      </c>
      <c r="K928" s="60"/>
      <c r="L928" s="147" t="s">
        <v>5381</v>
      </c>
      <c r="M928" s="147" t="s">
        <v>5382</v>
      </c>
      <c r="N928" s="115">
        <v>3.0</v>
      </c>
      <c r="O928" s="847" t="s">
        <v>5390</v>
      </c>
      <c r="P928" s="48" t="str">
        <f t="array" ref="P928">HYPERLINK(INDEX('File Links'!B:B, MATCH(O928, 'File Links'!C:C, 0)))
</f>
        <v>https://drive.google.com/file/d/1XAdHa8ntbQreOrtrubV-Qgfz8m_7szBt/view?usp=drivesdk</v>
      </c>
      <c r="Q928" s="1249" t="s">
        <v>5329</v>
      </c>
      <c r="R928" s="147" t="s">
        <v>5330</v>
      </c>
      <c r="S928" s="60"/>
      <c r="T928" s="60"/>
      <c r="U928" s="847" t="s">
        <v>5332</v>
      </c>
      <c r="V928" s="1212" t="s">
        <v>5333</v>
      </c>
      <c r="W928" s="50" t="str">
        <f t="array" ref="W928">HYPERLINK(INDEX('File Links'!B:B, MATCH(U928, 'File Links'!C:C, 0)))
</f>
        <v>https://drive.google.com/file/d/1hjI3aqifdfXjWhQAlvKCKKtvjuncAn5M/view?usp=drivesdk</v>
      </c>
      <c r="X928" s="60"/>
      <c r="Y928" s="147" t="s">
        <v>156</v>
      </c>
      <c r="Z928" s="115" t="s">
        <v>165</v>
      </c>
      <c r="AA928" s="147" t="s">
        <v>5391</v>
      </c>
      <c r="AB928" s="511"/>
      <c r="AC928" s="147" t="s">
        <v>5392</v>
      </c>
      <c r="AD928" s="147" t="s">
        <v>297</v>
      </c>
      <c r="AE928" s="144">
        <v>8.0</v>
      </c>
      <c r="AF928" s="1262" t="s">
        <v>5386</v>
      </c>
      <c r="AG928" s="147" t="s">
        <v>162</v>
      </c>
      <c r="AH928" s="330" t="s">
        <v>5393</v>
      </c>
      <c r="AI928" s="355">
        <v>0.05</v>
      </c>
      <c r="AJ928" s="52" t="s">
        <v>127</v>
      </c>
      <c r="AK928" s="147" t="s">
        <v>128</v>
      </c>
      <c r="AL928" s="1246" t="s">
        <v>129</v>
      </c>
      <c r="AM928" s="147" t="s">
        <v>129</v>
      </c>
      <c r="AN928" s="1251">
        <v>50.0</v>
      </c>
      <c r="AO928" s="144">
        <v>0.44</v>
      </c>
      <c r="AP928" s="147" t="s">
        <v>5340</v>
      </c>
      <c r="AQ928" s="147" t="s">
        <v>5394</v>
      </c>
      <c r="AR928" s="144">
        <v>0.001863</v>
      </c>
      <c r="AS928" s="147" t="s">
        <v>164</v>
      </c>
      <c r="AT928" s="147" t="s">
        <v>179</v>
      </c>
      <c r="AU928" s="142" t="s">
        <v>129</v>
      </c>
      <c r="AV928" s="1263" t="s">
        <v>5395</v>
      </c>
      <c r="AW928" s="142" t="s">
        <v>134</v>
      </c>
      <c r="AY928" s="60" t="s">
        <v>244</v>
      </c>
      <c r="BA928" s="84"/>
      <c r="BB928" s="84"/>
      <c r="BC928" s="84"/>
      <c r="BD928" s="84"/>
      <c r="BE928" s="84"/>
      <c r="BF928" s="84"/>
      <c r="BG928" s="84"/>
      <c r="BH928" s="84"/>
      <c r="BI928" s="84"/>
      <c r="BJ928" s="84"/>
      <c r="BK928" s="84"/>
      <c r="BL928" s="84"/>
      <c r="BM928" s="84"/>
      <c r="BN928" s="84"/>
      <c r="BO928" s="84"/>
      <c r="BP928" s="84"/>
      <c r="BQ928" s="84"/>
      <c r="BR928" s="84"/>
      <c r="BS928" s="84"/>
      <c r="BT928" s="84"/>
      <c r="BU928" s="84"/>
      <c r="BV928" s="84"/>
      <c r="BW928" s="84"/>
      <c r="BX928" s="84"/>
      <c r="BY928" s="84"/>
      <c r="BZ928" s="84"/>
      <c r="CA928" s="84"/>
      <c r="CB928" s="84"/>
      <c r="CC928" s="84"/>
      <c r="CD928" s="84"/>
      <c r="CE928" s="84"/>
      <c r="CF928" s="84"/>
      <c r="CG928" s="84"/>
      <c r="CH928" s="84"/>
      <c r="CI928" s="84"/>
      <c r="CJ928" s="84"/>
      <c r="CK928" s="84"/>
      <c r="CL928" s="84"/>
      <c r="CM928" s="84"/>
      <c r="CN928" s="84"/>
      <c r="CO928" s="84"/>
      <c r="CP928" s="84"/>
      <c r="CQ928" s="84"/>
      <c r="CR928" s="84"/>
      <c r="CS928" s="84"/>
      <c r="CT928" s="84"/>
      <c r="CU928" s="84"/>
      <c r="CV928" s="84"/>
      <c r="CW928" s="84"/>
      <c r="CX928" s="84"/>
      <c r="CY928" s="84"/>
      <c r="CZ928" s="84"/>
      <c r="DA928" s="84"/>
      <c r="DB928" s="84"/>
      <c r="DC928" s="84"/>
      <c r="DD928" s="84"/>
      <c r="DE928" s="84"/>
      <c r="DF928" s="84"/>
      <c r="DG928" s="84"/>
    </row>
    <row r="929" ht="18.75" customHeight="1">
      <c r="A929" s="314" t="s">
        <v>5350</v>
      </c>
      <c r="B929" s="136" t="s">
        <v>107</v>
      </c>
      <c r="C929" s="136" t="s">
        <v>243</v>
      </c>
      <c r="D929" s="64"/>
      <c r="E929" s="1257" t="s">
        <v>5396</v>
      </c>
      <c r="F929" s="147" t="s">
        <v>5397</v>
      </c>
      <c r="G929" s="1247" t="s">
        <v>244</v>
      </c>
      <c r="H929" s="140">
        <v>45331.0</v>
      </c>
      <c r="I929" s="1248">
        <v>45691.0</v>
      </c>
      <c r="J929" s="142" t="s">
        <v>5398</v>
      </c>
      <c r="K929" s="525" t="s">
        <v>5354</v>
      </c>
      <c r="L929" s="147" t="s">
        <v>5399</v>
      </c>
      <c r="M929" s="147" t="s">
        <v>5400</v>
      </c>
      <c r="N929" s="115">
        <v>1.0</v>
      </c>
      <c r="O929" s="847" t="s">
        <v>5401</v>
      </c>
      <c r="P929" s="48" t="str">
        <f t="array" ref="P929">HYPERLINK(INDEX('File Links'!B:B, MATCH(O929, 'File Links'!C:C, 0)))
</f>
        <v>https://drive.google.com/file/d/1Y8W4Pu0XmqnQ5lA-X7ANKZNlSBzl4UGP/view?usp=drivesdk</v>
      </c>
      <c r="Q929" s="1249" t="s">
        <v>5329</v>
      </c>
      <c r="R929" s="147" t="s">
        <v>5330</v>
      </c>
      <c r="S929" s="60"/>
      <c r="T929" s="60"/>
      <c r="U929" s="847" t="s">
        <v>5332</v>
      </c>
      <c r="V929" s="1212" t="s">
        <v>5333</v>
      </c>
      <c r="W929" s="50" t="str">
        <f t="array" ref="W929">HYPERLINK(INDEX('File Links'!B:B, MATCH(U929, 'File Links'!C:C, 0)))
</f>
        <v>https://drive.google.com/file/d/1hjI3aqifdfXjWhQAlvKCKKtvjuncAn5M/view?usp=drivesdk</v>
      </c>
      <c r="X929" s="60"/>
      <c r="Y929" s="147" t="s">
        <v>156</v>
      </c>
      <c r="Z929" s="115" t="s">
        <v>165</v>
      </c>
      <c r="AA929" s="147" t="s">
        <v>5344</v>
      </c>
      <c r="AB929" s="511"/>
      <c r="AC929" s="147" t="s">
        <v>5402</v>
      </c>
      <c r="AD929" s="147" t="s">
        <v>5403</v>
      </c>
      <c r="AE929" s="144">
        <v>126.0</v>
      </c>
      <c r="AF929" s="144">
        <v>0.25</v>
      </c>
      <c r="AG929" s="147" t="s">
        <v>5340</v>
      </c>
      <c r="AH929" s="330" t="s">
        <v>5404</v>
      </c>
      <c r="AI929" s="355">
        <v>0.01</v>
      </c>
      <c r="AJ929" s="52" t="s">
        <v>127</v>
      </c>
      <c r="AK929" s="147" t="s">
        <v>179</v>
      </c>
      <c r="AL929" s="1246" t="s">
        <v>129</v>
      </c>
      <c r="AM929" s="147" t="s">
        <v>129</v>
      </c>
      <c r="AN929" s="1251">
        <v>259.0</v>
      </c>
      <c r="AO929" s="144">
        <v>0.41</v>
      </c>
      <c r="AP929" s="147" t="s">
        <v>5340</v>
      </c>
      <c r="AQ929" s="147" t="s">
        <v>5405</v>
      </c>
      <c r="AR929" s="144">
        <v>0.001</v>
      </c>
      <c r="AS929" s="147" t="s">
        <v>127</v>
      </c>
      <c r="AT929" s="147" t="s">
        <v>179</v>
      </c>
      <c r="AU929" s="142" t="s">
        <v>129</v>
      </c>
      <c r="AV929" s="1263" t="s">
        <v>5406</v>
      </c>
      <c r="AW929" s="142" t="s">
        <v>134</v>
      </c>
      <c r="AY929" s="60" t="s">
        <v>244</v>
      </c>
      <c r="BA929" s="84"/>
      <c r="BB929" s="84"/>
      <c r="BC929" s="84"/>
      <c r="BD929" s="84"/>
      <c r="BE929" s="84"/>
      <c r="BF929" s="84"/>
      <c r="BG929" s="84"/>
      <c r="BH929" s="84"/>
      <c r="BI929" s="84"/>
      <c r="BJ929" s="84"/>
      <c r="BK929" s="84"/>
      <c r="BL929" s="84"/>
      <c r="BM929" s="84"/>
      <c r="BN929" s="84"/>
      <c r="BO929" s="84"/>
      <c r="BP929" s="84"/>
      <c r="BQ929" s="84"/>
      <c r="BR929" s="84"/>
      <c r="BS929" s="84"/>
      <c r="BT929" s="84"/>
      <c r="BU929" s="84"/>
      <c r="BV929" s="84"/>
      <c r="BW929" s="84"/>
      <c r="BX929" s="84"/>
      <c r="BY929" s="84"/>
      <c r="BZ929" s="84"/>
      <c r="CA929" s="84"/>
      <c r="CB929" s="84"/>
      <c r="CC929" s="84"/>
      <c r="CD929" s="84"/>
      <c r="CE929" s="84"/>
      <c r="CF929" s="84"/>
      <c r="CG929" s="84"/>
      <c r="CH929" s="84"/>
      <c r="CI929" s="84"/>
      <c r="CJ929" s="84"/>
      <c r="CK929" s="84"/>
      <c r="CL929" s="84"/>
      <c r="CM929" s="84"/>
      <c r="CN929" s="84"/>
      <c r="CO929" s="84"/>
      <c r="CP929" s="84"/>
      <c r="CQ929" s="84"/>
      <c r="CR929" s="84"/>
      <c r="CS929" s="84"/>
      <c r="CT929" s="84"/>
      <c r="CU929" s="84"/>
      <c r="CV929" s="84"/>
      <c r="CW929" s="84"/>
      <c r="CX929" s="84"/>
      <c r="CY929" s="84"/>
      <c r="CZ929" s="84"/>
      <c r="DA929" s="84"/>
      <c r="DB929" s="84"/>
      <c r="DC929" s="84"/>
      <c r="DD929" s="84"/>
      <c r="DE929" s="84"/>
      <c r="DF929" s="84"/>
      <c r="DG929" s="84"/>
    </row>
    <row r="930" ht="18.75" customHeight="1">
      <c r="A930" s="314" t="s">
        <v>5350</v>
      </c>
      <c r="B930" s="136" t="s">
        <v>107</v>
      </c>
      <c r="C930" s="136" t="s">
        <v>243</v>
      </c>
      <c r="D930" s="64"/>
      <c r="E930" s="1257" t="s">
        <v>5407</v>
      </c>
      <c r="F930" s="147" t="s">
        <v>5408</v>
      </c>
      <c r="G930" s="1247" t="s">
        <v>244</v>
      </c>
      <c r="H930" s="140">
        <v>45331.0</v>
      </c>
      <c r="I930" s="1248">
        <v>45691.0</v>
      </c>
      <c r="J930" s="142" t="s">
        <v>5398</v>
      </c>
      <c r="K930" s="525" t="s">
        <v>5354</v>
      </c>
      <c r="L930" s="147" t="s">
        <v>5409</v>
      </c>
      <c r="M930" s="147" t="s">
        <v>5410</v>
      </c>
      <c r="N930" s="115">
        <v>1.0</v>
      </c>
      <c r="O930" s="847" t="s">
        <v>5411</v>
      </c>
      <c r="P930" s="48" t="str">
        <f t="array" ref="P930">HYPERLINK(INDEX('File Links'!B:B, MATCH(O930, 'File Links'!C:C, 0)))
</f>
        <v>https://drive.google.com/file/d/1KGwRGETP91kM9JQ1Lkln3MN4JSxyj4OW/view?usp=drivesdk</v>
      </c>
      <c r="Q930" s="1249" t="s">
        <v>5329</v>
      </c>
      <c r="R930" s="147" t="s">
        <v>5330</v>
      </c>
      <c r="S930" s="60"/>
      <c r="T930" s="60"/>
      <c r="U930" s="847" t="s">
        <v>5332</v>
      </c>
      <c r="V930" s="1212" t="s">
        <v>5333</v>
      </c>
      <c r="W930" s="50" t="str">
        <f t="array" ref="W930">HYPERLINK(INDEX('File Links'!B:B, MATCH(U930, 'File Links'!C:C, 0)))
</f>
        <v>https://drive.google.com/file/d/1hjI3aqifdfXjWhQAlvKCKKtvjuncAn5M/view?usp=drivesdk</v>
      </c>
      <c r="X930" s="60"/>
      <c r="Y930" s="147" t="s">
        <v>156</v>
      </c>
      <c r="Z930" s="115" t="s">
        <v>165</v>
      </c>
      <c r="AA930" s="147" t="s">
        <v>5412</v>
      </c>
      <c r="AB930" s="511"/>
      <c r="AC930" s="147" t="s">
        <v>5413</v>
      </c>
      <c r="AD930" s="147" t="s">
        <v>5414</v>
      </c>
      <c r="AE930" s="144">
        <v>41.0</v>
      </c>
      <c r="AF930" s="144">
        <v>0.38</v>
      </c>
      <c r="AG930" s="147" t="s">
        <v>5340</v>
      </c>
      <c r="AH930" s="330" t="s">
        <v>5415</v>
      </c>
      <c r="AI930" s="355">
        <v>0.05</v>
      </c>
      <c r="AJ930" s="52" t="s">
        <v>127</v>
      </c>
      <c r="AK930" s="147" t="s">
        <v>179</v>
      </c>
      <c r="AL930" s="1246" t="s">
        <v>129</v>
      </c>
      <c r="AM930" s="147" t="s">
        <v>129</v>
      </c>
      <c r="AN930" s="1251">
        <v>80.0</v>
      </c>
      <c r="AO930" s="144">
        <v>0.73</v>
      </c>
      <c r="AP930" s="147" t="s">
        <v>5340</v>
      </c>
      <c r="AQ930" s="147" t="s">
        <v>5416</v>
      </c>
      <c r="AR930" s="144">
        <v>0.001</v>
      </c>
      <c r="AS930" s="147" t="s">
        <v>127</v>
      </c>
      <c r="AT930" s="147" t="s">
        <v>179</v>
      </c>
      <c r="AU930" s="142" t="s">
        <v>129</v>
      </c>
      <c r="AV930" s="1263" t="s">
        <v>5417</v>
      </c>
      <c r="AW930" s="142" t="s">
        <v>134</v>
      </c>
      <c r="AY930" s="60" t="s">
        <v>244</v>
      </c>
      <c r="BA930" s="84"/>
      <c r="BB930" s="84"/>
      <c r="BC930" s="84"/>
      <c r="BD930" s="84"/>
      <c r="BE930" s="84"/>
      <c r="BF930" s="84"/>
      <c r="BG930" s="84"/>
      <c r="BH930" s="84"/>
      <c r="BI930" s="84"/>
      <c r="BJ930" s="84"/>
      <c r="BK930" s="84"/>
      <c r="BL930" s="84"/>
      <c r="BM930" s="84"/>
      <c r="BN930" s="84"/>
      <c r="BO930" s="84"/>
      <c r="BP930" s="84"/>
      <c r="BQ930" s="84"/>
      <c r="BR930" s="84"/>
      <c r="BS930" s="84"/>
      <c r="BT930" s="84"/>
      <c r="BU930" s="84"/>
      <c r="BV930" s="84"/>
      <c r="BW930" s="84"/>
      <c r="BX930" s="84"/>
      <c r="BY930" s="84"/>
      <c r="BZ930" s="84"/>
      <c r="CA930" s="84"/>
      <c r="CB930" s="84"/>
      <c r="CC930" s="84"/>
      <c r="CD930" s="84"/>
      <c r="CE930" s="84"/>
      <c r="CF930" s="84"/>
      <c r="CG930" s="84"/>
      <c r="CH930" s="84"/>
      <c r="CI930" s="84"/>
      <c r="CJ930" s="84"/>
      <c r="CK930" s="84"/>
      <c r="CL930" s="84"/>
      <c r="CM930" s="84"/>
      <c r="CN930" s="84"/>
      <c r="CO930" s="84"/>
      <c r="CP930" s="84"/>
      <c r="CQ930" s="84"/>
      <c r="CR930" s="84"/>
      <c r="CS930" s="84"/>
      <c r="CT930" s="84"/>
      <c r="CU930" s="84"/>
      <c r="CV930" s="84"/>
      <c r="CW930" s="84"/>
      <c r="CX930" s="84"/>
      <c r="CY930" s="84"/>
      <c r="CZ930" s="84"/>
      <c r="DA930" s="84"/>
      <c r="DB930" s="84"/>
      <c r="DC930" s="84"/>
      <c r="DD930" s="84"/>
      <c r="DE930" s="84"/>
      <c r="DF930" s="84"/>
      <c r="DG930" s="84"/>
    </row>
    <row r="931" ht="18.75" customHeight="1">
      <c r="A931" s="142" t="s">
        <v>106</v>
      </c>
      <c r="B931" s="136" t="s">
        <v>107</v>
      </c>
      <c r="C931" s="136" t="s">
        <v>3672</v>
      </c>
      <c r="D931" s="64"/>
      <c r="E931" s="1246" t="s">
        <v>5418</v>
      </c>
      <c r="F931" s="147" t="s">
        <v>5419</v>
      </c>
      <c r="G931" s="1247" t="s">
        <v>3673</v>
      </c>
      <c r="H931" s="140">
        <v>45670.0</v>
      </c>
      <c r="I931" s="140">
        <v>45688.0</v>
      </c>
      <c r="J931" s="147" t="s">
        <v>5420</v>
      </c>
      <c r="K931" s="60"/>
      <c r="L931" s="147" t="s">
        <v>5421</v>
      </c>
      <c r="M931" s="147" t="s">
        <v>5422</v>
      </c>
      <c r="N931" s="115">
        <v>1.0</v>
      </c>
      <c r="O931" s="847" t="str">
        <f>SUBSTITUTE(LOWER(M931), "/", "--") &amp;  ".pdf"</f>
        <v>10.1111--j.1475-4975.2007.00158.x.pdf</v>
      </c>
      <c r="P931" s="48" t="str">
        <f t="array" ref="P931">HYPERLINK(INDEX('File Links'!B:B, MATCH(O931, 'File Links'!C:C, 0)))
</f>
        <v>https://drive.google.com/file/d/1Mbtg5W4r7YUV6SqGN7Y6QssV1kBq9eYn/view?usp=drivesdk</v>
      </c>
      <c r="Q931" s="1249" t="s">
        <v>5329</v>
      </c>
      <c r="R931" s="303" t="s">
        <v>5330</v>
      </c>
      <c r="S931" s="303" t="s">
        <v>5331</v>
      </c>
      <c r="T931" s="144">
        <v>15.0</v>
      </c>
      <c r="U931" s="847" t="s">
        <v>5332</v>
      </c>
      <c r="V931" s="1212" t="s">
        <v>5333</v>
      </c>
      <c r="W931" s="50" t="str">
        <f t="array" ref="W931">HYPERLINK(INDEX('File Links'!B:B, MATCH(U931, 'File Links'!C:C, 0)))
</f>
        <v>https://drive.google.com/file/d/1hjI3aqifdfXjWhQAlvKCKKtvjuncAn5M/view?usp=drivesdk</v>
      </c>
      <c r="X931" s="60"/>
      <c r="Y931" s="147" t="s">
        <v>156</v>
      </c>
      <c r="Z931" s="115" t="s">
        <v>165</v>
      </c>
      <c r="AA931" s="147" t="s">
        <v>5423</v>
      </c>
      <c r="AB931" s="511"/>
      <c r="AC931" s="147" t="s">
        <v>5424</v>
      </c>
      <c r="AD931" s="147" t="s">
        <v>5425</v>
      </c>
      <c r="AE931" s="144">
        <v>307.0</v>
      </c>
      <c r="AF931" s="147" t="s">
        <v>5426</v>
      </c>
      <c r="AG931" s="147" t="s">
        <v>162</v>
      </c>
      <c r="AH931" s="330" t="s">
        <v>624</v>
      </c>
      <c r="AI931" s="355">
        <v>0.001</v>
      </c>
      <c r="AJ931" s="52" t="s">
        <v>127</v>
      </c>
      <c r="AK931" s="147" t="s">
        <v>179</v>
      </c>
      <c r="AL931" s="52" t="s">
        <v>129</v>
      </c>
      <c r="AM931" s="60"/>
      <c r="AN931" s="1251">
        <v>183.0</v>
      </c>
      <c r="AO931" s="1266" t="s">
        <v>5427</v>
      </c>
      <c r="AP931" s="147" t="s">
        <v>162</v>
      </c>
      <c r="AQ931" s="147" t="s">
        <v>5428</v>
      </c>
      <c r="AR931" s="144">
        <v>0.001</v>
      </c>
      <c r="AS931" s="147" t="s">
        <v>127</v>
      </c>
      <c r="AT931" s="147" t="s">
        <v>179</v>
      </c>
      <c r="AU931" s="147" t="s">
        <v>129</v>
      </c>
      <c r="AV931" s="303" t="s">
        <v>5429</v>
      </c>
      <c r="AW931" s="147" t="s">
        <v>134</v>
      </c>
      <c r="AY931" s="60" t="s">
        <v>244</v>
      </c>
      <c r="BA931" s="84"/>
      <c r="BB931" s="84"/>
      <c r="BC931" s="84"/>
      <c r="BD931" s="84"/>
      <c r="BE931" s="84"/>
      <c r="BF931" s="84"/>
      <c r="BG931" s="84"/>
      <c r="BH931" s="84"/>
      <c r="BI931" s="84"/>
      <c r="BJ931" s="84"/>
      <c r="BK931" s="84"/>
      <c r="BL931" s="84"/>
      <c r="BM931" s="84"/>
      <c r="BN931" s="84"/>
      <c r="BO931" s="84"/>
      <c r="BP931" s="84"/>
      <c r="BQ931" s="84"/>
      <c r="BR931" s="84"/>
      <c r="BS931" s="84"/>
      <c r="BT931" s="84"/>
      <c r="BU931" s="84"/>
      <c r="BV931" s="84"/>
      <c r="BW931" s="84"/>
      <c r="BX931" s="84"/>
      <c r="BY931" s="84"/>
      <c r="BZ931" s="84"/>
      <c r="CA931" s="84"/>
      <c r="CB931" s="84"/>
      <c r="CC931" s="84"/>
      <c r="CD931" s="84"/>
      <c r="CE931" s="84"/>
      <c r="CF931" s="84"/>
      <c r="CG931" s="84"/>
      <c r="CH931" s="84"/>
      <c r="CI931" s="84"/>
      <c r="CJ931" s="84"/>
      <c r="CK931" s="84"/>
      <c r="CL931" s="84"/>
      <c r="CM931" s="84"/>
      <c r="CN931" s="84"/>
      <c r="CO931" s="84"/>
      <c r="CP931" s="84"/>
      <c r="CQ931" s="84"/>
      <c r="CR931" s="84"/>
      <c r="CS931" s="84"/>
      <c r="CT931" s="84"/>
      <c r="CU931" s="84"/>
      <c r="CV931" s="84"/>
      <c r="CW931" s="84"/>
      <c r="CX931" s="84"/>
      <c r="CY931" s="84"/>
      <c r="CZ931" s="84"/>
      <c r="DA931" s="84"/>
      <c r="DB931" s="84"/>
      <c r="DC931" s="84"/>
      <c r="DD931" s="84"/>
      <c r="DE931" s="84"/>
      <c r="DF931" s="84"/>
      <c r="DG931" s="84"/>
    </row>
    <row r="932" ht="18.75" customHeight="1">
      <c r="A932" s="314" t="s">
        <v>5350</v>
      </c>
      <c r="B932" s="136" t="s">
        <v>107</v>
      </c>
      <c r="C932" s="136" t="s">
        <v>243</v>
      </c>
      <c r="D932" s="64"/>
      <c r="E932" s="1246" t="s">
        <v>5418</v>
      </c>
      <c r="F932" s="147" t="s">
        <v>5419</v>
      </c>
      <c r="G932" s="1247" t="s">
        <v>244</v>
      </c>
      <c r="H932" s="140">
        <v>45331.0</v>
      </c>
      <c r="I932" s="140">
        <v>45688.0</v>
      </c>
      <c r="J932" s="147" t="s">
        <v>5430</v>
      </c>
      <c r="K932" s="60"/>
      <c r="L932" s="147" t="s">
        <v>5421</v>
      </c>
      <c r="M932" s="147" t="s">
        <v>5422</v>
      </c>
      <c r="N932" s="115">
        <v>1.0</v>
      </c>
      <c r="O932" s="847" t="s">
        <v>5431</v>
      </c>
      <c r="P932" s="48" t="str">
        <f t="array" ref="P932">HYPERLINK(INDEX('File Links'!B:B, MATCH(O932, 'File Links'!C:C, 0)))
</f>
        <v>https://drive.google.com/file/d/1Mbtg5W4r7YUV6SqGN7Y6QssV1kBq9eYn/view?usp=drivesdk</v>
      </c>
      <c r="Q932" s="1249" t="s">
        <v>5329</v>
      </c>
      <c r="R932" s="147" t="s">
        <v>5330</v>
      </c>
      <c r="S932" s="60"/>
      <c r="T932" s="60"/>
      <c r="U932" s="847" t="s">
        <v>5332</v>
      </c>
      <c r="V932" s="1212" t="s">
        <v>5333</v>
      </c>
      <c r="W932" s="50" t="str">
        <f t="array" ref="W932">HYPERLINK(INDEX('File Links'!B:B, MATCH(U932, 'File Links'!C:C, 0)))
</f>
        <v>https://drive.google.com/file/d/1hjI3aqifdfXjWhQAlvKCKKtvjuncAn5M/view?usp=drivesdk</v>
      </c>
      <c r="X932" s="60"/>
      <c r="Y932" s="147" t="s">
        <v>156</v>
      </c>
      <c r="Z932" s="115" t="s">
        <v>165</v>
      </c>
      <c r="AA932" s="147" t="s">
        <v>5432</v>
      </c>
      <c r="AB932" s="511"/>
      <c r="AC932" s="147" t="s">
        <v>5433</v>
      </c>
      <c r="AD932" s="142" t="s">
        <v>624</v>
      </c>
      <c r="AE932" s="144">
        <v>307.0</v>
      </c>
      <c r="AF932" s="144">
        <v>36.375</v>
      </c>
      <c r="AG932" s="147" t="s">
        <v>1051</v>
      </c>
      <c r="AH932" s="330" t="s">
        <v>5434</v>
      </c>
      <c r="AI932" s="355">
        <v>0.001</v>
      </c>
      <c r="AJ932" s="52" t="s">
        <v>127</v>
      </c>
      <c r="AK932" s="147" t="s">
        <v>128</v>
      </c>
      <c r="AL932" s="1246" t="s">
        <v>129</v>
      </c>
      <c r="AM932" s="147" t="s">
        <v>129</v>
      </c>
      <c r="AN932" s="144">
        <v>183.0</v>
      </c>
      <c r="AO932" s="144">
        <v>20.08</v>
      </c>
      <c r="AP932" s="147" t="s">
        <v>1051</v>
      </c>
      <c r="AQ932" s="147" t="s">
        <v>5435</v>
      </c>
      <c r="AR932" s="144">
        <v>0.001</v>
      </c>
      <c r="AS932" s="147" t="s">
        <v>127</v>
      </c>
      <c r="AT932" s="147" t="s">
        <v>128</v>
      </c>
      <c r="AU932" s="142" t="s">
        <v>129</v>
      </c>
      <c r="AV932" s="1263" t="s">
        <v>5436</v>
      </c>
      <c r="AW932" s="142" t="s">
        <v>134</v>
      </c>
      <c r="AY932" s="60" t="s">
        <v>244</v>
      </c>
      <c r="BA932" s="84"/>
      <c r="BB932" s="84"/>
      <c r="BC932" s="84"/>
      <c r="BD932" s="84"/>
      <c r="BE932" s="84"/>
      <c r="BF932" s="84"/>
      <c r="BG932" s="84"/>
      <c r="BH932" s="84"/>
      <c r="BI932" s="84"/>
      <c r="BJ932" s="84"/>
      <c r="BK932" s="84"/>
      <c r="BL932" s="84"/>
      <c r="BM932" s="84"/>
      <c r="BN932" s="84"/>
      <c r="BO932" s="84"/>
      <c r="BP932" s="84"/>
      <c r="BQ932" s="84"/>
      <c r="BR932" s="84"/>
      <c r="BS932" s="84"/>
      <c r="BT932" s="84"/>
      <c r="BU932" s="84"/>
      <c r="BV932" s="84"/>
      <c r="BW932" s="84"/>
      <c r="BX932" s="84"/>
      <c r="BY932" s="84"/>
      <c r="BZ932" s="84"/>
      <c r="CA932" s="84"/>
      <c r="CB932" s="84"/>
      <c r="CC932" s="84"/>
      <c r="CD932" s="84"/>
      <c r="CE932" s="84"/>
      <c r="CF932" s="84"/>
      <c r="CG932" s="84"/>
      <c r="CH932" s="84"/>
      <c r="CI932" s="84"/>
      <c r="CJ932" s="84"/>
      <c r="CK932" s="84"/>
      <c r="CL932" s="84"/>
      <c r="CM932" s="84"/>
      <c r="CN932" s="84"/>
      <c r="CO932" s="84"/>
      <c r="CP932" s="84"/>
      <c r="CQ932" s="84"/>
      <c r="CR932" s="84"/>
      <c r="CS932" s="84"/>
      <c r="CT932" s="84"/>
      <c r="CU932" s="84"/>
      <c r="CV932" s="84"/>
      <c r="CW932" s="84"/>
      <c r="CX932" s="84"/>
      <c r="CY932" s="84"/>
      <c r="CZ932" s="84"/>
      <c r="DA932" s="84"/>
      <c r="DB932" s="84"/>
      <c r="DC932" s="84"/>
      <c r="DD932" s="84"/>
      <c r="DE932" s="84"/>
      <c r="DF932" s="84"/>
      <c r="DG932" s="84"/>
    </row>
    <row r="933" ht="18.75" customHeight="1">
      <c r="A933" s="314" t="s">
        <v>5350</v>
      </c>
      <c r="B933" s="136" t="s">
        <v>107</v>
      </c>
      <c r="C933" s="136" t="s">
        <v>3672</v>
      </c>
      <c r="D933" s="64"/>
      <c r="E933" s="1246" t="s">
        <v>5437</v>
      </c>
      <c r="F933" s="147" t="s">
        <v>5438</v>
      </c>
      <c r="G933" s="1247" t="s">
        <v>3673</v>
      </c>
      <c r="H933" s="140">
        <v>45670.0</v>
      </c>
      <c r="I933" s="140">
        <v>45688.0</v>
      </c>
      <c r="J933" s="147" t="s">
        <v>5439</v>
      </c>
      <c r="K933" s="60" t="s">
        <v>5440</v>
      </c>
      <c r="L933" s="147" t="s">
        <v>5441</v>
      </c>
      <c r="M933" s="147" t="s">
        <v>5442</v>
      </c>
      <c r="N933" s="144">
        <v>1.0</v>
      </c>
      <c r="O933" s="847" t="str">
        <f>SUBSTITUTE(LOWER(M933), "/", "--") &amp;  ".pdf"</f>
        <v>10.1111--j.1475-4975.2007.00150.x.pdf</v>
      </c>
      <c r="P933" s="48" t="str">
        <f t="array" ref="P933">HYPERLINK(INDEX('File Links'!B:B, MATCH(O933, 'File Links'!C:C, 0)))
</f>
        <v>https://drive.google.com/file/d/16qY0dLq9qys2p0JL-JepbP82uCNsmR0S/view?usp=drivesdk</v>
      </c>
      <c r="Q933" s="1249" t="s">
        <v>5329</v>
      </c>
      <c r="R933" s="303" t="s">
        <v>5330</v>
      </c>
      <c r="S933" s="303" t="s">
        <v>5331</v>
      </c>
      <c r="T933" s="144">
        <v>16.0</v>
      </c>
      <c r="U933" s="847" t="s">
        <v>5332</v>
      </c>
      <c r="V933" s="1212" t="s">
        <v>5333</v>
      </c>
      <c r="W933" s="50" t="str">
        <f t="array" ref="W933">HYPERLINK(INDEX('File Links'!B:B, MATCH(U933, 'File Links'!C:C, 0)))
</f>
        <v>https://drive.google.com/file/d/1hjI3aqifdfXjWhQAlvKCKKtvjuncAn5M/view?usp=drivesdk</v>
      </c>
      <c r="X933" s="60"/>
      <c r="Y933" s="147" t="s">
        <v>156</v>
      </c>
      <c r="Z933" s="115" t="s">
        <v>165</v>
      </c>
      <c r="AA933" s="147" t="s">
        <v>5443</v>
      </c>
      <c r="AB933" s="511"/>
      <c r="AC933" s="147" t="s">
        <v>5444</v>
      </c>
      <c r="AD933" s="147" t="s">
        <v>5445</v>
      </c>
      <c r="AE933" s="144">
        <v>95.0</v>
      </c>
      <c r="AF933" s="147" t="s">
        <v>5446</v>
      </c>
      <c r="AG933" s="147" t="s">
        <v>166</v>
      </c>
      <c r="AH933" s="330" t="s">
        <v>5447</v>
      </c>
      <c r="AI933" s="355">
        <v>0.05</v>
      </c>
      <c r="AJ933" s="52" t="s">
        <v>127</v>
      </c>
      <c r="AK933" s="147" t="s">
        <v>128</v>
      </c>
      <c r="AL933" s="52" t="s">
        <v>129</v>
      </c>
      <c r="AM933" s="60"/>
      <c r="AN933" s="1251">
        <v>272.0</v>
      </c>
      <c r="AO933" s="1266" t="s">
        <v>5448</v>
      </c>
      <c r="AP933" s="147" t="s">
        <v>166</v>
      </c>
      <c r="AQ933" s="303" t="s">
        <v>5331</v>
      </c>
      <c r="AR933" s="144">
        <v>0.001</v>
      </c>
      <c r="AS933" s="147" t="s">
        <v>127</v>
      </c>
      <c r="AT933" s="147" t="s">
        <v>179</v>
      </c>
      <c r="AU933" s="147" t="s">
        <v>129</v>
      </c>
      <c r="AV933" s="303" t="s">
        <v>5449</v>
      </c>
      <c r="AW933" s="147" t="s">
        <v>134</v>
      </c>
      <c r="AY933" s="60" t="s">
        <v>244</v>
      </c>
      <c r="BA933" s="84"/>
      <c r="BB933" s="84"/>
      <c r="BC933" s="84"/>
      <c r="BD933" s="84"/>
      <c r="BE933" s="84"/>
      <c r="BF933" s="84"/>
      <c r="BG933" s="84"/>
      <c r="BH933" s="84"/>
      <c r="BI933" s="84"/>
      <c r="BJ933" s="84"/>
      <c r="BK933" s="84"/>
      <c r="BL933" s="84"/>
      <c r="BM933" s="84"/>
      <c r="BN933" s="84"/>
      <c r="BO933" s="84"/>
      <c r="BP933" s="84"/>
      <c r="BQ933" s="84"/>
      <c r="BR933" s="84"/>
      <c r="BS933" s="84"/>
      <c r="BT933" s="84"/>
      <c r="BU933" s="84"/>
      <c r="BV933" s="84"/>
      <c r="BW933" s="84"/>
      <c r="BX933" s="84"/>
      <c r="BY933" s="84"/>
      <c r="BZ933" s="84"/>
      <c r="CA933" s="84"/>
      <c r="CB933" s="84"/>
      <c r="CC933" s="84"/>
      <c r="CD933" s="84"/>
      <c r="CE933" s="84"/>
      <c r="CF933" s="84"/>
      <c r="CG933" s="84"/>
      <c r="CH933" s="84"/>
      <c r="CI933" s="84"/>
      <c r="CJ933" s="84"/>
      <c r="CK933" s="84"/>
      <c r="CL933" s="84"/>
      <c r="CM933" s="84"/>
      <c r="CN933" s="84"/>
      <c r="CO933" s="84"/>
      <c r="CP933" s="84"/>
      <c r="CQ933" s="84"/>
      <c r="CR933" s="84"/>
      <c r="CS933" s="84"/>
      <c r="CT933" s="84"/>
      <c r="CU933" s="84"/>
      <c r="CV933" s="84"/>
      <c r="CW933" s="84"/>
      <c r="CX933" s="84"/>
      <c r="CY933" s="84"/>
      <c r="CZ933" s="84"/>
      <c r="DA933" s="84"/>
      <c r="DB933" s="84"/>
      <c r="DC933" s="84"/>
      <c r="DD933" s="84"/>
      <c r="DE933" s="84"/>
      <c r="DF933" s="84"/>
      <c r="DG933" s="84"/>
    </row>
    <row r="934" ht="18.75" customHeight="1">
      <c r="A934" s="60" t="s">
        <v>106</v>
      </c>
      <c r="B934" s="136" t="s">
        <v>107</v>
      </c>
      <c r="C934" s="136" t="s">
        <v>243</v>
      </c>
      <c r="D934" s="64"/>
      <c r="E934" s="1246" t="s">
        <v>5437</v>
      </c>
      <c r="F934" s="147" t="s">
        <v>5438</v>
      </c>
      <c r="G934" s="1247" t="s">
        <v>244</v>
      </c>
      <c r="H934" s="140">
        <v>45331.0</v>
      </c>
      <c r="I934" s="140">
        <v>45688.0</v>
      </c>
      <c r="J934" s="60"/>
      <c r="K934" s="60"/>
      <c r="L934" s="147" t="s">
        <v>5441</v>
      </c>
      <c r="M934" s="147" t="s">
        <v>5442</v>
      </c>
      <c r="N934" s="115">
        <v>1.0</v>
      </c>
      <c r="O934" s="847" t="s">
        <v>5450</v>
      </c>
      <c r="P934" s="48" t="str">
        <f t="array" ref="P934">HYPERLINK(INDEX('File Links'!B:B, MATCH(O934, 'File Links'!C:C, 0)))
</f>
        <v>https://drive.google.com/file/d/16qY0dLq9qys2p0JL-JepbP82uCNsmR0S/view?usp=drivesdk</v>
      </c>
      <c r="Q934" s="1249" t="s">
        <v>5329</v>
      </c>
      <c r="R934" s="147" t="s">
        <v>5330</v>
      </c>
      <c r="S934" s="60"/>
      <c r="T934" s="60"/>
      <c r="U934" s="847" t="s">
        <v>5332</v>
      </c>
      <c r="V934" s="1212" t="s">
        <v>5333</v>
      </c>
      <c r="W934" s="50" t="str">
        <f t="array" ref="W934">HYPERLINK(INDEX('File Links'!B:B, MATCH(U934, 'File Links'!C:C, 0)))
</f>
        <v>https://drive.google.com/file/d/1hjI3aqifdfXjWhQAlvKCKKtvjuncAn5M/view?usp=drivesdk</v>
      </c>
      <c r="X934" s="60"/>
      <c r="Y934" s="147" t="s">
        <v>156</v>
      </c>
      <c r="Z934" s="115" t="s">
        <v>165</v>
      </c>
      <c r="AA934" s="147" t="s">
        <v>5443</v>
      </c>
      <c r="AB934" s="511"/>
      <c r="AC934" s="147" t="s">
        <v>5451</v>
      </c>
      <c r="AD934" s="147" t="s">
        <v>5452</v>
      </c>
      <c r="AE934" s="144">
        <v>95.0</v>
      </c>
      <c r="AF934" s="144">
        <v>0.43</v>
      </c>
      <c r="AG934" s="147" t="s">
        <v>166</v>
      </c>
      <c r="AH934" s="330" t="s">
        <v>5453</v>
      </c>
      <c r="AI934" s="355">
        <v>0.05</v>
      </c>
      <c r="AJ934" s="52" t="s">
        <v>127</v>
      </c>
      <c r="AK934" s="147" t="s">
        <v>128</v>
      </c>
      <c r="AL934" s="1246" t="s">
        <v>129</v>
      </c>
      <c r="AM934" s="147" t="s">
        <v>129</v>
      </c>
      <c r="AN934" s="1251">
        <v>272.0</v>
      </c>
      <c r="AO934" s="144">
        <v>0.57</v>
      </c>
      <c r="AP934" s="147" t="s">
        <v>166</v>
      </c>
      <c r="AQ934" s="147" t="s">
        <v>5454</v>
      </c>
      <c r="AR934" s="144">
        <v>0.001</v>
      </c>
      <c r="AS934" s="147" t="s">
        <v>127</v>
      </c>
      <c r="AT934" s="147" t="s">
        <v>128</v>
      </c>
      <c r="AU934" s="142" t="s">
        <v>129</v>
      </c>
      <c r="AV934" s="1263" t="s">
        <v>5455</v>
      </c>
      <c r="AW934" s="142" t="s">
        <v>134</v>
      </c>
      <c r="AY934" s="60" t="s">
        <v>244</v>
      </c>
    </row>
    <row r="935" ht="18.75" customHeight="1">
      <c r="A935" s="60" t="s">
        <v>106</v>
      </c>
      <c r="B935" s="136" t="s">
        <v>107</v>
      </c>
      <c r="C935" s="136" t="s">
        <v>3672</v>
      </c>
      <c r="D935" s="64"/>
      <c r="E935" s="1246" t="s">
        <v>5456</v>
      </c>
      <c r="F935" s="147" t="s">
        <v>5457</v>
      </c>
      <c r="G935" s="1247" t="s">
        <v>3673</v>
      </c>
      <c r="H935" s="140">
        <v>45674.0</v>
      </c>
      <c r="I935" s="140">
        <v>45688.0</v>
      </c>
      <c r="J935" s="147" t="s">
        <v>5458</v>
      </c>
      <c r="K935" s="60"/>
      <c r="L935" s="147" t="s">
        <v>5459</v>
      </c>
      <c r="M935" s="147" t="s">
        <v>5460</v>
      </c>
      <c r="N935" s="115">
        <v>1.0</v>
      </c>
      <c r="O935" s="847" t="str">
        <f>SUBSTITUTE(LOWER(M935), "/", "--") &amp;  ".pdf"</f>
        <v>10.1016--j.cognition.2007.11.004.pdf</v>
      </c>
      <c r="P935" s="48" t="str">
        <f t="array" ref="P935">HYPERLINK(INDEX('File Links'!B:B, MATCH(O935, 'File Links'!C:C, 0)))
</f>
        <v>https://drive.google.com/file/d/15WVNsHu4qw18Mufo3UCjKv6cq2gXORb0/view?usp=drivesdk</v>
      </c>
      <c r="Q935" s="1249" t="s">
        <v>5329</v>
      </c>
      <c r="R935" s="303" t="s">
        <v>5330</v>
      </c>
      <c r="S935" s="303" t="s">
        <v>5331</v>
      </c>
      <c r="T935" s="144">
        <v>17.0</v>
      </c>
      <c r="U935" s="847" t="s">
        <v>5332</v>
      </c>
      <c r="V935" s="1212" t="s">
        <v>5333</v>
      </c>
      <c r="W935" s="50" t="str">
        <f t="array" ref="W935">HYPERLINK(INDEX('File Links'!B:B, MATCH(U935, 'File Links'!C:C, 0)))
</f>
        <v>https://drive.google.com/file/d/1hjI3aqifdfXjWhQAlvKCKKtvjuncAn5M/view?usp=drivesdk</v>
      </c>
      <c r="X935" s="60"/>
      <c r="Y935" s="147" t="s">
        <v>156</v>
      </c>
      <c r="Z935" s="115" t="s">
        <v>165</v>
      </c>
      <c r="AA935" s="147" t="s">
        <v>5461</v>
      </c>
      <c r="AB935" s="60"/>
      <c r="AC935" s="147" t="s">
        <v>5462</v>
      </c>
      <c r="AD935" s="147" t="s">
        <v>5463</v>
      </c>
      <c r="AE935" s="144">
        <v>82.0</v>
      </c>
      <c r="AF935" s="147" t="s">
        <v>5464</v>
      </c>
      <c r="AG935" s="147" t="s">
        <v>162</v>
      </c>
      <c r="AH935" s="330" t="s">
        <v>131</v>
      </c>
      <c r="AI935" s="355">
        <v>0.005</v>
      </c>
      <c r="AJ935" s="52" t="s">
        <v>164</v>
      </c>
      <c r="AK935" s="147" t="s">
        <v>179</v>
      </c>
      <c r="AL935" s="52" t="s">
        <v>129</v>
      </c>
      <c r="AM935" s="60"/>
      <c r="AN935" s="1251">
        <v>85.0</v>
      </c>
      <c r="AO935" s="147" t="s">
        <v>5465</v>
      </c>
      <c r="AP935" s="147" t="s">
        <v>162</v>
      </c>
      <c r="AQ935" s="147" t="s">
        <v>5331</v>
      </c>
      <c r="AR935" s="144">
        <v>0.27</v>
      </c>
      <c r="AS935" s="147" t="s">
        <v>164</v>
      </c>
      <c r="AT935" s="147" t="s">
        <v>179</v>
      </c>
      <c r="AU935" s="147" t="s">
        <v>129</v>
      </c>
      <c r="AV935" s="60"/>
      <c r="AW935" s="147" t="s">
        <v>134</v>
      </c>
      <c r="AY935" s="60" t="s">
        <v>244</v>
      </c>
      <c r="BA935" s="84"/>
      <c r="BB935" s="84"/>
      <c r="BC935" s="84"/>
      <c r="BD935" s="84"/>
      <c r="BE935" s="84"/>
      <c r="BF935" s="84"/>
      <c r="BG935" s="84"/>
      <c r="BH935" s="84"/>
      <c r="BI935" s="84"/>
      <c r="BJ935" s="84"/>
      <c r="BK935" s="84"/>
      <c r="BL935" s="84"/>
      <c r="BM935" s="84"/>
      <c r="BN935" s="84"/>
      <c r="BO935" s="84"/>
      <c r="BP935" s="84"/>
      <c r="BQ935" s="84"/>
      <c r="BR935" s="84"/>
      <c r="BS935" s="84"/>
      <c r="BT935" s="84"/>
      <c r="BU935" s="84"/>
      <c r="BV935" s="84"/>
      <c r="BW935" s="84"/>
      <c r="BX935" s="84"/>
      <c r="BY935" s="84"/>
      <c r="BZ935" s="84"/>
      <c r="CA935" s="84"/>
      <c r="CB935" s="84"/>
      <c r="CC935" s="84"/>
      <c r="CD935" s="84"/>
      <c r="CE935" s="84"/>
      <c r="CF935" s="84"/>
      <c r="CG935" s="84"/>
      <c r="CH935" s="84"/>
      <c r="CI935" s="84"/>
      <c r="CJ935" s="84"/>
      <c r="CK935" s="84"/>
      <c r="CL935" s="84"/>
      <c r="CM935" s="84"/>
      <c r="CN935" s="84"/>
      <c r="CO935" s="84"/>
      <c r="CP935" s="84"/>
      <c r="CQ935" s="84"/>
      <c r="CR935" s="84"/>
      <c r="CS935" s="84"/>
      <c r="CT935" s="84"/>
      <c r="CU935" s="84"/>
      <c r="CV935" s="84"/>
      <c r="CW935" s="84"/>
      <c r="CX935" s="84"/>
      <c r="CY935" s="84"/>
      <c r="CZ935" s="84"/>
      <c r="DA935" s="84"/>
      <c r="DB935" s="84"/>
      <c r="DC935" s="84"/>
      <c r="DD935" s="84"/>
      <c r="DE935" s="84"/>
      <c r="DF935" s="84"/>
      <c r="DG935" s="84"/>
    </row>
    <row r="936" ht="18.75" customHeight="1">
      <c r="A936" s="314" t="s">
        <v>5350</v>
      </c>
      <c r="B936" s="136" t="s">
        <v>107</v>
      </c>
      <c r="C936" s="136" t="s">
        <v>243</v>
      </c>
      <c r="D936" s="64"/>
      <c r="E936" s="1246" t="s">
        <v>5456</v>
      </c>
      <c r="F936" s="147" t="s">
        <v>5457</v>
      </c>
      <c r="G936" s="1247" t="s">
        <v>244</v>
      </c>
      <c r="H936" s="140">
        <v>45331.0</v>
      </c>
      <c r="I936" s="140">
        <v>45688.0</v>
      </c>
      <c r="J936" s="147" t="s">
        <v>5466</v>
      </c>
      <c r="K936" s="60"/>
      <c r="L936" s="147" t="s">
        <v>5459</v>
      </c>
      <c r="M936" s="147" t="s">
        <v>5460</v>
      </c>
      <c r="N936" s="115">
        <v>1.0</v>
      </c>
      <c r="O936" s="847" t="s">
        <v>5467</v>
      </c>
      <c r="P936" s="48" t="str">
        <f t="array" ref="P936">HYPERLINK(INDEX('File Links'!B:B, MATCH(O936, 'File Links'!C:C, 0)))
</f>
        <v>https://drive.google.com/file/d/15WVNsHu4qw18Mufo3UCjKv6cq2gXORb0/view?usp=drivesdk</v>
      </c>
      <c r="Q936" s="1249" t="s">
        <v>5329</v>
      </c>
      <c r="R936" s="147" t="s">
        <v>5330</v>
      </c>
      <c r="S936" s="60"/>
      <c r="T936" s="60"/>
      <c r="U936" s="847" t="s">
        <v>5332</v>
      </c>
      <c r="V936" s="1212" t="s">
        <v>5333</v>
      </c>
      <c r="W936" s="50" t="str">
        <f t="array" ref="W936">HYPERLINK(INDEX('File Links'!B:B, MATCH(U936, 'File Links'!C:C, 0)))
</f>
        <v>https://drive.google.com/file/d/1hjI3aqifdfXjWhQAlvKCKKtvjuncAn5M/view?usp=drivesdk</v>
      </c>
      <c r="X936" s="60"/>
      <c r="Y936" s="147" t="s">
        <v>156</v>
      </c>
      <c r="Z936" s="115" t="s">
        <v>165</v>
      </c>
      <c r="AA936" s="147" t="s">
        <v>5461</v>
      </c>
      <c r="AB936" s="60"/>
      <c r="AC936" s="147" t="s">
        <v>5468</v>
      </c>
      <c r="AD936" s="147" t="s">
        <v>5469</v>
      </c>
      <c r="AE936" s="144">
        <v>82.0</v>
      </c>
      <c r="AF936" s="144">
        <v>8.5</v>
      </c>
      <c r="AG936" s="147" t="s">
        <v>1051</v>
      </c>
      <c r="AH936" s="330" t="s">
        <v>5470</v>
      </c>
      <c r="AI936" s="355">
        <v>0.005</v>
      </c>
      <c r="AJ936" s="52" t="s">
        <v>164</v>
      </c>
      <c r="AK936" s="147" t="s">
        <v>179</v>
      </c>
      <c r="AL936" s="1246" t="s">
        <v>129</v>
      </c>
      <c r="AM936" s="147" t="s">
        <v>129</v>
      </c>
      <c r="AN936" s="1251">
        <v>85.0</v>
      </c>
      <c r="AO936" s="144">
        <v>1.2</v>
      </c>
      <c r="AP936" s="147" t="s">
        <v>1051</v>
      </c>
      <c r="AQ936" s="147" t="s">
        <v>5471</v>
      </c>
      <c r="AR936" s="144">
        <v>0.27</v>
      </c>
      <c r="AS936" s="147" t="s">
        <v>164</v>
      </c>
      <c r="AT936" s="147" t="s">
        <v>179</v>
      </c>
      <c r="AU936" s="142" t="s">
        <v>129</v>
      </c>
      <c r="AV936" s="1263" t="s">
        <v>5472</v>
      </c>
      <c r="AW936" s="142" t="s">
        <v>134</v>
      </c>
      <c r="AY936" s="60" t="s">
        <v>244</v>
      </c>
      <c r="BA936" s="84"/>
      <c r="BB936" s="84"/>
      <c r="BC936" s="84"/>
      <c r="BD936" s="84"/>
      <c r="BE936" s="84"/>
      <c r="BF936" s="84"/>
      <c r="BG936" s="84"/>
      <c r="BH936" s="84"/>
      <c r="BI936" s="84"/>
      <c r="BJ936" s="84"/>
      <c r="BK936" s="84"/>
      <c r="BL936" s="84"/>
      <c r="BM936" s="84"/>
      <c r="BN936" s="84"/>
      <c r="BO936" s="84"/>
      <c r="BP936" s="84"/>
      <c r="BQ936" s="84"/>
      <c r="BR936" s="84"/>
      <c r="BS936" s="84"/>
      <c r="BT936" s="84"/>
      <c r="BU936" s="84"/>
      <c r="BV936" s="84"/>
      <c r="BW936" s="84"/>
      <c r="BX936" s="84"/>
      <c r="BY936" s="84"/>
      <c r="BZ936" s="84"/>
      <c r="CA936" s="84"/>
      <c r="CB936" s="84"/>
      <c r="CC936" s="84"/>
      <c r="CD936" s="84"/>
      <c r="CE936" s="84"/>
      <c r="CF936" s="84"/>
      <c r="CG936" s="84"/>
      <c r="CH936" s="84"/>
      <c r="CI936" s="84"/>
      <c r="CJ936" s="84"/>
      <c r="CK936" s="84"/>
      <c r="CL936" s="84"/>
      <c r="CM936" s="84"/>
      <c r="CN936" s="84"/>
      <c r="CO936" s="84"/>
      <c r="CP936" s="84"/>
      <c r="CQ936" s="84"/>
      <c r="CR936" s="84"/>
      <c r="CS936" s="84"/>
      <c r="CT936" s="84"/>
      <c r="CU936" s="84"/>
      <c r="CV936" s="84"/>
      <c r="CW936" s="84"/>
      <c r="CX936" s="84"/>
      <c r="CY936" s="84"/>
      <c r="CZ936" s="84"/>
      <c r="DA936" s="84"/>
      <c r="DB936" s="84"/>
      <c r="DC936" s="84"/>
      <c r="DD936" s="84"/>
      <c r="DE936" s="84"/>
      <c r="DF936" s="84"/>
      <c r="DG936" s="84"/>
    </row>
    <row r="937" ht="18.75" customHeight="1">
      <c r="A937" s="314" t="s">
        <v>5350</v>
      </c>
      <c r="B937" s="136" t="s">
        <v>107</v>
      </c>
      <c r="C937" s="136" t="s">
        <v>3672</v>
      </c>
      <c r="D937" s="64"/>
      <c r="E937" s="1246" t="s">
        <v>5473</v>
      </c>
      <c r="F937" s="147" t="s">
        <v>5474</v>
      </c>
      <c r="G937" s="1247" t="s">
        <v>3673</v>
      </c>
      <c r="H937" s="140">
        <v>45674.0</v>
      </c>
      <c r="I937" s="472">
        <v>45691.0</v>
      </c>
      <c r="J937" s="60"/>
      <c r="K937" s="60"/>
      <c r="L937" s="147" t="s">
        <v>5475</v>
      </c>
      <c r="M937" s="147" t="s">
        <v>5476</v>
      </c>
      <c r="N937" s="115">
        <v>1.0</v>
      </c>
      <c r="O937" s="847" t="str">
        <f>SUBSTITUTE(LOWER(M937), "/", "--") &amp;  ".pdf"</f>
        <v>10.1080--09515080801978777.pdf</v>
      </c>
      <c r="P937" s="48" t="str">
        <f t="array" ref="P937">HYPERLINK(INDEX('File Links'!B:B, MATCH(O937, 'File Links'!C:C, 0)))
</f>
        <v>https://drive.google.com/file/d/1G4gv0ySakjef__T9l4MU6vM4mSqIKpQf/view?usp=drivesdk</v>
      </c>
      <c r="Q937" s="1249" t="s">
        <v>5329</v>
      </c>
      <c r="R937" s="303" t="s">
        <v>5330</v>
      </c>
      <c r="S937" s="303" t="s">
        <v>5331</v>
      </c>
      <c r="T937" s="144">
        <v>18.0</v>
      </c>
      <c r="U937" s="847" t="s">
        <v>5332</v>
      </c>
      <c r="V937" s="1212" t="s">
        <v>5333</v>
      </c>
      <c r="W937" s="50" t="str">
        <f t="array" ref="W937">HYPERLINK(INDEX('File Links'!B:B, MATCH(U937, 'File Links'!C:C, 0)))
</f>
        <v>https://drive.google.com/file/d/1hjI3aqifdfXjWhQAlvKCKKtvjuncAn5M/view?usp=drivesdk</v>
      </c>
      <c r="X937" s="60"/>
      <c r="Y937" s="147" t="s">
        <v>156</v>
      </c>
      <c r="Z937" s="115" t="s">
        <v>165</v>
      </c>
      <c r="AA937" s="147" t="s">
        <v>5477</v>
      </c>
      <c r="AB937" s="60"/>
      <c r="AC937" s="147" t="s">
        <v>5478</v>
      </c>
      <c r="AD937" s="147" t="s">
        <v>5479</v>
      </c>
      <c r="AE937" s="144">
        <v>44.0</v>
      </c>
      <c r="AF937" s="60"/>
      <c r="AG937" s="60"/>
      <c r="AH937" s="330" t="s">
        <v>125</v>
      </c>
      <c r="AI937" s="355">
        <v>0.05</v>
      </c>
      <c r="AJ937" s="52" t="s">
        <v>127</v>
      </c>
      <c r="AK937" s="147" t="s">
        <v>179</v>
      </c>
      <c r="AL937" s="52" t="s">
        <v>129</v>
      </c>
      <c r="AM937" s="60"/>
      <c r="AN937" s="1251">
        <v>252.0</v>
      </c>
      <c r="AO937" s="1266" t="s">
        <v>5480</v>
      </c>
      <c r="AP937" s="147" t="s">
        <v>166</v>
      </c>
      <c r="AQ937" s="147" t="s">
        <v>5331</v>
      </c>
      <c r="AR937" s="144">
        <v>0.001</v>
      </c>
      <c r="AS937" s="147" t="s">
        <v>127</v>
      </c>
      <c r="AT937" s="147" t="s">
        <v>179</v>
      </c>
      <c r="AU937" s="147" t="s">
        <v>129</v>
      </c>
      <c r="AV937" s="303" t="s">
        <v>5481</v>
      </c>
      <c r="AW937" s="147" t="s">
        <v>134</v>
      </c>
      <c r="AY937" s="60" t="s">
        <v>244</v>
      </c>
      <c r="BA937" s="84"/>
      <c r="BB937" s="84"/>
      <c r="BC937" s="84"/>
      <c r="BD937" s="84"/>
      <c r="BE937" s="84"/>
      <c r="BF937" s="84"/>
      <c r="BG937" s="84"/>
      <c r="BH937" s="84"/>
      <c r="BI937" s="84"/>
      <c r="BJ937" s="84"/>
      <c r="BK937" s="84"/>
      <c r="BL937" s="84"/>
      <c r="BM937" s="84"/>
      <c r="BN937" s="84"/>
      <c r="BO937" s="84"/>
      <c r="BP937" s="84"/>
      <c r="BQ937" s="84"/>
      <c r="BR937" s="84"/>
      <c r="BS937" s="84"/>
      <c r="BT937" s="84"/>
      <c r="BU937" s="84"/>
      <c r="BV937" s="84"/>
      <c r="BW937" s="84"/>
      <c r="BX937" s="84"/>
      <c r="BY937" s="84"/>
      <c r="BZ937" s="84"/>
      <c r="CA937" s="84"/>
      <c r="CB937" s="84"/>
      <c r="CC937" s="84"/>
      <c r="CD937" s="84"/>
      <c r="CE937" s="84"/>
      <c r="CF937" s="84"/>
      <c r="CG937" s="84"/>
      <c r="CH937" s="84"/>
      <c r="CI937" s="84"/>
      <c r="CJ937" s="84"/>
      <c r="CK937" s="84"/>
      <c r="CL937" s="84"/>
      <c r="CM937" s="84"/>
      <c r="CN937" s="84"/>
      <c r="CO937" s="84"/>
      <c r="CP937" s="84"/>
      <c r="CQ937" s="84"/>
      <c r="CR937" s="84"/>
      <c r="CS937" s="84"/>
      <c r="CT937" s="84"/>
      <c r="CU937" s="84"/>
      <c r="CV937" s="84"/>
      <c r="CW937" s="84"/>
      <c r="CX937" s="84"/>
      <c r="CY937" s="84"/>
      <c r="CZ937" s="84"/>
      <c r="DA937" s="84"/>
      <c r="DB937" s="84"/>
      <c r="DC937" s="84"/>
      <c r="DD937" s="84"/>
      <c r="DE937" s="84"/>
      <c r="DF937" s="84"/>
      <c r="DG937" s="84"/>
    </row>
    <row r="938">
      <c r="A938" s="142" t="s">
        <v>106</v>
      </c>
      <c r="B938" s="136" t="s">
        <v>107</v>
      </c>
      <c r="C938" s="136" t="s">
        <v>243</v>
      </c>
      <c r="D938" s="64"/>
      <c r="E938" s="1246" t="s">
        <v>5473</v>
      </c>
      <c r="F938" s="147" t="s">
        <v>5474</v>
      </c>
      <c r="G938" s="1247" t="s">
        <v>244</v>
      </c>
      <c r="H938" s="140">
        <v>45331.0</v>
      </c>
      <c r="I938" s="472">
        <v>45691.0</v>
      </c>
      <c r="J938" s="147" t="s">
        <v>5482</v>
      </c>
      <c r="K938" s="60"/>
      <c r="L938" s="147" t="s">
        <v>5475</v>
      </c>
      <c r="M938" s="147" t="s">
        <v>5476</v>
      </c>
      <c r="N938" s="115">
        <v>1.0</v>
      </c>
      <c r="O938" s="847" t="s">
        <v>5483</v>
      </c>
      <c r="P938" s="48" t="str">
        <f t="array" ref="P938">HYPERLINK(INDEX('File Links'!B:B, MATCH(O938, 'File Links'!C:C, 0)))
</f>
        <v>https://drive.google.com/file/d/1G4gv0ySakjef__T9l4MU6vM4mSqIKpQf/view?usp=drivesdk</v>
      </c>
      <c r="Q938" s="1249" t="s">
        <v>5329</v>
      </c>
      <c r="R938" s="147" t="s">
        <v>5330</v>
      </c>
      <c r="S938" s="60"/>
      <c r="T938" s="60"/>
      <c r="U938" s="847" t="s">
        <v>5332</v>
      </c>
      <c r="V938" s="1212" t="s">
        <v>5333</v>
      </c>
      <c r="W938" s="50" t="str">
        <f t="array" ref="W938">HYPERLINK(INDEX('File Links'!B:B, MATCH(U938, 'File Links'!C:C, 0)))
</f>
        <v>https://drive.google.com/file/d/1hjI3aqifdfXjWhQAlvKCKKtvjuncAn5M/view?usp=drivesdk</v>
      </c>
      <c r="X938" s="60"/>
      <c r="Y938" s="147" t="s">
        <v>156</v>
      </c>
      <c r="Z938" s="115" t="s">
        <v>165</v>
      </c>
      <c r="AA938" s="147" t="s">
        <v>5484</v>
      </c>
      <c r="AB938" s="60"/>
      <c r="AC938" s="147" t="s">
        <v>5485</v>
      </c>
      <c r="AD938" s="147" t="s">
        <v>5486</v>
      </c>
      <c r="AE938" s="144">
        <v>44.0</v>
      </c>
      <c r="AF938" s="147" t="s">
        <v>165</v>
      </c>
      <c r="AG938" s="147" t="s">
        <v>165</v>
      </c>
      <c r="AH938" s="330" t="s">
        <v>165</v>
      </c>
      <c r="AI938" s="355">
        <v>0.05</v>
      </c>
      <c r="AJ938" s="52" t="s">
        <v>127</v>
      </c>
      <c r="AK938" s="147" t="s">
        <v>179</v>
      </c>
      <c r="AL938" s="1246" t="s">
        <v>129</v>
      </c>
      <c r="AM938" s="147" t="s">
        <v>129</v>
      </c>
      <c r="AN938" s="1251">
        <v>252.0</v>
      </c>
      <c r="AO938" s="144">
        <v>0.67</v>
      </c>
      <c r="AP938" s="147" t="s">
        <v>166</v>
      </c>
      <c r="AQ938" s="60"/>
      <c r="AR938" s="144">
        <v>0.001</v>
      </c>
      <c r="AS938" s="147" t="s">
        <v>127</v>
      </c>
      <c r="AT938" s="147" t="s">
        <v>179</v>
      </c>
      <c r="AU938" s="142" t="s">
        <v>129</v>
      </c>
      <c r="AV938" s="1263" t="s">
        <v>5487</v>
      </c>
      <c r="AW938" s="142" t="s">
        <v>134</v>
      </c>
      <c r="AY938" s="60" t="s">
        <v>244</v>
      </c>
    </row>
    <row r="939">
      <c r="A939" s="314" t="s">
        <v>5350</v>
      </c>
      <c r="B939" s="136" t="s">
        <v>107</v>
      </c>
      <c r="C939" s="136" t="s">
        <v>243</v>
      </c>
      <c r="D939" s="64"/>
      <c r="E939" s="1246" t="s">
        <v>5488</v>
      </c>
      <c r="F939" s="147" t="s">
        <v>5489</v>
      </c>
      <c r="G939" s="1247" t="s">
        <v>244</v>
      </c>
      <c r="H939" s="140">
        <v>45331.0</v>
      </c>
      <c r="I939" s="472">
        <v>45691.0</v>
      </c>
      <c r="J939" s="142" t="s">
        <v>5398</v>
      </c>
      <c r="K939" s="525" t="s">
        <v>5354</v>
      </c>
      <c r="L939" s="147" t="s">
        <v>5490</v>
      </c>
      <c r="M939" s="147" t="s">
        <v>5491</v>
      </c>
      <c r="N939" s="115">
        <v>1.0</v>
      </c>
      <c r="O939" s="847" t="s">
        <v>5492</v>
      </c>
      <c r="P939" s="48" t="str">
        <f t="array" ref="P939">HYPERLINK(INDEX('File Links'!B:B, MATCH(O939, 'File Links'!C:C, 0)))
</f>
        <v>https://drive.google.com/file/d/1esh5oqCpj4F374ZeOWGrHgAoZG4Cbaxf/view?usp=drivesdk</v>
      </c>
      <c r="Q939" s="1249" t="s">
        <v>5329</v>
      </c>
      <c r="R939" s="147" t="s">
        <v>5330</v>
      </c>
      <c r="S939" s="60"/>
      <c r="T939" s="60"/>
      <c r="U939" s="847" t="s">
        <v>5332</v>
      </c>
      <c r="V939" s="1212" t="s">
        <v>5333</v>
      </c>
      <c r="W939" s="50" t="str">
        <f t="array" ref="W939">HYPERLINK(INDEX('File Links'!B:B, MATCH(U939, 'File Links'!C:C, 0)))
</f>
        <v>https://drive.google.com/file/d/1hjI3aqifdfXjWhQAlvKCKKtvjuncAn5M/view?usp=drivesdk</v>
      </c>
      <c r="X939" s="60"/>
      <c r="Y939" s="147" t="s">
        <v>156</v>
      </c>
      <c r="Z939" s="115" t="s">
        <v>165</v>
      </c>
      <c r="AA939" s="147" t="s">
        <v>5344</v>
      </c>
      <c r="AB939" s="60"/>
      <c r="AC939" s="147" t="s">
        <v>5493</v>
      </c>
      <c r="AD939" s="147" t="s">
        <v>5494</v>
      </c>
      <c r="AE939" s="144">
        <v>85.0</v>
      </c>
      <c r="AF939" s="144">
        <v>0.3</v>
      </c>
      <c r="AG939" s="147" t="s">
        <v>5340</v>
      </c>
      <c r="AH939" s="330" t="s">
        <v>5495</v>
      </c>
      <c r="AI939" s="355">
        <v>0.005</v>
      </c>
      <c r="AJ939" s="52" t="s">
        <v>164</v>
      </c>
      <c r="AK939" s="147" t="s">
        <v>179</v>
      </c>
      <c r="AL939" s="1246" t="s">
        <v>129</v>
      </c>
      <c r="AM939" s="147" t="s">
        <v>129</v>
      </c>
      <c r="AN939" s="1251">
        <v>150.0</v>
      </c>
      <c r="AO939" s="144">
        <v>0.002</v>
      </c>
      <c r="AP939" s="147" t="s">
        <v>5340</v>
      </c>
      <c r="AQ939" s="147" t="s">
        <v>5496</v>
      </c>
      <c r="AR939" s="144">
        <v>0.05</v>
      </c>
      <c r="AS939" s="147" t="s">
        <v>164</v>
      </c>
      <c r="AT939" s="147" t="s">
        <v>179</v>
      </c>
      <c r="AU939" s="142" t="s">
        <v>129</v>
      </c>
      <c r="AV939" s="1263" t="s">
        <v>5497</v>
      </c>
      <c r="AW939" s="142" t="s">
        <v>134</v>
      </c>
      <c r="AY939" s="60" t="s">
        <v>244</v>
      </c>
    </row>
    <row r="940">
      <c r="A940" s="314" t="s">
        <v>5350</v>
      </c>
      <c r="B940" s="136" t="s">
        <v>107</v>
      </c>
      <c r="C940" s="136" t="s">
        <v>243</v>
      </c>
      <c r="D940" s="64"/>
      <c r="E940" s="1246" t="s">
        <v>5498</v>
      </c>
      <c r="F940" s="147" t="s">
        <v>5499</v>
      </c>
      <c r="G940" s="1247" t="s">
        <v>244</v>
      </c>
      <c r="H940" s="140">
        <v>45331.0</v>
      </c>
      <c r="I940" s="472">
        <v>45691.0</v>
      </c>
      <c r="J940" s="142" t="s">
        <v>5398</v>
      </c>
      <c r="K940" s="525" t="s">
        <v>5354</v>
      </c>
      <c r="L940" s="147" t="s">
        <v>5500</v>
      </c>
      <c r="M940" s="147" t="s">
        <v>5501</v>
      </c>
      <c r="N940" s="144">
        <v>1.0</v>
      </c>
      <c r="O940" s="847" t="s">
        <v>5502</v>
      </c>
      <c r="P940" s="48" t="str">
        <f t="array" ref="P940">HYPERLINK(INDEX('File Links'!B:B, MATCH(O940, 'File Links'!C:C, 0)))
</f>
        <v>https://drive.google.com/file/d/1NZ8v6491Ny_LbUh8osKtj88hF7RAiobW/view?usp=drivesdk</v>
      </c>
      <c r="Q940" s="1249" t="s">
        <v>5329</v>
      </c>
      <c r="R940" s="147" t="s">
        <v>5330</v>
      </c>
      <c r="S940" s="60"/>
      <c r="T940" s="60"/>
      <c r="U940" s="847" t="s">
        <v>5332</v>
      </c>
      <c r="V940" s="1212" t="s">
        <v>5333</v>
      </c>
      <c r="W940" s="50" t="str">
        <f t="array" ref="W940">HYPERLINK(INDEX('File Links'!B:B, MATCH(U940, 'File Links'!C:C, 0)))
</f>
        <v>https://drive.google.com/file/d/1hjI3aqifdfXjWhQAlvKCKKtvjuncAn5M/view?usp=drivesdk</v>
      </c>
      <c r="X940" s="60"/>
      <c r="Y940" s="147" t="s">
        <v>156</v>
      </c>
      <c r="Z940" s="115" t="s">
        <v>165</v>
      </c>
      <c r="AA940" s="147" t="s">
        <v>5344</v>
      </c>
      <c r="AB940" s="147" t="s">
        <v>5503</v>
      </c>
      <c r="AC940" s="142" t="s">
        <v>5504</v>
      </c>
      <c r="AD940" s="147" t="s">
        <v>5505</v>
      </c>
      <c r="AE940" s="144">
        <v>37.0</v>
      </c>
      <c r="AF940" s="144">
        <v>0.46</v>
      </c>
      <c r="AG940" s="147" t="s">
        <v>5340</v>
      </c>
      <c r="AH940" s="330" t="s">
        <v>5506</v>
      </c>
      <c r="AI940" s="355">
        <v>0.01</v>
      </c>
      <c r="AJ940" s="52" t="s">
        <v>127</v>
      </c>
      <c r="AK940" s="147" t="s">
        <v>179</v>
      </c>
      <c r="AL940" s="1246" t="s">
        <v>129</v>
      </c>
      <c r="AM940" s="147" t="s">
        <v>129</v>
      </c>
      <c r="AN940" s="1251">
        <v>145.0</v>
      </c>
      <c r="AO940" s="144">
        <v>0.6</v>
      </c>
      <c r="AP940" s="147" t="s">
        <v>5340</v>
      </c>
      <c r="AQ940" s="147" t="s">
        <v>5507</v>
      </c>
      <c r="AR940" s="144">
        <v>0.001</v>
      </c>
      <c r="AS940" s="147" t="s">
        <v>127</v>
      </c>
      <c r="AT940" s="147" t="s">
        <v>179</v>
      </c>
      <c r="AU940" s="142" t="s">
        <v>129</v>
      </c>
      <c r="AV940" s="453" t="s">
        <v>5508</v>
      </c>
      <c r="AW940" s="142" t="s">
        <v>134</v>
      </c>
      <c r="AY940" s="60" t="s">
        <v>244</v>
      </c>
    </row>
    <row r="941">
      <c r="A941" s="60" t="s">
        <v>106</v>
      </c>
      <c r="B941" s="136" t="s">
        <v>107</v>
      </c>
      <c r="C941" s="136" t="s">
        <v>3672</v>
      </c>
      <c r="D941" s="64"/>
      <c r="E941" s="1257" t="s">
        <v>5509</v>
      </c>
      <c r="F941" s="147" t="s">
        <v>5510</v>
      </c>
      <c r="G941" s="1247" t="s">
        <v>3673</v>
      </c>
      <c r="H941" s="140">
        <v>45674.0</v>
      </c>
      <c r="I941" s="140">
        <v>45688.0</v>
      </c>
      <c r="J941" s="147" t="s">
        <v>5511</v>
      </c>
      <c r="K941" s="60" t="s">
        <v>5512</v>
      </c>
      <c r="L941" s="453" t="s">
        <v>5513</v>
      </c>
      <c r="M941" s="147" t="s">
        <v>5514</v>
      </c>
      <c r="N941" s="115">
        <v>1.0</v>
      </c>
      <c r="O941" s="847" t="str">
        <f>SUBSTITUTE(LOWER(M941), "/", "--") &amp;  ".pdf"</f>
        <v>10.5840--jphil20091061128.pdf</v>
      </c>
      <c r="P941" s="48" t="str">
        <f t="array" ref="P941">HYPERLINK(INDEX('File Links'!B:B, MATCH(O941, 'File Links'!C:C, 0)))
</f>
        <v>https://drive.google.com/file/d/1iPMC-k9xrxfHtNZFhdKSSGpPAPPmY3J4/view?usp=drivesdk</v>
      </c>
      <c r="Q941" s="1249" t="s">
        <v>5329</v>
      </c>
      <c r="R941" s="303" t="s">
        <v>5330</v>
      </c>
      <c r="S941" s="303" t="s">
        <v>5331</v>
      </c>
      <c r="T941" s="144">
        <v>20.0</v>
      </c>
      <c r="U941" s="847" t="s">
        <v>5332</v>
      </c>
      <c r="V941" s="1212" t="s">
        <v>5333</v>
      </c>
      <c r="W941" s="50" t="str">
        <f t="array" ref="W941">HYPERLINK(INDEX('File Links'!B:B, MATCH(U941, 'File Links'!C:C, 0)))
</f>
        <v>https://drive.google.com/file/d/1hjI3aqifdfXjWhQAlvKCKKtvjuncAn5M/view?usp=drivesdk</v>
      </c>
      <c r="X941" s="60"/>
      <c r="Y941" s="147" t="s">
        <v>156</v>
      </c>
      <c r="Z941" s="115" t="s">
        <v>165</v>
      </c>
      <c r="AA941" s="147" t="s">
        <v>5515</v>
      </c>
      <c r="AB941" s="60"/>
      <c r="AC941" s="147" t="s">
        <v>5516</v>
      </c>
      <c r="AD941" s="144">
        <v>18.0</v>
      </c>
      <c r="AE941" s="60"/>
      <c r="AF941" s="60"/>
      <c r="AG941" s="60"/>
      <c r="AH941" s="329"/>
      <c r="AI941" s="355">
        <v>0.001</v>
      </c>
      <c r="AJ941" s="52" t="s">
        <v>127</v>
      </c>
      <c r="AK941" s="147" t="s">
        <v>179</v>
      </c>
      <c r="AL941" s="52" t="s">
        <v>129</v>
      </c>
      <c r="AM941" s="60"/>
      <c r="AN941" s="1267">
        <v>3413.0</v>
      </c>
      <c r="AO941" s="1268" t="s">
        <v>5517</v>
      </c>
      <c r="AP941" s="1268" t="s">
        <v>162</v>
      </c>
      <c r="AQ941" s="1268" t="s">
        <v>1574</v>
      </c>
      <c r="AR941" s="1265">
        <v>0.001</v>
      </c>
      <c r="AS941" s="1268" t="s">
        <v>127</v>
      </c>
      <c r="AT941" s="147" t="s">
        <v>179</v>
      </c>
      <c r="AU941" s="147" t="s">
        <v>129</v>
      </c>
      <c r="AV941" s="303" t="s">
        <v>5518</v>
      </c>
      <c r="AW941" s="147" t="s">
        <v>134</v>
      </c>
      <c r="AY941" s="60" t="s">
        <v>244</v>
      </c>
    </row>
    <row r="942">
      <c r="A942" s="314" t="s">
        <v>5350</v>
      </c>
      <c r="B942" s="136" t="s">
        <v>107</v>
      </c>
      <c r="C942" s="136" t="s">
        <v>243</v>
      </c>
      <c r="D942" s="64"/>
      <c r="E942" s="1257" t="s">
        <v>5509</v>
      </c>
      <c r="F942" s="147" t="s">
        <v>5510</v>
      </c>
      <c r="G942" s="1247" t="s">
        <v>244</v>
      </c>
      <c r="H942" s="140">
        <v>45331.0</v>
      </c>
      <c r="I942" s="140">
        <v>45688.0</v>
      </c>
      <c r="J942" s="142" t="s">
        <v>5398</v>
      </c>
      <c r="K942" s="60"/>
      <c r="L942" s="453" t="s">
        <v>5513</v>
      </c>
      <c r="M942" s="147" t="s">
        <v>5514</v>
      </c>
      <c r="N942" s="115">
        <v>1.0</v>
      </c>
      <c r="O942" s="847" t="s">
        <v>5519</v>
      </c>
      <c r="P942" s="48" t="str">
        <f t="array" ref="P942">HYPERLINK(INDEX('File Links'!B:B, MATCH(O942, 'File Links'!C:C, 0)))
</f>
        <v>https://drive.google.com/file/d/1iPMC-k9xrxfHtNZFhdKSSGpPAPPmY3J4/view?usp=drivesdk</v>
      </c>
      <c r="Q942" s="1249" t="s">
        <v>5329</v>
      </c>
      <c r="R942" s="147" t="s">
        <v>5330</v>
      </c>
      <c r="S942" s="60"/>
      <c r="T942" s="60"/>
      <c r="U942" s="847" t="s">
        <v>5332</v>
      </c>
      <c r="V942" s="1212" t="s">
        <v>5333</v>
      </c>
      <c r="W942" s="50" t="str">
        <f t="array" ref="W942">HYPERLINK(INDEX('File Links'!B:B, MATCH(U942, 'File Links'!C:C, 0)))
</f>
        <v>https://drive.google.com/file/d/1hjI3aqifdfXjWhQAlvKCKKtvjuncAn5M/view?usp=drivesdk</v>
      </c>
      <c r="X942" s="60"/>
      <c r="Y942" s="147" t="s">
        <v>156</v>
      </c>
      <c r="Z942" s="115" t="s">
        <v>165</v>
      </c>
      <c r="AA942" s="147" t="s">
        <v>5344</v>
      </c>
      <c r="AB942" s="60"/>
      <c r="AC942" s="147" t="s">
        <v>5520</v>
      </c>
      <c r="AD942" s="147" t="s">
        <v>1574</v>
      </c>
      <c r="AE942" s="144">
        <v>3413.0</v>
      </c>
      <c r="AF942" s="1254">
        <v>0.74</v>
      </c>
      <c r="AG942" s="147" t="s">
        <v>166</v>
      </c>
      <c r="AH942" s="330" t="s">
        <v>5521</v>
      </c>
      <c r="AI942" s="355">
        <v>0.001</v>
      </c>
      <c r="AJ942" s="52" t="s">
        <v>127</v>
      </c>
      <c r="AK942" s="147" t="s">
        <v>179</v>
      </c>
      <c r="AL942" s="1246" t="s">
        <v>129</v>
      </c>
      <c r="AM942" s="147" t="s">
        <v>129</v>
      </c>
      <c r="AN942" s="1251">
        <v>200.0</v>
      </c>
      <c r="AO942" s="144">
        <v>0.63</v>
      </c>
      <c r="AP942" s="147" t="s">
        <v>166</v>
      </c>
      <c r="AQ942" s="147" t="s">
        <v>5522</v>
      </c>
      <c r="AR942" s="144">
        <v>0.001</v>
      </c>
      <c r="AS942" s="147" t="s">
        <v>127</v>
      </c>
      <c r="AT942" s="147" t="s">
        <v>179</v>
      </c>
      <c r="AU942" s="142" t="s">
        <v>129</v>
      </c>
      <c r="AV942" s="453" t="s">
        <v>5523</v>
      </c>
      <c r="AW942" s="142" t="s">
        <v>134</v>
      </c>
      <c r="AY942" s="60" t="s">
        <v>244</v>
      </c>
    </row>
    <row r="943">
      <c r="A943" s="60" t="s">
        <v>106</v>
      </c>
      <c r="B943" s="136" t="s">
        <v>107</v>
      </c>
      <c r="C943" s="136" t="s">
        <v>3672</v>
      </c>
      <c r="D943" s="64"/>
      <c r="E943" s="1257" t="s">
        <v>5524</v>
      </c>
      <c r="F943" s="147" t="s">
        <v>5525</v>
      </c>
      <c r="G943" s="1247" t="s">
        <v>3673</v>
      </c>
      <c r="H943" s="140">
        <v>45674.0</v>
      </c>
      <c r="I943" s="140">
        <v>45688.0</v>
      </c>
      <c r="J943" s="60"/>
      <c r="K943" s="60" t="s">
        <v>5526</v>
      </c>
      <c r="L943" s="453" t="s">
        <v>5527</v>
      </c>
      <c r="M943" s="147" t="s">
        <v>5528</v>
      </c>
      <c r="N943" s="115">
        <v>1.0</v>
      </c>
      <c r="O943" s="847" t="str">
        <f>SUBSTITUTE(LOWER(M943), "/", "--") &amp;  ".pdf"</f>
        <v>10.1080--09515080902802769.pdf</v>
      </c>
      <c r="P943" s="48" t="str">
        <f t="array" ref="P943">HYPERLINK(INDEX('File Links'!B:B, MATCH(O943, 'File Links'!C:C, 0)))
</f>
        <v>https://drive.google.com/file/d/1FBVDq-txued5VjX89SxjAxiqVp_WzRYr/view?usp=drivesdk</v>
      </c>
      <c r="Q943" s="1249" t="s">
        <v>5329</v>
      </c>
      <c r="R943" s="303" t="s">
        <v>5330</v>
      </c>
      <c r="S943" s="303" t="s">
        <v>5331</v>
      </c>
      <c r="T943" s="144">
        <v>21.0</v>
      </c>
      <c r="U943" s="847" t="s">
        <v>5332</v>
      </c>
      <c r="V943" s="1212" t="s">
        <v>5333</v>
      </c>
      <c r="W943" s="50" t="str">
        <f t="array" ref="W943">HYPERLINK(INDEX('File Links'!B:B, MATCH(U943, 'File Links'!C:C, 0)))
</f>
        <v>https://drive.google.com/file/d/1hjI3aqifdfXjWhQAlvKCKKtvjuncAn5M/view?usp=drivesdk</v>
      </c>
      <c r="X943" s="60"/>
      <c r="Y943" s="147" t="s">
        <v>156</v>
      </c>
      <c r="Z943" s="115" t="s">
        <v>165</v>
      </c>
      <c r="AA943" s="147" t="s">
        <v>5529</v>
      </c>
      <c r="AB943" s="60"/>
      <c r="AC943" s="147" t="s">
        <v>5530</v>
      </c>
      <c r="AD943" s="144">
        <v>8.0</v>
      </c>
      <c r="AE943" s="60"/>
      <c r="AF943" s="60"/>
      <c r="AG943" s="60"/>
      <c r="AH943" s="329"/>
      <c r="AI943" s="355">
        <v>0.001</v>
      </c>
      <c r="AJ943" s="52" t="s">
        <v>127</v>
      </c>
      <c r="AK943" s="147" t="s">
        <v>179</v>
      </c>
      <c r="AL943" s="52" t="s">
        <v>129</v>
      </c>
      <c r="AM943" s="60"/>
      <c r="AN943" s="1251">
        <v>118.0</v>
      </c>
      <c r="AO943" s="147" t="s">
        <v>5531</v>
      </c>
      <c r="AP943" s="147" t="s">
        <v>162</v>
      </c>
      <c r="AQ943" s="147" t="s">
        <v>629</v>
      </c>
      <c r="AR943" s="144">
        <v>0.917</v>
      </c>
      <c r="AS943" s="147" t="s">
        <v>164</v>
      </c>
      <c r="AT943" s="147" t="s">
        <v>211</v>
      </c>
      <c r="AU943" s="147" t="s">
        <v>129</v>
      </c>
      <c r="AV943" s="303" t="s">
        <v>5532</v>
      </c>
      <c r="AW943" s="147" t="s">
        <v>134</v>
      </c>
      <c r="AY943" s="60" t="s">
        <v>244</v>
      </c>
    </row>
    <row r="944">
      <c r="A944" s="314" t="s">
        <v>5350</v>
      </c>
      <c r="B944" s="136" t="s">
        <v>107</v>
      </c>
      <c r="C944" s="136" t="s">
        <v>243</v>
      </c>
      <c r="D944" s="64"/>
      <c r="E944" s="1257" t="s">
        <v>5524</v>
      </c>
      <c r="F944" s="147" t="s">
        <v>5525</v>
      </c>
      <c r="G944" s="1247" t="s">
        <v>244</v>
      </c>
      <c r="H944" s="140">
        <v>45331.0</v>
      </c>
      <c r="I944" s="140">
        <v>45688.0</v>
      </c>
      <c r="J944" s="142" t="s">
        <v>5398</v>
      </c>
      <c r="K944" s="147" t="s">
        <v>5533</v>
      </c>
      <c r="L944" s="147" t="s">
        <v>5527</v>
      </c>
      <c r="M944" s="147" t="s">
        <v>5528</v>
      </c>
      <c r="N944" s="115">
        <v>1.0</v>
      </c>
      <c r="O944" s="847" t="s">
        <v>5534</v>
      </c>
      <c r="P944" s="48" t="str">
        <f t="array" ref="P944">HYPERLINK(INDEX('File Links'!B:B, MATCH(O944, 'File Links'!C:C, 0)))
</f>
        <v>https://drive.google.com/file/d/1FBVDq-txued5VjX89SxjAxiqVp_WzRYr/view?usp=drivesdk</v>
      </c>
      <c r="Q944" s="1249" t="s">
        <v>5329</v>
      </c>
      <c r="R944" s="147" t="s">
        <v>5330</v>
      </c>
      <c r="S944" s="60"/>
      <c r="T944" s="60"/>
      <c r="U944" s="847" t="s">
        <v>5332</v>
      </c>
      <c r="V944" s="1212" t="s">
        <v>5333</v>
      </c>
      <c r="W944" s="50" t="str">
        <f t="array" ref="W944">HYPERLINK(INDEX('File Links'!B:B, MATCH(U944, 'File Links'!C:C, 0)))
</f>
        <v>https://drive.google.com/file/d/1hjI3aqifdfXjWhQAlvKCKKtvjuncAn5M/view?usp=drivesdk</v>
      </c>
      <c r="X944" s="60"/>
      <c r="Y944" s="147" t="s">
        <v>156</v>
      </c>
      <c r="Z944" s="115" t="s">
        <v>165</v>
      </c>
      <c r="AA944" s="147" t="s">
        <v>5344</v>
      </c>
      <c r="AB944" s="60"/>
      <c r="AC944" s="147" t="s">
        <v>5535</v>
      </c>
      <c r="AD944" s="147" t="s">
        <v>5536</v>
      </c>
      <c r="AE944" s="144">
        <v>118.0</v>
      </c>
      <c r="AF944" s="1269">
        <v>0.6878307</v>
      </c>
      <c r="AG944" s="147" t="s">
        <v>166</v>
      </c>
      <c r="AH944" s="330" t="s">
        <v>5537</v>
      </c>
      <c r="AI944" s="355">
        <v>0.001</v>
      </c>
      <c r="AJ944" s="52" t="s">
        <v>127</v>
      </c>
      <c r="AK944" s="147" t="s">
        <v>179</v>
      </c>
      <c r="AL944" s="1246" t="s">
        <v>129</v>
      </c>
      <c r="AM944" s="147" t="s">
        <v>129</v>
      </c>
      <c r="AN944" s="1251">
        <v>204.0</v>
      </c>
      <c r="AO944" s="144">
        <v>-0.198</v>
      </c>
      <c r="AP944" s="147" t="s">
        <v>166</v>
      </c>
      <c r="AQ944" s="147" t="s">
        <v>5538</v>
      </c>
      <c r="AR944" s="144">
        <v>0.917</v>
      </c>
      <c r="AS944" s="147" t="s">
        <v>164</v>
      </c>
      <c r="AT944" s="147" t="s">
        <v>179</v>
      </c>
      <c r="AU944" s="142" t="s">
        <v>129</v>
      </c>
      <c r="AV944" s="453" t="s">
        <v>5539</v>
      </c>
      <c r="AW944" s="142" t="s">
        <v>134</v>
      </c>
      <c r="AY944" s="60" t="s">
        <v>244</v>
      </c>
    </row>
    <row r="945">
      <c r="A945" s="142" t="s">
        <v>106</v>
      </c>
      <c r="B945" s="136" t="s">
        <v>107</v>
      </c>
      <c r="C945" s="136" t="s">
        <v>3672</v>
      </c>
      <c r="D945" s="64"/>
      <c r="E945" s="1257" t="s">
        <v>5540</v>
      </c>
      <c r="F945" s="147" t="s">
        <v>5541</v>
      </c>
      <c r="G945" s="1247" t="s">
        <v>3673</v>
      </c>
      <c r="H945" s="140">
        <v>45674.0</v>
      </c>
      <c r="I945" s="140">
        <v>45691.0</v>
      </c>
      <c r="J945" s="147" t="s">
        <v>5542</v>
      </c>
      <c r="K945" s="60"/>
      <c r="L945" s="147" t="s">
        <v>5543</v>
      </c>
      <c r="M945" s="147" t="s">
        <v>5544</v>
      </c>
      <c r="N945" s="115">
        <v>1.0</v>
      </c>
      <c r="O945" s="847" t="str">
        <f>SUBSTITUTE(LOWER(M945), "/", "--") &amp;  ".pdf"</f>
        <v>10.1016--j.concog.2008.11.006.pdf</v>
      </c>
      <c r="P945" s="48" t="str">
        <f t="array" ref="P945">HYPERLINK(INDEX('File Links'!B:B, MATCH(O945, 'File Links'!C:C, 0)))
</f>
        <v>https://drive.google.com/file/d/1jf3ctwxwUpc5AYKxlkNN-odE2ElrZuqN/view?usp=drivesdk</v>
      </c>
      <c r="Q945" s="1249" t="s">
        <v>5329</v>
      </c>
      <c r="R945" s="303" t="s">
        <v>5330</v>
      </c>
      <c r="S945" s="303" t="s">
        <v>5331</v>
      </c>
      <c r="T945" s="1265">
        <v>22.0</v>
      </c>
      <c r="U945" s="847" t="s">
        <v>5332</v>
      </c>
      <c r="V945" s="1212" t="s">
        <v>5333</v>
      </c>
      <c r="W945" s="50" t="str">
        <f t="array" ref="W945">HYPERLINK(INDEX('File Links'!B:B, MATCH(U945, 'File Links'!C:C, 0)))
</f>
        <v>https://drive.google.com/file/d/1hjI3aqifdfXjWhQAlvKCKKtvjuncAn5M/view?usp=drivesdk</v>
      </c>
      <c r="X945" s="60"/>
      <c r="Y945" s="147" t="s">
        <v>156</v>
      </c>
      <c r="Z945" s="115" t="s">
        <v>165</v>
      </c>
      <c r="AA945" s="147" t="s">
        <v>5545</v>
      </c>
      <c r="AB945" s="60"/>
      <c r="AC945" s="147" t="s">
        <v>5546</v>
      </c>
      <c r="AD945" s="147" t="s">
        <v>5338</v>
      </c>
      <c r="AE945" s="60"/>
      <c r="AF945" s="60"/>
      <c r="AG945" s="60"/>
      <c r="AH945" s="329"/>
      <c r="AI945" s="55"/>
      <c r="AJ945" s="55"/>
      <c r="AK945" s="60"/>
      <c r="AL945" s="55"/>
      <c r="AM945" s="60"/>
      <c r="AN945" s="1251">
        <v>231.0</v>
      </c>
      <c r="AO945" s="60"/>
      <c r="AP945" s="60"/>
      <c r="AQ945" s="60"/>
      <c r="AR945" s="144">
        <v>0.002</v>
      </c>
      <c r="AS945" s="147" t="s">
        <v>164</v>
      </c>
      <c r="AT945" s="147" t="s">
        <v>179</v>
      </c>
      <c r="AU945" s="147" t="s">
        <v>129</v>
      </c>
      <c r="AV945" s="60"/>
      <c r="AW945" s="147" t="s">
        <v>134</v>
      </c>
      <c r="AY945" s="60" t="s">
        <v>244</v>
      </c>
    </row>
    <row r="946">
      <c r="A946" s="314" t="s">
        <v>5350</v>
      </c>
      <c r="B946" s="136" t="s">
        <v>107</v>
      </c>
      <c r="C946" s="136" t="s">
        <v>243</v>
      </c>
      <c r="D946" s="64"/>
      <c r="E946" s="1257" t="s">
        <v>5540</v>
      </c>
      <c r="F946" s="147" t="s">
        <v>5541</v>
      </c>
      <c r="G946" s="1247" t="s">
        <v>244</v>
      </c>
      <c r="H946" s="140">
        <v>45331.0</v>
      </c>
      <c r="I946" s="140">
        <v>45691.0</v>
      </c>
      <c r="J946" s="142" t="s">
        <v>5547</v>
      </c>
      <c r="K946" s="60"/>
      <c r="L946" s="147" t="s">
        <v>5543</v>
      </c>
      <c r="M946" s="147" t="s">
        <v>5544</v>
      </c>
      <c r="N946" s="115">
        <v>1.0</v>
      </c>
      <c r="O946" s="847" t="s">
        <v>5548</v>
      </c>
      <c r="P946" s="48" t="str">
        <f t="array" ref="P946">HYPERLINK(INDEX('File Links'!B:B, MATCH(O946, 'File Links'!C:C, 0)))
</f>
        <v>https://drive.google.com/file/d/1jf3ctwxwUpc5AYKxlkNN-odE2ElrZuqN/view?usp=drivesdk</v>
      </c>
      <c r="Q946" s="1249" t="s">
        <v>5329</v>
      </c>
      <c r="R946" s="147" t="s">
        <v>5330</v>
      </c>
      <c r="S946" s="60"/>
      <c r="T946" s="60"/>
      <c r="U946" s="847" t="s">
        <v>5332</v>
      </c>
      <c r="V946" s="1212" t="s">
        <v>5333</v>
      </c>
      <c r="W946" s="50" t="str">
        <f t="array" ref="W946">HYPERLINK(INDEX('File Links'!B:B, MATCH(U946, 'File Links'!C:C, 0)))
</f>
        <v>https://drive.google.com/file/d/1hjI3aqifdfXjWhQAlvKCKKtvjuncAn5M/view?usp=drivesdk</v>
      </c>
      <c r="X946" s="60"/>
      <c r="Y946" s="147" t="s">
        <v>156</v>
      </c>
      <c r="Z946" s="115" t="s">
        <v>165</v>
      </c>
      <c r="AA946" s="147" t="s">
        <v>5344</v>
      </c>
      <c r="AB946" s="60"/>
      <c r="AC946" s="147" t="s">
        <v>165</v>
      </c>
      <c r="AD946" s="147" t="s">
        <v>165</v>
      </c>
      <c r="AE946" s="144">
        <v>231.0</v>
      </c>
      <c r="AF946" s="142" t="s">
        <v>165</v>
      </c>
      <c r="AG946" s="60"/>
      <c r="AH946" s="330" t="s">
        <v>165</v>
      </c>
      <c r="AI946" s="52" t="s">
        <v>165</v>
      </c>
      <c r="AJ946" s="55"/>
      <c r="AK946" s="147" t="s">
        <v>179</v>
      </c>
      <c r="AL946" s="1246" t="s">
        <v>129</v>
      </c>
      <c r="AM946" s="147" t="s">
        <v>129</v>
      </c>
      <c r="AN946" s="1251">
        <v>500.0</v>
      </c>
      <c r="AO946" s="144">
        <v>0.139</v>
      </c>
      <c r="AP946" s="147" t="s">
        <v>208</v>
      </c>
      <c r="AQ946" s="147" t="s">
        <v>5549</v>
      </c>
      <c r="AR946" s="144">
        <v>0.002</v>
      </c>
      <c r="AS946" s="147" t="s">
        <v>164</v>
      </c>
      <c r="AT946" s="147" t="s">
        <v>179</v>
      </c>
      <c r="AU946" s="142" t="s">
        <v>129</v>
      </c>
      <c r="AV946" s="453" t="s">
        <v>5550</v>
      </c>
      <c r="AW946" s="142" t="s">
        <v>134</v>
      </c>
      <c r="AY946" s="60" t="s">
        <v>244</v>
      </c>
    </row>
    <row r="947">
      <c r="A947" s="60" t="s">
        <v>586</v>
      </c>
      <c r="B947" s="136" t="s">
        <v>107</v>
      </c>
      <c r="C947" s="136" t="s">
        <v>3672</v>
      </c>
      <c r="D947" s="64"/>
      <c r="E947" s="1246" t="s">
        <v>5551</v>
      </c>
      <c r="F947" s="147" t="s">
        <v>5552</v>
      </c>
      <c r="G947" s="1247" t="s">
        <v>3673</v>
      </c>
      <c r="H947" s="140">
        <v>45674.0</v>
      </c>
      <c r="I947" s="140">
        <v>45691.0</v>
      </c>
      <c r="J947" s="147" t="s">
        <v>5553</v>
      </c>
      <c r="K947" s="60" t="s">
        <v>5554</v>
      </c>
      <c r="L947" s="147" t="s">
        <v>5555</v>
      </c>
      <c r="M947" s="147" t="s">
        <v>5556</v>
      </c>
      <c r="N947" s="115">
        <v>1.0</v>
      </c>
      <c r="O947" s="847" t="str">
        <f>SUBSTITUTE(LOWER(M947), "/", "--") &amp;  ".pdf"</f>
        <v>10.1080--09515080903532290.pdf</v>
      </c>
      <c r="P947" s="48" t="str">
        <f t="array" ref="P947">HYPERLINK(INDEX('File Links'!B:B, MATCH(O947, 'File Links'!C:C, 0)))
</f>
        <v>https://drive.google.com/file/d/1V4dif0GlZHpTSBPr0wrGGqKPzj36JjUm/view?usp=drivesdk</v>
      </c>
      <c r="Q947" s="1249" t="s">
        <v>5329</v>
      </c>
      <c r="R947" s="303" t="s">
        <v>5330</v>
      </c>
      <c r="S947" s="303" t="s">
        <v>5331</v>
      </c>
      <c r="T947" s="144">
        <v>23.0</v>
      </c>
      <c r="U947" s="847" t="s">
        <v>5332</v>
      </c>
      <c r="V947" s="1212" t="s">
        <v>5333</v>
      </c>
      <c r="W947" s="50" t="str">
        <f t="array" ref="W947">HYPERLINK(INDEX('File Links'!B:B, MATCH(U947, 'File Links'!C:C, 0)))
</f>
        <v>https://drive.google.com/file/d/1hjI3aqifdfXjWhQAlvKCKKtvjuncAn5M/view?usp=drivesdk</v>
      </c>
      <c r="X947" s="60"/>
      <c r="Y947" s="147" t="s">
        <v>156</v>
      </c>
      <c r="Z947" s="115" t="s">
        <v>165</v>
      </c>
      <c r="AA947" s="147" t="s">
        <v>5557</v>
      </c>
      <c r="AB947" s="60"/>
      <c r="AC947" s="147" t="s">
        <v>5558</v>
      </c>
      <c r="AD947" s="147" t="s">
        <v>5559</v>
      </c>
      <c r="AE947" s="60"/>
      <c r="AF947" s="60"/>
      <c r="AG947" s="60"/>
      <c r="AH947" s="329"/>
      <c r="AI947" s="55"/>
      <c r="AJ947" s="55"/>
      <c r="AK947" s="60"/>
      <c r="AL947" s="52" t="s">
        <v>129</v>
      </c>
      <c r="AM947" s="60"/>
      <c r="AN947" s="1251">
        <v>48.0</v>
      </c>
      <c r="AO947" s="147" t="s">
        <v>5560</v>
      </c>
      <c r="AP947" s="147" t="s">
        <v>722</v>
      </c>
      <c r="AQ947" s="147" t="s">
        <v>5561</v>
      </c>
      <c r="AR947" s="144">
        <v>0.03</v>
      </c>
      <c r="AS947" s="147" t="s">
        <v>164</v>
      </c>
      <c r="AT947" s="147" t="s">
        <v>179</v>
      </c>
      <c r="AU947" s="147" t="s">
        <v>129</v>
      </c>
      <c r="AV947" s="303" t="s">
        <v>5562</v>
      </c>
      <c r="AW947" s="147" t="s">
        <v>134</v>
      </c>
      <c r="AY947" s="60" t="s">
        <v>244</v>
      </c>
    </row>
    <row r="948">
      <c r="A948" s="60" t="s">
        <v>586</v>
      </c>
      <c r="B948" s="136" t="s">
        <v>107</v>
      </c>
      <c r="C948" s="136" t="s">
        <v>243</v>
      </c>
      <c r="D948" s="64"/>
      <c r="E948" s="1246" t="s">
        <v>5551</v>
      </c>
      <c r="F948" s="147" t="s">
        <v>5552</v>
      </c>
      <c r="G948" s="1247" t="s">
        <v>244</v>
      </c>
      <c r="H948" s="140">
        <v>45331.0</v>
      </c>
      <c r="I948" s="140">
        <v>45691.0</v>
      </c>
      <c r="J948" s="147" t="s">
        <v>5563</v>
      </c>
      <c r="K948" s="60" t="s">
        <v>5554</v>
      </c>
      <c r="L948" s="147" t="s">
        <v>5555</v>
      </c>
      <c r="M948" s="147" t="s">
        <v>5556</v>
      </c>
      <c r="N948" s="115">
        <v>1.0</v>
      </c>
      <c r="O948" s="847" t="s">
        <v>5564</v>
      </c>
      <c r="P948" s="48" t="str">
        <f t="array" ref="P948">HYPERLINK(INDEX('File Links'!B:B, MATCH(O948, 'File Links'!C:C, 0)))
</f>
        <v>https://drive.google.com/file/d/1V4dif0GlZHpTSBPr0wrGGqKPzj36JjUm/view?usp=drivesdk</v>
      </c>
      <c r="Q948" s="1249" t="s">
        <v>5329</v>
      </c>
      <c r="R948" s="147" t="s">
        <v>5330</v>
      </c>
      <c r="S948" s="60"/>
      <c r="T948" s="60"/>
      <c r="U948" s="847" t="s">
        <v>5332</v>
      </c>
      <c r="V948" s="1212" t="s">
        <v>5333</v>
      </c>
      <c r="W948" s="50" t="str">
        <f t="array" ref="W948">HYPERLINK(INDEX('File Links'!B:B, MATCH(U948, 'File Links'!C:C, 0)))
</f>
        <v>https://drive.google.com/file/d/1hjI3aqifdfXjWhQAlvKCKKtvjuncAn5M/view?usp=drivesdk</v>
      </c>
      <c r="X948" s="60"/>
      <c r="Y948" s="147" t="s">
        <v>156</v>
      </c>
      <c r="Z948" s="115" t="s">
        <v>165</v>
      </c>
      <c r="AA948" s="147" t="s">
        <v>5344</v>
      </c>
      <c r="AB948" s="60"/>
      <c r="AC948" s="60"/>
      <c r="AD948" s="60"/>
      <c r="AE948" s="144">
        <v>48.0</v>
      </c>
      <c r="AF948" s="1254">
        <v>0.36</v>
      </c>
      <c r="AG948" s="147" t="s">
        <v>5340</v>
      </c>
      <c r="AH948" s="330" t="s">
        <v>5565</v>
      </c>
      <c r="AI948" s="355">
        <v>0.05</v>
      </c>
      <c r="AJ948" s="52" t="s">
        <v>127</v>
      </c>
      <c r="AK948" s="147" t="s">
        <v>179</v>
      </c>
      <c r="AL948" s="1246" t="s">
        <v>129</v>
      </c>
      <c r="AM948" s="147" t="s">
        <v>129</v>
      </c>
      <c r="AN948" s="1251">
        <v>60.0</v>
      </c>
      <c r="AO948" s="144">
        <v>0.27</v>
      </c>
      <c r="AP948" s="147" t="s">
        <v>5340</v>
      </c>
      <c r="AQ948" s="147" t="s">
        <v>5566</v>
      </c>
      <c r="AR948" s="144">
        <v>0.04</v>
      </c>
      <c r="AS948" s="147" t="s">
        <v>164</v>
      </c>
      <c r="AT948" s="147" t="s">
        <v>179</v>
      </c>
      <c r="AU948" s="142" t="s">
        <v>129</v>
      </c>
      <c r="AV948" s="453" t="s">
        <v>5567</v>
      </c>
      <c r="AW948" s="142" t="s">
        <v>134</v>
      </c>
      <c r="AY948" s="60" t="s">
        <v>244</v>
      </c>
    </row>
    <row r="949">
      <c r="A949" s="142" t="s">
        <v>106</v>
      </c>
      <c r="B949" s="136" t="s">
        <v>107</v>
      </c>
      <c r="C949" s="136" t="s">
        <v>3672</v>
      </c>
      <c r="D949" s="64"/>
      <c r="E949" s="1257" t="s">
        <v>5568</v>
      </c>
      <c r="F949" s="147" t="s">
        <v>5569</v>
      </c>
      <c r="G949" s="1247" t="s">
        <v>3673</v>
      </c>
      <c r="H949" s="140">
        <v>45674.0</v>
      </c>
      <c r="I949" s="140">
        <v>45691.0</v>
      </c>
      <c r="J949" s="147" t="s">
        <v>5570</v>
      </c>
      <c r="K949" s="60"/>
      <c r="L949" s="147" t="s">
        <v>5571</v>
      </c>
      <c r="M949" s="147" t="s">
        <v>5572</v>
      </c>
      <c r="N949" s="115">
        <v>1.0</v>
      </c>
      <c r="O949" s="847" t="str">
        <f>SUBSTITUTE(LOWER(M949), "/", "--") &amp;  ".pdf"</f>
        <v>10.1111--j.1468-0017.2010.01398.x.pdf</v>
      </c>
      <c r="P949" s="48" t="str">
        <f t="array" ref="P949">HYPERLINK(INDEX('File Links'!B:B, MATCH(O949, 'File Links'!C:C, 0)))
</f>
        <v>https://drive.google.com/file/d/1Q-7NFLR9V_1Z9QaSQGnQmRUgw6UigOsQ/view?usp=drivesdk</v>
      </c>
      <c r="Q949" s="1249" t="s">
        <v>5329</v>
      </c>
      <c r="R949" s="303" t="s">
        <v>5330</v>
      </c>
      <c r="S949" s="303" t="s">
        <v>5331</v>
      </c>
      <c r="T949" s="144">
        <v>24.0</v>
      </c>
      <c r="U949" s="847" t="s">
        <v>5332</v>
      </c>
      <c r="V949" s="1212" t="s">
        <v>5333</v>
      </c>
      <c r="W949" s="50" t="str">
        <f t="array" ref="W949">HYPERLINK(INDEX('File Links'!B:B, MATCH(U949, 'File Links'!C:C, 0)))
</f>
        <v>https://drive.google.com/file/d/1hjI3aqifdfXjWhQAlvKCKKtvjuncAn5M/view?usp=drivesdk</v>
      </c>
      <c r="X949" s="60"/>
      <c r="Y949" s="147" t="s">
        <v>156</v>
      </c>
      <c r="Z949" s="115" t="s">
        <v>165</v>
      </c>
      <c r="AA949" s="147" t="s">
        <v>5573</v>
      </c>
      <c r="AB949" s="60"/>
      <c r="AC949" s="147" t="s">
        <v>5574</v>
      </c>
      <c r="AD949" s="147" t="s">
        <v>5338</v>
      </c>
      <c r="AE949" s="60"/>
      <c r="AF949" s="60"/>
      <c r="AG949" s="60"/>
      <c r="AH949" s="329"/>
      <c r="AI949" s="355">
        <v>0.001</v>
      </c>
      <c r="AJ949" s="52" t="s">
        <v>127</v>
      </c>
      <c r="AK949" s="147" t="s">
        <v>179</v>
      </c>
      <c r="AL949" s="52" t="s">
        <v>129</v>
      </c>
      <c r="AM949" s="60"/>
      <c r="AN949" s="1251">
        <v>749.0</v>
      </c>
      <c r="AO949" s="147" t="s">
        <v>5575</v>
      </c>
      <c r="AP949" s="147" t="s">
        <v>162</v>
      </c>
      <c r="AQ949" s="147" t="s">
        <v>210</v>
      </c>
      <c r="AR949" s="144">
        <v>5.0E-4</v>
      </c>
      <c r="AS949" s="147" t="s">
        <v>127</v>
      </c>
      <c r="AT949" s="147" t="s">
        <v>179</v>
      </c>
      <c r="AU949" s="147" t="s">
        <v>129</v>
      </c>
      <c r="AV949" s="60"/>
      <c r="AW949" s="147" t="s">
        <v>134</v>
      </c>
      <c r="AY949" s="60" t="s">
        <v>244</v>
      </c>
    </row>
    <row r="950">
      <c r="A950" s="314" t="s">
        <v>5350</v>
      </c>
      <c r="B950" s="136" t="s">
        <v>107</v>
      </c>
      <c r="C950" s="136" t="s">
        <v>243</v>
      </c>
      <c r="D950" s="64"/>
      <c r="E950" s="1257" t="s">
        <v>5568</v>
      </c>
      <c r="F950" s="147" t="s">
        <v>5569</v>
      </c>
      <c r="G950" s="1247" t="s">
        <v>244</v>
      </c>
      <c r="H950" s="140">
        <v>45331.0</v>
      </c>
      <c r="I950" s="140">
        <v>45691.0</v>
      </c>
      <c r="J950" s="142" t="s">
        <v>5398</v>
      </c>
      <c r="K950" s="60"/>
      <c r="L950" s="147" t="s">
        <v>5571</v>
      </c>
      <c r="M950" s="147" t="s">
        <v>5572</v>
      </c>
      <c r="N950" s="115">
        <v>1.0</v>
      </c>
      <c r="O950" s="847" t="s">
        <v>5576</v>
      </c>
      <c r="P950" s="48" t="str">
        <f t="array" ref="P950">HYPERLINK(INDEX('File Links'!B:B, MATCH(O950, 'File Links'!C:C, 0)))
</f>
        <v>https://drive.google.com/file/d/1Q-7NFLR9V_1Z9QaSQGnQmRUgw6UigOsQ/view?usp=drivesdk</v>
      </c>
      <c r="Q950" s="1249" t="s">
        <v>5329</v>
      </c>
      <c r="R950" s="147" t="s">
        <v>5330</v>
      </c>
      <c r="S950" s="60"/>
      <c r="T950" s="60"/>
      <c r="U950" s="847" t="s">
        <v>5332</v>
      </c>
      <c r="V950" s="1212" t="s">
        <v>5333</v>
      </c>
      <c r="W950" s="50" t="str">
        <f t="array" ref="W950">HYPERLINK(INDEX('File Links'!B:B, MATCH(U950, 'File Links'!C:C, 0)))
</f>
        <v>https://drive.google.com/file/d/1hjI3aqifdfXjWhQAlvKCKKtvjuncAn5M/view?usp=drivesdk</v>
      </c>
      <c r="X950" s="60"/>
      <c r="Y950" s="147" t="s">
        <v>156</v>
      </c>
      <c r="Z950" s="115" t="s">
        <v>165</v>
      </c>
      <c r="AA950" s="147" t="s">
        <v>5344</v>
      </c>
      <c r="AB950" s="60"/>
      <c r="AC950" s="147" t="s">
        <v>5577</v>
      </c>
      <c r="AD950" s="147" t="s">
        <v>5578</v>
      </c>
      <c r="AE950" s="144">
        <v>749.0</v>
      </c>
      <c r="AF950" s="1254">
        <v>0.74</v>
      </c>
      <c r="AG950" s="147" t="s">
        <v>166</v>
      </c>
      <c r="AH950" s="330" t="s">
        <v>5579</v>
      </c>
      <c r="AI950" s="355">
        <v>0.001</v>
      </c>
      <c r="AJ950" s="52" t="s">
        <v>127</v>
      </c>
      <c r="AK950" s="147" t="s">
        <v>179</v>
      </c>
      <c r="AL950" s="1246" t="s">
        <v>129</v>
      </c>
      <c r="AM950" s="147" t="s">
        <v>129</v>
      </c>
      <c r="AN950" s="1251">
        <v>514.0</v>
      </c>
      <c r="AO950" s="144">
        <v>0.66</v>
      </c>
      <c r="AP950" s="147" t="s">
        <v>166</v>
      </c>
      <c r="AQ950" s="147" t="s">
        <v>5580</v>
      </c>
      <c r="AR950" s="144">
        <v>0.001</v>
      </c>
      <c r="AS950" s="147" t="s">
        <v>127</v>
      </c>
      <c r="AT950" s="147" t="s">
        <v>179</v>
      </c>
      <c r="AU950" s="142" t="s">
        <v>129</v>
      </c>
      <c r="AV950" s="453" t="s">
        <v>5581</v>
      </c>
      <c r="AW950" s="142" t="s">
        <v>134</v>
      </c>
      <c r="AY950" s="60" t="s">
        <v>244</v>
      </c>
    </row>
    <row r="951">
      <c r="A951" s="142" t="s">
        <v>106</v>
      </c>
      <c r="B951" s="136" t="s">
        <v>107</v>
      </c>
      <c r="C951" s="136" t="s">
        <v>3672</v>
      </c>
      <c r="D951" s="64"/>
      <c r="E951" s="1246" t="s">
        <v>5582</v>
      </c>
      <c r="F951" s="147" t="s">
        <v>5583</v>
      </c>
      <c r="G951" s="1247" t="s">
        <v>3673</v>
      </c>
      <c r="H951" s="140">
        <v>45674.0</v>
      </c>
      <c r="I951" s="140">
        <v>45691.0</v>
      </c>
      <c r="J951" s="147" t="s">
        <v>5584</v>
      </c>
      <c r="K951" s="60"/>
      <c r="L951" s="147" t="s">
        <v>5585</v>
      </c>
      <c r="M951" s="147" t="s">
        <v>5586</v>
      </c>
      <c r="N951" s="144">
        <v>1.0</v>
      </c>
      <c r="O951" s="847" t="str">
        <f>SUBSTITUTE(LOWER(M951), "/", "--") &amp;  ".pdf"</f>
        <v>10.1007--s11098-009-9439-x.pdf</v>
      </c>
      <c r="P951" s="48" t="str">
        <f t="array" ref="P951">HYPERLINK(INDEX('File Links'!B:B, MATCH(O951, 'File Links'!C:C, 0)))
</f>
        <v>https://drive.google.com/file/d/1tY7SvX2n-lCVOB9eR5KtC31EmD0a4uX2/view?usp=drivesdk</v>
      </c>
      <c r="Q951" s="1249" t="s">
        <v>5329</v>
      </c>
      <c r="R951" s="303" t="s">
        <v>5330</v>
      </c>
      <c r="S951" s="303" t="s">
        <v>5331</v>
      </c>
      <c r="T951" s="144">
        <v>25.0</v>
      </c>
      <c r="U951" s="847" t="s">
        <v>5332</v>
      </c>
      <c r="V951" s="1212" t="s">
        <v>5333</v>
      </c>
      <c r="W951" s="50" t="str">
        <f t="array" ref="W951">HYPERLINK(INDEX('File Links'!B:B, MATCH(U951, 'File Links'!C:C, 0)))
</f>
        <v>https://drive.google.com/file/d/1hjI3aqifdfXjWhQAlvKCKKtvjuncAn5M/view?usp=drivesdk</v>
      </c>
      <c r="X951" s="60"/>
      <c r="Y951" s="147" t="s">
        <v>156</v>
      </c>
      <c r="Z951" s="115" t="s">
        <v>165</v>
      </c>
      <c r="AA951" s="147" t="s">
        <v>5587</v>
      </c>
      <c r="AB951" s="60"/>
      <c r="AC951" s="147" t="s">
        <v>5588</v>
      </c>
      <c r="AD951" s="147" t="s">
        <v>5589</v>
      </c>
      <c r="AE951" s="60"/>
      <c r="AF951" s="60"/>
      <c r="AG951" s="60"/>
      <c r="AH951" s="329"/>
      <c r="AI951" s="55"/>
      <c r="AJ951" s="55"/>
      <c r="AK951" s="60"/>
      <c r="AL951" s="55"/>
      <c r="AM951" s="60"/>
      <c r="AN951" s="1251">
        <v>148.0</v>
      </c>
      <c r="AO951" s="147" t="s">
        <v>5590</v>
      </c>
      <c r="AP951" s="147" t="s">
        <v>166</v>
      </c>
      <c r="AQ951" s="147" t="s">
        <v>625</v>
      </c>
      <c r="AR951" s="144">
        <v>0.018</v>
      </c>
      <c r="AS951" s="147" t="s">
        <v>164</v>
      </c>
      <c r="AT951" s="147" t="s">
        <v>179</v>
      </c>
      <c r="AU951" s="147" t="s">
        <v>129</v>
      </c>
      <c r="AV951" s="60"/>
      <c r="AW951" s="147" t="s">
        <v>134</v>
      </c>
      <c r="AY951" s="60" t="s">
        <v>244</v>
      </c>
    </row>
    <row r="952">
      <c r="A952" s="314" t="s">
        <v>5350</v>
      </c>
      <c r="B952" s="136" t="s">
        <v>107</v>
      </c>
      <c r="C952" s="136" t="s">
        <v>243</v>
      </c>
      <c r="D952" s="64"/>
      <c r="E952" s="1246" t="s">
        <v>5582</v>
      </c>
      <c r="F952" s="147" t="s">
        <v>5583</v>
      </c>
      <c r="G952" s="1247" t="s">
        <v>244</v>
      </c>
      <c r="H952" s="140">
        <v>45331.0</v>
      </c>
      <c r="I952" s="140">
        <v>45691.0</v>
      </c>
      <c r="J952" s="147" t="s">
        <v>5591</v>
      </c>
      <c r="K952" s="60"/>
      <c r="L952" s="147" t="s">
        <v>5585</v>
      </c>
      <c r="M952" s="147" t="s">
        <v>5586</v>
      </c>
      <c r="N952" s="115">
        <v>1.0</v>
      </c>
      <c r="O952" s="847" t="s">
        <v>5592</v>
      </c>
      <c r="P952" s="48" t="str">
        <f t="array" ref="P952">HYPERLINK(INDEX('File Links'!B:B, MATCH(O952, 'File Links'!C:C, 0)))
</f>
        <v>https://drive.google.com/file/d/1tY7SvX2n-lCVOB9eR5KtC31EmD0a4uX2/view?usp=drivesdk</v>
      </c>
      <c r="Q952" s="1249" t="s">
        <v>5329</v>
      </c>
      <c r="R952" s="147" t="s">
        <v>5330</v>
      </c>
      <c r="S952" s="60"/>
      <c r="T952" s="60"/>
      <c r="U952" s="847" t="s">
        <v>5332</v>
      </c>
      <c r="V952" s="1212" t="s">
        <v>5333</v>
      </c>
      <c r="W952" s="50" t="str">
        <f t="array" ref="W952">HYPERLINK(INDEX('File Links'!B:B, MATCH(U952, 'File Links'!C:C, 0)))
</f>
        <v>https://drive.google.com/file/d/1hjI3aqifdfXjWhQAlvKCKKtvjuncAn5M/view?usp=drivesdk</v>
      </c>
      <c r="X952" s="60"/>
      <c r="Y952" s="147" t="s">
        <v>156</v>
      </c>
      <c r="Z952" s="115" t="s">
        <v>165</v>
      </c>
      <c r="AA952" s="147" t="s">
        <v>5593</v>
      </c>
      <c r="AB952" s="60"/>
      <c r="AC952" s="147" t="s">
        <v>5594</v>
      </c>
      <c r="AD952" s="147" t="s">
        <v>5595</v>
      </c>
      <c r="AE952" s="144">
        <v>148.0</v>
      </c>
      <c r="AF952" s="1254">
        <v>0.87</v>
      </c>
      <c r="AG952" s="147" t="s">
        <v>166</v>
      </c>
      <c r="AH952" s="330" t="s">
        <v>5596</v>
      </c>
      <c r="AI952" s="355">
        <v>0.001</v>
      </c>
      <c r="AJ952" s="52" t="s">
        <v>127</v>
      </c>
      <c r="AK952" s="147" t="s">
        <v>179</v>
      </c>
      <c r="AL952" s="1270" t="s">
        <v>821</v>
      </c>
      <c r="AM952" s="147" t="s">
        <v>129</v>
      </c>
      <c r="AN952" s="1271"/>
      <c r="AO952" s="144">
        <v>0.52</v>
      </c>
      <c r="AP952" s="147" t="s">
        <v>166</v>
      </c>
      <c r="AQ952" s="147" t="s">
        <v>5597</v>
      </c>
      <c r="AR952" s="144">
        <v>0.018</v>
      </c>
      <c r="AS952" s="147" t="s">
        <v>164</v>
      </c>
      <c r="AT952" s="147" t="s">
        <v>179</v>
      </c>
      <c r="AU952" s="142" t="s">
        <v>129</v>
      </c>
      <c r="AV952" s="453" t="s">
        <v>5598</v>
      </c>
      <c r="AW952" s="142" t="s">
        <v>134</v>
      </c>
      <c r="AY952" s="60" t="s">
        <v>244</v>
      </c>
    </row>
    <row r="953">
      <c r="A953" s="142" t="s">
        <v>106</v>
      </c>
      <c r="B953" s="136" t="s">
        <v>107</v>
      </c>
      <c r="C953" s="136" t="s">
        <v>3672</v>
      </c>
      <c r="D953" s="64"/>
      <c r="E953" s="1257" t="s">
        <v>5599</v>
      </c>
      <c r="F953" s="147" t="s">
        <v>5600</v>
      </c>
      <c r="G953" s="1247" t="s">
        <v>3673</v>
      </c>
      <c r="H953" s="140">
        <v>45674.0</v>
      </c>
      <c r="I953" s="140">
        <v>45691.0</v>
      </c>
      <c r="J953" s="147" t="s">
        <v>5601</v>
      </c>
      <c r="K953" s="60"/>
      <c r="L953" s="147" t="s">
        <v>5602</v>
      </c>
      <c r="M953" s="147" t="s">
        <v>5603</v>
      </c>
      <c r="N953" s="144">
        <v>1.0</v>
      </c>
      <c r="O953" s="847" t="str">
        <f>SUBSTITUTE(LOWER(M953), "/", "--") &amp;  ".pdf"</f>
        <v>10.5840--jphil20111081238.pdf</v>
      </c>
      <c r="P953" s="48" t="str">
        <f t="array" ref="P953">HYPERLINK(INDEX('File Links'!B:B, MATCH(O953, 'File Links'!C:C, 0)))
</f>
        <v>https://drive.google.com/file/d/1-XMlXEjoIspJ3kqVPF-O6pr1PklAU4DF/view?usp=drivesdk</v>
      </c>
      <c r="Q953" s="1249" t="s">
        <v>5329</v>
      </c>
      <c r="R953" s="303" t="s">
        <v>5330</v>
      </c>
      <c r="S953" s="303" t="s">
        <v>5331</v>
      </c>
      <c r="T953" s="144">
        <v>26.0</v>
      </c>
      <c r="U953" s="847" t="s">
        <v>5332</v>
      </c>
      <c r="V953" s="1212" t="s">
        <v>5333</v>
      </c>
      <c r="W953" s="50" t="str">
        <f t="array" ref="W953">HYPERLINK(INDEX('File Links'!B:B, MATCH(U953, 'File Links'!C:C, 0)))
</f>
        <v>https://drive.google.com/file/d/1hjI3aqifdfXjWhQAlvKCKKtvjuncAn5M/view?usp=drivesdk</v>
      </c>
      <c r="X953" s="60"/>
      <c r="Y953" s="147" t="s">
        <v>156</v>
      </c>
      <c r="Z953" s="115" t="s">
        <v>165</v>
      </c>
      <c r="AA953" s="147" t="s">
        <v>5604</v>
      </c>
      <c r="AB953" s="60"/>
      <c r="AC953" s="147" t="s">
        <v>5605</v>
      </c>
      <c r="AD953" s="147" t="s">
        <v>5606</v>
      </c>
      <c r="AE953" s="60"/>
      <c r="AF953" s="60"/>
      <c r="AG953" s="60"/>
      <c r="AH953" s="329"/>
      <c r="AI953" s="355">
        <v>0.001</v>
      </c>
      <c r="AJ953" s="52" t="s">
        <v>127</v>
      </c>
      <c r="AK953" s="147" t="s">
        <v>179</v>
      </c>
      <c r="AL953" s="52" t="s">
        <v>129</v>
      </c>
      <c r="AM953" s="60"/>
      <c r="AN953" s="1251">
        <v>217.0</v>
      </c>
      <c r="AO953" s="147" t="s">
        <v>5607</v>
      </c>
      <c r="AP953" s="147" t="s">
        <v>162</v>
      </c>
      <c r="AQ953" s="147" t="s">
        <v>629</v>
      </c>
      <c r="AR953" s="144">
        <v>0.32</v>
      </c>
      <c r="AS953" s="147" t="s">
        <v>164</v>
      </c>
      <c r="AT953" s="147" t="s">
        <v>179</v>
      </c>
      <c r="AU953" s="147" t="s">
        <v>129</v>
      </c>
      <c r="AV953" s="303" t="s">
        <v>5608</v>
      </c>
      <c r="AW953" s="147" t="s">
        <v>134</v>
      </c>
      <c r="AY953" s="60" t="s">
        <v>244</v>
      </c>
    </row>
    <row r="954">
      <c r="A954" s="314" t="s">
        <v>5350</v>
      </c>
      <c r="B954" s="136" t="s">
        <v>107</v>
      </c>
      <c r="C954" s="136" t="s">
        <v>243</v>
      </c>
      <c r="D954" s="64"/>
      <c r="E954" s="1257" t="s">
        <v>5599</v>
      </c>
      <c r="F954" s="147" t="s">
        <v>5600</v>
      </c>
      <c r="G954" s="1247" t="s">
        <v>244</v>
      </c>
      <c r="H954" s="140">
        <v>45331.0</v>
      </c>
      <c r="I954" s="140">
        <v>45691.0</v>
      </c>
      <c r="J954" s="60"/>
      <c r="K954" s="60"/>
      <c r="L954" s="147" t="s">
        <v>5602</v>
      </c>
      <c r="M954" s="147" t="s">
        <v>5603</v>
      </c>
      <c r="N954" s="115">
        <v>1.0</v>
      </c>
      <c r="O954" s="847" t="s">
        <v>5609</v>
      </c>
      <c r="P954" s="48" t="str">
        <f t="array" ref="P954">HYPERLINK(INDEX('File Links'!B:B, MATCH(O954, 'File Links'!C:C, 0)))
</f>
        <v>https://drive.google.com/file/d/1-XMlXEjoIspJ3kqVPF-O6pr1PklAU4DF/view?usp=drivesdk</v>
      </c>
      <c r="Q954" s="1249" t="s">
        <v>5329</v>
      </c>
      <c r="R954" s="147" t="s">
        <v>5330</v>
      </c>
      <c r="S954" s="60"/>
      <c r="T954" s="60"/>
      <c r="U954" s="847" t="s">
        <v>5332</v>
      </c>
      <c r="V954" s="1212" t="s">
        <v>5333</v>
      </c>
      <c r="W954" s="50" t="str">
        <f t="array" ref="W954">HYPERLINK(INDEX('File Links'!B:B, MATCH(U954, 'File Links'!C:C, 0)))
</f>
        <v>https://drive.google.com/file/d/1hjI3aqifdfXjWhQAlvKCKKtvjuncAn5M/view?usp=drivesdk</v>
      </c>
      <c r="X954" s="60"/>
      <c r="Y954" s="147" t="s">
        <v>156</v>
      </c>
      <c r="Z954" s="115" t="s">
        <v>165</v>
      </c>
      <c r="AA954" s="147" t="s">
        <v>5344</v>
      </c>
      <c r="AB954" s="60"/>
      <c r="AC954" s="147" t="s">
        <v>5610</v>
      </c>
      <c r="AD954" s="1272" t="s">
        <v>5611</v>
      </c>
      <c r="AE954" s="144">
        <v>217.0</v>
      </c>
      <c r="AF954" s="1254">
        <v>13.05</v>
      </c>
      <c r="AG954" s="147" t="s">
        <v>1051</v>
      </c>
      <c r="AH954" s="330" t="s">
        <v>5612</v>
      </c>
      <c r="AI954" s="355">
        <v>0.001</v>
      </c>
      <c r="AJ954" s="52" t="s">
        <v>127</v>
      </c>
      <c r="AK954" s="147" t="s">
        <v>179</v>
      </c>
      <c r="AL954" s="1246" t="s">
        <v>129</v>
      </c>
      <c r="AM954" s="147" t="s">
        <v>129</v>
      </c>
      <c r="AN954" s="1251">
        <v>217.0</v>
      </c>
      <c r="AO954" s="144">
        <v>0.98</v>
      </c>
      <c r="AP954" s="147" t="s">
        <v>1051</v>
      </c>
      <c r="AQ954" s="147" t="s">
        <v>5613</v>
      </c>
      <c r="AR954" s="144">
        <v>0.032</v>
      </c>
      <c r="AS954" s="147" t="s">
        <v>164</v>
      </c>
      <c r="AT954" s="147" t="s">
        <v>179</v>
      </c>
      <c r="AU954" s="60"/>
      <c r="AV954" s="453" t="s">
        <v>5614</v>
      </c>
      <c r="AW954" s="142" t="s">
        <v>134</v>
      </c>
      <c r="AY954" s="60" t="s">
        <v>244</v>
      </c>
    </row>
    <row r="955">
      <c r="A955" s="142" t="s">
        <v>106</v>
      </c>
      <c r="B955" s="136" t="s">
        <v>107</v>
      </c>
      <c r="C955" s="136" t="s">
        <v>3672</v>
      </c>
      <c r="D955" s="64"/>
      <c r="E955" s="1257" t="s">
        <v>5615</v>
      </c>
      <c r="F955" s="147" t="s">
        <v>5616</v>
      </c>
      <c r="G955" s="1247" t="s">
        <v>3673</v>
      </c>
      <c r="H955" s="140">
        <v>45674.0</v>
      </c>
      <c r="I955" s="140">
        <v>45691.0</v>
      </c>
      <c r="J955" s="147" t="s">
        <v>5617</v>
      </c>
      <c r="K955" s="60"/>
      <c r="L955" s="147" t="s">
        <v>5618</v>
      </c>
      <c r="M955" s="60"/>
      <c r="N955" s="115">
        <v>1.0</v>
      </c>
      <c r="O955" s="847" t="str">
        <f>SUBSTITUTE(LOWER(M955), "/", "--") &amp;  ".pdf"</f>
        <v>.pdf</v>
      </c>
      <c r="P955" s="544" t="str">
        <f t="array" ref="P955">HYPERLINK(INDEX('File Links'!B:B, MATCH(O955, 'File Links'!C:C, 0)))
</f>
        <v>#N/A</v>
      </c>
      <c r="Q955" s="1249" t="s">
        <v>5329</v>
      </c>
      <c r="R955" s="303" t="s">
        <v>5330</v>
      </c>
      <c r="S955" s="303" t="s">
        <v>5331</v>
      </c>
      <c r="T955" s="144">
        <v>27.0</v>
      </c>
      <c r="U955" s="847" t="s">
        <v>5332</v>
      </c>
      <c r="V955" s="1212" t="s">
        <v>5333</v>
      </c>
      <c r="W955" s="50" t="str">
        <f t="array" ref="W955">HYPERLINK(INDEX('File Links'!B:B, MATCH(U955, 'File Links'!C:C, 0)))
</f>
        <v>https://drive.google.com/file/d/1hjI3aqifdfXjWhQAlvKCKKtvjuncAn5M/view?usp=drivesdk</v>
      </c>
      <c r="X955" s="60"/>
      <c r="Y955" s="147" t="s">
        <v>156</v>
      </c>
      <c r="Z955" s="115" t="s">
        <v>165</v>
      </c>
      <c r="AA955" s="147" t="s">
        <v>5619</v>
      </c>
      <c r="AB955" s="60"/>
      <c r="AC955" s="147" t="s">
        <v>5620</v>
      </c>
      <c r="AD955" s="144">
        <v>8.0</v>
      </c>
      <c r="AE955" s="60"/>
      <c r="AF955" s="60"/>
      <c r="AG955" s="60"/>
      <c r="AH955" s="329"/>
      <c r="AI955" s="55"/>
      <c r="AJ955" s="55"/>
      <c r="AK955" s="60"/>
      <c r="AL955" s="55"/>
      <c r="AM955" s="60"/>
      <c r="AN955" s="1271"/>
      <c r="AO955" s="1266" t="s">
        <v>5621</v>
      </c>
      <c r="AP955" s="147" t="s">
        <v>5340</v>
      </c>
      <c r="AQ955" s="147" t="s">
        <v>5331</v>
      </c>
      <c r="AR955" s="144">
        <v>0.001</v>
      </c>
      <c r="AS955" s="147" t="s">
        <v>127</v>
      </c>
      <c r="AT955" s="147" t="s">
        <v>179</v>
      </c>
      <c r="AU955" s="147" t="s">
        <v>129</v>
      </c>
      <c r="AV955" s="303" t="s">
        <v>5608</v>
      </c>
      <c r="AW955" s="147" t="s">
        <v>134</v>
      </c>
      <c r="AY955" s="60" t="s">
        <v>244</v>
      </c>
    </row>
    <row r="956">
      <c r="A956" s="314" t="s">
        <v>5350</v>
      </c>
      <c r="B956" s="136" t="s">
        <v>107</v>
      </c>
      <c r="C956" s="136" t="s">
        <v>243</v>
      </c>
      <c r="D956" s="64"/>
      <c r="E956" s="1257" t="s">
        <v>5615</v>
      </c>
      <c r="F956" s="147" t="s">
        <v>5616</v>
      </c>
      <c r="G956" s="1247" t="s">
        <v>244</v>
      </c>
      <c r="H956" s="140">
        <v>45331.0</v>
      </c>
      <c r="I956" s="140">
        <v>45691.0</v>
      </c>
      <c r="J956" s="1273" t="s">
        <v>5622</v>
      </c>
      <c r="K956" s="60"/>
      <c r="L956" s="147" t="s">
        <v>5618</v>
      </c>
      <c r="M956" s="60"/>
      <c r="N956" s="115">
        <v>1.0</v>
      </c>
      <c r="O956" s="847" t="s">
        <v>351</v>
      </c>
      <c r="P956" s="544" t="str">
        <f t="array" ref="P956">HYPERLINK(INDEX('File Links'!B:B, MATCH(O956, 'File Links'!C:C, 0)))
</f>
        <v>#N/A</v>
      </c>
      <c r="Q956" s="1249" t="s">
        <v>5329</v>
      </c>
      <c r="R956" s="147" t="s">
        <v>5330</v>
      </c>
      <c r="S956" s="60"/>
      <c r="T956" s="60"/>
      <c r="U956" s="847" t="s">
        <v>5332</v>
      </c>
      <c r="V956" s="1212" t="s">
        <v>5333</v>
      </c>
      <c r="W956" s="50" t="str">
        <f t="array" ref="W956">HYPERLINK(INDEX('File Links'!B:B, MATCH(U956, 'File Links'!C:C, 0)))
</f>
        <v>https://drive.google.com/file/d/1hjI3aqifdfXjWhQAlvKCKKtvjuncAn5M/view?usp=drivesdk</v>
      </c>
      <c r="X956" s="60"/>
      <c r="Y956" s="147" t="s">
        <v>156</v>
      </c>
      <c r="Z956" s="115" t="s">
        <v>165</v>
      </c>
      <c r="AA956" s="147" t="s">
        <v>5344</v>
      </c>
      <c r="AB956" s="60"/>
      <c r="AC956" s="147" t="s">
        <v>165</v>
      </c>
      <c r="AD956" s="147" t="s">
        <v>165</v>
      </c>
      <c r="AE956" s="144">
        <v>15664.0</v>
      </c>
      <c r="AF956" s="1254">
        <v>0.31</v>
      </c>
      <c r="AG956" s="147" t="s">
        <v>5340</v>
      </c>
      <c r="AH956" s="330" t="s">
        <v>5623</v>
      </c>
      <c r="AI956" s="355">
        <v>0.001</v>
      </c>
      <c r="AJ956" s="52" t="s">
        <v>127</v>
      </c>
      <c r="AK956" s="147" t="s">
        <v>179</v>
      </c>
      <c r="AL956" s="1246" t="s">
        <v>129</v>
      </c>
      <c r="AM956" s="147" t="s">
        <v>129</v>
      </c>
      <c r="AN956" s="1266" t="s">
        <v>165</v>
      </c>
      <c r="AO956" s="144">
        <v>0.27</v>
      </c>
      <c r="AP956" s="147" t="s">
        <v>5340</v>
      </c>
      <c r="AQ956" s="147" t="s">
        <v>5624</v>
      </c>
      <c r="AR956" s="144">
        <v>0.001</v>
      </c>
      <c r="AS956" s="147" t="s">
        <v>127</v>
      </c>
      <c r="AT956" s="147" t="s">
        <v>179</v>
      </c>
      <c r="AU956" s="142" t="s">
        <v>129</v>
      </c>
      <c r="AV956" s="453" t="s">
        <v>5625</v>
      </c>
      <c r="AW956" s="142" t="s">
        <v>134</v>
      </c>
      <c r="AY956" s="60" t="s">
        <v>244</v>
      </c>
    </row>
    <row r="957">
      <c r="A957" s="314" t="s">
        <v>5350</v>
      </c>
      <c r="B957" s="136" t="s">
        <v>107</v>
      </c>
      <c r="C957" s="136" t="s">
        <v>243</v>
      </c>
      <c r="D957" s="64"/>
      <c r="E957" s="1257" t="s">
        <v>5626</v>
      </c>
      <c r="F957" s="147" t="s">
        <v>5627</v>
      </c>
      <c r="G957" s="1247" t="s">
        <v>244</v>
      </c>
      <c r="H957" s="140">
        <v>45331.0</v>
      </c>
      <c r="I957" s="140">
        <v>45686.0</v>
      </c>
      <c r="J957" s="147" t="s">
        <v>5628</v>
      </c>
      <c r="K957" s="525" t="s">
        <v>5354</v>
      </c>
      <c r="L957" s="147" t="s">
        <v>5629</v>
      </c>
      <c r="M957" s="147" t="s">
        <v>5630</v>
      </c>
      <c r="N957" s="115">
        <v>1.0</v>
      </c>
      <c r="O957" s="847" t="s">
        <v>5631</v>
      </c>
      <c r="P957" s="48" t="str">
        <f t="array" ref="P957">HYPERLINK(INDEX('File Links'!B:B, MATCH(O957, 'File Links'!C:C, 0)))
</f>
        <v>https://drive.google.com/file/d/1TdFZluOSkUInT8sXikux3vYR7IOX4RMk/view?usp=drivesdk</v>
      </c>
      <c r="Q957" s="1249" t="s">
        <v>5329</v>
      </c>
      <c r="R957" s="147" t="s">
        <v>5330</v>
      </c>
      <c r="S957" s="60"/>
      <c r="T957" s="60"/>
      <c r="U957" s="847" t="s">
        <v>5332</v>
      </c>
      <c r="V957" s="1212" t="s">
        <v>5333</v>
      </c>
      <c r="W957" s="50" t="str">
        <f t="array" ref="W957">HYPERLINK(INDEX('File Links'!B:B, MATCH(U957, 'File Links'!C:C, 0)))
</f>
        <v>https://drive.google.com/file/d/1hjI3aqifdfXjWhQAlvKCKKtvjuncAn5M/view?usp=drivesdk</v>
      </c>
      <c r="X957" s="60"/>
      <c r="Y957" s="147" t="s">
        <v>156</v>
      </c>
      <c r="Z957" s="115" t="s">
        <v>165</v>
      </c>
      <c r="AA957" s="147" t="s">
        <v>5593</v>
      </c>
      <c r="AB957" s="60"/>
      <c r="AC957" s="147" t="s">
        <v>5632</v>
      </c>
      <c r="AD957" s="147" t="s">
        <v>5633</v>
      </c>
      <c r="AE957" s="144">
        <v>223.0</v>
      </c>
      <c r="AF957" s="1254">
        <v>20.7</v>
      </c>
      <c r="AG957" s="147" t="s">
        <v>1051</v>
      </c>
      <c r="AH957" s="1274" t="s">
        <v>5634</v>
      </c>
      <c r="AI957" s="355">
        <v>0.001</v>
      </c>
      <c r="AJ957" s="52" t="s">
        <v>127</v>
      </c>
      <c r="AK957" s="147" t="s">
        <v>179</v>
      </c>
      <c r="AL957" s="1246" t="s">
        <v>132</v>
      </c>
      <c r="AM957" s="147" t="s">
        <v>129</v>
      </c>
      <c r="AN957" s="1251">
        <v>363.0</v>
      </c>
      <c r="AO957" s="144">
        <v>20.9</v>
      </c>
      <c r="AP957" s="147" t="s">
        <v>1051</v>
      </c>
      <c r="AQ957" s="147" t="s">
        <v>5635</v>
      </c>
      <c r="AR957" s="144">
        <v>0.001</v>
      </c>
      <c r="AS957" s="147" t="s">
        <v>127</v>
      </c>
      <c r="AT957" s="147" t="s">
        <v>179</v>
      </c>
      <c r="AU957" s="142" t="s">
        <v>132</v>
      </c>
      <c r="AV957" s="1263" t="s">
        <v>5636</v>
      </c>
      <c r="AW957" s="142" t="s">
        <v>134</v>
      </c>
      <c r="AY957" s="60" t="s">
        <v>244</v>
      </c>
    </row>
    <row r="958">
      <c r="A958" s="60" t="s">
        <v>106</v>
      </c>
      <c r="B958" s="136" t="s">
        <v>107</v>
      </c>
      <c r="C958" s="136" t="s">
        <v>3672</v>
      </c>
      <c r="D958" s="64"/>
      <c r="E958" s="1246" t="s">
        <v>5637</v>
      </c>
      <c r="F958" s="147" t="s">
        <v>5638</v>
      </c>
      <c r="G958" s="1247" t="s">
        <v>3673</v>
      </c>
      <c r="H958" s="140">
        <v>45674.0</v>
      </c>
      <c r="I958" s="140">
        <v>45691.0</v>
      </c>
      <c r="J958" s="147" t="s">
        <v>5639</v>
      </c>
      <c r="K958" s="60"/>
      <c r="L958" s="147" t="s">
        <v>5640</v>
      </c>
      <c r="M958" s="147" t="s">
        <v>5641</v>
      </c>
      <c r="N958" s="144">
        <v>1.0</v>
      </c>
      <c r="O958" s="847" t="str">
        <f>SUBSTITUTE(LOWER(M958), "/", "--") &amp;  ".pdf"</f>
        <v>10.1111--j.1551-6709.2011.01210.x.pdf</v>
      </c>
      <c r="P958" s="48" t="str">
        <f t="array" ref="P958">HYPERLINK(INDEX('File Links'!B:B, MATCH(O958, 'File Links'!C:C, 0)))
</f>
        <v>https://drive.google.com/file/d/1peHj2qn55XShERDto7FmUKmKRW04vw25/view?usp=drivesdk</v>
      </c>
      <c r="Q958" s="1249" t="s">
        <v>5329</v>
      </c>
      <c r="R958" s="303" t="s">
        <v>5330</v>
      </c>
      <c r="S958" s="303" t="s">
        <v>5331</v>
      </c>
      <c r="T958" s="144">
        <v>29.0</v>
      </c>
      <c r="U958" s="847" t="s">
        <v>5332</v>
      </c>
      <c r="V958" s="1212" t="s">
        <v>5333</v>
      </c>
      <c r="W958" s="50" t="str">
        <f t="array" ref="W958">HYPERLINK(INDEX('File Links'!B:B, MATCH(U958, 'File Links'!C:C, 0)))
</f>
        <v>https://drive.google.com/file/d/1hjI3aqifdfXjWhQAlvKCKKtvjuncAn5M/view?usp=drivesdk</v>
      </c>
      <c r="X958" s="60"/>
      <c r="Y958" s="147" t="s">
        <v>156</v>
      </c>
      <c r="Z958" s="115" t="s">
        <v>165</v>
      </c>
      <c r="AA958" s="147" t="s">
        <v>5642</v>
      </c>
      <c r="AB958" s="60"/>
      <c r="AC958" s="147" t="s">
        <v>5643</v>
      </c>
      <c r="AD958" s="147" t="s">
        <v>5644</v>
      </c>
      <c r="AE958" s="144">
        <v>92.0</v>
      </c>
      <c r="AF958" s="147" t="s">
        <v>5446</v>
      </c>
      <c r="AG958" s="147" t="s">
        <v>166</v>
      </c>
      <c r="AH958" s="330" t="s">
        <v>861</v>
      </c>
      <c r="AI958" s="355">
        <v>0.05</v>
      </c>
      <c r="AJ958" s="52" t="s">
        <v>164</v>
      </c>
      <c r="AK958" s="147" t="s">
        <v>179</v>
      </c>
      <c r="AL958" s="52" t="s">
        <v>129</v>
      </c>
      <c r="AM958" s="60"/>
      <c r="AN958" s="1251">
        <v>298.0</v>
      </c>
      <c r="AO958" s="1266" t="s">
        <v>5645</v>
      </c>
      <c r="AP958" s="147" t="s">
        <v>166</v>
      </c>
      <c r="AQ958" s="147" t="s">
        <v>5331</v>
      </c>
      <c r="AR958" s="144">
        <v>0.24</v>
      </c>
      <c r="AS958" s="147" t="s">
        <v>164</v>
      </c>
      <c r="AT958" s="147" t="s">
        <v>179</v>
      </c>
      <c r="AU958" s="147" t="s">
        <v>129</v>
      </c>
      <c r="AV958" s="303" t="s">
        <v>5646</v>
      </c>
      <c r="AW958" s="147" t="s">
        <v>134</v>
      </c>
      <c r="AY958" s="60" t="s">
        <v>244</v>
      </c>
    </row>
    <row r="959">
      <c r="A959" s="314" t="s">
        <v>5350</v>
      </c>
      <c r="B959" s="136" t="s">
        <v>107</v>
      </c>
      <c r="C959" s="136" t="s">
        <v>243</v>
      </c>
      <c r="D959" s="64"/>
      <c r="E959" s="1246" t="s">
        <v>5637</v>
      </c>
      <c r="F959" s="147" t="s">
        <v>5638</v>
      </c>
      <c r="G959" s="1247" t="s">
        <v>244</v>
      </c>
      <c r="H959" s="140">
        <v>45331.0</v>
      </c>
      <c r="I959" s="140">
        <v>45691.0</v>
      </c>
      <c r="J959" s="1275" t="s">
        <v>5639</v>
      </c>
      <c r="K959" s="60"/>
      <c r="L959" s="147" t="s">
        <v>5640</v>
      </c>
      <c r="M959" s="147" t="s">
        <v>5641</v>
      </c>
      <c r="N959" s="115">
        <v>1.0</v>
      </c>
      <c r="O959" s="847" t="s">
        <v>5647</v>
      </c>
      <c r="P959" s="48" t="str">
        <f t="array" ref="P959">HYPERLINK(INDEX('File Links'!B:B, MATCH(O959, 'File Links'!C:C, 0)))
</f>
        <v>https://drive.google.com/file/d/1peHj2qn55XShERDto7FmUKmKRW04vw25/view?usp=drivesdk</v>
      </c>
      <c r="Q959" s="1249" t="s">
        <v>5329</v>
      </c>
      <c r="R959" s="147" t="s">
        <v>5330</v>
      </c>
      <c r="S959" s="60"/>
      <c r="T959" s="60"/>
      <c r="U959" s="847" t="s">
        <v>5332</v>
      </c>
      <c r="V959" s="1212" t="s">
        <v>5333</v>
      </c>
      <c r="W959" s="50" t="str">
        <f t="array" ref="W959">HYPERLINK(INDEX('File Links'!B:B, MATCH(U959, 'File Links'!C:C, 0)))
</f>
        <v>https://drive.google.com/file/d/1hjI3aqifdfXjWhQAlvKCKKtvjuncAn5M/view?usp=drivesdk</v>
      </c>
      <c r="X959" s="60"/>
      <c r="Y959" s="147" t="s">
        <v>156</v>
      </c>
      <c r="Z959" s="115" t="s">
        <v>165</v>
      </c>
      <c r="AA959" s="147" t="s">
        <v>5344</v>
      </c>
      <c r="AB959" s="60"/>
      <c r="AC959" s="147" t="s">
        <v>5648</v>
      </c>
      <c r="AD959" s="147" t="s">
        <v>5649</v>
      </c>
      <c r="AE959" s="144">
        <v>92.0</v>
      </c>
      <c r="AF959" s="1254">
        <v>0.43</v>
      </c>
      <c r="AG959" s="147" t="s">
        <v>166</v>
      </c>
      <c r="AH959" s="1274" t="s">
        <v>5650</v>
      </c>
      <c r="AI959" s="355">
        <v>0.05</v>
      </c>
      <c r="AJ959" s="52" t="s">
        <v>164</v>
      </c>
      <c r="AK959" s="147" t="s">
        <v>179</v>
      </c>
      <c r="AL959" s="1246" t="s">
        <v>129</v>
      </c>
      <c r="AM959" s="147" t="s">
        <v>129</v>
      </c>
      <c r="AN959" s="144">
        <v>298.0</v>
      </c>
      <c r="AO959" s="144">
        <v>0.13</v>
      </c>
      <c r="AP959" s="147" t="s">
        <v>166</v>
      </c>
      <c r="AQ959" s="147" t="s">
        <v>5651</v>
      </c>
      <c r="AR959" s="144">
        <v>0.24</v>
      </c>
      <c r="AS959" s="147" t="s">
        <v>164</v>
      </c>
      <c r="AT959" s="147" t="s">
        <v>179</v>
      </c>
      <c r="AU959" s="142" t="s">
        <v>129</v>
      </c>
      <c r="AV959" s="1263" t="s">
        <v>5652</v>
      </c>
      <c r="AW959" s="142" t="s">
        <v>134</v>
      </c>
      <c r="AY959" s="60" t="s">
        <v>244</v>
      </c>
    </row>
    <row r="960">
      <c r="A960" s="60" t="s">
        <v>106</v>
      </c>
      <c r="B960" s="136" t="s">
        <v>107</v>
      </c>
      <c r="C960" s="136" t="s">
        <v>3672</v>
      </c>
      <c r="D960" s="64"/>
      <c r="E960" s="1257" t="s">
        <v>5653</v>
      </c>
      <c r="F960" s="147" t="s">
        <v>5654</v>
      </c>
      <c r="G960" s="1247" t="s">
        <v>3673</v>
      </c>
      <c r="H960" s="140">
        <v>45667.0</v>
      </c>
      <c r="I960" s="140">
        <v>45691.0</v>
      </c>
      <c r="J960" s="60"/>
      <c r="K960" s="60"/>
      <c r="L960" s="147" t="s">
        <v>5655</v>
      </c>
      <c r="M960" s="147" t="s">
        <v>5656</v>
      </c>
      <c r="N960" s="115">
        <v>1.0</v>
      </c>
      <c r="O960" s="847" t="str">
        <f>SUBSTITUTE(LOWER(M960), "/", "--") &amp;  ".pdf"</f>
        <v>10.1016--j.cognition.2003.10.003.pdf</v>
      </c>
      <c r="P960" s="48" t="str">
        <f t="array" ref="P960">HYPERLINK(INDEX('File Links'!B:B, MATCH(O960, 'File Links'!C:C, 0)))
</f>
        <v>https://drive.google.com/file/d/1iXbJmAfK9HnzZ8oDPYgQfHqZeVcgywaq/view?usp=drivesdk</v>
      </c>
      <c r="Q960" s="1249" t="s">
        <v>5329</v>
      </c>
      <c r="R960" s="303" t="s">
        <v>5330</v>
      </c>
      <c r="S960" s="303" t="s">
        <v>5331</v>
      </c>
      <c r="T960" s="144">
        <v>3.0</v>
      </c>
      <c r="U960" s="847" t="s">
        <v>5332</v>
      </c>
      <c r="V960" s="1212" t="s">
        <v>5333</v>
      </c>
      <c r="W960" s="50" t="str">
        <f t="array" ref="W960">HYPERLINK(INDEX('File Links'!B:B, MATCH(U960, 'File Links'!C:C, 0)))
</f>
        <v>https://drive.google.com/file/d/1hjI3aqifdfXjWhQAlvKCKKtvjuncAn5M/view?usp=drivesdk</v>
      </c>
      <c r="X960" s="60"/>
      <c r="Y960" s="147" t="s">
        <v>156</v>
      </c>
      <c r="Z960" s="147" t="s">
        <v>5657</v>
      </c>
      <c r="AA960" s="147" t="s">
        <v>5658</v>
      </c>
      <c r="AB960" s="147" t="s">
        <v>5659</v>
      </c>
      <c r="AC960" s="1262" t="s">
        <v>5660</v>
      </c>
      <c r="AD960" s="147" t="s">
        <v>5479</v>
      </c>
      <c r="AE960" s="1265">
        <v>41.0</v>
      </c>
      <c r="AF960" s="147" t="s">
        <v>5661</v>
      </c>
      <c r="AG960" s="147" t="s">
        <v>162</v>
      </c>
      <c r="AH960" s="330" t="s">
        <v>125</v>
      </c>
      <c r="AI960" s="355">
        <v>0.05</v>
      </c>
      <c r="AJ960" s="52" t="s">
        <v>127</v>
      </c>
      <c r="AK960" s="147" t="s">
        <v>128</v>
      </c>
      <c r="AL960" s="52" t="s">
        <v>129</v>
      </c>
      <c r="AM960" s="60"/>
      <c r="AN960" s="144">
        <v>181.0</v>
      </c>
      <c r="AO960" s="1251">
        <v>0.0</v>
      </c>
      <c r="AP960" s="147" t="s">
        <v>166</v>
      </c>
      <c r="AQ960" s="147" t="s">
        <v>5331</v>
      </c>
      <c r="AR960" s="144">
        <v>0.99</v>
      </c>
      <c r="AS960" s="147" t="s">
        <v>164</v>
      </c>
      <c r="AT960" s="147" t="s">
        <v>128</v>
      </c>
      <c r="AU960" s="147" t="s">
        <v>129</v>
      </c>
      <c r="AV960" s="303" t="s">
        <v>5662</v>
      </c>
      <c r="AW960" s="147" t="s">
        <v>134</v>
      </c>
      <c r="AY960" s="142" t="s">
        <v>244</v>
      </c>
    </row>
    <row r="961">
      <c r="A961" s="314" t="s">
        <v>5350</v>
      </c>
      <c r="B961" s="136" t="s">
        <v>107</v>
      </c>
      <c r="C961" s="136" t="s">
        <v>243</v>
      </c>
      <c r="D961" s="64"/>
      <c r="E961" s="1257" t="s">
        <v>5653</v>
      </c>
      <c r="F961" s="147" t="s">
        <v>5654</v>
      </c>
      <c r="G961" s="1247" t="s">
        <v>244</v>
      </c>
      <c r="H961" s="140">
        <v>45331.0</v>
      </c>
      <c r="I961" s="140">
        <v>45691.0</v>
      </c>
      <c r="J961" s="147" t="s">
        <v>5663</v>
      </c>
      <c r="K961" s="147" t="s">
        <v>5664</v>
      </c>
      <c r="L961" s="147" t="s">
        <v>5655</v>
      </c>
      <c r="M961" s="147" t="s">
        <v>5656</v>
      </c>
      <c r="N961" s="147" t="s">
        <v>5665</v>
      </c>
      <c r="O961" s="847" t="s">
        <v>5666</v>
      </c>
      <c r="P961" s="48" t="str">
        <f t="array" ref="P961">HYPERLINK(INDEX('File Links'!B:B, MATCH(O961, 'File Links'!C:C, 0)))
</f>
        <v>https://drive.google.com/file/d/1iXbJmAfK9HnzZ8oDPYgQfHqZeVcgywaq/view?usp=drivesdk</v>
      </c>
      <c r="Q961" s="1249" t="s">
        <v>5329</v>
      </c>
      <c r="R961" s="147" t="s">
        <v>5330</v>
      </c>
      <c r="S961" s="60"/>
      <c r="T961" s="60"/>
      <c r="U961" s="847" t="s">
        <v>5332</v>
      </c>
      <c r="V961" s="1212" t="s">
        <v>5333</v>
      </c>
      <c r="W961" s="50" t="str">
        <f t="array" ref="W961">HYPERLINK(INDEX('File Links'!B:B, MATCH(U961, 'File Links'!C:C, 0)))
</f>
        <v>https://drive.google.com/file/d/1hjI3aqifdfXjWhQAlvKCKKtvjuncAn5M/view?usp=drivesdk</v>
      </c>
      <c r="X961" s="60"/>
      <c r="Y961" s="147" t="s">
        <v>156</v>
      </c>
      <c r="Z961" s="115" t="s">
        <v>165</v>
      </c>
      <c r="AA961" s="147" t="s">
        <v>5344</v>
      </c>
      <c r="AB961" s="147" t="s">
        <v>5667</v>
      </c>
      <c r="AC961" s="147" t="s">
        <v>5668</v>
      </c>
      <c r="AD961" s="147" t="s">
        <v>125</v>
      </c>
      <c r="AE961" s="144">
        <v>72.0</v>
      </c>
      <c r="AF961" s="147" t="s">
        <v>5661</v>
      </c>
      <c r="AG961" s="147" t="s">
        <v>162</v>
      </c>
      <c r="AH961" s="330" t="s">
        <v>5669</v>
      </c>
      <c r="AI961" s="355">
        <v>0.05</v>
      </c>
      <c r="AJ961" s="52" t="s">
        <v>127</v>
      </c>
      <c r="AK961" s="147" t="s">
        <v>128</v>
      </c>
      <c r="AL961" s="1246" t="s">
        <v>129</v>
      </c>
      <c r="AM961" s="147" t="s">
        <v>129</v>
      </c>
      <c r="AN961" s="1276">
        <v>181.0</v>
      </c>
      <c r="AO961" s="144">
        <v>0.0</v>
      </c>
      <c r="AP961" s="147" t="s">
        <v>166</v>
      </c>
      <c r="AQ961" s="147" t="s">
        <v>5670</v>
      </c>
      <c r="AR961" s="144">
        <v>0.99</v>
      </c>
      <c r="AS961" s="147" t="s">
        <v>164</v>
      </c>
      <c r="AT961" s="147" t="s">
        <v>179</v>
      </c>
      <c r="AU961" s="142" t="s">
        <v>129</v>
      </c>
      <c r="AV961" s="1261" t="s">
        <v>5671</v>
      </c>
      <c r="AW961" s="142" t="s">
        <v>134</v>
      </c>
      <c r="AY961" s="142" t="s">
        <v>244</v>
      </c>
    </row>
    <row r="962">
      <c r="A962" s="314" t="s">
        <v>5350</v>
      </c>
      <c r="B962" s="136" t="s">
        <v>107</v>
      </c>
      <c r="C962" s="136" t="s">
        <v>243</v>
      </c>
      <c r="D962" s="64"/>
      <c r="E962" s="1257" t="s">
        <v>5672</v>
      </c>
      <c r="F962" s="147" t="s">
        <v>5673</v>
      </c>
      <c r="G962" s="1247" t="s">
        <v>244</v>
      </c>
      <c r="H962" s="140">
        <v>45331.0</v>
      </c>
      <c r="I962" s="140">
        <v>45686.0</v>
      </c>
      <c r="J962" s="60"/>
      <c r="K962" s="525" t="s">
        <v>5354</v>
      </c>
      <c r="L962" s="147" t="s">
        <v>149</v>
      </c>
      <c r="M962" s="147" t="s">
        <v>150</v>
      </c>
      <c r="N962" s="115">
        <v>1.0</v>
      </c>
      <c r="O962" s="847" t="s">
        <v>151</v>
      </c>
      <c r="P962" s="48" t="str">
        <f t="array" ref="P962">HYPERLINK(INDEX('File Links'!B:B, MATCH(O962, 'File Links'!C:C, 0)))
</f>
        <v>https://drive.google.com/file/d/1O4mjB0-ZSujMTJYtaAoIsXTPuhxgEF-0/view?usp=drivesdk</v>
      </c>
      <c r="Q962" s="1249" t="s">
        <v>5329</v>
      </c>
      <c r="R962" s="147" t="s">
        <v>5330</v>
      </c>
      <c r="S962" s="60"/>
      <c r="T962" s="60"/>
      <c r="U962" s="847" t="s">
        <v>5332</v>
      </c>
      <c r="V962" s="1212" t="s">
        <v>5333</v>
      </c>
      <c r="W962" s="50" t="str">
        <f t="array" ref="W962">HYPERLINK(INDEX('File Links'!B:B, MATCH(U962, 'File Links'!C:C, 0)))
</f>
        <v>https://drive.google.com/file/d/1hjI3aqifdfXjWhQAlvKCKKtvjuncAn5M/view?usp=drivesdk</v>
      </c>
      <c r="X962" s="60"/>
      <c r="Y962" s="147" t="s">
        <v>156</v>
      </c>
      <c r="Z962" s="115" t="s">
        <v>165</v>
      </c>
      <c r="AA962" s="147" t="s">
        <v>5344</v>
      </c>
      <c r="AB962" s="60"/>
      <c r="AC962" s="147" t="s">
        <v>5674</v>
      </c>
      <c r="AD962" s="147" t="s">
        <v>5675</v>
      </c>
      <c r="AE962" s="144">
        <v>100.0</v>
      </c>
      <c r="AF962" s="1254">
        <v>0.68</v>
      </c>
      <c r="AG962" s="147" t="s">
        <v>166</v>
      </c>
      <c r="AH962" s="1274" t="s">
        <v>5676</v>
      </c>
      <c r="AI962" s="355">
        <v>0.001</v>
      </c>
      <c r="AJ962" s="52" t="s">
        <v>164</v>
      </c>
      <c r="AK962" s="147" t="s">
        <v>179</v>
      </c>
      <c r="AL962" s="1246" t="s">
        <v>129</v>
      </c>
      <c r="AM962" s="147" t="s">
        <v>129</v>
      </c>
      <c r="AN962" s="144">
        <v>150.0</v>
      </c>
      <c r="AO962" s="144">
        <v>0.58</v>
      </c>
      <c r="AP962" s="147" t="s">
        <v>166</v>
      </c>
      <c r="AQ962" s="147" t="s">
        <v>5677</v>
      </c>
      <c r="AR962" s="144">
        <v>0.001</v>
      </c>
      <c r="AS962" s="147" t="s">
        <v>127</v>
      </c>
      <c r="AT962" s="147" t="s">
        <v>179</v>
      </c>
      <c r="AU962" s="142" t="s">
        <v>129</v>
      </c>
      <c r="AV962" s="453" t="s">
        <v>5678</v>
      </c>
      <c r="AW962" s="147" t="s">
        <v>134</v>
      </c>
      <c r="AY962" s="142" t="s">
        <v>244</v>
      </c>
    </row>
    <row r="963">
      <c r="A963" s="60" t="s">
        <v>106</v>
      </c>
      <c r="B963" s="136" t="s">
        <v>107</v>
      </c>
      <c r="C963" s="136" t="s">
        <v>3672</v>
      </c>
      <c r="D963" s="64"/>
      <c r="E963" s="1246" t="s">
        <v>5679</v>
      </c>
      <c r="F963" s="147" t="s">
        <v>5680</v>
      </c>
      <c r="G963" s="1247" t="s">
        <v>3673</v>
      </c>
      <c r="H963" s="140">
        <v>45674.0</v>
      </c>
      <c r="I963" s="140">
        <v>45691.0</v>
      </c>
      <c r="J963" s="147" t="s">
        <v>5681</v>
      </c>
      <c r="K963" s="60"/>
      <c r="L963" s="147" t="s">
        <v>5682</v>
      </c>
      <c r="M963" s="147" t="s">
        <v>5683</v>
      </c>
      <c r="N963" s="144">
        <v>3.0</v>
      </c>
      <c r="O963" s="847" t="str">
        <f>SUBSTITUTE(LOWER(M963), "/", "--") &amp;  ".pdf"</f>
        <v>10.1007--s11098-010-9651-8.pdf</v>
      </c>
      <c r="P963" s="48" t="str">
        <f t="array" ref="P963">HYPERLINK(INDEX('File Links'!B:B, MATCH(O963, 'File Links'!C:C, 0)))
</f>
        <v>https://drive.google.com/file/d/1pcJJj-dcZ2YUNw-3w1ykB27KPj9Bj-By/view?usp=drivesdk</v>
      </c>
      <c r="Q963" s="1249" t="s">
        <v>5329</v>
      </c>
      <c r="R963" s="303" t="s">
        <v>5330</v>
      </c>
      <c r="S963" s="303" t="s">
        <v>5331</v>
      </c>
      <c r="T963" s="144">
        <v>31.0</v>
      </c>
      <c r="U963" s="847" t="s">
        <v>5332</v>
      </c>
      <c r="V963" s="1212" t="s">
        <v>5333</v>
      </c>
      <c r="W963" s="50" t="str">
        <f t="array" ref="W963">HYPERLINK(INDEX('File Links'!B:B, MATCH(U963, 'File Links'!C:C, 0)))
</f>
        <v>https://drive.google.com/file/d/1hjI3aqifdfXjWhQAlvKCKKtvjuncAn5M/view?usp=drivesdk</v>
      </c>
      <c r="X963" s="60"/>
      <c r="Y963" s="147" t="s">
        <v>156</v>
      </c>
      <c r="Z963" s="115" t="s">
        <v>165</v>
      </c>
      <c r="AA963" s="147" t="s">
        <v>5684</v>
      </c>
      <c r="AB963" s="60"/>
      <c r="AC963" s="147" t="s">
        <v>5685</v>
      </c>
      <c r="AD963" s="147" t="s">
        <v>5686</v>
      </c>
      <c r="AE963" s="144">
        <v>117.0</v>
      </c>
      <c r="AF963" s="1277" t="s">
        <v>5687</v>
      </c>
      <c r="AG963" s="147" t="s">
        <v>162</v>
      </c>
      <c r="AH963" s="330" t="s">
        <v>624</v>
      </c>
      <c r="AI963" s="355">
        <v>0.045</v>
      </c>
      <c r="AJ963" s="52" t="s">
        <v>164</v>
      </c>
      <c r="AK963" s="147" t="s">
        <v>179</v>
      </c>
      <c r="AL963" s="52" t="s">
        <v>129</v>
      </c>
      <c r="AM963" s="60"/>
      <c r="AN963" s="144">
        <v>368.0</v>
      </c>
      <c r="AO963" s="1266" t="s">
        <v>5688</v>
      </c>
      <c r="AP963" s="147" t="s">
        <v>162</v>
      </c>
      <c r="AQ963" s="147" t="s">
        <v>5331</v>
      </c>
      <c r="AR963" s="144">
        <v>0.008</v>
      </c>
      <c r="AS963" s="147" t="s">
        <v>164</v>
      </c>
      <c r="AT963" s="147" t="s">
        <v>179</v>
      </c>
      <c r="AU963" s="147" t="s">
        <v>129</v>
      </c>
      <c r="AV963" s="60"/>
      <c r="AW963" s="147" t="s">
        <v>134</v>
      </c>
      <c r="AY963" s="142" t="s">
        <v>244</v>
      </c>
    </row>
    <row r="964">
      <c r="A964" s="314" t="s">
        <v>5350</v>
      </c>
      <c r="B964" s="136" t="s">
        <v>107</v>
      </c>
      <c r="C964" s="136" t="s">
        <v>243</v>
      </c>
      <c r="D964" s="64"/>
      <c r="E964" s="1246" t="s">
        <v>5679</v>
      </c>
      <c r="F964" s="147" t="s">
        <v>5680</v>
      </c>
      <c r="G964" s="1247" t="s">
        <v>244</v>
      </c>
      <c r="H964" s="140">
        <v>45331.0</v>
      </c>
      <c r="I964" s="140">
        <v>45691.0</v>
      </c>
      <c r="J964" s="147" t="s">
        <v>5689</v>
      </c>
      <c r="K964" s="60"/>
      <c r="L964" s="147" t="s">
        <v>5682</v>
      </c>
      <c r="M964" s="147" t="s">
        <v>5683</v>
      </c>
      <c r="N964" s="115">
        <v>1.0</v>
      </c>
      <c r="O964" s="847" t="s">
        <v>5690</v>
      </c>
      <c r="P964" s="48" t="str">
        <f t="array" ref="P964">HYPERLINK(INDEX('File Links'!B:B, MATCH(O964, 'File Links'!C:C, 0)))
</f>
        <v>https://drive.google.com/file/d/1pcJJj-dcZ2YUNw-3w1ykB27KPj9Bj-By/view?usp=drivesdk</v>
      </c>
      <c r="Q964" s="1249" t="s">
        <v>5329</v>
      </c>
      <c r="R964" s="147" t="s">
        <v>5330</v>
      </c>
      <c r="S964" s="60"/>
      <c r="T964" s="60"/>
      <c r="U964" s="847" t="s">
        <v>5332</v>
      </c>
      <c r="V964" s="1212" t="s">
        <v>5333</v>
      </c>
      <c r="W964" s="50" t="str">
        <f t="array" ref="W964">HYPERLINK(INDEX('File Links'!B:B, MATCH(U964, 'File Links'!C:C, 0)))
</f>
        <v>https://drive.google.com/file/d/1hjI3aqifdfXjWhQAlvKCKKtvjuncAn5M/view?usp=drivesdk</v>
      </c>
      <c r="X964" s="60"/>
      <c r="Y964" s="147" t="s">
        <v>156</v>
      </c>
      <c r="Z964" s="115" t="s">
        <v>165</v>
      </c>
      <c r="AA964" s="147" t="s">
        <v>5344</v>
      </c>
      <c r="AB964" s="60"/>
      <c r="AC964" s="147" t="s">
        <v>5691</v>
      </c>
      <c r="AD964" s="147" t="s">
        <v>5692</v>
      </c>
      <c r="AE964" s="144">
        <v>117.0</v>
      </c>
      <c r="AF964" s="1278">
        <v>4.1</v>
      </c>
      <c r="AG964" s="147" t="s">
        <v>1051</v>
      </c>
      <c r="AH964" s="1274" t="s">
        <v>5693</v>
      </c>
      <c r="AI964" s="355">
        <v>0.045</v>
      </c>
      <c r="AJ964" s="52" t="s">
        <v>164</v>
      </c>
      <c r="AK964" s="147" t="s">
        <v>179</v>
      </c>
      <c r="AL964" s="1246" t="s">
        <v>132</v>
      </c>
      <c r="AM964" s="147" t="s">
        <v>129</v>
      </c>
      <c r="AN964" s="144">
        <v>368.0</v>
      </c>
      <c r="AO964" s="144">
        <v>7.06</v>
      </c>
      <c r="AP964" s="147" t="s">
        <v>1051</v>
      </c>
      <c r="AQ964" s="147" t="s">
        <v>5694</v>
      </c>
      <c r="AR964" s="144">
        <v>0.008</v>
      </c>
      <c r="AS964" s="147" t="s">
        <v>164</v>
      </c>
      <c r="AT964" s="147" t="s">
        <v>179</v>
      </c>
      <c r="AU964" s="142" t="s">
        <v>132</v>
      </c>
      <c r="AV964" s="453" t="s">
        <v>5695</v>
      </c>
      <c r="AW964" s="147" t="s">
        <v>134</v>
      </c>
      <c r="AY964" s="142" t="s">
        <v>244</v>
      </c>
    </row>
    <row r="965">
      <c r="A965" s="60" t="s">
        <v>106</v>
      </c>
      <c r="B965" s="136" t="s">
        <v>107</v>
      </c>
      <c r="C965" s="136" t="s">
        <v>3672</v>
      </c>
      <c r="D965" s="64"/>
      <c r="E965" s="1257" t="s">
        <v>5696</v>
      </c>
      <c r="F965" s="147" t="s">
        <v>5697</v>
      </c>
      <c r="G965" s="1247" t="s">
        <v>3673</v>
      </c>
      <c r="H965" s="140">
        <v>45674.0</v>
      </c>
      <c r="I965" s="140">
        <v>45691.0</v>
      </c>
      <c r="J965" s="147" t="s">
        <v>5698</v>
      </c>
      <c r="K965" s="60"/>
      <c r="L965" s="147" t="s">
        <v>5699</v>
      </c>
      <c r="M965" s="147" t="s">
        <v>5700</v>
      </c>
      <c r="N965" s="115">
        <v>1.0</v>
      </c>
      <c r="O965" s="847" t="str">
        <f>SUBSTITUTE(LOWER(M965), "/", "--") &amp;  ".pdf"</f>
        <v>10.1016--j.cognition.2013.02.008.pdf</v>
      </c>
      <c r="P965" s="48" t="str">
        <f t="array" ref="P965">HYPERLINK(INDEX('File Links'!B:B, MATCH(O965, 'File Links'!C:C, 0)))
</f>
        <v>https://drive.google.com/file/d/1kb4iozdFSFtKZKGvaK7sOkqlr4kI2jg5/view?usp=drivesdk</v>
      </c>
      <c r="Q965" s="1249" t="s">
        <v>5329</v>
      </c>
      <c r="R965" s="303" t="s">
        <v>5330</v>
      </c>
      <c r="S965" s="303" t="s">
        <v>5331</v>
      </c>
      <c r="T965" s="144">
        <v>32.0</v>
      </c>
      <c r="U965" s="847" t="s">
        <v>5332</v>
      </c>
      <c r="V965" s="1212" t="s">
        <v>5333</v>
      </c>
      <c r="W965" s="50" t="str">
        <f t="array" ref="W965">HYPERLINK(INDEX('File Links'!B:B, MATCH(U965, 'File Links'!C:C, 0)))
</f>
        <v>https://drive.google.com/file/d/1hjI3aqifdfXjWhQAlvKCKKtvjuncAn5M/view?usp=drivesdk</v>
      </c>
      <c r="X965" s="60"/>
      <c r="Y965" s="147" t="s">
        <v>156</v>
      </c>
      <c r="Z965" s="115" t="s">
        <v>165</v>
      </c>
      <c r="AA965" s="147" t="s">
        <v>5701</v>
      </c>
      <c r="AB965" s="60"/>
      <c r="AC965" s="147" t="s">
        <v>5702</v>
      </c>
      <c r="AD965" s="147" t="s">
        <v>5703</v>
      </c>
      <c r="AE965" s="144">
        <v>202.0</v>
      </c>
      <c r="AF965" s="1277" t="s">
        <v>5704</v>
      </c>
      <c r="AG965" s="147" t="s">
        <v>162</v>
      </c>
      <c r="AH965" s="330" t="s">
        <v>131</v>
      </c>
      <c r="AI965" s="355">
        <v>0.001</v>
      </c>
      <c r="AJ965" s="52" t="s">
        <v>127</v>
      </c>
      <c r="AK965" s="147" t="s">
        <v>179</v>
      </c>
      <c r="AL965" s="526" t="s">
        <v>821</v>
      </c>
      <c r="AM965" s="60"/>
      <c r="AN965" s="144">
        <v>63.0</v>
      </c>
      <c r="AO965" s="1266" t="s">
        <v>5705</v>
      </c>
      <c r="AP965" s="147" t="s">
        <v>162</v>
      </c>
      <c r="AQ965" s="147" t="s">
        <v>5331</v>
      </c>
      <c r="AR965" s="144">
        <v>0.001</v>
      </c>
      <c r="AS965" s="147" t="s">
        <v>127</v>
      </c>
      <c r="AT965" s="147" t="s">
        <v>179</v>
      </c>
      <c r="AU965" s="525" t="s">
        <v>821</v>
      </c>
      <c r="AV965" s="303" t="s">
        <v>5706</v>
      </c>
      <c r="AW965" s="147" t="s">
        <v>134</v>
      </c>
      <c r="AY965" s="142" t="s">
        <v>244</v>
      </c>
    </row>
    <row r="966">
      <c r="A966" s="314" t="s">
        <v>5350</v>
      </c>
      <c r="B966" s="136" t="s">
        <v>107</v>
      </c>
      <c r="C966" s="136" t="s">
        <v>243</v>
      </c>
      <c r="D966" s="64"/>
      <c r="E966" s="1257" t="s">
        <v>5696</v>
      </c>
      <c r="F966" s="147" t="s">
        <v>5697</v>
      </c>
      <c r="G966" s="1247" t="s">
        <v>244</v>
      </c>
      <c r="H966" s="140">
        <v>45331.0</v>
      </c>
      <c r="I966" s="140">
        <v>45691.0</v>
      </c>
      <c r="J966" s="147" t="s">
        <v>5707</v>
      </c>
      <c r="K966" s="60"/>
      <c r="L966" s="147" t="s">
        <v>5699</v>
      </c>
      <c r="M966" s="147" t="s">
        <v>5700</v>
      </c>
      <c r="N966" s="115">
        <v>1.0</v>
      </c>
      <c r="O966" s="847" t="s">
        <v>5708</v>
      </c>
      <c r="P966" s="48" t="str">
        <f t="array" ref="P966">HYPERLINK(INDEX('File Links'!B:B, MATCH(O966, 'File Links'!C:C, 0)))
</f>
        <v>https://drive.google.com/file/d/1kb4iozdFSFtKZKGvaK7sOkqlr4kI2jg5/view?usp=drivesdk</v>
      </c>
      <c r="Q966" s="1249" t="s">
        <v>5329</v>
      </c>
      <c r="R966" s="147" t="s">
        <v>5330</v>
      </c>
      <c r="S966" s="60"/>
      <c r="T966" s="60"/>
      <c r="U966" s="847" t="s">
        <v>5332</v>
      </c>
      <c r="V966" s="1212" t="s">
        <v>5333</v>
      </c>
      <c r="W966" s="50" t="str">
        <f t="array" ref="W966">HYPERLINK(INDEX('File Links'!B:B, MATCH(U966, 'File Links'!C:C, 0)))
</f>
        <v>https://drive.google.com/file/d/1hjI3aqifdfXjWhQAlvKCKKtvjuncAn5M/view?usp=drivesdk</v>
      </c>
      <c r="X966" s="60"/>
      <c r="Y966" s="147" t="s">
        <v>156</v>
      </c>
      <c r="Z966" s="115" t="s">
        <v>165</v>
      </c>
      <c r="AA966" s="147" t="s">
        <v>5709</v>
      </c>
      <c r="AB966" s="60"/>
      <c r="AC966" s="147" t="s">
        <v>5710</v>
      </c>
      <c r="AD966" s="147" t="s">
        <v>5711</v>
      </c>
      <c r="AE966" s="144">
        <v>202.0</v>
      </c>
      <c r="AF966" s="1279">
        <v>0.73</v>
      </c>
      <c r="AG966" s="147" t="s">
        <v>1275</v>
      </c>
      <c r="AH966" s="1274" t="s">
        <v>5712</v>
      </c>
      <c r="AI966" s="355">
        <v>0.001</v>
      </c>
      <c r="AJ966" s="52" t="s">
        <v>127</v>
      </c>
      <c r="AK966" s="147" t="s">
        <v>179</v>
      </c>
      <c r="AL966" s="1246" t="s">
        <v>129</v>
      </c>
      <c r="AM966" s="147" t="s">
        <v>129</v>
      </c>
      <c r="AN966" s="144">
        <v>63.0</v>
      </c>
      <c r="AO966" s="144">
        <v>0.96</v>
      </c>
      <c r="AP966" s="147" t="s">
        <v>1275</v>
      </c>
      <c r="AQ966" s="147" t="s">
        <v>5713</v>
      </c>
      <c r="AR966" s="144">
        <v>0.001</v>
      </c>
      <c r="AS966" s="147" t="s">
        <v>127</v>
      </c>
      <c r="AT966" s="147" t="s">
        <v>179</v>
      </c>
      <c r="AU966" s="142" t="s">
        <v>129</v>
      </c>
      <c r="AV966" s="453" t="s">
        <v>5714</v>
      </c>
      <c r="AW966" s="147" t="s">
        <v>134</v>
      </c>
      <c r="AY966" s="142" t="s">
        <v>244</v>
      </c>
    </row>
    <row r="967">
      <c r="A967" s="314" t="s">
        <v>5350</v>
      </c>
      <c r="B967" s="136" t="s">
        <v>107</v>
      </c>
      <c r="C967" s="136" t="s">
        <v>3672</v>
      </c>
      <c r="D967" s="64"/>
      <c r="E967" s="1246" t="s">
        <v>5715</v>
      </c>
      <c r="F967" s="147" t="s">
        <v>5716</v>
      </c>
      <c r="G967" s="1247" t="s">
        <v>3673</v>
      </c>
      <c r="H967" s="140">
        <v>45674.0</v>
      </c>
      <c r="I967" s="140">
        <v>45691.0</v>
      </c>
      <c r="J967" s="147" t="s">
        <v>5717</v>
      </c>
      <c r="K967" s="60"/>
      <c r="L967" s="147" t="s">
        <v>5718</v>
      </c>
      <c r="M967" s="147" t="s">
        <v>5719</v>
      </c>
      <c r="N967" s="144">
        <v>1.0</v>
      </c>
      <c r="O967" s="847" t="str">
        <f>SUBSTITUTE(LOWER(M967), "/", "--") &amp;  ".pdf"</f>
        <v>10.1017--epi.2013.23.pdf</v>
      </c>
      <c r="P967" s="48" t="str">
        <f t="array" ref="P967">HYPERLINK(INDEX('File Links'!B:B, MATCH(O967, 'File Links'!C:C, 0)))
</f>
        <v>https://drive.google.com/file/d/1xs7muWdyYdblxSMymp-O09c44czfutsh/view?usp=drivesdk</v>
      </c>
      <c r="Q967" s="1249" t="s">
        <v>5329</v>
      </c>
      <c r="R967" s="303" t="s">
        <v>5330</v>
      </c>
      <c r="S967" s="303" t="s">
        <v>5331</v>
      </c>
      <c r="T967" s="144">
        <v>33.0</v>
      </c>
      <c r="U967" s="847" t="s">
        <v>5332</v>
      </c>
      <c r="V967" s="1212" t="s">
        <v>5333</v>
      </c>
      <c r="W967" s="50" t="str">
        <f t="array" ref="W967">HYPERLINK(INDEX('File Links'!B:B, MATCH(U967, 'File Links'!C:C, 0)))
</f>
        <v>https://drive.google.com/file/d/1hjI3aqifdfXjWhQAlvKCKKtvjuncAn5M/view?usp=drivesdk</v>
      </c>
      <c r="X967" s="60"/>
      <c r="Y967" s="147" t="s">
        <v>156</v>
      </c>
      <c r="Z967" s="115" t="s">
        <v>165</v>
      </c>
      <c r="AA967" s="147" t="s">
        <v>5720</v>
      </c>
      <c r="AB967" s="60"/>
      <c r="AC967" s="147" t="s">
        <v>5721</v>
      </c>
      <c r="AD967" s="144">
        <v>9.0</v>
      </c>
      <c r="AE967" s="144">
        <v>376.0</v>
      </c>
      <c r="AF967" s="1277" t="s">
        <v>5722</v>
      </c>
      <c r="AG967" s="147" t="s">
        <v>208</v>
      </c>
      <c r="AH967" s="330" t="s">
        <v>625</v>
      </c>
      <c r="AI967" s="355">
        <v>0.001</v>
      </c>
      <c r="AJ967" s="52" t="s">
        <v>127</v>
      </c>
      <c r="AK967" s="147" t="s">
        <v>179</v>
      </c>
      <c r="AL967" s="55"/>
      <c r="AM967" s="60"/>
      <c r="AN967" s="144">
        <v>418.0</v>
      </c>
      <c r="AO967" s="147" t="s">
        <v>5723</v>
      </c>
      <c r="AP967" s="147" t="s">
        <v>162</v>
      </c>
      <c r="AQ967" s="147" t="s">
        <v>5331</v>
      </c>
      <c r="AR967" s="144">
        <v>0.001</v>
      </c>
      <c r="AS967" s="147" t="s">
        <v>127</v>
      </c>
      <c r="AT967" s="147" t="s">
        <v>179</v>
      </c>
      <c r="AU967" s="147" t="s">
        <v>129</v>
      </c>
      <c r="AV967" s="303" t="s">
        <v>5724</v>
      </c>
      <c r="AW967" s="147" t="s">
        <v>134</v>
      </c>
      <c r="AY967" s="142" t="s">
        <v>244</v>
      </c>
    </row>
    <row r="968">
      <c r="A968" s="60" t="s">
        <v>106</v>
      </c>
      <c r="B968" s="136" t="s">
        <v>107</v>
      </c>
      <c r="C968" s="136" t="s">
        <v>243</v>
      </c>
      <c r="D968" s="64"/>
      <c r="E968" s="1246" t="s">
        <v>5715</v>
      </c>
      <c r="F968" s="147" t="s">
        <v>5716</v>
      </c>
      <c r="G968" s="1247" t="s">
        <v>244</v>
      </c>
      <c r="H968" s="140">
        <v>45331.0</v>
      </c>
      <c r="I968" s="140">
        <v>45691.0</v>
      </c>
      <c r="J968" s="147" t="s">
        <v>5725</v>
      </c>
      <c r="K968" s="60"/>
      <c r="L968" s="147" t="s">
        <v>5718</v>
      </c>
      <c r="M968" s="147" t="s">
        <v>5719</v>
      </c>
      <c r="N968" s="115">
        <v>1.0</v>
      </c>
      <c r="O968" s="847" t="s">
        <v>5726</v>
      </c>
      <c r="P968" s="48" t="str">
        <f t="array" ref="P968">HYPERLINK(INDEX('File Links'!B:B, MATCH(O968, 'File Links'!C:C, 0)))
</f>
        <v>https://drive.google.com/file/d/1xs7muWdyYdblxSMymp-O09c44czfutsh/view?usp=drivesdk</v>
      </c>
      <c r="Q968" s="1249" t="s">
        <v>5329</v>
      </c>
      <c r="R968" s="147" t="s">
        <v>5330</v>
      </c>
      <c r="S968" s="60"/>
      <c r="T968" s="60"/>
      <c r="U968" s="847" t="s">
        <v>5332</v>
      </c>
      <c r="V968" s="1212" t="s">
        <v>5333</v>
      </c>
      <c r="W968" s="50" t="str">
        <f t="array" ref="W968">HYPERLINK(INDEX('File Links'!B:B, MATCH(U968, 'File Links'!C:C, 0)))
</f>
        <v>https://drive.google.com/file/d/1hjI3aqifdfXjWhQAlvKCKKtvjuncAn5M/view?usp=drivesdk</v>
      </c>
      <c r="X968" s="60"/>
      <c r="Y968" s="147" t="s">
        <v>156</v>
      </c>
      <c r="Z968" s="115" t="s">
        <v>165</v>
      </c>
      <c r="AA968" s="147" t="s">
        <v>5344</v>
      </c>
      <c r="AB968" s="60"/>
      <c r="AC968" s="147" t="s">
        <v>5727</v>
      </c>
      <c r="AD968" s="147" t="s">
        <v>5728</v>
      </c>
      <c r="AE968" s="144">
        <v>376.0</v>
      </c>
      <c r="AF968" s="1278">
        <v>31.127</v>
      </c>
      <c r="AG968" s="147" t="s">
        <v>1051</v>
      </c>
      <c r="AH968" s="1274" t="s">
        <v>5729</v>
      </c>
      <c r="AI968" s="355">
        <v>0.001</v>
      </c>
      <c r="AJ968" s="52" t="s">
        <v>127</v>
      </c>
      <c r="AK968" s="147" t="s">
        <v>179</v>
      </c>
      <c r="AL968" s="1270" t="s">
        <v>821</v>
      </c>
      <c r="AM968" s="147" t="s">
        <v>129</v>
      </c>
      <c r="AN968" s="144">
        <v>418.0</v>
      </c>
      <c r="AO968" s="144">
        <v>55.8</v>
      </c>
      <c r="AP968" s="147" t="s">
        <v>1051</v>
      </c>
      <c r="AQ968" s="147" t="s">
        <v>5730</v>
      </c>
      <c r="AR968" s="144">
        <v>0.001</v>
      </c>
      <c r="AS968" s="147" t="s">
        <v>127</v>
      </c>
      <c r="AT968" s="147" t="s">
        <v>179</v>
      </c>
      <c r="AU968" s="1280" t="s">
        <v>821</v>
      </c>
      <c r="AV968" s="453" t="s">
        <v>5731</v>
      </c>
      <c r="AW968" s="147" t="s">
        <v>134</v>
      </c>
      <c r="AY968" s="142" t="s">
        <v>244</v>
      </c>
    </row>
    <row r="969">
      <c r="A969" s="314" t="s">
        <v>5350</v>
      </c>
      <c r="B969" s="136" t="s">
        <v>107</v>
      </c>
      <c r="C969" s="136" t="s">
        <v>3672</v>
      </c>
      <c r="D969" s="64"/>
      <c r="E969" s="1246" t="s">
        <v>5732</v>
      </c>
      <c r="F969" s="147" t="s">
        <v>5733</v>
      </c>
      <c r="G969" s="1247" t="s">
        <v>3673</v>
      </c>
      <c r="H969" s="140">
        <v>45674.0</v>
      </c>
      <c r="I969" s="140">
        <v>45691.0</v>
      </c>
      <c r="J969" s="147" t="s">
        <v>5734</v>
      </c>
      <c r="K969" s="60"/>
      <c r="L969" s="147" t="s">
        <v>5735</v>
      </c>
      <c r="M969" s="147" t="s">
        <v>5736</v>
      </c>
      <c r="N969" s="144">
        <v>1.0</v>
      </c>
      <c r="O969" s="847" t="str">
        <f>SUBSTITUTE(LOWER(M969), "/", "--") &amp;  ".pdf"</f>
        <v>10.1007--s13164-013-0154-3.pdf</v>
      </c>
      <c r="P969" s="48" t="str">
        <f t="array" ref="P969">HYPERLINK(INDEX('File Links'!B:B, MATCH(O969, 'File Links'!C:C, 0)))
</f>
        <v>https://drive.google.com/file/d/1sQtBrEeqN1XM_1Qv0mJvDeDfWVWHohWY/view?usp=drivesdk</v>
      </c>
      <c r="Q969" s="1249" t="s">
        <v>5329</v>
      </c>
      <c r="R969" s="303" t="s">
        <v>5330</v>
      </c>
      <c r="S969" s="303" t="s">
        <v>5331</v>
      </c>
      <c r="T969" s="144">
        <v>34.0</v>
      </c>
      <c r="U969" s="847" t="s">
        <v>5332</v>
      </c>
      <c r="V969" s="1212" t="s">
        <v>5333</v>
      </c>
      <c r="W969" s="50" t="str">
        <f t="array" ref="W969">HYPERLINK(INDEX('File Links'!B:B, MATCH(U969, 'File Links'!C:C, 0)))
</f>
        <v>https://drive.google.com/file/d/1hjI3aqifdfXjWhQAlvKCKKtvjuncAn5M/view?usp=drivesdk</v>
      </c>
      <c r="X969" s="60"/>
      <c r="Y969" s="147" t="s">
        <v>156</v>
      </c>
      <c r="Z969" s="115" t="s">
        <v>165</v>
      </c>
      <c r="AA969" s="147" t="s">
        <v>5737</v>
      </c>
      <c r="AB969" s="60"/>
      <c r="AC969" s="147" t="s">
        <v>5738</v>
      </c>
      <c r="AD969" s="144">
        <v>8.0</v>
      </c>
      <c r="AE969" s="144">
        <v>60.0</v>
      </c>
      <c r="AF969" s="1277" t="s">
        <v>5739</v>
      </c>
      <c r="AG969" s="147" t="s">
        <v>162</v>
      </c>
      <c r="AH969" s="330" t="s">
        <v>610</v>
      </c>
      <c r="AI969" s="355">
        <v>0.3421</v>
      </c>
      <c r="AJ969" s="52" t="s">
        <v>164</v>
      </c>
      <c r="AK969" s="147" t="s">
        <v>179</v>
      </c>
      <c r="AL969" s="526" t="s">
        <v>821</v>
      </c>
      <c r="AM969" s="60"/>
      <c r="AN969" s="144">
        <v>155.0</v>
      </c>
      <c r="AO969" s="147" t="s">
        <v>5740</v>
      </c>
      <c r="AP969" s="60"/>
      <c r="AQ969" s="147" t="s">
        <v>162</v>
      </c>
      <c r="AR969" s="144">
        <v>0.656</v>
      </c>
      <c r="AS969" s="147" t="s">
        <v>164</v>
      </c>
      <c r="AT969" s="147" t="s">
        <v>179</v>
      </c>
      <c r="AU969" s="525" t="s">
        <v>821</v>
      </c>
      <c r="AV969" s="303" t="s">
        <v>5741</v>
      </c>
      <c r="AW969" s="147" t="s">
        <v>134</v>
      </c>
      <c r="AY969" s="142" t="s">
        <v>244</v>
      </c>
    </row>
    <row r="970">
      <c r="A970" s="142" t="s">
        <v>106</v>
      </c>
      <c r="B970" s="136" t="s">
        <v>107</v>
      </c>
      <c r="C970" s="136" t="s">
        <v>243</v>
      </c>
      <c r="D970" s="64"/>
      <c r="E970" s="1246" t="s">
        <v>5732</v>
      </c>
      <c r="F970" s="147" t="s">
        <v>5733</v>
      </c>
      <c r="G970" s="1247" t="s">
        <v>244</v>
      </c>
      <c r="H970" s="140">
        <v>45331.0</v>
      </c>
      <c r="I970" s="140">
        <v>45691.0</v>
      </c>
      <c r="J970" s="147" t="s">
        <v>5742</v>
      </c>
      <c r="K970" s="60"/>
      <c r="L970" s="147" t="s">
        <v>5735</v>
      </c>
      <c r="M970" s="147" t="s">
        <v>5736</v>
      </c>
      <c r="N970" s="144">
        <v>1.0</v>
      </c>
      <c r="O970" s="847" t="s">
        <v>5743</v>
      </c>
      <c r="P970" s="48" t="str">
        <f t="array" ref="P970">HYPERLINK(INDEX('File Links'!B:B, MATCH(O970, 'File Links'!C:C, 0)))
</f>
        <v>https://drive.google.com/file/d/1sQtBrEeqN1XM_1Qv0mJvDeDfWVWHohWY/view?usp=drivesdk</v>
      </c>
      <c r="Q970" s="1249" t="s">
        <v>5329</v>
      </c>
      <c r="R970" s="147" t="s">
        <v>5330</v>
      </c>
      <c r="S970" s="60"/>
      <c r="T970" s="60"/>
      <c r="U970" s="847" t="s">
        <v>5332</v>
      </c>
      <c r="V970" s="1212" t="s">
        <v>5333</v>
      </c>
      <c r="W970" s="50" t="str">
        <f t="array" ref="W970">HYPERLINK(INDEX('File Links'!B:B, MATCH(U970, 'File Links'!C:C, 0)))
</f>
        <v>https://drive.google.com/file/d/1hjI3aqifdfXjWhQAlvKCKKtvjuncAn5M/view?usp=drivesdk</v>
      </c>
      <c r="X970" s="60"/>
      <c r="Y970" s="147" t="s">
        <v>156</v>
      </c>
      <c r="Z970" s="115" t="s">
        <v>165</v>
      </c>
      <c r="AA970" s="147" t="s">
        <v>5344</v>
      </c>
      <c r="AB970" s="60"/>
      <c r="AC970" s="147" t="s">
        <v>5744</v>
      </c>
      <c r="AD970" s="147" t="s">
        <v>125</v>
      </c>
      <c r="AE970" s="808">
        <v>60.0</v>
      </c>
      <c r="AF970" s="147" t="s">
        <v>165</v>
      </c>
      <c r="AG970" s="60"/>
      <c r="AH970" s="1274" t="s">
        <v>5745</v>
      </c>
      <c r="AI970" s="355">
        <v>0.3421</v>
      </c>
      <c r="AJ970" s="52" t="s">
        <v>164</v>
      </c>
      <c r="AK970" s="147" t="s">
        <v>179</v>
      </c>
      <c r="AL970" s="1270" t="s">
        <v>821</v>
      </c>
      <c r="AM970" s="147" t="s">
        <v>129</v>
      </c>
      <c r="AN970" s="144">
        <v>155.0</v>
      </c>
      <c r="AO970" s="147" t="s">
        <v>165</v>
      </c>
      <c r="AP970" s="60"/>
      <c r="AQ970" s="147" t="s">
        <v>5746</v>
      </c>
      <c r="AR970" s="144">
        <v>0.656</v>
      </c>
      <c r="AS970" s="147" t="s">
        <v>164</v>
      </c>
      <c r="AT970" s="147" t="s">
        <v>179</v>
      </c>
      <c r="AU970" s="1280" t="s">
        <v>821</v>
      </c>
      <c r="AV970" s="453" t="s">
        <v>5747</v>
      </c>
      <c r="AW970" s="142" t="s">
        <v>134</v>
      </c>
      <c r="AY970" s="142" t="s">
        <v>244</v>
      </c>
    </row>
    <row r="971">
      <c r="A971" s="314" t="s">
        <v>5350</v>
      </c>
      <c r="B971" s="136" t="s">
        <v>107</v>
      </c>
      <c r="C971" s="136" t="s">
        <v>3672</v>
      </c>
      <c r="D971" s="64"/>
      <c r="E971" s="1246" t="s">
        <v>5748</v>
      </c>
      <c r="F971" s="147" t="s">
        <v>5749</v>
      </c>
      <c r="G971" s="1247" t="s">
        <v>3673</v>
      </c>
      <c r="H971" s="140">
        <v>45674.0</v>
      </c>
      <c r="I971" s="140">
        <v>45691.0</v>
      </c>
      <c r="J971" s="147" t="s">
        <v>5750</v>
      </c>
      <c r="K971" s="60"/>
      <c r="L971" s="147" t="s">
        <v>5751</v>
      </c>
      <c r="M971" s="147" t="s">
        <v>5752</v>
      </c>
      <c r="N971" s="144">
        <v>1.0</v>
      </c>
      <c r="O971" s="847" t="str">
        <f>SUBSTITUTE(LOWER(M971), "/", "--") &amp;  ".pdf"</f>
        <v>10.1111--j.1933-1592.2012.00609.x.pdf</v>
      </c>
      <c r="P971" s="48" t="str">
        <f t="array" ref="P971">HYPERLINK(INDEX('File Links'!B:B, MATCH(O971, 'File Links'!C:C, 0)))
</f>
        <v>https://drive.google.com/file/d/1vevfUy0iTc6NQfF1T-jwqjcTM_yHdsf0/view?usp=drivesdk</v>
      </c>
      <c r="Q971" s="1249" t="s">
        <v>5329</v>
      </c>
      <c r="R971" s="303" t="s">
        <v>5330</v>
      </c>
      <c r="S971" s="303" t="s">
        <v>5331</v>
      </c>
      <c r="T971" s="144">
        <v>35.0</v>
      </c>
      <c r="U971" s="847" t="s">
        <v>5332</v>
      </c>
      <c r="V971" s="1212" t="s">
        <v>5333</v>
      </c>
      <c r="W971" s="50" t="str">
        <f t="array" ref="W971">HYPERLINK(INDEX('File Links'!B:B, MATCH(U971, 'File Links'!C:C, 0)))
</f>
        <v>https://drive.google.com/file/d/1hjI3aqifdfXjWhQAlvKCKKtvjuncAn5M/view?usp=drivesdk</v>
      </c>
      <c r="X971" s="60"/>
      <c r="Y971" s="147" t="s">
        <v>156</v>
      </c>
      <c r="Z971" s="115" t="s">
        <v>165</v>
      </c>
      <c r="AA971" s="147" t="s">
        <v>5737</v>
      </c>
      <c r="AB971" s="60"/>
      <c r="AC971" s="147" t="s">
        <v>5753</v>
      </c>
      <c r="AD971" s="147" t="s">
        <v>5686</v>
      </c>
      <c r="AE971" s="808">
        <v>249.0</v>
      </c>
      <c r="AF971" s="1277" t="s">
        <v>5754</v>
      </c>
      <c r="AG971" s="147" t="s">
        <v>162</v>
      </c>
      <c r="AH971" s="330" t="s">
        <v>624</v>
      </c>
      <c r="AI971" s="355">
        <v>0.22</v>
      </c>
      <c r="AJ971" s="52" t="s">
        <v>164</v>
      </c>
      <c r="AK971" s="147" t="s">
        <v>179</v>
      </c>
      <c r="AL971" s="526" t="s">
        <v>821</v>
      </c>
      <c r="AM971" s="60"/>
      <c r="AN971" s="144">
        <v>335.0</v>
      </c>
      <c r="AO971" s="147" t="s">
        <v>5755</v>
      </c>
      <c r="AP971" s="60"/>
      <c r="AQ971" s="147" t="s">
        <v>162</v>
      </c>
      <c r="AR971" s="144">
        <v>1.0E-4</v>
      </c>
      <c r="AS971" s="147" t="s">
        <v>164</v>
      </c>
      <c r="AT971" s="147" t="s">
        <v>179</v>
      </c>
      <c r="AU971" s="525" t="s">
        <v>821</v>
      </c>
      <c r="AV971" s="303" t="s">
        <v>5756</v>
      </c>
      <c r="AW971" s="147" t="s">
        <v>134</v>
      </c>
      <c r="AY971" s="142" t="s">
        <v>244</v>
      </c>
    </row>
    <row r="972">
      <c r="A972" s="60" t="s">
        <v>106</v>
      </c>
      <c r="B972" s="136" t="s">
        <v>107</v>
      </c>
      <c r="C972" s="136" t="s">
        <v>243</v>
      </c>
      <c r="D972" s="64"/>
      <c r="E972" s="1246" t="s">
        <v>5748</v>
      </c>
      <c r="F972" s="147" t="s">
        <v>5749</v>
      </c>
      <c r="G972" s="1247" t="s">
        <v>244</v>
      </c>
      <c r="H972" s="140">
        <v>45331.0</v>
      </c>
      <c r="I972" s="140">
        <v>45691.0</v>
      </c>
      <c r="J972" s="147" t="s">
        <v>5757</v>
      </c>
      <c r="K972" s="60"/>
      <c r="L972" s="147" t="s">
        <v>5751</v>
      </c>
      <c r="M972" s="147" t="s">
        <v>5752</v>
      </c>
      <c r="N972" s="115">
        <v>1.0</v>
      </c>
      <c r="O972" s="847" t="s">
        <v>5758</v>
      </c>
      <c r="P972" s="48" t="str">
        <f t="array" ref="P972">HYPERLINK(INDEX('File Links'!B:B, MATCH(O972, 'File Links'!C:C, 0)))
</f>
        <v>https://drive.google.com/file/d/1vevfUy0iTc6NQfF1T-jwqjcTM_yHdsf0/view?usp=drivesdk</v>
      </c>
      <c r="Q972" s="1249" t="s">
        <v>5329</v>
      </c>
      <c r="R972" s="147" t="s">
        <v>5330</v>
      </c>
      <c r="S972" s="60"/>
      <c r="T972" s="60"/>
      <c r="U972" s="847" t="s">
        <v>5332</v>
      </c>
      <c r="V972" s="1212" t="s">
        <v>5333</v>
      </c>
      <c r="W972" s="50" t="str">
        <f t="array" ref="W972">HYPERLINK(INDEX('File Links'!B:B, MATCH(U972, 'File Links'!C:C, 0)))
</f>
        <v>https://drive.google.com/file/d/1hjI3aqifdfXjWhQAlvKCKKtvjuncAn5M/view?usp=drivesdk</v>
      </c>
      <c r="X972" s="60"/>
      <c r="Y972" s="147" t="s">
        <v>156</v>
      </c>
      <c r="Z972" s="115" t="s">
        <v>165</v>
      </c>
      <c r="AA972" s="147" t="s">
        <v>5344</v>
      </c>
      <c r="AB972" s="60"/>
      <c r="AC972" s="147" t="s">
        <v>5759</v>
      </c>
      <c r="AD972" s="147" t="s">
        <v>624</v>
      </c>
      <c r="AE972" s="144">
        <v>249.0</v>
      </c>
      <c r="AF972" s="60"/>
      <c r="AG972" s="60"/>
      <c r="AH972" s="1274" t="s">
        <v>5760</v>
      </c>
      <c r="AI972" s="355">
        <v>0.022</v>
      </c>
      <c r="AJ972" s="52" t="s">
        <v>164</v>
      </c>
      <c r="AK972" s="147" t="s">
        <v>179</v>
      </c>
      <c r="AL972" s="1270" t="s">
        <v>821</v>
      </c>
      <c r="AM972" s="147" t="s">
        <v>129</v>
      </c>
      <c r="AN972" s="144">
        <v>335.0</v>
      </c>
      <c r="AO972" s="147" t="s">
        <v>165</v>
      </c>
      <c r="AP972" s="60"/>
      <c r="AQ972" s="147" t="s">
        <v>5761</v>
      </c>
      <c r="AR972" s="144">
        <v>1.0E-4</v>
      </c>
      <c r="AS972" s="147" t="s">
        <v>164</v>
      </c>
      <c r="AT972" s="147" t="s">
        <v>179</v>
      </c>
      <c r="AU972" s="1280" t="s">
        <v>821</v>
      </c>
      <c r="AV972" s="453" t="s">
        <v>5762</v>
      </c>
      <c r="AW972" s="142" t="s">
        <v>134</v>
      </c>
      <c r="AY972" s="142" t="s">
        <v>244</v>
      </c>
    </row>
    <row r="973">
      <c r="A973" s="142" t="s">
        <v>106</v>
      </c>
      <c r="B973" s="136" t="s">
        <v>107</v>
      </c>
      <c r="C973" s="136" t="s">
        <v>3672</v>
      </c>
      <c r="D973" s="64"/>
      <c r="E973" s="1257" t="s">
        <v>5763</v>
      </c>
      <c r="F973" s="147" t="s">
        <v>5764</v>
      </c>
      <c r="G973" s="1247" t="s">
        <v>3673</v>
      </c>
      <c r="H973" s="140">
        <v>45674.0</v>
      </c>
      <c r="I973" s="140">
        <v>45691.0</v>
      </c>
      <c r="J973" s="60"/>
      <c r="K973" s="60"/>
      <c r="L973" s="147" t="s">
        <v>5765</v>
      </c>
      <c r="M973" s="147" t="s">
        <v>5766</v>
      </c>
      <c r="N973" s="115">
        <v>1.0</v>
      </c>
      <c r="O973" s="847" t="str">
        <f>SUBSTITUTE(LOWER(M973), "/", "--") &amp;  ".pdf"</f>
        <v>10.1007--s13164-013-0162-3.pdf</v>
      </c>
      <c r="P973" s="48" t="str">
        <f t="array" ref="P973">HYPERLINK(INDEX('File Links'!B:B, MATCH(O973, 'File Links'!C:C, 0)))
</f>
        <v>https://drive.google.com/file/d/1_iGxIOrj5vzUvhOaCiFYGOOkUVaaRx4p/view?usp=drivesdk</v>
      </c>
      <c r="Q973" s="1249" t="s">
        <v>5329</v>
      </c>
      <c r="R973" s="303" t="s">
        <v>5330</v>
      </c>
      <c r="S973" s="303" t="s">
        <v>5331</v>
      </c>
      <c r="T973" s="144">
        <v>36.0</v>
      </c>
      <c r="U973" s="847" t="s">
        <v>5332</v>
      </c>
      <c r="V973" s="1212" t="s">
        <v>5333</v>
      </c>
      <c r="W973" s="50" t="str">
        <f t="array" ref="W973">HYPERLINK(INDEX('File Links'!B:B, MATCH(U973, 'File Links'!C:C, 0)))
</f>
        <v>https://drive.google.com/file/d/1hjI3aqifdfXjWhQAlvKCKKtvjuncAn5M/view?usp=drivesdk</v>
      </c>
      <c r="X973" s="60"/>
      <c r="Y973" s="147" t="s">
        <v>156</v>
      </c>
      <c r="Z973" s="115" t="s">
        <v>165</v>
      </c>
      <c r="AA973" s="147" t="s">
        <v>5767</v>
      </c>
      <c r="AB973" s="60"/>
      <c r="AC973" s="147" t="s">
        <v>5768</v>
      </c>
      <c r="AD973" s="144">
        <v>9.0</v>
      </c>
      <c r="AE973" s="144">
        <v>162.0</v>
      </c>
      <c r="AF973" s="147" t="s">
        <v>5769</v>
      </c>
      <c r="AG973" s="147" t="s">
        <v>162</v>
      </c>
      <c r="AH973" s="330" t="s">
        <v>629</v>
      </c>
      <c r="AI973" s="355">
        <v>0.01</v>
      </c>
      <c r="AJ973" s="52" t="s">
        <v>164</v>
      </c>
      <c r="AK973" s="147" t="s">
        <v>179</v>
      </c>
      <c r="AL973" s="52" t="s">
        <v>129</v>
      </c>
      <c r="AM973" s="60"/>
      <c r="AN973" s="60"/>
      <c r="AO973" s="144">
        <v>387.0</v>
      </c>
      <c r="AP973" s="60"/>
      <c r="AQ973" s="147" t="s">
        <v>166</v>
      </c>
      <c r="AR973" s="144">
        <v>0.092</v>
      </c>
      <c r="AS973" s="147" t="s">
        <v>164</v>
      </c>
      <c r="AT973" s="147" t="s">
        <v>128</v>
      </c>
      <c r="AU973" s="147" t="s">
        <v>129</v>
      </c>
      <c r="AV973" s="303" t="s">
        <v>5770</v>
      </c>
      <c r="AW973" s="147" t="s">
        <v>134</v>
      </c>
      <c r="AY973" s="142" t="s">
        <v>244</v>
      </c>
    </row>
    <row r="974">
      <c r="A974" s="314" t="s">
        <v>5350</v>
      </c>
      <c r="B974" s="136" t="s">
        <v>107</v>
      </c>
      <c r="C974" s="136" t="s">
        <v>243</v>
      </c>
      <c r="D974" s="64"/>
      <c r="E974" s="1257" t="s">
        <v>5763</v>
      </c>
      <c r="F974" s="147" t="s">
        <v>5764</v>
      </c>
      <c r="G974" s="1247" t="s">
        <v>244</v>
      </c>
      <c r="H974" s="140">
        <v>45331.0</v>
      </c>
      <c r="I974" s="140">
        <v>45691.0</v>
      </c>
      <c r="J974" s="147" t="s">
        <v>5771</v>
      </c>
      <c r="K974" s="60"/>
      <c r="L974" s="147" t="s">
        <v>5765</v>
      </c>
      <c r="M974" s="147" t="s">
        <v>5766</v>
      </c>
      <c r="N974" s="115">
        <v>1.0</v>
      </c>
      <c r="O974" s="847" t="s">
        <v>5772</v>
      </c>
      <c r="P974" s="48" t="str">
        <f t="array" ref="P974">HYPERLINK(INDEX('File Links'!B:B, MATCH(O974, 'File Links'!C:C, 0)))
</f>
        <v>https://drive.google.com/file/d/1_iGxIOrj5vzUvhOaCiFYGOOkUVaaRx4p/view?usp=drivesdk</v>
      </c>
      <c r="Q974" s="1249" t="s">
        <v>5329</v>
      </c>
      <c r="R974" s="147" t="s">
        <v>5330</v>
      </c>
      <c r="S974" s="60"/>
      <c r="T974" s="60"/>
      <c r="U974" s="847" t="s">
        <v>5332</v>
      </c>
      <c r="V974" s="1212" t="s">
        <v>5333</v>
      </c>
      <c r="W974" s="50" t="str">
        <f t="array" ref="W974">HYPERLINK(INDEX('File Links'!B:B, MATCH(U974, 'File Links'!C:C, 0)))
</f>
        <v>https://drive.google.com/file/d/1hjI3aqifdfXjWhQAlvKCKKtvjuncAn5M/view?usp=drivesdk</v>
      </c>
      <c r="X974" s="60"/>
      <c r="Y974" s="147" t="s">
        <v>156</v>
      </c>
      <c r="Z974" s="115" t="s">
        <v>165</v>
      </c>
      <c r="AA974" s="147" t="s">
        <v>5344</v>
      </c>
      <c r="AB974" s="60"/>
      <c r="AC974" s="147" t="s">
        <v>5773</v>
      </c>
      <c r="AD974" s="147" t="s">
        <v>625</v>
      </c>
      <c r="AE974" s="144">
        <v>162.0</v>
      </c>
      <c r="AF974" s="1277" t="s">
        <v>5769</v>
      </c>
      <c r="AG974" s="147" t="s">
        <v>162</v>
      </c>
      <c r="AH974" s="1274" t="s">
        <v>5774</v>
      </c>
      <c r="AI974" s="355">
        <v>0.01</v>
      </c>
      <c r="AJ974" s="52" t="s">
        <v>164</v>
      </c>
      <c r="AK974" s="147" t="s">
        <v>179</v>
      </c>
      <c r="AL974" s="1246" t="s">
        <v>129</v>
      </c>
      <c r="AM974" s="147" t="s">
        <v>129</v>
      </c>
      <c r="AN974" s="144">
        <v>387.0</v>
      </c>
      <c r="AO974" s="144">
        <v>0.2</v>
      </c>
      <c r="AP974" s="147" t="s">
        <v>166</v>
      </c>
      <c r="AQ974" s="147" t="s">
        <v>5775</v>
      </c>
      <c r="AR974" s="144">
        <v>0.007</v>
      </c>
      <c r="AS974" s="147" t="s">
        <v>164</v>
      </c>
      <c r="AT974" s="147" t="s">
        <v>179</v>
      </c>
      <c r="AU974" s="142" t="s">
        <v>129</v>
      </c>
      <c r="AV974" s="453" t="s">
        <v>5776</v>
      </c>
      <c r="AW974" s="142" t="s">
        <v>134</v>
      </c>
      <c r="AY974" s="142" t="s">
        <v>244</v>
      </c>
    </row>
    <row r="975">
      <c r="A975" s="314" t="s">
        <v>5350</v>
      </c>
      <c r="B975" s="136" t="s">
        <v>107</v>
      </c>
      <c r="C975" s="136" t="s">
        <v>3672</v>
      </c>
      <c r="D975" s="64"/>
      <c r="E975" s="1246" t="s">
        <v>5777</v>
      </c>
      <c r="F975" s="147" t="s">
        <v>5778</v>
      </c>
      <c r="G975" s="1247" t="s">
        <v>3673</v>
      </c>
      <c r="H975" s="140">
        <v>45674.0</v>
      </c>
      <c r="I975" s="140">
        <v>45691.0</v>
      </c>
      <c r="J975" s="60"/>
      <c r="K975" s="60"/>
      <c r="L975" s="147" t="s">
        <v>5779</v>
      </c>
      <c r="M975" s="147" t="s">
        <v>5780</v>
      </c>
      <c r="N975" s="115">
        <v>1.0</v>
      </c>
      <c r="O975" s="847" t="str">
        <f>SUBSTITUTE(LOWER(M975), "/", "--") &amp;  ".pdf"</f>
        <v>10.1093--aesthj--ayu027.pdf</v>
      </c>
      <c r="P975" s="48" t="str">
        <f t="array" ref="P975">HYPERLINK(INDEX('File Links'!B:B, MATCH(O975, 'File Links'!C:C, 0)))
</f>
        <v>https://drive.google.com/file/d/17zk5ntmJwRuglkdI2KDBsmDyHp9ZT9nk/view?usp=drivesdk</v>
      </c>
      <c r="Q975" s="1249" t="s">
        <v>5329</v>
      </c>
      <c r="R975" s="303" t="s">
        <v>5330</v>
      </c>
      <c r="S975" s="303" t="s">
        <v>5331</v>
      </c>
      <c r="T975" s="144">
        <v>37.0</v>
      </c>
      <c r="U975" s="847" t="s">
        <v>5332</v>
      </c>
      <c r="V975" s="1212" t="s">
        <v>5333</v>
      </c>
      <c r="W975" s="50" t="str">
        <f t="array" ref="W975">HYPERLINK(INDEX('File Links'!B:B, MATCH(U975, 'File Links'!C:C, 0)))
</f>
        <v>https://drive.google.com/file/d/1hjI3aqifdfXjWhQAlvKCKKtvjuncAn5M/view?usp=drivesdk</v>
      </c>
      <c r="X975" s="60"/>
      <c r="Y975" s="147" t="s">
        <v>156</v>
      </c>
      <c r="Z975" s="147" t="s">
        <v>5781</v>
      </c>
      <c r="AA975" s="147" t="s">
        <v>5781</v>
      </c>
      <c r="AB975" s="147" t="s">
        <v>5782</v>
      </c>
      <c r="AC975" s="147" t="s">
        <v>5783</v>
      </c>
      <c r="AD975" s="147" t="s">
        <v>5784</v>
      </c>
      <c r="AE975" s="144">
        <v>30.0</v>
      </c>
      <c r="AF975" s="1277" t="s">
        <v>5785</v>
      </c>
      <c r="AG975" s="147" t="s">
        <v>208</v>
      </c>
      <c r="AH975" s="330" t="s">
        <v>2232</v>
      </c>
      <c r="AI975" s="355">
        <v>0.002</v>
      </c>
      <c r="AJ975" s="52" t="s">
        <v>164</v>
      </c>
      <c r="AK975" s="147" t="s">
        <v>179</v>
      </c>
      <c r="AL975" s="52" t="s">
        <v>129</v>
      </c>
      <c r="AM975" s="60"/>
      <c r="AN975" s="1251">
        <v>99.0</v>
      </c>
      <c r="AO975" s="147" t="s">
        <v>5786</v>
      </c>
      <c r="AP975" s="147" t="s">
        <v>208</v>
      </c>
      <c r="AQ975" s="147" t="s">
        <v>5331</v>
      </c>
      <c r="AR975" s="144">
        <v>0.001</v>
      </c>
      <c r="AS975" s="147" t="s">
        <v>127</v>
      </c>
      <c r="AT975" s="147" t="s">
        <v>179</v>
      </c>
      <c r="AU975" s="147" t="s">
        <v>129</v>
      </c>
      <c r="AV975" s="303" t="s">
        <v>5787</v>
      </c>
      <c r="AW975" s="147" t="s">
        <v>134</v>
      </c>
      <c r="AY975" s="142" t="s">
        <v>244</v>
      </c>
    </row>
    <row r="976">
      <c r="A976" s="142" t="s">
        <v>106</v>
      </c>
      <c r="B976" s="136" t="s">
        <v>107</v>
      </c>
      <c r="C976" s="136" t="s">
        <v>243</v>
      </c>
      <c r="D976" s="64"/>
      <c r="E976" s="1246" t="s">
        <v>5777</v>
      </c>
      <c r="F976" s="147" t="s">
        <v>5778</v>
      </c>
      <c r="G976" s="1247" t="s">
        <v>244</v>
      </c>
      <c r="H976" s="140">
        <v>45331.0</v>
      </c>
      <c r="I976" s="140">
        <v>45691.0</v>
      </c>
      <c r="J976" s="60"/>
      <c r="K976" s="60"/>
      <c r="L976" s="147" t="s">
        <v>5779</v>
      </c>
      <c r="M976" s="147" t="s">
        <v>5780</v>
      </c>
      <c r="N976" s="115">
        <v>1.0</v>
      </c>
      <c r="O976" s="847" t="s">
        <v>5788</v>
      </c>
      <c r="P976" s="48" t="str">
        <f t="array" ref="P976">HYPERLINK(INDEX('File Links'!B:B, MATCH(O976, 'File Links'!C:C, 0)))
</f>
        <v>https://drive.google.com/file/d/17zk5ntmJwRuglkdI2KDBsmDyHp9ZT9nk/view?usp=drivesdk</v>
      </c>
      <c r="Q976" s="1249" t="s">
        <v>5329</v>
      </c>
      <c r="R976" s="147" t="s">
        <v>5330</v>
      </c>
      <c r="S976" s="60"/>
      <c r="T976" s="60"/>
      <c r="U976" s="847" t="s">
        <v>5332</v>
      </c>
      <c r="V976" s="1212" t="s">
        <v>5333</v>
      </c>
      <c r="W976" s="50" t="str">
        <f t="array" ref="W976">HYPERLINK(INDEX('File Links'!B:B, MATCH(U976, 'File Links'!C:C, 0)))
</f>
        <v>https://drive.google.com/file/d/1hjI3aqifdfXjWhQAlvKCKKtvjuncAn5M/view?usp=drivesdk</v>
      </c>
      <c r="X976" s="60"/>
      <c r="Y976" s="147" t="s">
        <v>156</v>
      </c>
      <c r="Z976" s="115" t="s">
        <v>165</v>
      </c>
      <c r="AA976" s="147" t="s">
        <v>5344</v>
      </c>
      <c r="AB976" s="60"/>
      <c r="AC976" s="147" t="s">
        <v>5789</v>
      </c>
      <c r="AD976" s="147" t="s">
        <v>5790</v>
      </c>
      <c r="AE976" s="144">
        <v>30.0</v>
      </c>
      <c r="AF976" s="144">
        <v>0.54</v>
      </c>
      <c r="AG976" s="147" t="s">
        <v>208</v>
      </c>
      <c r="AH976" s="1274" t="s">
        <v>5791</v>
      </c>
      <c r="AI976" s="355">
        <v>0.002</v>
      </c>
      <c r="AJ976" s="52" t="s">
        <v>164</v>
      </c>
      <c r="AK976" s="147" t="s">
        <v>179</v>
      </c>
      <c r="AL976" s="1246" t="s">
        <v>129</v>
      </c>
      <c r="AM976" s="147" t="s">
        <v>129</v>
      </c>
      <c r="AN976" s="144">
        <v>99.0</v>
      </c>
      <c r="AO976" s="144">
        <v>0.55</v>
      </c>
      <c r="AP976" s="147" t="s">
        <v>208</v>
      </c>
      <c r="AQ976" s="147" t="s">
        <v>5792</v>
      </c>
      <c r="AR976" s="144">
        <v>0.001</v>
      </c>
      <c r="AS976" s="147" t="s">
        <v>127</v>
      </c>
      <c r="AT976" s="147" t="s">
        <v>179</v>
      </c>
      <c r="AU976" s="142" t="s">
        <v>129</v>
      </c>
      <c r="AV976" s="453" t="s">
        <v>5793</v>
      </c>
      <c r="AW976" s="142" t="s">
        <v>134</v>
      </c>
      <c r="AY976" s="142" t="s">
        <v>244</v>
      </c>
    </row>
    <row r="977">
      <c r="A977" s="60" t="s">
        <v>106</v>
      </c>
      <c r="B977" s="136" t="s">
        <v>107</v>
      </c>
      <c r="C977" s="136" t="s">
        <v>3672</v>
      </c>
      <c r="D977" s="64"/>
      <c r="E977" s="1246" t="s">
        <v>5794</v>
      </c>
      <c r="F977" s="147" t="s">
        <v>5795</v>
      </c>
      <c r="G977" s="1247" t="s">
        <v>3673</v>
      </c>
      <c r="H977" s="140">
        <v>45675.0</v>
      </c>
      <c r="I977" s="140">
        <v>45691.0</v>
      </c>
      <c r="J977" s="147" t="s">
        <v>5796</v>
      </c>
      <c r="K977" s="60"/>
      <c r="L977" s="147" t="s">
        <v>5797</v>
      </c>
      <c r="M977" s="147" t="s">
        <v>5798</v>
      </c>
      <c r="N977" s="115">
        <v>1.0</v>
      </c>
      <c r="O977" s="847" t="str">
        <f>SUBSTITUTE(LOWER(M977), "/", "--") &amp;  ".pdf"</f>
        <v>10.1080--09515089.2014.894431.pdf</v>
      </c>
      <c r="P977" s="48" t="str">
        <f t="array" ref="P977">HYPERLINK(INDEX('File Links'!B:B, MATCH(O977, 'File Links'!C:C, 0)))
</f>
        <v>https://drive.google.com/file/d/1zG4Fc_IEv6joOTyPj0JeBdLMNt-6vqsC/view?usp=drivesdk</v>
      </c>
      <c r="Q977" s="1249" t="s">
        <v>5329</v>
      </c>
      <c r="R977" s="303" t="s">
        <v>5330</v>
      </c>
      <c r="S977" s="303" t="s">
        <v>5331</v>
      </c>
      <c r="T977" s="144">
        <v>38.0</v>
      </c>
      <c r="U977" s="847" t="s">
        <v>5332</v>
      </c>
      <c r="V977" s="1212" t="s">
        <v>5333</v>
      </c>
      <c r="W977" s="50" t="str">
        <f t="array" ref="W977">HYPERLINK(INDEX('File Links'!B:B, MATCH(U977, 'File Links'!C:C, 0)))
</f>
        <v>https://drive.google.com/file/d/1hjI3aqifdfXjWhQAlvKCKKtvjuncAn5M/view?usp=drivesdk</v>
      </c>
      <c r="X977" s="60"/>
      <c r="Y977" s="147" t="s">
        <v>156</v>
      </c>
      <c r="Z977" s="115" t="s">
        <v>165</v>
      </c>
      <c r="AA977" s="147" t="s">
        <v>5799</v>
      </c>
      <c r="AB977" s="60"/>
      <c r="AC977" s="147" t="s">
        <v>5800</v>
      </c>
      <c r="AD977" s="147" t="s">
        <v>5589</v>
      </c>
      <c r="AE977" s="144">
        <v>162.0</v>
      </c>
      <c r="AF977" s="808">
        <v>3717.0</v>
      </c>
      <c r="AG977" s="147" t="s">
        <v>722</v>
      </c>
      <c r="AH977" s="330" t="s">
        <v>625</v>
      </c>
      <c r="AI977" s="55"/>
      <c r="AJ977" s="55"/>
      <c r="AK977" s="60"/>
      <c r="AL977" s="55"/>
      <c r="AM977" s="60"/>
      <c r="AN977" s="144">
        <v>302.0</v>
      </c>
      <c r="AO977" s="147" t="s">
        <v>5801</v>
      </c>
      <c r="AP977" s="147" t="s">
        <v>5340</v>
      </c>
      <c r="AQ977" s="147" t="s">
        <v>5331</v>
      </c>
      <c r="AR977" s="144">
        <v>0.001</v>
      </c>
      <c r="AS977" s="147" t="s">
        <v>127</v>
      </c>
      <c r="AT977" s="147" t="s">
        <v>179</v>
      </c>
      <c r="AU977" s="147" t="s">
        <v>129</v>
      </c>
      <c r="AV977" s="303" t="s">
        <v>5802</v>
      </c>
      <c r="AW977" s="147" t="s">
        <v>134</v>
      </c>
      <c r="AY977" s="142" t="s">
        <v>244</v>
      </c>
    </row>
    <row r="978">
      <c r="A978" s="314" t="s">
        <v>5350</v>
      </c>
      <c r="B978" s="136" t="s">
        <v>107</v>
      </c>
      <c r="C978" s="136" t="s">
        <v>243</v>
      </c>
      <c r="D978" s="64"/>
      <c r="E978" s="1246" t="s">
        <v>5794</v>
      </c>
      <c r="F978" s="147" t="s">
        <v>5795</v>
      </c>
      <c r="G978" s="1247" t="s">
        <v>244</v>
      </c>
      <c r="H978" s="140">
        <v>45331.0</v>
      </c>
      <c r="I978" s="140">
        <v>45691.0</v>
      </c>
      <c r="J978" s="142" t="s">
        <v>5803</v>
      </c>
      <c r="K978" s="60"/>
      <c r="L978" s="147" t="s">
        <v>5804</v>
      </c>
      <c r="M978" s="147" t="s">
        <v>5798</v>
      </c>
      <c r="N978" s="115">
        <v>1.0</v>
      </c>
      <c r="O978" s="847" t="s">
        <v>5805</v>
      </c>
      <c r="P978" s="48" t="str">
        <f t="array" ref="P978">HYPERLINK(INDEX('File Links'!B:B, MATCH(O978, 'File Links'!C:C, 0)))
</f>
        <v>https://drive.google.com/file/d/1zG4Fc_IEv6joOTyPj0JeBdLMNt-6vqsC/view?usp=drivesdk</v>
      </c>
      <c r="Q978" s="1249" t="s">
        <v>5329</v>
      </c>
      <c r="R978" s="147" t="s">
        <v>5330</v>
      </c>
      <c r="S978" s="60"/>
      <c r="T978" s="60"/>
      <c r="U978" s="847" t="s">
        <v>5332</v>
      </c>
      <c r="V978" s="1212" t="s">
        <v>5333</v>
      </c>
      <c r="W978" s="50" t="str">
        <f t="array" ref="W978">HYPERLINK(INDEX('File Links'!B:B, MATCH(U978, 'File Links'!C:C, 0)))
</f>
        <v>https://drive.google.com/file/d/1hjI3aqifdfXjWhQAlvKCKKtvjuncAn5M/view?usp=drivesdk</v>
      </c>
      <c r="X978" s="60"/>
      <c r="Y978" s="147" t="s">
        <v>156</v>
      </c>
      <c r="Z978" s="115" t="s">
        <v>165</v>
      </c>
      <c r="AA978" s="147" t="s">
        <v>5344</v>
      </c>
      <c r="AB978" s="60"/>
      <c r="AC978" s="147" t="s">
        <v>5806</v>
      </c>
      <c r="AD978" s="147" t="s">
        <v>5807</v>
      </c>
      <c r="AE978" s="144">
        <v>162.0</v>
      </c>
      <c r="AF978" s="144">
        <v>0.3</v>
      </c>
      <c r="AG978" s="147" t="s">
        <v>5340</v>
      </c>
      <c r="AH978" s="1274" t="s">
        <v>5808</v>
      </c>
      <c r="AI978" s="355">
        <v>0.001</v>
      </c>
      <c r="AJ978" s="52" t="s">
        <v>127</v>
      </c>
      <c r="AK978" s="147" t="s">
        <v>179</v>
      </c>
      <c r="AL978" s="1246" t="s">
        <v>129</v>
      </c>
      <c r="AM978" s="147" t="s">
        <v>129</v>
      </c>
      <c r="AN978" s="1251">
        <v>302.0</v>
      </c>
      <c r="AO978" s="144">
        <v>0.26</v>
      </c>
      <c r="AP978" s="147" t="s">
        <v>5340</v>
      </c>
      <c r="AQ978" s="147" t="s">
        <v>5809</v>
      </c>
      <c r="AR978" s="144">
        <v>0.001</v>
      </c>
      <c r="AS978" s="147" t="s">
        <v>127</v>
      </c>
      <c r="AT978" s="147" t="s">
        <v>179</v>
      </c>
      <c r="AU978" s="142" t="s">
        <v>129</v>
      </c>
      <c r="AV978" s="453" t="s">
        <v>5810</v>
      </c>
      <c r="AW978" s="142" t="s">
        <v>134</v>
      </c>
      <c r="AY978" s="142" t="s">
        <v>244</v>
      </c>
    </row>
    <row r="979">
      <c r="A979" s="60" t="s">
        <v>106</v>
      </c>
      <c r="B979" s="136" t="s">
        <v>107</v>
      </c>
      <c r="C979" s="136" t="s">
        <v>3672</v>
      </c>
      <c r="D979" s="64"/>
      <c r="E979" s="1257" t="s">
        <v>5811</v>
      </c>
      <c r="F979" s="147" t="s">
        <v>5812</v>
      </c>
      <c r="G979" s="1247" t="s">
        <v>3673</v>
      </c>
      <c r="H979" s="140">
        <v>45675.0</v>
      </c>
      <c r="I979" s="140">
        <v>45691.0</v>
      </c>
      <c r="J979" s="60"/>
      <c r="K979" s="60"/>
      <c r="L979" s="147" t="s">
        <v>5813</v>
      </c>
      <c r="M979" s="147" t="s">
        <v>5814</v>
      </c>
      <c r="N979" s="115">
        <v>1.0</v>
      </c>
      <c r="O979" s="847" t="str">
        <f>SUBSTITUTE(LOWER(M979), "/", "--") &amp;  ".pdf"</f>
        <v>10.1111--nous.12017.pdf</v>
      </c>
      <c r="P979" s="48" t="str">
        <f t="array" ref="P979">HYPERLINK(INDEX('File Links'!B:B, MATCH(O979, 'File Links'!C:C, 0)))
</f>
        <v>https://drive.google.com/file/d/1siDzTCg5TAqWvx1F7jfvqWF5y01jo9l6/view?usp=drivesdk</v>
      </c>
      <c r="Q979" s="1249" t="s">
        <v>5329</v>
      </c>
      <c r="R979" s="303" t="s">
        <v>5330</v>
      </c>
      <c r="S979" s="303" t="s">
        <v>5331</v>
      </c>
      <c r="T979" s="144">
        <v>39.0</v>
      </c>
      <c r="U979" s="847" t="s">
        <v>5332</v>
      </c>
      <c r="V979" s="1212" t="s">
        <v>5333</v>
      </c>
      <c r="W979" s="50" t="str">
        <f t="array" ref="W979">HYPERLINK(INDEX('File Links'!B:B, MATCH(U979, 'File Links'!C:C, 0)))
</f>
        <v>https://drive.google.com/file/d/1hjI3aqifdfXjWhQAlvKCKKtvjuncAn5M/view?usp=drivesdk</v>
      </c>
      <c r="X979" s="60"/>
      <c r="Y979" s="147" t="s">
        <v>156</v>
      </c>
      <c r="Z979" s="115" t="s">
        <v>165</v>
      </c>
      <c r="AA979" s="147" t="s">
        <v>5815</v>
      </c>
      <c r="AB979" s="60"/>
      <c r="AC979" s="147" t="s">
        <v>5816</v>
      </c>
      <c r="AD979" s="147" t="s">
        <v>5817</v>
      </c>
      <c r="AE979" s="144">
        <v>264.0</v>
      </c>
      <c r="AF979" s="147" t="s">
        <v>5818</v>
      </c>
      <c r="AG979" s="147" t="s">
        <v>162</v>
      </c>
      <c r="AH979" s="330" t="s">
        <v>5819</v>
      </c>
      <c r="AI979" s="355">
        <v>0.001</v>
      </c>
      <c r="AJ979" s="52" t="s">
        <v>127</v>
      </c>
      <c r="AK979" s="147" t="s">
        <v>179</v>
      </c>
      <c r="AL979" s="52" t="s">
        <v>129</v>
      </c>
      <c r="AM979" s="60"/>
      <c r="AN979" s="1251">
        <v>442.0</v>
      </c>
      <c r="AO979" s="147" t="s">
        <v>5820</v>
      </c>
      <c r="AP979" s="147" t="s">
        <v>162</v>
      </c>
      <c r="AQ979" s="147" t="s">
        <v>5331</v>
      </c>
      <c r="AR979" s="144">
        <v>0.001</v>
      </c>
      <c r="AS979" s="147" t="s">
        <v>127</v>
      </c>
      <c r="AT979" s="147" t="s">
        <v>179</v>
      </c>
      <c r="AU979" s="147" t="s">
        <v>129</v>
      </c>
      <c r="AV979" s="303" t="s">
        <v>5821</v>
      </c>
      <c r="AW979" s="147" t="s">
        <v>134</v>
      </c>
      <c r="AY979" s="142" t="s">
        <v>244</v>
      </c>
    </row>
    <row r="980">
      <c r="A980" s="314" t="s">
        <v>5350</v>
      </c>
      <c r="B980" s="136" t="s">
        <v>107</v>
      </c>
      <c r="C980" s="136" t="s">
        <v>243</v>
      </c>
      <c r="D980" s="64"/>
      <c r="E980" s="1257" t="s">
        <v>5811</v>
      </c>
      <c r="F980" s="147" t="s">
        <v>5812</v>
      </c>
      <c r="G980" s="1247" t="s">
        <v>244</v>
      </c>
      <c r="H980" s="140">
        <v>45331.0</v>
      </c>
      <c r="I980" s="140">
        <v>45691.0</v>
      </c>
      <c r="J980" s="60"/>
      <c r="K980" s="60"/>
      <c r="L980" s="147" t="s">
        <v>5813</v>
      </c>
      <c r="M980" s="147" t="s">
        <v>5814</v>
      </c>
      <c r="N980" s="115">
        <v>1.0</v>
      </c>
      <c r="O980" s="847" t="s">
        <v>5822</v>
      </c>
      <c r="P980" s="48" t="str">
        <f t="array" ref="P980">HYPERLINK(INDEX('File Links'!B:B, MATCH(O980, 'File Links'!C:C, 0)))
</f>
        <v>https://drive.google.com/file/d/1siDzTCg5TAqWvx1F7jfvqWF5y01jo9l6/view?usp=drivesdk</v>
      </c>
      <c r="Q980" s="1249" t="s">
        <v>5329</v>
      </c>
      <c r="R980" s="147" t="s">
        <v>5330</v>
      </c>
      <c r="S980" s="60"/>
      <c r="T980" s="60"/>
      <c r="U980" s="847" t="s">
        <v>5332</v>
      </c>
      <c r="V980" s="1212" t="s">
        <v>5333</v>
      </c>
      <c r="W980" s="50" t="str">
        <f t="array" ref="W980">HYPERLINK(INDEX('File Links'!B:B, MATCH(U980, 'File Links'!C:C, 0)))
</f>
        <v>https://drive.google.com/file/d/1hjI3aqifdfXjWhQAlvKCKKtvjuncAn5M/view?usp=drivesdk</v>
      </c>
      <c r="X980" s="60"/>
      <c r="Y980" s="147" t="s">
        <v>156</v>
      </c>
      <c r="Z980" s="115" t="s">
        <v>165</v>
      </c>
      <c r="AA980" s="147" t="s">
        <v>5823</v>
      </c>
      <c r="AB980" s="60"/>
      <c r="AC980" s="147" t="s">
        <v>5824</v>
      </c>
      <c r="AD980" s="147" t="s">
        <v>5825</v>
      </c>
      <c r="AE980" s="144">
        <v>264.0</v>
      </c>
      <c r="AF980" s="144">
        <v>99.46</v>
      </c>
      <c r="AG980" s="147" t="s">
        <v>1051</v>
      </c>
      <c r="AH980" s="1274" t="s">
        <v>5826</v>
      </c>
      <c r="AI980" s="355">
        <v>0.001</v>
      </c>
      <c r="AJ980" s="52" t="s">
        <v>127</v>
      </c>
      <c r="AK980" s="147" t="s">
        <v>179</v>
      </c>
      <c r="AL980" s="1246" t="s">
        <v>132</v>
      </c>
      <c r="AM980" s="147" t="s">
        <v>129</v>
      </c>
      <c r="AN980" s="1251">
        <v>442.0</v>
      </c>
      <c r="AO980" s="144">
        <v>87.36</v>
      </c>
      <c r="AP980" s="147" t="s">
        <v>1051</v>
      </c>
      <c r="AQ980" s="147" t="s">
        <v>5827</v>
      </c>
      <c r="AR980" s="144">
        <v>0.001</v>
      </c>
      <c r="AS980" s="147" t="s">
        <v>127</v>
      </c>
      <c r="AT980" s="147" t="s">
        <v>179</v>
      </c>
      <c r="AU980" s="142" t="s">
        <v>132</v>
      </c>
      <c r="AV980" s="453" t="s">
        <v>5828</v>
      </c>
      <c r="AW980" s="142" t="s">
        <v>134</v>
      </c>
      <c r="AY980" s="142" t="s">
        <v>244</v>
      </c>
    </row>
    <row r="981">
      <c r="A981" s="60" t="s">
        <v>106</v>
      </c>
      <c r="B981" s="136" t="s">
        <v>107</v>
      </c>
      <c r="C981" s="136" t="s">
        <v>3672</v>
      </c>
      <c r="D981" s="64"/>
      <c r="E981" s="1246" t="s">
        <v>5829</v>
      </c>
      <c r="F981" s="147" t="s">
        <v>5830</v>
      </c>
      <c r="G981" s="1247" t="s">
        <v>3673</v>
      </c>
      <c r="H981" s="140">
        <v>45667.0</v>
      </c>
      <c r="I981" s="140">
        <v>45691.0</v>
      </c>
      <c r="J981" s="147" t="s">
        <v>5831</v>
      </c>
      <c r="K981" s="60"/>
      <c r="L981" s="147" t="s">
        <v>5832</v>
      </c>
      <c r="M981" s="147" t="s">
        <v>5833</v>
      </c>
      <c r="N981" s="115">
        <v>1.0</v>
      </c>
      <c r="O981" s="847" t="str">
        <f>SUBSTITUTE(LOWER(M981), "/", "--") &amp;  ".pdf"</f>
        <v>10.1111--j.1467-8284.2004.00481.x.pdf</v>
      </c>
      <c r="P981" s="48" t="str">
        <f t="array" ref="P981">HYPERLINK(INDEX('File Links'!B:B, MATCH(O981, 'File Links'!C:C, 0)))
</f>
        <v>https://drive.google.com/file/d/1KEBKYl19fq4HtJxW3DL6KczxjYJ94hp2/view?usp=drivesdk</v>
      </c>
      <c r="Q981" s="1249" t="s">
        <v>5329</v>
      </c>
      <c r="R981" s="303" t="s">
        <v>5330</v>
      </c>
      <c r="S981" s="303" t="s">
        <v>5331</v>
      </c>
      <c r="T981" s="144">
        <v>4.0</v>
      </c>
      <c r="U981" s="847" t="s">
        <v>5332</v>
      </c>
      <c r="V981" s="1212" t="s">
        <v>5333</v>
      </c>
      <c r="W981" s="50" t="str">
        <f t="array" ref="W981">HYPERLINK(INDEX('File Links'!B:B, MATCH(U981, 'File Links'!C:C, 0)))
</f>
        <v>https://drive.google.com/file/d/1hjI3aqifdfXjWhQAlvKCKKtvjuncAn5M/view?usp=drivesdk</v>
      </c>
      <c r="X981" s="60"/>
      <c r="Y981" s="147" t="s">
        <v>156</v>
      </c>
      <c r="Z981" s="115" t="s">
        <v>165</v>
      </c>
      <c r="AA981" s="147" t="s">
        <v>5834</v>
      </c>
      <c r="AB981" s="60"/>
      <c r="AC981" s="147" t="s">
        <v>5835</v>
      </c>
      <c r="AD981" s="144">
        <v>4.0</v>
      </c>
      <c r="AE981" s="144">
        <v>77.0</v>
      </c>
      <c r="AF981" s="147" t="s">
        <v>5836</v>
      </c>
      <c r="AG981" s="147" t="s">
        <v>162</v>
      </c>
      <c r="AH981" s="330" t="s">
        <v>861</v>
      </c>
      <c r="AI981" s="355">
        <v>0.01</v>
      </c>
      <c r="AJ981" s="52" t="s">
        <v>164</v>
      </c>
      <c r="AK981" s="147" t="s">
        <v>179</v>
      </c>
      <c r="AL981" s="52" t="s">
        <v>129</v>
      </c>
      <c r="AM981" s="60"/>
      <c r="AN981" s="1251">
        <v>127.0</v>
      </c>
      <c r="AO981" s="1251">
        <v>1.27</v>
      </c>
      <c r="AP981" s="147" t="s">
        <v>166</v>
      </c>
      <c r="AQ981" s="147" t="s">
        <v>5331</v>
      </c>
      <c r="AR981" s="144">
        <v>0.001</v>
      </c>
      <c r="AS981" s="147" t="s">
        <v>127</v>
      </c>
      <c r="AT981" s="147" t="s">
        <v>179</v>
      </c>
      <c r="AU981" s="147" t="s">
        <v>129</v>
      </c>
      <c r="AV981" s="303" t="s">
        <v>5837</v>
      </c>
      <c r="AW981" s="147" t="s">
        <v>134</v>
      </c>
      <c r="AY981" s="142" t="s">
        <v>244</v>
      </c>
    </row>
    <row r="982">
      <c r="A982" s="314" t="s">
        <v>5350</v>
      </c>
      <c r="B982" s="136" t="s">
        <v>107</v>
      </c>
      <c r="C982" s="136" t="s">
        <v>243</v>
      </c>
      <c r="D982" s="64"/>
      <c r="E982" s="1246" t="s">
        <v>5829</v>
      </c>
      <c r="F982" s="147" t="s">
        <v>5830</v>
      </c>
      <c r="G982" s="1247" t="s">
        <v>244</v>
      </c>
      <c r="H982" s="140">
        <v>45331.0</v>
      </c>
      <c r="I982" s="140">
        <v>45691.0</v>
      </c>
      <c r="J982" s="147" t="s">
        <v>5838</v>
      </c>
      <c r="K982" s="147" t="s">
        <v>5839</v>
      </c>
      <c r="L982" s="147" t="s">
        <v>5832</v>
      </c>
      <c r="M982" s="147" t="s">
        <v>5833</v>
      </c>
      <c r="N982" s="115">
        <v>1.0</v>
      </c>
      <c r="O982" s="847" t="s">
        <v>5840</v>
      </c>
      <c r="P982" s="48" t="str">
        <f t="array" ref="P982">HYPERLINK(INDEX('File Links'!B:B, MATCH(O982, 'File Links'!C:C, 0)))
</f>
        <v>https://drive.google.com/file/d/1KEBKYl19fq4HtJxW3DL6KczxjYJ94hp2/view?usp=drivesdk</v>
      </c>
      <c r="Q982" s="1249" t="s">
        <v>5329</v>
      </c>
      <c r="R982" s="147" t="s">
        <v>5330</v>
      </c>
      <c r="S982" s="60"/>
      <c r="T982" s="60"/>
      <c r="U982" s="847" t="s">
        <v>5332</v>
      </c>
      <c r="V982" s="1212" t="s">
        <v>5333</v>
      </c>
      <c r="W982" s="50" t="str">
        <f t="array" ref="W982">HYPERLINK(INDEX('File Links'!B:B, MATCH(U982, 'File Links'!C:C, 0)))
</f>
        <v>https://drive.google.com/file/d/1hjI3aqifdfXjWhQAlvKCKKtvjuncAn5M/view?usp=drivesdk</v>
      </c>
      <c r="X982" s="60"/>
      <c r="Y982" s="147" t="s">
        <v>156</v>
      </c>
      <c r="Z982" s="115" t="s">
        <v>165</v>
      </c>
      <c r="AA982" s="147" t="s">
        <v>5344</v>
      </c>
      <c r="AB982" s="147" t="s">
        <v>5841</v>
      </c>
      <c r="AC982" s="147" t="s">
        <v>5842</v>
      </c>
      <c r="AD982" s="147" t="s">
        <v>494</v>
      </c>
      <c r="AE982" s="144">
        <v>77.0</v>
      </c>
      <c r="AF982" s="147" t="s">
        <v>5836</v>
      </c>
      <c r="AG982" s="147" t="s">
        <v>162</v>
      </c>
      <c r="AH982" s="1258" t="s">
        <v>5843</v>
      </c>
      <c r="AI982" s="355">
        <v>0.01</v>
      </c>
      <c r="AJ982" s="52" t="s">
        <v>164</v>
      </c>
      <c r="AK982" s="147" t="s">
        <v>179</v>
      </c>
      <c r="AL982" s="1246" t="s">
        <v>129</v>
      </c>
      <c r="AM982" s="147" t="s">
        <v>129</v>
      </c>
      <c r="AN982" s="1251">
        <v>127.0</v>
      </c>
      <c r="AO982" s="144">
        <v>1.27</v>
      </c>
      <c r="AP982" s="147" t="s">
        <v>166</v>
      </c>
      <c r="AQ982" s="147" t="s">
        <v>5844</v>
      </c>
      <c r="AR982" s="144">
        <v>0.001</v>
      </c>
      <c r="AS982" s="147" t="s">
        <v>127</v>
      </c>
      <c r="AT982" s="147" t="s">
        <v>179</v>
      </c>
      <c r="AU982" s="142" t="s">
        <v>129</v>
      </c>
      <c r="AV982" s="453" t="s">
        <v>5845</v>
      </c>
      <c r="AW982" s="142" t="s">
        <v>134</v>
      </c>
      <c r="AY982" s="142" t="s">
        <v>244</v>
      </c>
    </row>
    <row r="983">
      <c r="A983" s="60" t="s">
        <v>106</v>
      </c>
      <c r="B983" s="136" t="s">
        <v>107</v>
      </c>
      <c r="C983" s="136" t="s">
        <v>3672</v>
      </c>
      <c r="D983" s="64"/>
      <c r="E983" s="1246" t="s">
        <v>5846</v>
      </c>
      <c r="F983" s="147" t="s">
        <v>5847</v>
      </c>
      <c r="G983" s="1247" t="s">
        <v>3673</v>
      </c>
      <c r="H983" s="140">
        <v>45675.0</v>
      </c>
      <c r="I983" s="140">
        <v>45691.0</v>
      </c>
      <c r="J983" s="60"/>
      <c r="K983" s="60"/>
      <c r="L983" s="147" t="s">
        <v>5848</v>
      </c>
      <c r="M983" s="147" t="s">
        <v>5849</v>
      </c>
      <c r="N983" s="144">
        <v>1.0</v>
      </c>
      <c r="O983" s="847" t="str">
        <f>SUBSTITUTE(LOWER(M983), "/", "--") &amp;  ".pdf"</f>
        <v>10.1016--j.cognition.2015.01.013.pdf</v>
      </c>
      <c r="P983" s="48" t="str">
        <f t="array" ref="P983">HYPERLINK(INDEX('File Links'!B:B, MATCH(O983, 'File Links'!C:C, 0)))
</f>
        <v>https://drive.google.com/file/d/15kuHQf8erGaSOBxt1lOz994u1DIsHk_v/view?usp=drivesdk</v>
      </c>
      <c r="Q983" s="1249" t="s">
        <v>5329</v>
      </c>
      <c r="R983" s="303" t="s">
        <v>5330</v>
      </c>
      <c r="S983" s="303" t="s">
        <v>5331</v>
      </c>
      <c r="T983" s="144">
        <v>40.0</v>
      </c>
      <c r="U983" s="847" t="s">
        <v>5332</v>
      </c>
      <c r="V983" s="1212" t="s">
        <v>5333</v>
      </c>
      <c r="W983" s="50" t="str">
        <f t="array" ref="W983">HYPERLINK(INDEX('File Links'!B:B, MATCH(U983, 'File Links'!C:C, 0)))
</f>
        <v>https://drive.google.com/file/d/1hjI3aqifdfXjWhQAlvKCKKtvjuncAn5M/view?usp=drivesdk</v>
      </c>
      <c r="X983" s="60"/>
      <c r="Y983" s="147" t="s">
        <v>156</v>
      </c>
      <c r="Z983" s="115" t="s">
        <v>165</v>
      </c>
      <c r="AA983" s="147" t="s">
        <v>5850</v>
      </c>
      <c r="AB983" s="60"/>
      <c r="AC983" s="147" t="s">
        <v>5851</v>
      </c>
      <c r="AD983" s="147" t="s">
        <v>5852</v>
      </c>
      <c r="AE983" s="144">
        <v>60.0</v>
      </c>
      <c r="AF983" s="147" t="s">
        <v>5853</v>
      </c>
      <c r="AG983" s="147" t="s">
        <v>166</v>
      </c>
      <c r="AH983" s="330" t="s">
        <v>131</v>
      </c>
      <c r="AI983" s="355">
        <v>0.031</v>
      </c>
      <c r="AJ983" s="52" t="s">
        <v>164</v>
      </c>
      <c r="AK983" s="147" t="s">
        <v>179</v>
      </c>
      <c r="AL983" s="52" t="s">
        <v>129</v>
      </c>
      <c r="AM983" s="60"/>
      <c r="AN983" s="1251">
        <v>200.0</v>
      </c>
      <c r="AO983" s="147" t="s">
        <v>5854</v>
      </c>
      <c r="AP983" s="147" t="s">
        <v>166</v>
      </c>
      <c r="AQ983" s="147" t="s">
        <v>5331</v>
      </c>
      <c r="AR983" s="144">
        <v>0.001</v>
      </c>
      <c r="AS983" s="147" t="s">
        <v>127</v>
      </c>
      <c r="AT983" s="147" t="s">
        <v>179</v>
      </c>
      <c r="AU983" s="147" t="s">
        <v>129</v>
      </c>
      <c r="AV983" s="303" t="s">
        <v>5855</v>
      </c>
      <c r="AW983" s="147" t="s">
        <v>134</v>
      </c>
      <c r="AY983" s="142" t="s">
        <v>244</v>
      </c>
    </row>
    <row r="984">
      <c r="A984" s="314" t="s">
        <v>5350</v>
      </c>
      <c r="B984" s="136" t="s">
        <v>107</v>
      </c>
      <c r="C984" s="136" t="s">
        <v>243</v>
      </c>
      <c r="D984" s="64"/>
      <c r="E984" s="1246" t="s">
        <v>5846</v>
      </c>
      <c r="F984" s="147" t="s">
        <v>5847</v>
      </c>
      <c r="G984" s="1247" t="s">
        <v>244</v>
      </c>
      <c r="H984" s="140">
        <v>45331.0</v>
      </c>
      <c r="I984" s="140">
        <v>45691.0</v>
      </c>
      <c r="J984" s="60"/>
      <c r="K984" s="60"/>
      <c r="L984" s="147" t="s">
        <v>5848</v>
      </c>
      <c r="M984" s="147" t="s">
        <v>5849</v>
      </c>
      <c r="N984" s="115">
        <v>1.0</v>
      </c>
      <c r="O984" s="847" t="s">
        <v>5856</v>
      </c>
      <c r="P984" s="48" t="str">
        <f t="array" ref="P984">HYPERLINK(INDEX('File Links'!B:B, MATCH(O984, 'File Links'!C:C, 0)))
</f>
        <v>https://drive.google.com/file/d/15kuHQf8erGaSOBxt1lOz994u1DIsHk_v/view?usp=drivesdk</v>
      </c>
      <c r="Q984" s="1249" t="s">
        <v>5329</v>
      </c>
      <c r="R984" s="147" t="s">
        <v>5330</v>
      </c>
      <c r="S984" s="60"/>
      <c r="T984" s="60"/>
      <c r="U984" s="847" t="s">
        <v>5332</v>
      </c>
      <c r="V984" s="1212" t="s">
        <v>5333</v>
      </c>
      <c r="W984" s="50" t="str">
        <f t="array" ref="W984">HYPERLINK(INDEX('File Links'!B:B, MATCH(U984, 'File Links'!C:C, 0)))
</f>
        <v>https://drive.google.com/file/d/1hjI3aqifdfXjWhQAlvKCKKtvjuncAn5M/view?usp=drivesdk</v>
      </c>
      <c r="X984" s="60"/>
      <c r="Y984" s="147" t="s">
        <v>156</v>
      </c>
      <c r="Z984" s="115" t="s">
        <v>165</v>
      </c>
      <c r="AA984" s="147" t="s">
        <v>5850</v>
      </c>
      <c r="AB984" s="60"/>
      <c r="AC984" s="147" t="s">
        <v>5857</v>
      </c>
      <c r="AD984" s="147" t="s">
        <v>131</v>
      </c>
      <c r="AE984" s="144">
        <v>60.0</v>
      </c>
      <c r="AF984" s="144">
        <v>0.568</v>
      </c>
      <c r="AG984" s="147" t="s">
        <v>166</v>
      </c>
      <c r="AH984" s="1258" t="s">
        <v>5858</v>
      </c>
      <c r="AI984" s="355">
        <v>0.031</v>
      </c>
      <c r="AJ984" s="52" t="s">
        <v>164</v>
      </c>
      <c r="AK984" s="147" t="s">
        <v>179</v>
      </c>
      <c r="AL984" s="1246" t="s">
        <v>129</v>
      </c>
      <c r="AM984" s="147" t="s">
        <v>129</v>
      </c>
      <c r="AN984" s="1251">
        <v>200.0</v>
      </c>
      <c r="AO984" s="144">
        <v>0.58</v>
      </c>
      <c r="AP984" s="147" t="s">
        <v>166</v>
      </c>
      <c r="AQ984" s="147" t="s">
        <v>5859</v>
      </c>
      <c r="AR984" s="144">
        <v>0.001</v>
      </c>
      <c r="AS984" s="147" t="s">
        <v>127</v>
      </c>
      <c r="AT984" s="147" t="s">
        <v>179</v>
      </c>
      <c r="AU984" s="142" t="s">
        <v>129</v>
      </c>
      <c r="AV984" s="453" t="s">
        <v>5860</v>
      </c>
      <c r="AW984" s="142" t="s">
        <v>134</v>
      </c>
      <c r="AY984" s="142" t="s">
        <v>244</v>
      </c>
    </row>
    <row r="985">
      <c r="A985" s="314" t="s">
        <v>5350</v>
      </c>
      <c r="B985" s="136" t="s">
        <v>107</v>
      </c>
      <c r="C985" s="41" t="s">
        <v>3672</v>
      </c>
      <c r="E985" s="1246" t="s">
        <v>5861</v>
      </c>
      <c r="F985" s="147" t="s">
        <v>5862</v>
      </c>
      <c r="G985" s="1247" t="s">
        <v>3673</v>
      </c>
      <c r="H985" s="140">
        <v>45667.0</v>
      </c>
      <c r="I985" s="140">
        <v>45691.0</v>
      </c>
      <c r="J985" s="60"/>
      <c r="K985" s="60" t="s">
        <v>5863</v>
      </c>
      <c r="L985" s="147" t="s">
        <v>5864</v>
      </c>
      <c r="M985" s="147" t="s">
        <v>5865</v>
      </c>
      <c r="N985" s="144">
        <v>3.0</v>
      </c>
      <c r="O985" s="847" t="str">
        <f>SUBSTITUTE(LOWER(M985), "/", "--") &amp;  ".pdf"</f>
        <v>10.1080--0951508042000202354.pdf</v>
      </c>
      <c r="P985" s="48" t="str">
        <f t="array" ref="P985">HYPERLINK(INDEX('File Links'!B:B, MATCH(O985, 'File Links'!C:C, 0)))
</f>
        <v>https://drive.google.com/file/d/1kCe7dne_GNfNSHLYlAzOzBcQn9yFuOr2/view?usp=drivesdk</v>
      </c>
      <c r="Q985" s="1249" t="s">
        <v>5329</v>
      </c>
      <c r="R985" s="303" t="s">
        <v>5330</v>
      </c>
      <c r="S985" s="303" t="s">
        <v>5331</v>
      </c>
      <c r="T985" s="1265">
        <v>5.0</v>
      </c>
      <c r="U985" s="847" t="s">
        <v>5332</v>
      </c>
      <c r="V985" s="1212" t="s">
        <v>5333</v>
      </c>
      <c r="W985" s="50" t="str">
        <f t="array" ref="W985">HYPERLINK(INDEX('File Links'!B:B, MATCH(U985, 'File Links'!C:C, 0)))
</f>
        <v>https://drive.google.com/file/d/1hjI3aqifdfXjWhQAlvKCKKtvjuncAn5M/view?usp=drivesdk</v>
      </c>
      <c r="X985" s="60"/>
      <c r="Y985" s="147" t="s">
        <v>156</v>
      </c>
      <c r="Z985" s="115" t="s">
        <v>165</v>
      </c>
      <c r="AA985" s="147" t="s">
        <v>5866</v>
      </c>
      <c r="AB985" s="60"/>
      <c r="AC985" s="147" t="s">
        <v>5867</v>
      </c>
      <c r="AD985" s="144">
        <v>15.0</v>
      </c>
      <c r="AE985" s="144">
        <v>10.0</v>
      </c>
      <c r="AF985" s="147" t="s">
        <v>5868</v>
      </c>
      <c r="AG985" s="147" t="s">
        <v>162</v>
      </c>
      <c r="AH985" s="330" t="s">
        <v>624</v>
      </c>
      <c r="AI985" s="355">
        <v>0.347</v>
      </c>
      <c r="AJ985" s="52" t="s">
        <v>164</v>
      </c>
      <c r="AK985" s="147" t="s">
        <v>179</v>
      </c>
      <c r="AL985" s="52" t="s">
        <v>132</v>
      </c>
      <c r="AM985" s="60"/>
      <c r="AN985" s="144">
        <v>9.0</v>
      </c>
      <c r="AO985" s="1251">
        <v>0.06</v>
      </c>
      <c r="AP985" s="147" t="s">
        <v>130</v>
      </c>
      <c r="AQ985" s="303" t="s">
        <v>5869</v>
      </c>
      <c r="AR985" s="144">
        <v>0.08</v>
      </c>
      <c r="AS985" s="147" t="s">
        <v>164</v>
      </c>
      <c r="AT985" s="147" t="s">
        <v>179</v>
      </c>
      <c r="AU985" s="147" t="s">
        <v>132</v>
      </c>
      <c r="AV985" s="303" t="s">
        <v>5870</v>
      </c>
      <c r="AW985" s="147" t="s">
        <v>134</v>
      </c>
      <c r="AY985" s="142" t="s">
        <v>244</v>
      </c>
      <c r="BA985" s="178"/>
      <c r="BB985" s="178"/>
      <c r="BC985" s="178"/>
      <c r="BD985" s="178"/>
      <c r="BE985" s="178"/>
      <c r="BF985" s="178"/>
      <c r="BG985" s="178"/>
      <c r="BH985" s="178"/>
      <c r="BI985" s="178"/>
      <c r="BJ985" s="178"/>
      <c r="BK985" s="178"/>
      <c r="BL985" s="178"/>
      <c r="BM985" s="178"/>
      <c r="BN985" s="178"/>
      <c r="BO985" s="178"/>
      <c r="BP985" s="178"/>
      <c r="BQ985" s="178"/>
      <c r="BR985" s="178"/>
      <c r="BS985" s="178"/>
      <c r="BT985" s="178"/>
      <c r="BU985" s="178"/>
      <c r="BV985" s="178"/>
      <c r="BW985" s="178"/>
      <c r="BX985" s="178"/>
      <c r="BY985" s="178"/>
      <c r="BZ985" s="178"/>
      <c r="CA985" s="178"/>
      <c r="CB985" s="178"/>
      <c r="CC985" s="178"/>
      <c r="CD985" s="178"/>
      <c r="CE985" s="178"/>
      <c r="CF985" s="178"/>
      <c r="CG985" s="178"/>
      <c r="CH985" s="178"/>
      <c r="CI985" s="178"/>
      <c r="CJ985" s="178"/>
      <c r="CK985" s="178"/>
      <c r="CL985" s="178"/>
      <c r="CM985" s="178"/>
      <c r="CN985" s="178"/>
      <c r="CO985" s="178"/>
      <c r="CP985" s="178"/>
      <c r="CQ985" s="178"/>
      <c r="CR985" s="178"/>
      <c r="CS985" s="178"/>
      <c r="CT985" s="178"/>
      <c r="CU985" s="178"/>
      <c r="CV985" s="178"/>
      <c r="CW985" s="178"/>
      <c r="CX985" s="178"/>
      <c r="CY985" s="178"/>
      <c r="CZ985" s="178"/>
      <c r="DA985" s="178"/>
      <c r="DB985" s="178"/>
      <c r="DC985" s="178"/>
      <c r="DD985" s="178"/>
      <c r="DE985" s="178"/>
      <c r="DF985" s="178"/>
      <c r="DG985" s="178"/>
    </row>
    <row r="986">
      <c r="A986" s="314" t="s">
        <v>5350</v>
      </c>
      <c r="B986" s="136" t="s">
        <v>107</v>
      </c>
      <c r="C986" s="41" t="s">
        <v>243</v>
      </c>
      <c r="E986" s="1246" t="s">
        <v>5861</v>
      </c>
      <c r="F986" s="147" t="s">
        <v>5862</v>
      </c>
      <c r="G986" s="1247" t="s">
        <v>244</v>
      </c>
      <c r="H986" s="140">
        <v>45331.0</v>
      </c>
      <c r="I986" s="140">
        <v>45691.0</v>
      </c>
      <c r="J986" s="60"/>
      <c r="K986" s="60" t="s">
        <v>5863</v>
      </c>
      <c r="L986" s="147" t="s">
        <v>5864</v>
      </c>
      <c r="M986" s="147" t="s">
        <v>5865</v>
      </c>
      <c r="N986" s="144">
        <v>3.0</v>
      </c>
      <c r="O986" s="847" t="s">
        <v>5871</v>
      </c>
      <c r="P986" s="48" t="str">
        <f t="array" ref="P986">HYPERLINK(INDEX('File Links'!B:B, MATCH(O986, 'File Links'!C:C, 0)))
</f>
        <v>https://drive.google.com/file/d/1kCe7dne_GNfNSHLYlAzOzBcQn9yFuOr2/view?usp=drivesdk</v>
      </c>
      <c r="Q986" s="1249" t="s">
        <v>5329</v>
      </c>
      <c r="R986" s="147" t="s">
        <v>5330</v>
      </c>
      <c r="S986" s="60"/>
      <c r="T986" s="60"/>
      <c r="U986" s="847" t="s">
        <v>5332</v>
      </c>
      <c r="V986" s="1212" t="s">
        <v>5333</v>
      </c>
      <c r="W986" s="50" t="str">
        <f t="array" ref="W986">HYPERLINK(INDEX('File Links'!B:B, MATCH(U986, 'File Links'!C:C, 0)))
</f>
        <v>https://drive.google.com/file/d/1hjI3aqifdfXjWhQAlvKCKKtvjuncAn5M/view?usp=drivesdk</v>
      </c>
      <c r="X986" s="60"/>
      <c r="Y986" s="147" t="s">
        <v>156</v>
      </c>
      <c r="Z986" s="115" t="s">
        <v>165</v>
      </c>
      <c r="AA986" s="147" t="s">
        <v>5344</v>
      </c>
      <c r="AB986" s="147" t="s">
        <v>5872</v>
      </c>
      <c r="AC986" s="139" t="s">
        <v>5873</v>
      </c>
      <c r="AD986" s="147" t="s">
        <v>175</v>
      </c>
      <c r="AE986" s="144">
        <v>10.0</v>
      </c>
      <c r="AF986" s="144">
        <v>18.0</v>
      </c>
      <c r="AG986" s="147" t="s">
        <v>1051</v>
      </c>
      <c r="AH986" s="139" t="s">
        <v>175</v>
      </c>
      <c r="AI986" s="355">
        <v>0.01</v>
      </c>
      <c r="AJ986" s="52" t="s">
        <v>164</v>
      </c>
      <c r="AK986" s="147" t="s">
        <v>128</v>
      </c>
      <c r="AL986" s="1270" t="s">
        <v>821</v>
      </c>
      <c r="AM986" s="147" t="s">
        <v>129</v>
      </c>
      <c r="AN986" s="144">
        <v>9.0</v>
      </c>
      <c r="AO986" s="144">
        <v>12.0</v>
      </c>
      <c r="AP986" s="147" t="s">
        <v>1051</v>
      </c>
      <c r="AQ986" s="147" t="s">
        <v>5874</v>
      </c>
      <c r="AR986" s="144">
        <v>0.008</v>
      </c>
      <c r="AS986" s="147" t="s">
        <v>164</v>
      </c>
      <c r="AT986" s="147" t="s">
        <v>128</v>
      </c>
      <c r="AU986" s="1280" t="s">
        <v>821</v>
      </c>
      <c r="AV986" s="453" t="s">
        <v>5875</v>
      </c>
      <c r="AW986" s="142" t="s">
        <v>134</v>
      </c>
      <c r="AY986" s="142" t="s">
        <v>244</v>
      </c>
      <c r="BA986" s="178"/>
      <c r="BB986" s="178"/>
      <c r="BC986" s="178"/>
      <c r="BD986" s="178"/>
      <c r="BE986" s="178"/>
      <c r="BF986" s="178"/>
      <c r="BG986" s="178"/>
      <c r="BH986" s="178"/>
      <c r="BI986" s="178"/>
      <c r="BJ986" s="178"/>
      <c r="BK986" s="178"/>
      <c r="BL986" s="178"/>
      <c r="BM986" s="178"/>
      <c r="BN986" s="178"/>
      <c r="BO986" s="178"/>
      <c r="BP986" s="178"/>
      <c r="BQ986" s="178"/>
      <c r="BR986" s="178"/>
      <c r="BS986" s="178"/>
      <c r="BT986" s="178"/>
      <c r="BU986" s="178"/>
      <c r="BV986" s="178"/>
      <c r="BW986" s="178"/>
      <c r="BX986" s="178"/>
      <c r="BY986" s="178"/>
      <c r="BZ986" s="178"/>
      <c r="CA986" s="178"/>
      <c r="CB986" s="178"/>
      <c r="CC986" s="178"/>
      <c r="CD986" s="178"/>
      <c r="CE986" s="178"/>
      <c r="CF986" s="178"/>
      <c r="CG986" s="178"/>
      <c r="CH986" s="178"/>
      <c r="CI986" s="178"/>
      <c r="CJ986" s="178"/>
      <c r="CK986" s="178"/>
      <c r="CL986" s="178"/>
      <c r="CM986" s="178"/>
      <c r="CN986" s="178"/>
      <c r="CO986" s="178"/>
      <c r="CP986" s="178"/>
      <c r="CQ986" s="178"/>
      <c r="CR986" s="178"/>
      <c r="CS986" s="178"/>
      <c r="CT986" s="178"/>
      <c r="CU986" s="178"/>
      <c r="CV986" s="178"/>
      <c r="CW986" s="178"/>
      <c r="CX986" s="178"/>
      <c r="CY986" s="178"/>
      <c r="CZ986" s="178"/>
      <c r="DA986" s="178"/>
      <c r="DB986" s="178"/>
      <c r="DC986" s="178"/>
      <c r="DD986" s="178"/>
      <c r="DE986" s="178"/>
      <c r="DF986" s="178"/>
      <c r="DG986" s="178"/>
    </row>
    <row r="987">
      <c r="A987" s="60" t="s">
        <v>106</v>
      </c>
      <c r="B987" s="136" t="s">
        <v>107</v>
      </c>
      <c r="C987" s="41" t="s">
        <v>3672</v>
      </c>
      <c r="E987" s="1246" t="s">
        <v>5876</v>
      </c>
      <c r="F987" s="147" t="s">
        <v>5877</v>
      </c>
      <c r="G987" s="1247" t="s">
        <v>3673</v>
      </c>
      <c r="H987" s="140">
        <v>45667.0</v>
      </c>
      <c r="I987" s="140">
        <v>45691.0</v>
      </c>
      <c r="J987" s="147" t="s">
        <v>5878</v>
      </c>
      <c r="K987" s="60"/>
      <c r="L987" s="147" t="s">
        <v>5879</v>
      </c>
      <c r="M987" s="147" t="s">
        <v>5880</v>
      </c>
      <c r="N987" s="115">
        <v>1.0</v>
      </c>
      <c r="O987" s="847" t="str">
        <f>SUBSTITUTE(LOWER(M987), "/", "--") &amp;  ".pdf"</f>
        <v>10.1037--h0091247.pdf</v>
      </c>
      <c r="P987" s="48" t="str">
        <f t="array" ref="P987">HYPERLINK(INDEX('File Links'!B:B, MATCH(O987, 'File Links'!C:C, 0)))
</f>
        <v>https://drive.google.com/file/d/1awPCjIHvs8ahIhOincmP_HaNxC6Wg3ei/view?usp=drivesdk</v>
      </c>
      <c r="Q987" s="1249" t="s">
        <v>5329</v>
      </c>
      <c r="R987" s="303" t="s">
        <v>5330</v>
      </c>
      <c r="S987" s="303" t="s">
        <v>5331</v>
      </c>
      <c r="T987" s="144">
        <v>6.0</v>
      </c>
      <c r="U987" s="847" t="s">
        <v>5332</v>
      </c>
      <c r="V987" s="1212" t="s">
        <v>5333</v>
      </c>
      <c r="W987" s="50" t="str">
        <f t="array" ref="W987">HYPERLINK(INDEX('File Links'!B:B, MATCH(U987, 'File Links'!C:C, 0)))
</f>
        <v>https://drive.google.com/file/d/1hjI3aqifdfXjWhQAlvKCKKtvjuncAn5M/view?usp=drivesdk</v>
      </c>
      <c r="X987" s="60"/>
      <c r="Y987" s="147" t="s">
        <v>156</v>
      </c>
      <c r="Z987" s="115" t="s">
        <v>165</v>
      </c>
      <c r="AA987" s="147" t="s">
        <v>5881</v>
      </c>
      <c r="AB987" s="60"/>
      <c r="AC987" s="147" t="s">
        <v>5882</v>
      </c>
      <c r="AD987" s="147" t="s">
        <v>5589</v>
      </c>
      <c r="AE987" s="144">
        <v>44.0</v>
      </c>
      <c r="AF987" s="60"/>
      <c r="AG987" s="60"/>
      <c r="AH987" s="330" t="s">
        <v>625</v>
      </c>
      <c r="AI987" s="55"/>
      <c r="AJ987" s="55"/>
      <c r="AK987" s="60"/>
      <c r="AL987" s="55"/>
      <c r="AM987" s="60"/>
      <c r="AN987" s="144">
        <v>47.0</v>
      </c>
      <c r="AO987" s="1251">
        <v>0.83</v>
      </c>
      <c r="AP987" s="147" t="s">
        <v>5340</v>
      </c>
      <c r="AQ987" s="147" t="s">
        <v>5331</v>
      </c>
      <c r="AR987" s="144">
        <v>0.001</v>
      </c>
      <c r="AS987" s="147" t="s">
        <v>127</v>
      </c>
      <c r="AT987" s="147" t="s">
        <v>179</v>
      </c>
      <c r="AU987" s="147" t="s">
        <v>129</v>
      </c>
      <c r="AV987" s="303" t="s">
        <v>5883</v>
      </c>
      <c r="AW987" s="147" t="s">
        <v>134</v>
      </c>
      <c r="AY987" s="142" t="s">
        <v>244</v>
      </c>
      <c r="BA987" s="178"/>
      <c r="BB987" s="178"/>
      <c r="BC987" s="178"/>
      <c r="BD987" s="178"/>
      <c r="BE987" s="178"/>
      <c r="BF987" s="178"/>
      <c r="BG987" s="178"/>
      <c r="BH987" s="178"/>
      <c r="BI987" s="178"/>
      <c r="BJ987" s="178"/>
      <c r="BK987" s="178"/>
      <c r="BL987" s="178"/>
      <c r="BM987" s="178"/>
      <c r="BN987" s="178"/>
      <c r="BO987" s="178"/>
      <c r="BP987" s="178"/>
      <c r="BQ987" s="178"/>
      <c r="BR987" s="178"/>
      <c r="BS987" s="178"/>
      <c r="BT987" s="178"/>
      <c r="BU987" s="178"/>
      <c r="BV987" s="178"/>
      <c r="BW987" s="178"/>
      <c r="BX987" s="178"/>
      <c r="BY987" s="178"/>
      <c r="BZ987" s="178"/>
      <c r="CA987" s="178"/>
      <c r="CB987" s="178"/>
      <c r="CC987" s="178"/>
      <c r="CD987" s="178"/>
      <c r="CE987" s="178"/>
      <c r="CF987" s="178"/>
      <c r="CG987" s="178"/>
      <c r="CH987" s="178"/>
      <c r="CI987" s="178"/>
      <c r="CJ987" s="178"/>
      <c r="CK987" s="178"/>
      <c r="CL987" s="178"/>
      <c r="CM987" s="178"/>
      <c r="CN987" s="178"/>
      <c r="CO987" s="178"/>
      <c r="CP987" s="178"/>
      <c r="CQ987" s="178"/>
      <c r="CR987" s="178"/>
      <c r="CS987" s="178"/>
      <c r="CT987" s="178"/>
      <c r="CU987" s="178"/>
      <c r="CV987" s="178"/>
      <c r="CW987" s="178"/>
      <c r="CX987" s="178"/>
      <c r="CY987" s="178"/>
      <c r="CZ987" s="178"/>
      <c r="DA987" s="178"/>
      <c r="DB987" s="178"/>
      <c r="DC987" s="178"/>
      <c r="DD987" s="178"/>
      <c r="DE987" s="178"/>
      <c r="DF987" s="178"/>
      <c r="DG987" s="178"/>
    </row>
    <row r="988">
      <c r="A988" s="314" t="s">
        <v>5350</v>
      </c>
      <c r="B988" s="136" t="s">
        <v>107</v>
      </c>
      <c r="C988" s="41" t="s">
        <v>243</v>
      </c>
      <c r="E988" s="1246" t="s">
        <v>5876</v>
      </c>
      <c r="F988" s="147" t="s">
        <v>5877</v>
      </c>
      <c r="G988" s="1247" t="s">
        <v>244</v>
      </c>
      <c r="H988" s="140">
        <v>45331.0</v>
      </c>
      <c r="I988" s="140">
        <v>45691.0</v>
      </c>
      <c r="J988" s="147" t="s">
        <v>5884</v>
      </c>
      <c r="K988" s="60"/>
      <c r="L988" s="147" t="s">
        <v>5879</v>
      </c>
      <c r="M988" s="147" t="s">
        <v>5880</v>
      </c>
      <c r="N988" s="115">
        <v>1.0</v>
      </c>
      <c r="O988" s="847" t="s">
        <v>5885</v>
      </c>
      <c r="P988" s="48" t="str">
        <f t="array" ref="P988">HYPERLINK(INDEX('File Links'!B:B, MATCH(O988, 'File Links'!C:C, 0)))
</f>
        <v>https://drive.google.com/file/d/1awPCjIHvs8ahIhOincmP_HaNxC6Wg3ei/view?usp=drivesdk</v>
      </c>
      <c r="Q988" s="1249" t="s">
        <v>5329</v>
      </c>
      <c r="R988" s="147" t="s">
        <v>5330</v>
      </c>
      <c r="S988" s="60"/>
      <c r="T988" s="60"/>
      <c r="U988" s="847" t="s">
        <v>5332</v>
      </c>
      <c r="V988" s="1212" t="s">
        <v>5333</v>
      </c>
      <c r="W988" s="50" t="str">
        <f t="array" ref="W988">HYPERLINK(INDEX('File Links'!B:B, MATCH(U988, 'File Links'!C:C, 0)))
</f>
        <v>https://drive.google.com/file/d/1hjI3aqifdfXjWhQAlvKCKKtvjuncAn5M/view?usp=drivesdk</v>
      </c>
      <c r="X988" s="60"/>
      <c r="Y988" s="147" t="s">
        <v>156</v>
      </c>
      <c r="Z988" s="115" t="s">
        <v>165</v>
      </c>
      <c r="AA988" s="147" t="s">
        <v>5344</v>
      </c>
      <c r="AB988" s="60"/>
      <c r="AC988" s="147" t="s">
        <v>165</v>
      </c>
      <c r="AD988" s="147" t="s">
        <v>165</v>
      </c>
      <c r="AE988" s="144">
        <v>44.0</v>
      </c>
      <c r="AF988" s="144">
        <v>0.69</v>
      </c>
      <c r="AG988" s="147" t="s">
        <v>5340</v>
      </c>
      <c r="AH988" s="330" t="s">
        <v>5886</v>
      </c>
      <c r="AI988" s="355">
        <v>0.001</v>
      </c>
      <c r="AJ988" s="52" t="s">
        <v>127</v>
      </c>
      <c r="AK988" s="147" t="s">
        <v>179</v>
      </c>
      <c r="AL988" s="1246" t="s">
        <v>129</v>
      </c>
      <c r="AM988" s="147" t="s">
        <v>129</v>
      </c>
      <c r="AN988" s="144">
        <v>47.0</v>
      </c>
      <c r="AO988" s="144">
        <v>0.83</v>
      </c>
      <c r="AP988" s="147" t="s">
        <v>5340</v>
      </c>
      <c r="AQ988" s="147" t="s">
        <v>5887</v>
      </c>
      <c r="AR988" s="144">
        <v>0.001</v>
      </c>
      <c r="AS988" s="147" t="s">
        <v>127</v>
      </c>
      <c r="AT988" s="147" t="s">
        <v>179</v>
      </c>
      <c r="AU988" s="142" t="s">
        <v>129</v>
      </c>
      <c r="AV988" s="453" t="s">
        <v>5888</v>
      </c>
      <c r="AW988" s="142" t="s">
        <v>134</v>
      </c>
      <c r="AY988" s="142" t="s">
        <v>244</v>
      </c>
    </row>
    <row r="989">
      <c r="A989" s="60" t="s">
        <v>106</v>
      </c>
      <c r="B989" s="136" t="s">
        <v>107</v>
      </c>
      <c r="C989" s="41" t="s">
        <v>3672</v>
      </c>
      <c r="E989" s="1246" t="s">
        <v>5889</v>
      </c>
      <c r="F989" s="147" t="s">
        <v>5890</v>
      </c>
      <c r="G989" s="1247" t="s">
        <v>3673</v>
      </c>
      <c r="H989" s="140">
        <v>45667.0</v>
      </c>
      <c r="I989" s="140">
        <v>45691.0</v>
      </c>
      <c r="J989" s="60"/>
      <c r="K989" s="60"/>
      <c r="L989" s="147" t="s">
        <v>5891</v>
      </c>
      <c r="M989" s="147" t="s">
        <v>5892</v>
      </c>
      <c r="N989" s="144">
        <v>1.0</v>
      </c>
      <c r="O989" s="847" t="str">
        <f>SUBSTITUTE(LOWER(M989), "/", "--") &amp;  ".pdf"</f>
        <v>10.1080--09515080500264180.pdf</v>
      </c>
      <c r="P989" s="48" t="str">
        <f t="array" ref="P989">HYPERLINK(INDEX('File Links'!B:B, MATCH(O989, 'File Links'!C:C, 0)))
</f>
        <v>https://drive.google.com/file/d/1yWq9VA17bviusA1-gmEWYWL7w6FHKyMI/view?usp=drivesdk</v>
      </c>
      <c r="Q989" s="1249" t="s">
        <v>5329</v>
      </c>
      <c r="R989" s="303" t="s">
        <v>5330</v>
      </c>
      <c r="S989" s="303" t="s">
        <v>5331</v>
      </c>
      <c r="T989" s="144">
        <v>7.0</v>
      </c>
      <c r="U989" s="847" t="s">
        <v>5332</v>
      </c>
      <c r="V989" s="1212" t="s">
        <v>5333</v>
      </c>
      <c r="W989" s="50" t="str">
        <f t="array" ref="W989">HYPERLINK(INDEX('File Links'!B:B, MATCH(U989, 'File Links'!C:C, 0)))
</f>
        <v>https://drive.google.com/file/d/1hjI3aqifdfXjWhQAlvKCKKtvjuncAn5M/view?usp=drivesdk</v>
      </c>
      <c r="X989" s="60"/>
      <c r="Y989" s="147" t="s">
        <v>156</v>
      </c>
      <c r="Z989" s="115" t="s">
        <v>165</v>
      </c>
      <c r="AA989" s="147" t="s">
        <v>5893</v>
      </c>
      <c r="AB989" s="60"/>
      <c r="AC989" s="147" t="s">
        <v>5894</v>
      </c>
      <c r="AD989" s="147" t="s">
        <v>5895</v>
      </c>
      <c r="AE989" s="144">
        <v>21.0</v>
      </c>
      <c r="AF989" s="1262" t="s">
        <v>5896</v>
      </c>
      <c r="AG989" s="147" t="s">
        <v>162</v>
      </c>
      <c r="AH989" s="330" t="s">
        <v>2416</v>
      </c>
      <c r="AI989" s="355">
        <v>0.016</v>
      </c>
      <c r="AJ989" s="52" t="s">
        <v>164</v>
      </c>
      <c r="AK989" s="147" t="s">
        <v>179</v>
      </c>
      <c r="AL989" s="526" t="s">
        <v>821</v>
      </c>
      <c r="AM989" s="60"/>
      <c r="AN989" s="144">
        <v>186.0</v>
      </c>
      <c r="AO989" s="1251">
        <v>0.602</v>
      </c>
      <c r="AP989" s="147" t="s">
        <v>5340</v>
      </c>
      <c r="AQ989" s="147" t="s">
        <v>5331</v>
      </c>
      <c r="AR989" s="144">
        <v>0.001</v>
      </c>
      <c r="AS989" s="147" t="s">
        <v>127</v>
      </c>
      <c r="AT989" s="147" t="s">
        <v>179</v>
      </c>
      <c r="AU989" s="525" t="s">
        <v>821</v>
      </c>
      <c r="AV989" s="303" t="s">
        <v>5897</v>
      </c>
      <c r="AW989" s="147" t="s">
        <v>134</v>
      </c>
      <c r="AY989" s="142" t="s">
        <v>244</v>
      </c>
      <c r="BA989" s="215"/>
      <c r="BB989" s="215"/>
      <c r="BC989" s="215"/>
      <c r="BD989" s="215"/>
      <c r="BE989" s="215"/>
      <c r="BF989" s="215"/>
      <c r="BG989" s="215"/>
      <c r="BH989" s="215"/>
      <c r="BI989" s="215"/>
      <c r="BJ989" s="215"/>
      <c r="BK989" s="215"/>
      <c r="BL989" s="215"/>
      <c r="BM989" s="215"/>
      <c r="BN989" s="215"/>
      <c r="BO989" s="215"/>
      <c r="BP989" s="215"/>
      <c r="BQ989" s="215"/>
      <c r="BR989" s="215"/>
      <c r="BS989" s="215"/>
      <c r="BT989" s="215"/>
      <c r="BU989" s="215"/>
      <c r="BV989" s="215"/>
      <c r="BW989" s="215"/>
      <c r="BX989" s="215"/>
      <c r="BY989" s="215"/>
      <c r="BZ989" s="215"/>
      <c r="CA989" s="215"/>
      <c r="CB989" s="215"/>
      <c r="CC989" s="215"/>
      <c r="CD989" s="215"/>
      <c r="CE989" s="215"/>
      <c r="CF989" s="215"/>
      <c r="CG989" s="215"/>
      <c r="CH989" s="215"/>
      <c r="CI989" s="215"/>
      <c r="CJ989" s="215"/>
      <c r="CK989" s="215"/>
      <c r="CL989" s="215"/>
      <c r="CM989" s="215"/>
      <c r="CN989" s="215"/>
      <c r="CO989" s="215"/>
      <c r="CP989" s="215"/>
      <c r="CQ989" s="215"/>
      <c r="CR989" s="215"/>
      <c r="CS989" s="215"/>
      <c r="CT989" s="215"/>
      <c r="CU989" s="215"/>
      <c r="CV989" s="215"/>
      <c r="CW989" s="215"/>
      <c r="CX989" s="215"/>
      <c r="CY989" s="215"/>
      <c r="CZ989" s="215"/>
      <c r="DA989" s="215"/>
      <c r="DB989" s="215"/>
      <c r="DC989" s="215"/>
      <c r="DD989" s="215"/>
      <c r="DE989" s="215"/>
      <c r="DF989" s="215"/>
      <c r="DG989" s="215"/>
    </row>
    <row r="990">
      <c r="A990" s="314" t="s">
        <v>5350</v>
      </c>
      <c r="B990" s="136" t="s">
        <v>107</v>
      </c>
      <c r="C990" s="41" t="s">
        <v>243</v>
      </c>
      <c r="E990" s="1246" t="s">
        <v>5889</v>
      </c>
      <c r="F990" s="147" t="s">
        <v>5890</v>
      </c>
      <c r="G990" s="1247" t="s">
        <v>244</v>
      </c>
      <c r="H990" s="140">
        <v>45331.0</v>
      </c>
      <c r="I990" s="140">
        <v>45691.0</v>
      </c>
      <c r="J990" s="147" t="s">
        <v>5898</v>
      </c>
      <c r="K990" s="60"/>
      <c r="L990" s="147" t="s">
        <v>5891</v>
      </c>
      <c r="M990" s="147" t="s">
        <v>5892</v>
      </c>
      <c r="N990" s="115">
        <v>1.0</v>
      </c>
      <c r="O990" s="847" t="s">
        <v>5899</v>
      </c>
      <c r="P990" s="48" t="str">
        <f t="array" ref="P990">HYPERLINK(INDEX('File Links'!B:B, MATCH(O990, 'File Links'!C:C, 0)))
</f>
        <v>https://drive.google.com/file/d/1yWq9VA17bviusA1-gmEWYWL7w6FHKyMI/view?usp=drivesdk</v>
      </c>
      <c r="Q990" s="1249" t="s">
        <v>5329</v>
      </c>
      <c r="R990" s="147" t="s">
        <v>5330</v>
      </c>
      <c r="S990" s="60"/>
      <c r="T990" s="60"/>
      <c r="U990" s="847" t="s">
        <v>5332</v>
      </c>
      <c r="V990" s="1212" t="s">
        <v>5333</v>
      </c>
      <c r="W990" s="50" t="str">
        <f t="array" ref="W990">HYPERLINK(INDEX('File Links'!B:B, MATCH(U990, 'File Links'!C:C, 0)))
</f>
        <v>https://drive.google.com/file/d/1hjI3aqifdfXjWhQAlvKCKKtvjuncAn5M/view?usp=drivesdk</v>
      </c>
      <c r="X990" s="60"/>
      <c r="Y990" s="147" t="s">
        <v>156</v>
      </c>
      <c r="Z990" s="115" t="s">
        <v>165</v>
      </c>
      <c r="AA990" s="147" t="s">
        <v>5344</v>
      </c>
      <c r="AB990" s="60"/>
      <c r="AC990" s="147" t="s">
        <v>5900</v>
      </c>
      <c r="AD990" s="147" t="s">
        <v>4365</v>
      </c>
      <c r="AE990" s="144">
        <v>21.0</v>
      </c>
      <c r="AF990" s="1262" t="s">
        <v>5896</v>
      </c>
      <c r="AG990" s="147" t="s">
        <v>162</v>
      </c>
      <c r="AH990" s="139" t="s">
        <v>2416</v>
      </c>
      <c r="AI990" s="355">
        <v>0.016</v>
      </c>
      <c r="AJ990" s="52" t="s">
        <v>164</v>
      </c>
      <c r="AK990" s="147" t="s">
        <v>179</v>
      </c>
      <c r="AL990" s="1246" t="s">
        <v>129</v>
      </c>
      <c r="AM990" s="147" t="s">
        <v>129</v>
      </c>
      <c r="AN990" s="144">
        <v>186.0</v>
      </c>
      <c r="AO990" s="144">
        <v>0.602</v>
      </c>
      <c r="AP990" s="147" t="s">
        <v>5340</v>
      </c>
      <c r="AQ990" s="147" t="s">
        <v>5901</v>
      </c>
      <c r="AR990" s="144">
        <v>0.001</v>
      </c>
      <c r="AS990" s="147" t="s">
        <v>127</v>
      </c>
      <c r="AT990" s="147" t="s">
        <v>179</v>
      </c>
      <c r="AU990" s="142" t="s">
        <v>129</v>
      </c>
      <c r="AV990" s="453" t="s">
        <v>5902</v>
      </c>
      <c r="AW990" s="60"/>
      <c r="AY990" s="142" t="s">
        <v>244</v>
      </c>
      <c r="BA990" s="215"/>
      <c r="BB990" s="215"/>
      <c r="BC990" s="215"/>
      <c r="BD990" s="215"/>
      <c r="BE990" s="215"/>
      <c r="BF990" s="215"/>
      <c r="BG990" s="215"/>
      <c r="BH990" s="215"/>
      <c r="BI990" s="215"/>
      <c r="BJ990" s="215"/>
      <c r="BK990" s="215"/>
      <c r="BL990" s="215"/>
      <c r="BM990" s="215"/>
      <c r="BN990" s="215"/>
      <c r="BO990" s="215"/>
      <c r="BP990" s="215"/>
      <c r="BQ990" s="215"/>
      <c r="BR990" s="215"/>
      <c r="BS990" s="215"/>
      <c r="BT990" s="215"/>
      <c r="BU990" s="215"/>
      <c r="BV990" s="215"/>
      <c r="BW990" s="215"/>
      <c r="BX990" s="215"/>
      <c r="BY990" s="215"/>
      <c r="BZ990" s="215"/>
      <c r="CA990" s="215"/>
      <c r="CB990" s="215"/>
      <c r="CC990" s="215"/>
      <c r="CD990" s="215"/>
      <c r="CE990" s="215"/>
      <c r="CF990" s="215"/>
      <c r="CG990" s="215"/>
      <c r="CH990" s="215"/>
      <c r="CI990" s="215"/>
      <c r="CJ990" s="215"/>
      <c r="CK990" s="215"/>
      <c r="CL990" s="215"/>
      <c r="CM990" s="215"/>
      <c r="CN990" s="215"/>
      <c r="CO990" s="215"/>
      <c r="CP990" s="215"/>
      <c r="CQ990" s="215"/>
      <c r="CR990" s="215"/>
      <c r="CS990" s="215"/>
      <c r="CT990" s="215"/>
      <c r="CU990" s="215"/>
      <c r="CV990" s="215"/>
      <c r="CW990" s="215"/>
      <c r="CX990" s="215"/>
      <c r="CY990" s="215"/>
      <c r="CZ990" s="215"/>
      <c r="DA990" s="215"/>
      <c r="DB990" s="215"/>
      <c r="DC990" s="215"/>
      <c r="DD990" s="215"/>
      <c r="DE990" s="215"/>
      <c r="DF990" s="215"/>
      <c r="DG990" s="215"/>
    </row>
    <row r="991">
      <c r="A991" s="314" t="s">
        <v>5350</v>
      </c>
      <c r="B991" s="136" t="s">
        <v>107</v>
      </c>
      <c r="C991" s="41" t="s">
        <v>243</v>
      </c>
      <c r="E991" s="1246" t="s">
        <v>5903</v>
      </c>
      <c r="F991" s="147" t="s">
        <v>5904</v>
      </c>
      <c r="G991" s="1247" t="s">
        <v>244</v>
      </c>
      <c r="H991" s="140">
        <v>45331.0</v>
      </c>
      <c r="I991" s="140">
        <v>45686.0</v>
      </c>
      <c r="J991" s="147" t="s">
        <v>5353</v>
      </c>
      <c r="K991" s="147" t="s">
        <v>5354</v>
      </c>
      <c r="L991" s="147" t="s">
        <v>5905</v>
      </c>
      <c r="M991" s="147" t="s">
        <v>5906</v>
      </c>
      <c r="N991" s="115">
        <v>1.0</v>
      </c>
      <c r="O991" s="847" t="s">
        <v>5907</v>
      </c>
      <c r="P991" s="48" t="str">
        <f t="array" ref="P991">HYPERLINK(INDEX('File Links'!B:B, MATCH(O991, 'File Links'!C:C, 0)))
</f>
        <v>https://drive.google.com/file/d/1Dc0I6mdR5VNlZdfy9Q6SxLCujdERpq1s/view?usp=drivesdk</v>
      </c>
      <c r="Q991" s="1249" t="s">
        <v>5329</v>
      </c>
      <c r="R991" s="147" t="s">
        <v>5330</v>
      </c>
      <c r="S991" s="60"/>
      <c r="T991" s="60"/>
      <c r="U991" s="847" t="s">
        <v>5332</v>
      </c>
      <c r="V991" s="1212" t="s">
        <v>5333</v>
      </c>
      <c r="W991" s="50" t="str">
        <f t="array" ref="W991">HYPERLINK(INDEX('File Links'!B:B, MATCH(U991, 'File Links'!C:C, 0)))
</f>
        <v>https://drive.google.com/file/d/1hjI3aqifdfXjWhQAlvKCKKtvjuncAn5M/view?usp=drivesdk</v>
      </c>
      <c r="X991" s="60"/>
      <c r="Y991" s="147" t="s">
        <v>156</v>
      </c>
      <c r="Z991" s="115" t="s">
        <v>165</v>
      </c>
      <c r="AA991" s="147" t="s">
        <v>5344</v>
      </c>
      <c r="AB991" s="60"/>
      <c r="AC991" s="147" t="s">
        <v>165</v>
      </c>
      <c r="AD991" s="147" t="s">
        <v>165</v>
      </c>
      <c r="AE991" s="144">
        <v>77.0</v>
      </c>
      <c r="AF991" s="144">
        <v>0.15</v>
      </c>
      <c r="AG991" s="147" t="s">
        <v>5340</v>
      </c>
      <c r="AH991" s="330" t="s">
        <v>5908</v>
      </c>
      <c r="AI991" s="355">
        <v>0.1756</v>
      </c>
      <c r="AJ991" s="52" t="s">
        <v>164</v>
      </c>
      <c r="AK991" s="147" t="s">
        <v>179</v>
      </c>
      <c r="AL991" s="1246" t="s">
        <v>129</v>
      </c>
      <c r="AM991" s="147" t="s">
        <v>129</v>
      </c>
      <c r="AN991" s="144">
        <v>221.0</v>
      </c>
      <c r="AO991" s="144">
        <v>-0.04</v>
      </c>
      <c r="AP991" s="147" t="s">
        <v>5340</v>
      </c>
      <c r="AQ991" s="147" t="s">
        <v>5909</v>
      </c>
      <c r="AR991" s="144">
        <v>0.5151</v>
      </c>
      <c r="AS991" s="147" t="s">
        <v>164</v>
      </c>
      <c r="AT991" s="147" t="s">
        <v>179</v>
      </c>
      <c r="AU991" s="142" t="s">
        <v>129</v>
      </c>
      <c r="AV991" s="453" t="s">
        <v>5910</v>
      </c>
      <c r="AW991" s="60"/>
      <c r="AY991" s="142" t="s">
        <v>244</v>
      </c>
      <c r="BA991" s="333"/>
      <c r="BB991" s="333"/>
      <c r="BC991" s="333"/>
      <c r="BD991" s="333"/>
      <c r="BE991" s="333"/>
      <c r="BF991" s="333"/>
      <c r="BG991" s="333"/>
      <c r="BH991" s="333"/>
      <c r="BI991" s="333"/>
      <c r="BJ991" s="333"/>
      <c r="BK991" s="333"/>
      <c r="BL991" s="333"/>
      <c r="BM991" s="333"/>
      <c r="BN991" s="333"/>
      <c r="BO991" s="333"/>
      <c r="BP991" s="333"/>
      <c r="BQ991" s="333"/>
      <c r="BR991" s="333"/>
      <c r="BS991" s="333"/>
      <c r="BT991" s="333"/>
      <c r="BU991" s="333"/>
      <c r="BV991" s="333"/>
      <c r="BW991" s="333"/>
      <c r="BX991" s="333"/>
      <c r="BY991" s="333"/>
      <c r="BZ991" s="333"/>
      <c r="CA991" s="333"/>
      <c r="CB991" s="333"/>
      <c r="CC991" s="333"/>
      <c r="CD991" s="333"/>
      <c r="CE991" s="333"/>
      <c r="CF991" s="333"/>
      <c r="CG991" s="333"/>
      <c r="CH991" s="333"/>
      <c r="CI991" s="333"/>
      <c r="CJ991" s="333"/>
      <c r="CK991" s="333"/>
      <c r="CL991" s="333"/>
      <c r="CM991" s="333"/>
      <c r="CN991" s="333"/>
      <c r="CO991" s="333"/>
      <c r="CP991" s="333"/>
      <c r="CQ991" s="333"/>
      <c r="CR991" s="333"/>
      <c r="CS991" s="333"/>
      <c r="CT991" s="333"/>
      <c r="CU991" s="333"/>
      <c r="CV991" s="333"/>
      <c r="CW991" s="333"/>
      <c r="CX991" s="333"/>
      <c r="CY991" s="333"/>
      <c r="CZ991" s="333"/>
      <c r="DA991" s="333"/>
      <c r="DB991" s="333"/>
      <c r="DC991" s="333"/>
      <c r="DD991" s="333"/>
      <c r="DE991" s="333"/>
      <c r="DF991" s="333"/>
      <c r="DG991" s="333"/>
    </row>
    <row r="992">
      <c r="A992" s="60" t="s">
        <v>106</v>
      </c>
      <c r="B992" s="136" t="s">
        <v>107</v>
      </c>
      <c r="C992" s="41" t="s">
        <v>3672</v>
      </c>
      <c r="E992" s="1246" t="s">
        <v>5911</v>
      </c>
      <c r="F992" s="147" t="s">
        <v>5912</v>
      </c>
      <c r="G992" s="1247" t="s">
        <v>3673</v>
      </c>
      <c r="H992" s="140">
        <v>45667.0</v>
      </c>
      <c r="I992" s="140">
        <v>45691.0</v>
      </c>
      <c r="J992" s="147" t="s">
        <v>5913</v>
      </c>
      <c r="K992" s="60"/>
      <c r="L992" s="147" t="s">
        <v>5914</v>
      </c>
      <c r="M992" s="147" t="s">
        <v>5915</v>
      </c>
      <c r="N992" s="115">
        <v>1.0</v>
      </c>
      <c r="O992" s="847" t="str">
        <f>SUBSTITUTE(LOWER(M992), "/", "--") &amp;  ".pdf"</f>
        <v>10.1080--09515080500177309.pdf</v>
      </c>
      <c r="P992" s="48" t="str">
        <f t="array" ref="P992">HYPERLINK(INDEX('File Links'!B:B, MATCH(O992, 'File Links'!C:C, 0)))
</f>
        <v>https://drive.google.com/file/d/1wEFZG_VXnD2cJrOMtVKNCAqucbV5WQV9/view?usp=drivesdk</v>
      </c>
      <c r="Q992" s="1249" t="s">
        <v>5329</v>
      </c>
      <c r="R992" s="303" t="s">
        <v>5330</v>
      </c>
      <c r="S992" s="303" t="s">
        <v>5331</v>
      </c>
      <c r="T992" s="144">
        <v>9.0</v>
      </c>
      <c r="U992" s="847" t="s">
        <v>5332</v>
      </c>
      <c r="V992" s="1212" t="s">
        <v>5333</v>
      </c>
      <c r="W992" s="50" t="str">
        <f t="array" ref="W992">HYPERLINK(INDEX('File Links'!B:B, MATCH(U992, 'File Links'!C:C, 0)))
</f>
        <v>https://drive.google.com/file/d/1hjI3aqifdfXjWhQAlvKCKKtvjuncAn5M/view?usp=drivesdk</v>
      </c>
      <c r="X992" s="60"/>
      <c r="Y992" s="147" t="s">
        <v>156</v>
      </c>
      <c r="Z992" s="115" t="s">
        <v>165</v>
      </c>
      <c r="AA992" s="147" t="s">
        <v>5916</v>
      </c>
      <c r="AB992" s="60"/>
      <c r="AC992" s="147" t="s">
        <v>5917</v>
      </c>
      <c r="AD992" s="147" t="s">
        <v>5918</v>
      </c>
      <c r="AE992" s="144">
        <v>40.0</v>
      </c>
      <c r="AF992" s="60"/>
      <c r="AG992" s="60"/>
      <c r="AH992" s="330" t="s">
        <v>610</v>
      </c>
      <c r="AI992" s="55"/>
      <c r="AJ992" s="55"/>
      <c r="AK992" s="60"/>
      <c r="AL992" s="55"/>
      <c r="AM992" s="60"/>
      <c r="AN992" s="144">
        <v>123.0</v>
      </c>
      <c r="AO992" s="1251">
        <v>0.38</v>
      </c>
      <c r="AP992" s="147" t="s">
        <v>5340</v>
      </c>
      <c r="AQ992" s="147" t="s">
        <v>5331</v>
      </c>
      <c r="AR992" s="144">
        <v>0.001</v>
      </c>
      <c r="AS992" s="147" t="s">
        <v>127</v>
      </c>
      <c r="AT992" s="147" t="s">
        <v>128</v>
      </c>
      <c r="AU992" s="147" t="s">
        <v>129</v>
      </c>
      <c r="AV992" s="303" t="s">
        <v>5919</v>
      </c>
      <c r="AW992" s="147" t="s">
        <v>134</v>
      </c>
      <c r="AY992" s="142" t="s">
        <v>244</v>
      </c>
      <c r="BA992" s="333"/>
      <c r="BB992" s="333"/>
      <c r="BC992" s="333"/>
      <c r="BD992" s="333"/>
      <c r="BE992" s="333"/>
      <c r="BF992" s="333"/>
      <c r="BG992" s="333"/>
      <c r="BH992" s="333"/>
      <c r="BI992" s="333"/>
      <c r="BJ992" s="333"/>
      <c r="BK992" s="333"/>
      <c r="BL992" s="333"/>
      <c r="BM992" s="333"/>
      <c r="BN992" s="333"/>
      <c r="BO992" s="333"/>
      <c r="BP992" s="333"/>
      <c r="BQ992" s="333"/>
      <c r="BR992" s="333"/>
      <c r="BS992" s="333"/>
      <c r="BT992" s="333"/>
      <c r="BU992" s="333"/>
      <c r="BV992" s="333"/>
      <c r="BW992" s="333"/>
      <c r="BX992" s="333"/>
      <c r="BY992" s="333"/>
      <c r="BZ992" s="333"/>
      <c r="CA992" s="333"/>
      <c r="CB992" s="333"/>
      <c r="CC992" s="333"/>
      <c r="CD992" s="333"/>
      <c r="CE992" s="333"/>
      <c r="CF992" s="333"/>
      <c r="CG992" s="333"/>
      <c r="CH992" s="333"/>
      <c r="CI992" s="333"/>
      <c r="CJ992" s="333"/>
      <c r="CK992" s="333"/>
      <c r="CL992" s="333"/>
      <c r="CM992" s="333"/>
      <c r="CN992" s="333"/>
      <c r="CO992" s="333"/>
      <c r="CP992" s="333"/>
      <c r="CQ992" s="333"/>
      <c r="CR992" s="333"/>
      <c r="CS992" s="333"/>
      <c r="CT992" s="333"/>
      <c r="CU992" s="333"/>
      <c r="CV992" s="333"/>
      <c r="CW992" s="333"/>
      <c r="CX992" s="333"/>
      <c r="CY992" s="333"/>
      <c r="CZ992" s="333"/>
      <c r="DA992" s="333"/>
      <c r="DB992" s="333"/>
      <c r="DC992" s="333"/>
      <c r="DD992" s="333"/>
      <c r="DE992" s="333"/>
      <c r="DF992" s="333"/>
      <c r="DG992" s="333"/>
    </row>
    <row r="993">
      <c r="A993" s="314" t="s">
        <v>5350</v>
      </c>
      <c r="B993" s="136" t="s">
        <v>107</v>
      </c>
      <c r="C993" s="41" t="s">
        <v>243</v>
      </c>
      <c r="E993" s="1246" t="s">
        <v>5911</v>
      </c>
      <c r="F993" s="147" t="s">
        <v>5912</v>
      </c>
      <c r="G993" s="1247" t="s">
        <v>244</v>
      </c>
      <c r="H993" s="140">
        <v>45331.0</v>
      </c>
      <c r="I993" s="140">
        <v>45691.0</v>
      </c>
      <c r="J993" s="147" t="s">
        <v>5920</v>
      </c>
      <c r="K993" s="147" t="s">
        <v>5921</v>
      </c>
      <c r="L993" s="147" t="s">
        <v>5914</v>
      </c>
      <c r="M993" s="147" t="s">
        <v>5915</v>
      </c>
      <c r="N993" s="115">
        <v>1.0</v>
      </c>
      <c r="O993" s="847" t="s">
        <v>5922</v>
      </c>
      <c r="P993" s="48" t="str">
        <f t="array" ref="P993">HYPERLINK(INDEX('File Links'!B:B, MATCH(O993, 'File Links'!C:C, 0)))
</f>
        <v>https://drive.google.com/file/d/1wEFZG_VXnD2cJrOMtVKNCAqucbV5WQV9/view?usp=drivesdk</v>
      </c>
      <c r="Q993" s="1249" t="s">
        <v>5329</v>
      </c>
      <c r="R993" s="147" t="s">
        <v>5330</v>
      </c>
      <c r="S993" s="60"/>
      <c r="T993" s="60"/>
      <c r="U993" s="847" t="s">
        <v>5332</v>
      </c>
      <c r="V993" s="1212" t="s">
        <v>5333</v>
      </c>
      <c r="W993" s="50" t="str">
        <f t="array" ref="W993">HYPERLINK(INDEX('File Links'!B:B, MATCH(U993, 'File Links'!C:C, 0)))
</f>
        <v>https://drive.google.com/file/d/1hjI3aqifdfXjWhQAlvKCKKtvjuncAn5M/view?usp=drivesdk</v>
      </c>
      <c r="X993" s="60"/>
      <c r="Y993" s="147" t="s">
        <v>156</v>
      </c>
      <c r="Z993" s="115" t="s">
        <v>165</v>
      </c>
      <c r="AA993" s="147" t="s">
        <v>5344</v>
      </c>
      <c r="AB993" s="60"/>
      <c r="AC993" s="147" t="s">
        <v>165</v>
      </c>
      <c r="AD993" s="147" t="s">
        <v>165</v>
      </c>
      <c r="AE993" s="144">
        <v>40.0</v>
      </c>
      <c r="AF993" s="144">
        <v>0.45</v>
      </c>
      <c r="AG993" s="147" t="s">
        <v>5340</v>
      </c>
      <c r="AH993" s="330" t="s">
        <v>5923</v>
      </c>
      <c r="AI993" s="355">
        <v>0.004</v>
      </c>
      <c r="AJ993" s="52" t="s">
        <v>164</v>
      </c>
      <c r="AK993" s="147" t="s">
        <v>179</v>
      </c>
      <c r="AL993" s="1246" t="s">
        <v>129</v>
      </c>
      <c r="AM993" s="147" t="s">
        <v>129</v>
      </c>
      <c r="AN993" s="1281">
        <v>128.0</v>
      </c>
      <c r="AO993" s="144">
        <v>0.38</v>
      </c>
      <c r="AP993" s="147" t="s">
        <v>5340</v>
      </c>
      <c r="AQ993" s="147" t="s">
        <v>5924</v>
      </c>
      <c r="AR993" s="144">
        <v>0.001</v>
      </c>
      <c r="AS993" s="147" t="s">
        <v>127</v>
      </c>
      <c r="AT993" s="147" t="s">
        <v>179</v>
      </c>
      <c r="AU993" s="142" t="s">
        <v>129</v>
      </c>
      <c r="AV993" s="453" t="s">
        <v>5925</v>
      </c>
      <c r="AW993" s="60"/>
      <c r="AY993" s="142" t="s">
        <v>244</v>
      </c>
      <c r="BA993" s="64"/>
      <c r="BB993" s="64"/>
      <c r="BC993" s="64"/>
      <c r="BD993" s="64"/>
      <c r="BE993" s="64"/>
      <c r="BF993" s="64"/>
      <c r="BG993" s="64"/>
      <c r="BH993" s="64"/>
      <c r="BI993" s="64"/>
      <c r="BJ993" s="64"/>
      <c r="BK993" s="64"/>
      <c r="BL993" s="64"/>
      <c r="BM993" s="64"/>
      <c r="BN993" s="64"/>
      <c r="BO993" s="64"/>
      <c r="BP993" s="64"/>
      <c r="BQ993" s="64"/>
      <c r="BR993" s="64"/>
      <c r="BS993" s="64"/>
      <c r="BT993" s="64"/>
      <c r="BU993" s="64"/>
      <c r="BV993" s="64"/>
      <c r="BW993" s="64"/>
      <c r="BX993" s="64"/>
      <c r="BY993" s="64"/>
      <c r="BZ993" s="64"/>
      <c r="CA993" s="64"/>
      <c r="CB993" s="64"/>
      <c r="CC993" s="64"/>
      <c r="CD993" s="64"/>
      <c r="CE993" s="64"/>
      <c r="CF993" s="64"/>
      <c r="CG993" s="64"/>
      <c r="CH993" s="64"/>
      <c r="CI993" s="64"/>
      <c r="CJ993" s="64"/>
      <c r="CK993" s="64"/>
      <c r="CL993" s="64"/>
      <c r="CM993" s="64"/>
      <c r="CN993" s="64"/>
      <c r="CO993" s="64"/>
      <c r="CP993" s="64"/>
      <c r="CQ993" s="64"/>
      <c r="CR993" s="64"/>
      <c r="CS993" s="64"/>
      <c r="CT993" s="64"/>
      <c r="CU993" s="64"/>
      <c r="CV993" s="64"/>
      <c r="CW993" s="64"/>
      <c r="CX993" s="64"/>
      <c r="CY993" s="64"/>
      <c r="CZ993" s="64"/>
      <c r="DA993" s="64"/>
      <c r="DB993" s="64"/>
      <c r="DC993" s="64"/>
      <c r="DD993" s="64"/>
      <c r="DE993" s="64"/>
      <c r="DF993" s="64"/>
      <c r="DG993" s="64"/>
    </row>
    <row r="994">
      <c r="A994" s="314" t="s">
        <v>5350</v>
      </c>
      <c r="B994" s="136" t="s">
        <v>107</v>
      </c>
      <c r="C994" s="41" t="s">
        <v>3672</v>
      </c>
      <c r="E994" s="115" t="s">
        <v>5361</v>
      </c>
      <c r="F994" s="139" t="s">
        <v>5926</v>
      </c>
      <c r="G994" s="1247" t="s">
        <v>3673</v>
      </c>
      <c r="H994" s="140">
        <v>45667.0</v>
      </c>
      <c r="I994" s="1248">
        <v>45691.0</v>
      </c>
      <c r="J994" s="147" t="s">
        <v>5927</v>
      </c>
      <c r="K994" s="60" t="s">
        <v>5928</v>
      </c>
      <c r="L994" s="147" t="s">
        <v>5929</v>
      </c>
      <c r="M994" s="147" t="s">
        <v>5364</v>
      </c>
      <c r="N994" s="115">
        <v>1.0</v>
      </c>
      <c r="O994" s="147" t="str">
        <f t="shared" ref="O994:O1027" si="53">SUBSTITUTE(LOWER(M994), "/", "--") &amp;  ".pdf"</f>
        <v>10.1163--156853706776931222.pdf</v>
      </c>
      <c r="P994" s="48" t="str">
        <f t="array" ref="P994">HYPERLINK(INDEX('File Links'!B:B, MATCH(O994, 'File Links'!C:C, 0)))
</f>
        <v>https://drive.google.com/file/d/1_KweoGhNrt_00Umu1vsjHfibTm4z9cNE/view?usp=drivesdk</v>
      </c>
      <c r="Q994" s="1249" t="s">
        <v>5329</v>
      </c>
      <c r="R994" s="303" t="s">
        <v>5330</v>
      </c>
      <c r="S994" s="303" t="s">
        <v>5331</v>
      </c>
      <c r="T994" s="144">
        <v>11.0</v>
      </c>
      <c r="U994" s="847" t="s">
        <v>5332</v>
      </c>
      <c r="V994" s="1212" t="s">
        <v>5333</v>
      </c>
      <c r="W994" s="50" t="str">
        <f t="array" ref="W994">HYPERLINK(INDEX('File Links'!B:B, MATCH(U994, 'File Links'!C:C, 0)))
</f>
        <v>https://drive.google.com/file/d/1hjI3aqifdfXjWhQAlvKCKKtvjuncAn5M/view?usp=drivesdk</v>
      </c>
      <c r="X994" s="60"/>
      <c r="Y994" s="147" t="s">
        <v>156</v>
      </c>
      <c r="Z994" s="115" t="s">
        <v>165</v>
      </c>
      <c r="AA994" s="147" t="s">
        <v>5930</v>
      </c>
      <c r="AB994" s="60"/>
      <c r="AC994" s="147" t="s">
        <v>5931</v>
      </c>
      <c r="AD994" s="144">
        <v>19.0</v>
      </c>
      <c r="AE994" s="144">
        <v>31.0</v>
      </c>
      <c r="AF994" s="1262" t="s">
        <v>5932</v>
      </c>
      <c r="AG994" s="147" t="s">
        <v>162</v>
      </c>
      <c r="AH994" s="330" t="s">
        <v>1580</v>
      </c>
      <c r="AI994" s="355">
        <v>0.001</v>
      </c>
      <c r="AJ994" s="52" t="s">
        <v>127</v>
      </c>
      <c r="AK994" s="147" t="s">
        <v>179</v>
      </c>
      <c r="AL994" s="52" t="s">
        <v>129</v>
      </c>
      <c r="AM994" s="60"/>
      <c r="AN994" s="144">
        <v>47.0</v>
      </c>
      <c r="AO994" s="1262" t="s">
        <v>5933</v>
      </c>
      <c r="AP994" s="147" t="s">
        <v>162</v>
      </c>
      <c r="AQ994" s="147" t="s">
        <v>5387</v>
      </c>
      <c r="AR994" s="144">
        <v>0.002</v>
      </c>
      <c r="AS994" s="147" t="s">
        <v>164</v>
      </c>
      <c r="AT994" s="147" t="s">
        <v>179</v>
      </c>
      <c r="AU994" s="147" t="s">
        <v>129</v>
      </c>
      <c r="AV994" s="303" t="s">
        <v>5371</v>
      </c>
      <c r="AW994" s="147" t="s">
        <v>134</v>
      </c>
      <c r="AY994" s="142" t="s">
        <v>244</v>
      </c>
      <c r="BA994" s="64"/>
      <c r="BB994" s="64"/>
      <c r="BC994" s="64"/>
      <c r="BD994" s="64"/>
      <c r="BE994" s="64"/>
      <c r="BF994" s="64"/>
      <c r="BG994" s="64"/>
      <c r="BH994" s="64"/>
      <c r="BI994" s="64"/>
      <c r="BJ994" s="64"/>
      <c r="BK994" s="64"/>
      <c r="BL994" s="64"/>
      <c r="BM994" s="64"/>
      <c r="BN994" s="64"/>
      <c r="BO994" s="64"/>
      <c r="BP994" s="64"/>
      <c r="BQ994" s="64"/>
      <c r="BR994" s="64"/>
      <c r="BS994" s="64"/>
      <c r="BT994" s="64"/>
      <c r="BU994" s="64"/>
      <c r="BV994" s="64"/>
      <c r="BW994" s="64"/>
      <c r="BX994" s="64"/>
      <c r="BY994" s="64"/>
      <c r="BZ994" s="64"/>
      <c r="CA994" s="64"/>
      <c r="CB994" s="64"/>
      <c r="CC994" s="64"/>
      <c r="CD994" s="64"/>
      <c r="CE994" s="64"/>
      <c r="CF994" s="64"/>
      <c r="CG994" s="64"/>
      <c r="CH994" s="64"/>
      <c r="CI994" s="64"/>
      <c r="CJ994" s="64"/>
      <c r="CK994" s="64"/>
      <c r="CL994" s="64"/>
      <c r="CM994" s="64"/>
      <c r="CN994" s="64"/>
      <c r="CO994" s="64"/>
      <c r="CP994" s="64"/>
      <c r="CQ994" s="64"/>
      <c r="CR994" s="64"/>
      <c r="CS994" s="64"/>
      <c r="CT994" s="64"/>
      <c r="CU994" s="64"/>
      <c r="CV994" s="64"/>
      <c r="CW994" s="64"/>
      <c r="CX994" s="64"/>
      <c r="CY994" s="64"/>
      <c r="CZ994" s="64"/>
      <c r="DA994" s="64"/>
      <c r="DB994" s="64"/>
      <c r="DC994" s="64"/>
      <c r="DD994" s="64"/>
      <c r="DE994" s="64"/>
      <c r="DF994" s="64"/>
      <c r="DG994" s="64"/>
    </row>
    <row r="995">
      <c r="A995" s="314" t="s">
        <v>5350</v>
      </c>
      <c r="B995" s="136" t="s">
        <v>107</v>
      </c>
      <c r="C995" s="41" t="s">
        <v>243</v>
      </c>
      <c r="E995" s="115" t="s">
        <v>5418</v>
      </c>
      <c r="F995" s="147" t="s">
        <v>5934</v>
      </c>
      <c r="G995" s="1247" t="s">
        <v>244</v>
      </c>
      <c r="H995" s="140">
        <v>45331.0</v>
      </c>
      <c r="I995" s="140">
        <v>45688.0</v>
      </c>
      <c r="J995" s="60" t="s">
        <v>5935</v>
      </c>
      <c r="K995" s="60" t="s">
        <v>5936</v>
      </c>
      <c r="L995" s="147" t="s">
        <v>5421</v>
      </c>
      <c r="M995" s="147" t="s">
        <v>5422</v>
      </c>
      <c r="N995" s="115">
        <v>1.0</v>
      </c>
      <c r="O995" s="147" t="str">
        <f t="shared" si="53"/>
        <v>10.1111--j.1475-4975.2007.00158.x.pdf</v>
      </c>
      <c r="P995" s="48" t="str">
        <f t="array" ref="P995">HYPERLINK(INDEX('File Links'!B:B, MATCH(O995, 'File Links'!C:C, 0)))
</f>
        <v>https://drive.google.com/file/d/1Mbtg5W4r7YUV6SqGN7Y6QssV1kBq9eYn/view?usp=drivesdk</v>
      </c>
      <c r="Q995" s="1249" t="s">
        <v>5329</v>
      </c>
      <c r="R995" s="303" t="s">
        <v>5330</v>
      </c>
      <c r="S995" s="303" t="s">
        <v>5331</v>
      </c>
      <c r="T995" s="144">
        <v>15.0</v>
      </c>
      <c r="U995" s="847" t="s">
        <v>5332</v>
      </c>
      <c r="V995" s="1212" t="s">
        <v>5333</v>
      </c>
      <c r="W995" s="50" t="str">
        <f t="array" ref="W995">HYPERLINK(INDEX('File Links'!B:B, MATCH(U995, 'File Links'!C:C, 0)))
</f>
        <v>https://drive.google.com/file/d/1hjI3aqifdfXjWhQAlvKCKKtvjuncAn5M/view?usp=drivesdk</v>
      </c>
      <c r="X995" s="60"/>
      <c r="Y995" s="147" t="s">
        <v>156</v>
      </c>
      <c r="Z995" s="115" t="s">
        <v>165</v>
      </c>
      <c r="AA995" s="147" t="s">
        <v>5937</v>
      </c>
      <c r="AB995" s="60"/>
      <c r="AC995" s="147" t="s">
        <v>5938</v>
      </c>
      <c r="AD995" s="147" t="s">
        <v>5425</v>
      </c>
      <c r="AE995" s="144">
        <v>307.0</v>
      </c>
      <c r="AF995" s="147" t="s">
        <v>5939</v>
      </c>
      <c r="AG995" s="147" t="s">
        <v>162</v>
      </c>
      <c r="AH995" s="330" t="s">
        <v>624</v>
      </c>
      <c r="AI995" s="355">
        <v>0.001</v>
      </c>
      <c r="AJ995" s="52" t="s">
        <v>127</v>
      </c>
      <c r="AK995" s="147" t="s">
        <v>179</v>
      </c>
      <c r="AL995" s="52" t="s">
        <v>129</v>
      </c>
      <c r="AM995" s="60"/>
      <c r="AN995" s="144">
        <v>183.0</v>
      </c>
      <c r="AO995" s="1266" t="s">
        <v>5940</v>
      </c>
      <c r="AP995" s="147" t="s">
        <v>162</v>
      </c>
      <c r="AQ995" s="147" t="s">
        <v>5428</v>
      </c>
      <c r="AR995" s="144">
        <v>0.001</v>
      </c>
      <c r="AS995" s="147" t="s">
        <v>127</v>
      </c>
      <c r="AT995" s="147" t="s">
        <v>179</v>
      </c>
      <c r="AU995" s="147" t="s">
        <v>129</v>
      </c>
      <c r="AV995" s="1263" t="s">
        <v>5941</v>
      </c>
      <c r="AW995" s="147" t="s">
        <v>134</v>
      </c>
      <c r="AY995" s="142" t="s">
        <v>244</v>
      </c>
      <c r="BA995" s="64"/>
      <c r="BB995" s="64"/>
      <c r="BC995" s="64"/>
      <c r="BD995" s="64"/>
      <c r="BE995" s="64"/>
      <c r="BF995" s="64"/>
      <c r="BG995" s="64"/>
      <c r="BH995" s="64"/>
      <c r="BI995" s="64"/>
      <c r="BJ995" s="64"/>
      <c r="BK995" s="64"/>
      <c r="BL995" s="64"/>
      <c r="BM995" s="64"/>
      <c r="BN995" s="64"/>
      <c r="BO995" s="64"/>
      <c r="BP995" s="64"/>
      <c r="BQ995" s="64"/>
      <c r="BR995" s="64"/>
      <c r="BS995" s="64"/>
      <c r="BT995" s="64"/>
      <c r="BU995" s="64"/>
      <c r="BV995" s="64"/>
      <c r="BW995" s="64"/>
      <c r="BX995" s="64"/>
      <c r="BY995" s="64"/>
      <c r="BZ995" s="64"/>
      <c r="CA995" s="64"/>
      <c r="CB995" s="64"/>
      <c r="CC995" s="64"/>
      <c r="CD995" s="64"/>
      <c r="CE995" s="64"/>
      <c r="CF995" s="64"/>
      <c r="CG995" s="64"/>
      <c r="CH995" s="64"/>
      <c r="CI995" s="64"/>
      <c r="CJ995" s="64"/>
      <c r="CK995" s="64"/>
      <c r="CL995" s="64"/>
      <c r="CM995" s="64"/>
      <c r="CN995" s="64"/>
      <c r="CO995" s="64"/>
      <c r="CP995" s="64"/>
      <c r="CQ995" s="64"/>
      <c r="CR995" s="64"/>
      <c r="CS995" s="64"/>
      <c r="CT995" s="64"/>
      <c r="CU995" s="64"/>
      <c r="CV995" s="64"/>
      <c r="CW995" s="64"/>
      <c r="CX995" s="64"/>
      <c r="CY995" s="64"/>
      <c r="CZ995" s="64"/>
      <c r="DA995" s="64"/>
      <c r="DB995" s="64"/>
      <c r="DC995" s="64"/>
      <c r="DD995" s="64"/>
      <c r="DE995" s="64"/>
      <c r="DF995" s="64"/>
      <c r="DG995" s="64"/>
    </row>
    <row r="996">
      <c r="A996" s="60" t="s">
        <v>106</v>
      </c>
      <c r="B996" s="136" t="s">
        <v>107</v>
      </c>
      <c r="C996" s="41" t="s">
        <v>3672</v>
      </c>
      <c r="E996" s="115" t="s">
        <v>5418</v>
      </c>
      <c r="F996" s="139" t="s">
        <v>5934</v>
      </c>
      <c r="G996" s="1247" t="s">
        <v>3673</v>
      </c>
      <c r="H996" s="140">
        <v>45670.0</v>
      </c>
      <c r="I996" s="140">
        <v>45688.0</v>
      </c>
      <c r="J996" s="60"/>
      <c r="K996" s="60" t="s">
        <v>5936</v>
      </c>
      <c r="L996" s="147" t="s">
        <v>5421</v>
      </c>
      <c r="M996" s="147" t="s">
        <v>5422</v>
      </c>
      <c r="N996" s="115">
        <v>1.0</v>
      </c>
      <c r="O996" s="147" t="str">
        <f t="shared" si="53"/>
        <v>10.1111--j.1475-4975.2007.00158.x.pdf</v>
      </c>
      <c r="P996" s="48" t="str">
        <f t="array" ref="P996">HYPERLINK(INDEX('File Links'!B:B, MATCH(O996, 'File Links'!C:C, 0)))
</f>
        <v>https://drive.google.com/file/d/1Mbtg5W4r7YUV6SqGN7Y6QssV1kBq9eYn/view?usp=drivesdk</v>
      </c>
      <c r="Q996" s="1249" t="s">
        <v>5329</v>
      </c>
      <c r="R996" s="303" t="s">
        <v>5330</v>
      </c>
      <c r="S996" s="303" t="s">
        <v>5331</v>
      </c>
      <c r="T996" s="144">
        <v>15.0</v>
      </c>
      <c r="U996" s="847" t="s">
        <v>5332</v>
      </c>
      <c r="V996" s="1212" t="s">
        <v>5333</v>
      </c>
      <c r="W996" s="50" t="str">
        <f t="array" ref="W996">HYPERLINK(INDEX('File Links'!B:B, MATCH(U996, 'File Links'!C:C, 0)))
</f>
        <v>https://drive.google.com/file/d/1hjI3aqifdfXjWhQAlvKCKKtvjuncAn5M/view?usp=drivesdk</v>
      </c>
      <c r="X996" s="60"/>
      <c r="Y996" s="147" t="s">
        <v>156</v>
      </c>
      <c r="Z996" s="115" t="s">
        <v>165</v>
      </c>
      <c r="AA996" s="147" t="s">
        <v>5423</v>
      </c>
      <c r="AB996" s="60"/>
      <c r="AC996" s="147" t="s">
        <v>5942</v>
      </c>
      <c r="AD996" s="147" t="s">
        <v>5425</v>
      </c>
      <c r="AE996" s="144">
        <v>307.0</v>
      </c>
      <c r="AF996" s="147" t="s">
        <v>5939</v>
      </c>
      <c r="AG996" s="147" t="s">
        <v>162</v>
      </c>
      <c r="AH996" s="330" t="s">
        <v>624</v>
      </c>
      <c r="AI996" s="355">
        <v>0.001</v>
      </c>
      <c r="AJ996" s="52" t="s">
        <v>127</v>
      </c>
      <c r="AK996" s="147" t="s">
        <v>179</v>
      </c>
      <c r="AL996" s="52" t="s">
        <v>129</v>
      </c>
      <c r="AM996" s="60"/>
      <c r="AN996" s="144">
        <v>183.0</v>
      </c>
      <c r="AO996" s="1266" t="s">
        <v>5940</v>
      </c>
      <c r="AP996" s="147" t="s">
        <v>162</v>
      </c>
      <c r="AQ996" s="147" t="s">
        <v>5428</v>
      </c>
      <c r="AR996" s="144">
        <v>0.001</v>
      </c>
      <c r="AS996" s="147" t="s">
        <v>127</v>
      </c>
      <c r="AT996" s="147" t="s">
        <v>179</v>
      </c>
      <c r="AU996" s="147" t="s">
        <v>129</v>
      </c>
      <c r="AV996" s="303" t="s">
        <v>5429</v>
      </c>
      <c r="AW996" s="147" t="s">
        <v>134</v>
      </c>
      <c r="AY996" s="142" t="s">
        <v>244</v>
      </c>
      <c r="BA996" s="64"/>
      <c r="BB996" s="64"/>
      <c r="BC996" s="64"/>
      <c r="BD996" s="64"/>
      <c r="BE996" s="64"/>
      <c r="BF996" s="64"/>
      <c r="BG996" s="64"/>
      <c r="BH996" s="64"/>
      <c r="BI996" s="64"/>
      <c r="BJ996" s="64"/>
      <c r="BK996" s="64"/>
      <c r="BL996" s="64"/>
      <c r="BM996" s="64"/>
      <c r="BN996" s="64"/>
      <c r="BO996" s="64"/>
      <c r="BP996" s="64"/>
      <c r="BQ996" s="64"/>
      <c r="BR996" s="64"/>
      <c r="BS996" s="64"/>
      <c r="BT996" s="64"/>
      <c r="BU996" s="64"/>
      <c r="BV996" s="64"/>
      <c r="BW996" s="64"/>
      <c r="BX996" s="64"/>
      <c r="BY996" s="64"/>
      <c r="BZ996" s="64"/>
      <c r="CA996" s="64"/>
      <c r="CB996" s="64"/>
      <c r="CC996" s="64"/>
      <c r="CD996" s="64"/>
      <c r="CE996" s="64"/>
      <c r="CF996" s="64"/>
      <c r="CG996" s="64"/>
      <c r="CH996" s="64"/>
      <c r="CI996" s="64"/>
      <c r="CJ996" s="64"/>
      <c r="CK996" s="64"/>
      <c r="CL996" s="64"/>
      <c r="CM996" s="64"/>
      <c r="CN996" s="64"/>
      <c r="CO996" s="64"/>
      <c r="CP996" s="64"/>
      <c r="CQ996" s="64"/>
      <c r="CR996" s="64"/>
      <c r="CS996" s="64"/>
      <c r="CT996" s="64"/>
      <c r="CU996" s="64"/>
      <c r="CV996" s="64"/>
      <c r="CW996" s="64"/>
      <c r="CX996" s="64"/>
      <c r="CY996" s="64"/>
      <c r="CZ996" s="64"/>
      <c r="DA996" s="64"/>
      <c r="DB996" s="64"/>
      <c r="DC996" s="64"/>
      <c r="DD996" s="64"/>
      <c r="DE996" s="64"/>
      <c r="DF996" s="64"/>
      <c r="DG996" s="64"/>
    </row>
    <row r="997">
      <c r="A997" s="314" t="s">
        <v>5350</v>
      </c>
      <c r="B997" s="136" t="s">
        <v>107</v>
      </c>
      <c r="C997" s="41" t="s">
        <v>243</v>
      </c>
      <c r="E997" s="115" t="s">
        <v>5418</v>
      </c>
      <c r="F997" s="147" t="s">
        <v>5943</v>
      </c>
      <c r="G997" s="1247" t="s">
        <v>244</v>
      </c>
      <c r="H997" s="140">
        <v>45331.0</v>
      </c>
      <c r="I997" s="140">
        <v>45688.0</v>
      </c>
      <c r="J997" s="60" t="s">
        <v>5935</v>
      </c>
      <c r="K997" s="60" t="s">
        <v>5936</v>
      </c>
      <c r="L997" s="147" t="s">
        <v>5421</v>
      </c>
      <c r="M997" s="147" t="s">
        <v>5422</v>
      </c>
      <c r="N997" s="115">
        <v>1.0</v>
      </c>
      <c r="O997" s="147" t="str">
        <f t="shared" si="53"/>
        <v>10.1111--j.1475-4975.2007.00158.x.pdf</v>
      </c>
      <c r="P997" s="48" t="str">
        <f t="array" ref="P997">HYPERLINK(INDEX('File Links'!B:B, MATCH(O997, 'File Links'!C:C, 0)))
</f>
        <v>https://drive.google.com/file/d/1Mbtg5W4r7YUV6SqGN7Y6QssV1kBq9eYn/view?usp=drivesdk</v>
      </c>
      <c r="Q997" s="1249" t="s">
        <v>5329</v>
      </c>
      <c r="R997" s="303" t="s">
        <v>5330</v>
      </c>
      <c r="S997" s="303" t="s">
        <v>5331</v>
      </c>
      <c r="T997" s="144">
        <v>15.0</v>
      </c>
      <c r="U997" s="847" t="s">
        <v>5332</v>
      </c>
      <c r="V997" s="1212" t="s">
        <v>5333</v>
      </c>
      <c r="W997" s="50" t="str">
        <f t="array" ref="W997">HYPERLINK(INDEX('File Links'!B:B, MATCH(U997, 'File Links'!C:C, 0)))
</f>
        <v>https://drive.google.com/file/d/1hjI3aqifdfXjWhQAlvKCKKtvjuncAn5M/view?usp=drivesdk</v>
      </c>
      <c r="X997" s="60"/>
      <c r="Y997" s="147" t="s">
        <v>156</v>
      </c>
      <c r="Z997" s="115" t="s">
        <v>165</v>
      </c>
      <c r="AA997" s="147" t="s">
        <v>5944</v>
      </c>
      <c r="AB997" s="60"/>
      <c r="AC997" s="147" t="s">
        <v>5945</v>
      </c>
      <c r="AD997" s="147" t="s">
        <v>5425</v>
      </c>
      <c r="AE997" s="144">
        <v>307.0</v>
      </c>
      <c r="AF997" s="147" t="s">
        <v>5946</v>
      </c>
      <c r="AG997" s="147" t="s">
        <v>162</v>
      </c>
      <c r="AH997" s="330" t="s">
        <v>624</v>
      </c>
      <c r="AI997" s="355">
        <v>0.001</v>
      </c>
      <c r="AJ997" s="52" t="s">
        <v>127</v>
      </c>
      <c r="AK997" s="147" t="s">
        <v>179</v>
      </c>
      <c r="AL997" s="52" t="s">
        <v>129</v>
      </c>
      <c r="AM997" s="60"/>
      <c r="AN997" s="144">
        <v>183.0</v>
      </c>
      <c r="AO997" s="1266" t="s">
        <v>5947</v>
      </c>
      <c r="AP997" s="147" t="s">
        <v>162</v>
      </c>
      <c r="AQ997" s="147" t="s">
        <v>5428</v>
      </c>
      <c r="AR997" s="144">
        <v>0.004</v>
      </c>
      <c r="AS997" s="147" t="s">
        <v>164</v>
      </c>
      <c r="AT997" s="147" t="s">
        <v>179</v>
      </c>
      <c r="AU997" s="147" t="s">
        <v>129</v>
      </c>
      <c r="AV997" s="1263" t="s">
        <v>5948</v>
      </c>
      <c r="AW997" s="147" t="s">
        <v>134</v>
      </c>
      <c r="AY997" s="142" t="s">
        <v>244</v>
      </c>
      <c r="BA997" s="64"/>
      <c r="BB997" s="64"/>
      <c r="BC997" s="64"/>
      <c r="BD997" s="64"/>
      <c r="BE997" s="64"/>
      <c r="BF997" s="64"/>
      <c r="BG997" s="64"/>
      <c r="BH997" s="64"/>
      <c r="BI997" s="64"/>
      <c r="BJ997" s="64"/>
      <c r="BK997" s="64"/>
      <c r="BL997" s="64"/>
      <c r="BM997" s="64"/>
      <c r="BN997" s="64"/>
      <c r="BO997" s="64"/>
      <c r="BP997" s="64"/>
      <c r="BQ997" s="64"/>
      <c r="BR997" s="64"/>
      <c r="BS997" s="64"/>
      <c r="BT997" s="64"/>
      <c r="BU997" s="64"/>
      <c r="BV997" s="64"/>
      <c r="BW997" s="64"/>
      <c r="BX997" s="64"/>
      <c r="BY997" s="64"/>
      <c r="BZ997" s="64"/>
      <c r="CA997" s="64"/>
      <c r="CB997" s="64"/>
      <c r="CC997" s="64"/>
      <c r="CD997" s="64"/>
      <c r="CE997" s="64"/>
      <c r="CF997" s="64"/>
      <c r="CG997" s="64"/>
      <c r="CH997" s="64"/>
      <c r="CI997" s="64"/>
      <c r="CJ997" s="64"/>
      <c r="CK997" s="64"/>
      <c r="CL997" s="64"/>
      <c r="CM997" s="64"/>
      <c r="CN997" s="64"/>
      <c r="CO997" s="64"/>
      <c r="CP997" s="64"/>
      <c r="CQ997" s="64"/>
      <c r="CR997" s="64"/>
      <c r="CS997" s="64"/>
      <c r="CT997" s="64"/>
      <c r="CU997" s="64"/>
      <c r="CV997" s="64"/>
      <c r="CW997" s="64"/>
      <c r="CX997" s="64"/>
      <c r="CY997" s="64"/>
      <c r="CZ997" s="64"/>
      <c r="DA997" s="64"/>
      <c r="DB997" s="64"/>
      <c r="DC997" s="64"/>
      <c r="DD997" s="64"/>
      <c r="DE997" s="64"/>
      <c r="DF997" s="64"/>
      <c r="DG997" s="64"/>
    </row>
    <row r="998">
      <c r="A998" s="60" t="s">
        <v>106</v>
      </c>
      <c r="B998" s="136" t="s">
        <v>107</v>
      </c>
      <c r="C998" s="41" t="s">
        <v>3672</v>
      </c>
      <c r="E998" s="115" t="s">
        <v>5418</v>
      </c>
      <c r="F998" s="139" t="s">
        <v>5943</v>
      </c>
      <c r="G998" s="1247" t="s">
        <v>3673</v>
      </c>
      <c r="H998" s="140">
        <v>45670.0</v>
      </c>
      <c r="I998" s="140">
        <v>45688.0</v>
      </c>
      <c r="J998" s="60"/>
      <c r="K998" s="60" t="s">
        <v>5936</v>
      </c>
      <c r="L998" s="147" t="s">
        <v>5421</v>
      </c>
      <c r="M998" s="147" t="s">
        <v>5422</v>
      </c>
      <c r="N998" s="115">
        <v>1.0</v>
      </c>
      <c r="O998" s="147" t="str">
        <f t="shared" si="53"/>
        <v>10.1111--j.1475-4975.2007.00158.x.pdf</v>
      </c>
      <c r="P998" s="48" t="str">
        <f t="array" ref="P998">HYPERLINK(INDEX('File Links'!B:B, MATCH(O998, 'File Links'!C:C, 0)))
</f>
        <v>https://drive.google.com/file/d/1Mbtg5W4r7YUV6SqGN7Y6QssV1kBq9eYn/view?usp=drivesdk</v>
      </c>
      <c r="Q998" s="1249" t="s">
        <v>5329</v>
      </c>
      <c r="R998" s="303" t="s">
        <v>5330</v>
      </c>
      <c r="S998" s="303" t="s">
        <v>5331</v>
      </c>
      <c r="T998" s="144">
        <v>15.0</v>
      </c>
      <c r="U998" s="847" t="s">
        <v>5332</v>
      </c>
      <c r="V998" s="1212" t="s">
        <v>5333</v>
      </c>
      <c r="W998" s="50" t="str">
        <f t="array" ref="W998">HYPERLINK(INDEX('File Links'!B:B, MATCH(U998, 'File Links'!C:C, 0)))
</f>
        <v>https://drive.google.com/file/d/1hjI3aqifdfXjWhQAlvKCKKtvjuncAn5M/view?usp=drivesdk</v>
      </c>
      <c r="X998" s="60"/>
      <c r="Y998" s="147" t="s">
        <v>156</v>
      </c>
      <c r="Z998" s="115" t="s">
        <v>165</v>
      </c>
      <c r="AA998" s="147" t="s">
        <v>5423</v>
      </c>
      <c r="AB998" s="60"/>
      <c r="AC998" s="147" t="s">
        <v>5949</v>
      </c>
      <c r="AD998" s="147" t="s">
        <v>5425</v>
      </c>
      <c r="AE998" s="144">
        <v>307.0</v>
      </c>
      <c r="AF998" s="147" t="s">
        <v>5946</v>
      </c>
      <c r="AG998" s="147" t="s">
        <v>162</v>
      </c>
      <c r="AH998" s="330" t="s">
        <v>624</v>
      </c>
      <c r="AI998" s="355">
        <v>0.001</v>
      </c>
      <c r="AJ998" s="52" t="s">
        <v>127</v>
      </c>
      <c r="AK998" s="147" t="s">
        <v>179</v>
      </c>
      <c r="AL998" s="52" t="s">
        <v>129</v>
      </c>
      <c r="AM998" s="60"/>
      <c r="AN998" s="144">
        <v>183.0</v>
      </c>
      <c r="AO998" s="1266" t="s">
        <v>5947</v>
      </c>
      <c r="AP998" s="147" t="s">
        <v>162</v>
      </c>
      <c r="AQ998" s="147" t="s">
        <v>5428</v>
      </c>
      <c r="AR998" s="144">
        <v>0.004</v>
      </c>
      <c r="AS998" s="147" t="s">
        <v>164</v>
      </c>
      <c r="AT998" s="147" t="s">
        <v>179</v>
      </c>
      <c r="AU998" s="147" t="s">
        <v>129</v>
      </c>
      <c r="AV998" s="303" t="s">
        <v>5429</v>
      </c>
      <c r="AW998" s="147" t="s">
        <v>134</v>
      </c>
      <c r="AY998" s="142" t="s">
        <v>244</v>
      </c>
      <c r="BA998" s="64"/>
      <c r="BB998" s="64"/>
      <c r="BC998" s="64"/>
      <c r="BD998" s="64"/>
      <c r="BE998" s="64"/>
      <c r="BF998" s="64"/>
      <c r="BG998" s="64"/>
      <c r="BH998" s="64"/>
      <c r="BI998" s="64"/>
      <c r="BJ998" s="64"/>
      <c r="BK998" s="64"/>
      <c r="BL998" s="64"/>
      <c r="BM998" s="64"/>
      <c r="BN998" s="64"/>
      <c r="BO998" s="64"/>
      <c r="BP998" s="64"/>
      <c r="BQ998" s="64"/>
      <c r="BR998" s="64"/>
      <c r="BS998" s="64"/>
      <c r="BT998" s="64"/>
      <c r="BU998" s="64"/>
      <c r="BV998" s="64"/>
      <c r="BW998" s="64"/>
      <c r="BX998" s="64"/>
      <c r="BY998" s="64"/>
      <c r="BZ998" s="64"/>
      <c r="CA998" s="64"/>
      <c r="CB998" s="64"/>
      <c r="CC998" s="64"/>
      <c r="CD998" s="64"/>
      <c r="CE998" s="64"/>
      <c r="CF998" s="64"/>
      <c r="CG998" s="64"/>
      <c r="CH998" s="64"/>
      <c r="CI998" s="64"/>
      <c r="CJ998" s="64"/>
      <c r="CK998" s="64"/>
      <c r="CL998" s="64"/>
      <c r="CM998" s="64"/>
      <c r="CN998" s="64"/>
      <c r="CO998" s="64"/>
      <c r="CP998" s="64"/>
      <c r="CQ998" s="64"/>
      <c r="CR998" s="64"/>
      <c r="CS998" s="64"/>
      <c r="CT998" s="64"/>
      <c r="CU998" s="64"/>
      <c r="CV998" s="64"/>
      <c r="CW998" s="64"/>
      <c r="CX998" s="64"/>
      <c r="CY998" s="64"/>
      <c r="CZ998" s="64"/>
      <c r="DA998" s="64"/>
      <c r="DB998" s="64"/>
      <c r="DC998" s="64"/>
      <c r="DD998" s="64"/>
      <c r="DE998" s="64"/>
      <c r="DF998" s="64"/>
      <c r="DG998" s="64"/>
    </row>
    <row r="999">
      <c r="A999" s="314" t="s">
        <v>5350</v>
      </c>
      <c r="B999" s="136" t="s">
        <v>107</v>
      </c>
      <c r="C999" s="41" t="s">
        <v>243</v>
      </c>
      <c r="E999" s="115" t="s">
        <v>5418</v>
      </c>
      <c r="F999" s="147" t="s">
        <v>5950</v>
      </c>
      <c r="G999" s="1247" t="s">
        <v>244</v>
      </c>
      <c r="H999" s="140">
        <v>45331.0</v>
      </c>
      <c r="I999" s="140">
        <v>45688.0</v>
      </c>
      <c r="J999" s="60" t="s">
        <v>5935</v>
      </c>
      <c r="K999" s="60" t="s">
        <v>5936</v>
      </c>
      <c r="L999" s="147" t="s">
        <v>5421</v>
      </c>
      <c r="M999" s="147" t="s">
        <v>5422</v>
      </c>
      <c r="N999" s="115">
        <v>1.0</v>
      </c>
      <c r="O999" s="147" t="str">
        <f t="shared" si="53"/>
        <v>10.1111--j.1475-4975.2007.00158.x.pdf</v>
      </c>
      <c r="P999" s="48" t="str">
        <f t="array" ref="P999">HYPERLINK(INDEX('File Links'!B:B, MATCH(O999, 'File Links'!C:C, 0)))
</f>
        <v>https://drive.google.com/file/d/1Mbtg5W4r7YUV6SqGN7Y6QssV1kBq9eYn/view?usp=drivesdk</v>
      </c>
      <c r="Q999" s="1249" t="s">
        <v>5329</v>
      </c>
      <c r="R999" s="303" t="s">
        <v>5330</v>
      </c>
      <c r="S999" s="303" t="s">
        <v>5331</v>
      </c>
      <c r="T999" s="144">
        <v>15.0</v>
      </c>
      <c r="U999" s="847" t="s">
        <v>5332</v>
      </c>
      <c r="V999" s="1212" t="s">
        <v>5333</v>
      </c>
      <c r="W999" s="50" t="str">
        <f t="array" ref="W999">HYPERLINK(INDEX('File Links'!B:B, MATCH(U999, 'File Links'!C:C, 0)))
</f>
        <v>https://drive.google.com/file/d/1hjI3aqifdfXjWhQAlvKCKKtvjuncAn5M/view?usp=drivesdk</v>
      </c>
      <c r="X999" s="60"/>
      <c r="Y999" s="147" t="s">
        <v>156</v>
      </c>
      <c r="Z999" s="115" t="s">
        <v>165</v>
      </c>
      <c r="AA999" s="147" t="s">
        <v>5951</v>
      </c>
      <c r="AB999" s="60"/>
      <c r="AC999" s="147" t="s">
        <v>5952</v>
      </c>
      <c r="AD999" s="147" t="s">
        <v>5425</v>
      </c>
      <c r="AE999" s="144">
        <v>307.0</v>
      </c>
      <c r="AF999" s="147" t="s">
        <v>5953</v>
      </c>
      <c r="AG999" s="147" t="s">
        <v>162</v>
      </c>
      <c r="AH999" s="330" t="s">
        <v>624</v>
      </c>
      <c r="AI999" s="355">
        <v>0.001</v>
      </c>
      <c r="AJ999" s="52" t="s">
        <v>127</v>
      </c>
      <c r="AK999" s="147" t="s">
        <v>179</v>
      </c>
      <c r="AL999" s="52" t="s">
        <v>129</v>
      </c>
      <c r="AM999" s="60"/>
      <c r="AN999" s="144">
        <v>183.0</v>
      </c>
      <c r="AO999" s="1266" t="s">
        <v>5954</v>
      </c>
      <c r="AP999" s="147" t="s">
        <v>162</v>
      </c>
      <c r="AQ999" s="147" t="s">
        <v>5428</v>
      </c>
      <c r="AR999" s="144">
        <v>0.001</v>
      </c>
      <c r="AS999" s="147" t="s">
        <v>127</v>
      </c>
      <c r="AT999" s="147" t="s">
        <v>179</v>
      </c>
      <c r="AU999" s="147" t="s">
        <v>129</v>
      </c>
      <c r="AV999" s="1263" t="s">
        <v>5955</v>
      </c>
      <c r="AW999" s="147" t="s">
        <v>134</v>
      </c>
      <c r="AY999" s="142" t="s">
        <v>244</v>
      </c>
      <c r="BA999" s="64"/>
      <c r="BB999" s="64"/>
      <c r="BC999" s="64"/>
      <c r="BD999" s="64"/>
      <c r="BE999" s="64"/>
      <c r="BF999" s="64"/>
      <c r="BG999" s="64"/>
      <c r="BH999" s="64"/>
      <c r="BI999" s="64"/>
      <c r="BJ999" s="64"/>
      <c r="BK999" s="64"/>
      <c r="BL999" s="64"/>
      <c r="BM999" s="64"/>
      <c r="BN999" s="64"/>
      <c r="BO999" s="64"/>
      <c r="BP999" s="64"/>
      <c r="BQ999" s="64"/>
      <c r="BR999" s="64"/>
      <c r="BS999" s="64"/>
      <c r="BT999" s="64"/>
      <c r="BU999" s="64"/>
      <c r="BV999" s="64"/>
      <c r="BW999" s="64"/>
      <c r="BX999" s="64"/>
      <c r="BY999" s="64"/>
      <c r="BZ999" s="64"/>
      <c r="CA999" s="64"/>
      <c r="CB999" s="64"/>
      <c r="CC999" s="64"/>
      <c r="CD999" s="64"/>
      <c r="CE999" s="64"/>
      <c r="CF999" s="64"/>
      <c r="CG999" s="64"/>
      <c r="CH999" s="64"/>
      <c r="CI999" s="64"/>
      <c r="CJ999" s="64"/>
      <c r="CK999" s="64"/>
      <c r="CL999" s="64"/>
      <c r="CM999" s="64"/>
      <c r="CN999" s="64"/>
      <c r="CO999" s="64"/>
      <c r="CP999" s="64"/>
      <c r="CQ999" s="64"/>
      <c r="CR999" s="64"/>
      <c r="CS999" s="64"/>
      <c r="CT999" s="64"/>
      <c r="CU999" s="64"/>
      <c r="CV999" s="64"/>
      <c r="CW999" s="64"/>
      <c r="CX999" s="64"/>
      <c r="CY999" s="64"/>
      <c r="CZ999" s="64"/>
      <c r="DA999" s="64"/>
      <c r="DB999" s="64"/>
      <c r="DC999" s="64"/>
      <c r="DD999" s="64"/>
      <c r="DE999" s="64"/>
      <c r="DF999" s="64"/>
      <c r="DG999" s="64"/>
    </row>
    <row r="1000">
      <c r="A1000" s="142" t="s">
        <v>106</v>
      </c>
      <c r="B1000" s="136" t="s">
        <v>107</v>
      </c>
      <c r="C1000" s="41" t="s">
        <v>3672</v>
      </c>
      <c r="E1000" s="115" t="s">
        <v>5418</v>
      </c>
      <c r="F1000" s="139" t="s">
        <v>5950</v>
      </c>
      <c r="G1000" s="1247" t="s">
        <v>3673</v>
      </c>
      <c r="H1000" s="140">
        <v>45670.0</v>
      </c>
      <c r="I1000" s="140">
        <v>45688.0</v>
      </c>
      <c r="J1000" s="60"/>
      <c r="K1000" s="60" t="s">
        <v>5936</v>
      </c>
      <c r="L1000" s="147" t="s">
        <v>5421</v>
      </c>
      <c r="M1000" s="147" t="s">
        <v>5422</v>
      </c>
      <c r="N1000" s="115">
        <v>1.0</v>
      </c>
      <c r="O1000" s="147" t="str">
        <f t="shared" si="53"/>
        <v>10.1111--j.1475-4975.2007.00158.x.pdf</v>
      </c>
      <c r="P1000" s="48" t="str">
        <f t="array" ref="P1000">HYPERLINK(INDEX('File Links'!B:B, MATCH(O1000, 'File Links'!C:C, 0)))
</f>
        <v>https://drive.google.com/file/d/1Mbtg5W4r7YUV6SqGN7Y6QssV1kBq9eYn/view?usp=drivesdk</v>
      </c>
      <c r="Q1000" s="1249" t="s">
        <v>5329</v>
      </c>
      <c r="R1000" s="303" t="s">
        <v>5330</v>
      </c>
      <c r="S1000" s="303" t="s">
        <v>5331</v>
      </c>
      <c r="T1000" s="144">
        <v>15.0</v>
      </c>
      <c r="U1000" s="847" t="s">
        <v>5332</v>
      </c>
      <c r="V1000" s="1212" t="s">
        <v>5333</v>
      </c>
      <c r="W1000" s="50" t="str">
        <f t="array" ref="W1000">HYPERLINK(INDEX('File Links'!B:B, MATCH(U1000, 'File Links'!C:C, 0)))
</f>
        <v>https://drive.google.com/file/d/1hjI3aqifdfXjWhQAlvKCKKtvjuncAn5M/view?usp=drivesdk</v>
      </c>
      <c r="X1000" s="60"/>
      <c r="Y1000" s="147" t="s">
        <v>156</v>
      </c>
      <c r="Z1000" s="115" t="s">
        <v>165</v>
      </c>
      <c r="AA1000" s="147" t="s">
        <v>5423</v>
      </c>
      <c r="AB1000" s="60"/>
      <c r="AC1000" s="147" t="s">
        <v>5956</v>
      </c>
      <c r="AD1000" s="147" t="s">
        <v>5425</v>
      </c>
      <c r="AE1000" s="144">
        <v>307.0</v>
      </c>
      <c r="AF1000" s="147" t="s">
        <v>5953</v>
      </c>
      <c r="AG1000" s="147" t="s">
        <v>162</v>
      </c>
      <c r="AH1000" s="330" t="s">
        <v>624</v>
      </c>
      <c r="AI1000" s="355">
        <v>0.001</v>
      </c>
      <c r="AJ1000" s="52" t="s">
        <v>127</v>
      </c>
      <c r="AK1000" s="147" t="s">
        <v>179</v>
      </c>
      <c r="AL1000" s="52" t="s">
        <v>129</v>
      </c>
      <c r="AM1000" s="60"/>
      <c r="AN1000" s="144">
        <v>183.0</v>
      </c>
      <c r="AO1000" s="1266" t="s">
        <v>5954</v>
      </c>
      <c r="AP1000" s="147" t="s">
        <v>162</v>
      </c>
      <c r="AQ1000" s="147" t="s">
        <v>5428</v>
      </c>
      <c r="AR1000" s="144">
        <v>0.001</v>
      </c>
      <c r="AS1000" s="147" t="s">
        <v>127</v>
      </c>
      <c r="AT1000" s="147" t="s">
        <v>179</v>
      </c>
      <c r="AU1000" s="147" t="s">
        <v>129</v>
      </c>
      <c r="AV1000" s="303" t="s">
        <v>5429</v>
      </c>
      <c r="AW1000" s="147" t="s">
        <v>134</v>
      </c>
      <c r="AY1000" s="142" t="s">
        <v>244</v>
      </c>
      <c r="BA1000" s="64"/>
      <c r="BB1000" s="64"/>
      <c r="BC1000" s="64"/>
      <c r="BD1000" s="64"/>
      <c r="BE1000" s="64"/>
      <c r="BF1000" s="64"/>
      <c r="BG1000" s="64"/>
      <c r="BH1000" s="64"/>
      <c r="BI1000" s="64"/>
      <c r="BJ1000" s="64"/>
      <c r="BK1000" s="64"/>
      <c r="BL1000" s="64"/>
      <c r="BM1000" s="64"/>
      <c r="BN1000" s="64"/>
      <c r="BO1000" s="64"/>
      <c r="BP1000" s="64"/>
      <c r="BQ1000" s="64"/>
      <c r="BR1000" s="64"/>
      <c r="BS1000" s="64"/>
      <c r="BT1000" s="64"/>
      <c r="BU1000" s="64"/>
      <c r="BV1000" s="64"/>
      <c r="BW1000" s="64"/>
      <c r="BX1000" s="64"/>
      <c r="BY1000" s="64"/>
      <c r="BZ1000" s="64"/>
      <c r="CA1000" s="64"/>
      <c r="CB1000" s="64"/>
      <c r="CC1000" s="64"/>
      <c r="CD1000" s="64"/>
      <c r="CE1000" s="64"/>
      <c r="CF1000" s="64"/>
      <c r="CG1000" s="64"/>
      <c r="CH1000" s="64"/>
      <c r="CI1000" s="64"/>
      <c r="CJ1000" s="64"/>
      <c r="CK1000" s="64"/>
      <c r="CL1000" s="64"/>
      <c r="CM1000" s="64"/>
      <c r="CN1000" s="64"/>
      <c r="CO1000" s="64"/>
      <c r="CP1000" s="64"/>
      <c r="CQ1000" s="64"/>
      <c r="CR1000" s="64"/>
      <c r="CS1000" s="64"/>
      <c r="CT1000" s="64"/>
      <c r="CU1000" s="64"/>
      <c r="CV1000" s="64"/>
      <c r="CW1000" s="64"/>
      <c r="CX1000" s="64"/>
      <c r="CY1000" s="64"/>
      <c r="CZ1000" s="64"/>
      <c r="DA1000" s="64"/>
      <c r="DB1000" s="64"/>
      <c r="DC1000" s="64"/>
      <c r="DD1000" s="64"/>
      <c r="DE1000" s="64"/>
      <c r="DF1000" s="64"/>
      <c r="DG1000" s="64"/>
    </row>
    <row r="1001">
      <c r="A1001" s="314" t="s">
        <v>5350</v>
      </c>
      <c r="B1001" s="136" t="s">
        <v>107</v>
      </c>
      <c r="C1001" s="41" t="s">
        <v>3672</v>
      </c>
      <c r="E1001" s="115" t="s">
        <v>5418</v>
      </c>
      <c r="F1001" s="139" t="s">
        <v>5957</v>
      </c>
      <c r="G1001" s="1247" t="s">
        <v>3673</v>
      </c>
      <c r="H1001" s="140">
        <v>45670.0</v>
      </c>
      <c r="I1001" s="140">
        <v>45688.0</v>
      </c>
      <c r="J1001" s="60"/>
      <c r="K1001" s="60" t="s">
        <v>5936</v>
      </c>
      <c r="L1001" s="147" t="s">
        <v>5421</v>
      </c>
      <c r="M1001" s="147" t="s">
        <v>5422</v>
      </c>
      <c r="N1001" s="115">
        <v>1.0</v>
      </c>
      <c r="O1001" s="147" t="str">
        <f t="shared" si="53"/>
        <v>10.1111--j.1475-4975.2007.00158.x.pdf</v>
      </c>
      <c r="P1001" s="48" t="str">
        <f t="array" ref="P1001">HYPERLINK(INDEX('File Links'!B:B, MATCH(O1001, 'File Links'!C:C, 0)))
</f>
        <v>https://drive.google.com/file/d/1Mbtg5W4r7YUV6SqGN7Y6QssV1kBq9eYn/view?usp=drivesdk</v>
      </c>
      <c r="Q1001" s="1249" t="s">
        <v>5329</v>
      </c>
      <c r="R1001" s="303" t="s">
        <v>5330</v>
      </c>
      <c r="S1001" s="303" t="s">
        <v>5331</v>
      </c>
      <c r="T1001" s="144">
        <v>15.0</v>
      </c>
      <c r="U1001" s="847" t="s">
        <v>5332</v>
      </c>
      <c r="V1001" s="1212" t="s">
        <v>5333</v>
      </c>
      <c r="W1001" s="50" t="str">
        <f t="array" ref="W1001">HYPERLINK(INDEX('File Links'!B:B, MATCH(U1001, 'File Links'!C:C, 0)))
</f>
        <v>https://drive.google.com/file/d/1hjI3aqifdfXjWhQAlvKCKKtvjuncAn5M/view?usp=drivesdk</v>
      </c>
      <c r="X1001" s="60"/>
      <c r="Y1001" s="147" t="s">
        <v>156</v>
      </c>
      <c r="Z1001" s="115" t="s">
        <v>165</v>
      </c>
      <c r="AA1001" s="147" t="s">
        <v>5423</v>
      </c>
      <c r="AB1001" s="60"/>
      <c r="AC1001" s="147" t="s">
        <v>5958</v>
      </c>
      <c r="AD1001" s="147" t="s">
        <v>5425</v>
      </c>
      <c r="AE1001" s="144">
        <v>307.0</v>
      </c>
      <c r="AF1001" s="147" t="s">
        <v>5959</v>
      </c>
      <c r="AG1001" s="147" t="s">
        <v>162</v>
      </c>
      <c r="AH1001" s="330" t="s">
        <v>624</v>
      </c>
      <c r="AI1001" s="355">
        <v>0.001</v>
      </c>
      <c r="AJ1001" s="52" t="s">
        <v>127</v>
      </c>
      <c r="AK1001" s="147" t="s">
        <v>179</v>
      </c>
      <c r="AL1001" s="52" t="s">
        <v>129</v>
      </c>
      <c r="AM1001" s="60"/>
      <c r="AN1001" s="144">
        <v>183.0</v>
      </c>
      <c r="AO1001" s="1266" t="s">
        <v>5960</v>
      </c>
      <c r="AP1001" s="147" t="s">
        <v>162</v>
      </c>
      <c r="AQ1001" s="147" t="s">
        <v>5428</v>
      </c>
      <c r="AR1001" s="144">
        <v>0.001</v>
      </c>
      <c r="AS1001" s="147" t="s">
        <v>127</v>
      </c>
      <c r="AT1001" s="147" t="s">
        <v>179</v>
      </c>
      <c r="AU1001" s="147" t="s">
        <v>129</v>
      </c>
      <c r="AV1001" s="303" t="s">
        <v>5429</v>
      </c>
      <c r="AW1001" s="147" t="s">
        <v>134</v>
      </c>
      <c r="AY1001" s="142" t="s">
        <v>244</v>
      </c>
      <c r="BA1001" s="64"/>
      <c r="BB1001" s="64"/>
      <c r="BC1001" s="64"/>
      <c r="BD1001" s="64"/>
      <c r="BE1001" s="64"/>
      <c r="BF1001" s="64"/>
      <c r="BG1001" s="64"/>
      <c r="BH1001" s="64"/>
      <c r="BI1001" s="64"/>
      <c r="BJ1001" s="64"/>
      <c r="BK1001" s="64"/>
      <c r="BL1001" s="64"/>
      <c r="BM1001" s="64"/>
      <c r="BN1001" s="64"/>
      <c r="BO1001" s="64"/>
      <c r="BP1001" s="64"/>
      <c r="BQ1001" s="64"/>
      <c r="BR1001" s="64"/>
      <c r="BS1001" s="64"/>
      <c r="BT1001" s="64"/>
      <c r="BU1001" s="64"/>
      <c r="BV1001" s="64"/>
      <c r="BW1001" s="64"/>
      <c r="BX1001" s="64"/>
      <c r="BY1001" s="64"/>
      <c r="BZ1001" s="64"/>
      <c r="CA1001" s="64"/>
      <c r="CB1001" s="64"/>
      <c r="CC1001" s="64"/>
      <c r="CD1001" s="64"/>
      <c r="CE1001" s="64"/>
      <c r="CF1001" s="64"/>
      <c r="CG1001" s="64"/>
      <c r="CH1001" s="64"/>
      <c r="CI1001" s="64"/>
      <c r="CJ1001" s="64"/>
      <c r="CK1001" s="64"/>
      <c r="CL1001" s="64"/>
      <c r="CM1001" s="64"/>
      <c r="CN1001" s="64"/>
      <c r="CO1001" s="64"/>
      <c r="CP1001" s="64"/>
      <c r="CQ1001" s="64"/>
      <c r="CR1001" s="64"/>
      <c r="CS1001" s="64"/>
      <c r="CT1001" s="64"/>
      <c r="CU1001" s="64"/>
      <c r="CV1001" s="64"/>
      <c r="CW1001" s="64"/>
      <c r="CX1001" s="64"/>
      <c r="CY1001" s="64"/>
      <c r="CZ1001" s="64"/>
      <c r="DA1001" s="64"/>
      <c r="DB1001" s="64"/>
      <c r="DC1001" s="64"/>
      <c r="DD1001" s="64"/>
      <c r="DE1001" s="64"/>
      <c r="DF1001" s="64"/>
      <c r="DG1001" s="64"/>
    </row>
    <row r="1002">
      <c r="A1002" s="142" t="s">
        <v>106</v>
      </c>
      <c r="B1002" s="136" t="s">
        <v>107</v>
      </c>
      <c r="C1002" s="41" t="s">
        <v>3672</v>
      </c>
      <c r="E1002" s="115" t="s">
        <v>5509</v>
      </c>
      <c r="F1002" s="139" t="s">
        <v>5961</v>
      </c>
      <c r="G1002" s="1247" t="s">
        <v>3673</v>
      </c>
      <c r="H1002" s="140">
        <v>45674.0</v>
      </c>
      <c r="I1002" s="60"/>
      <c r="J1002" s="147" t="s">
        <v>5511</v>
      </c>
      <c r="K1002" s="60" t="s">
        <v>5962</v>
      </c>
      <c r="L1002" s="147" t="s">
        <v>5513</v>
      </c>
      <c r="M1002" s="147" t="s">
        <v>5514</v>
      </c>
      <c r="N1002" s="115">
        <v>1.0</v>
      </c>
      <c r="O1002" s="147" t="str">
        <f t="shared" si="53"/>
        <v>10.5840--jphil20091061128.pdf</v>
      </c>
      <c r="P1002" s="48" t="str">
        <f t="array" ref="P1002">HYPERLINK(INDEX('File Links'!B:B, MATCH(O1002, 'File Links'!C:C, 0)))
</f>
        <v>https://drive.google.com/file/d/1iPMC-k9xrxfHtNZFhdKSSGpPAPPmY3J4/view?usp=drivesdk</v>
      </c>
      <c r="Q1002" s="1249" t="s">
        <v>5329</v>
      </c>
      <c r="R1002" s="303" t="s">
        <v>5330</v>
      </c>
      <c r="S1002" s="303" t="s">
        <v>5331</v>
      </c>
      <c r="T1002" s="144">
        <v>20.0</v>
      </c>
      <c r="U1002" s="847" t="s">
        <v>5332</v>
      </c>
      <c r="V1002" s="1212" t="s">
        <v>5333</v>
      </c>
      <c r="W1002" s="50" t="str">
        <f t="array" ref="W1002">HYPERLINK(INDEX('File Links'!B:B, MATCH(U1002, 'File Links'!C:C, 0)))
</f>
        <v>https://drive.google.com/file/d/1hjI3aqifdfXjWhQAlvKCKKtvjuncAn5M/view?usp=drivesdk</v>
      </c>
      <c r="X1002" s="60"/>
      <c r="Y1002" s="147" t="s">
        <v>156</v>
      </c>
      <c r="Z1002" s="115" t="s">
        <v>165</v>
      </c>
      <c r="AA1002" s="147" t="s">
        <v>5515</v>
      </c>
      <c r="AB1002" s="60"/>
      <c r="AC1002" s="147" t="s">
        <v>5963</v>
      </c>
      <c r="AD1002" s="144">
        <v>19.0</v>
      </c>
      <c r="AE1002" s="60"/>
      <c r="AF1002" s="60"/>
      <c r="AG1002" s="60"/>
      <c r="AH1002" s="329"/>
      <c r="AI1002" s="355">
        <v>0.001</v>
      </c>
      <c r="AJ1002" s="52" t="s">
        <v>127</v>
      </c>
      <c r="AK1002" s="147" t="s">
        <v>179</v>
      </c>
      <c r="AL1002" s="52" t="s">
        <v>129</v>
      </c>
      <c r="AM1002" s="60"/>
      <c r="AN1002" s="1265">
        <v>3413.0</v>
      </c>
      <c r="AO1002" s="1268" t="s">
        <v>5964</v>
      </c>
      <c r="AP1002" s="1268" t="s">
        <v>162</v>
      </c>
      <c r="AQ1002" s="1268" t="s">
        <v>1580</v>
      </c>
      <c r="AR1002" s="1265">
        <v>0.001</v>
      </c>
      <c r="AS1002" s="1268" t="s">
        <v>127</v>
      </c>
      <c r="AT1002" s="147" t="s">
        <v>179</v>
      </c>
      <c r="AU1002" s="147" t="s">
        <v>129</v>
      </c>
      <c r="AV1002" s="303" t="s">
        <v>5518</v>
      </c>
      <c r="AW1002" s="147" t="s">
        <v>134</v>
      </c>
      <c r="AY1002" s="142" t="s">
        <v>244</v>
      </c>
      <c r="BA1002" s="64"/>
      <c r="BB1002" s="64"/>
      <c r="BC1002" s="64"/>
      <c r="BD1002" s="64"/>
      <c r="BE1002" s="64"/>
      <c r="BF1002" s="64"/>
      <c r="BG1002" s="64"/>
      <c r="BH1002" s="64"/>
      <c r="BI1002" s="64"/>
      <c r="BJ1002" s="64"/>
      <c r="BK1002" s="64"/>
      <c r="BL1002" s="64"/>
      <c r="BM1002" s="64"/>
      <c r="BN1002" s="64"/>
      <c r="BO1002" s="64"/>
      <c r="BP1002" s="64"/>
      <c r="BQ1002" s="64"/>
      <c r="BR1002" s="64"/>
      <c r="BS1002" s="64"/>
      <c r="BT1002" s="64"/>
      <c r="BU1002" s="64"/>
      <c r="BV1002" s="64"/>
      <c r="BW1002" s="64"/>
      <c r="BX1002" s="64"/>
      <c r="BY1002" s="64"/>
      <c r="BZ1002" s="64"/>
      <c r="CA1002" s="64"/>
      <c r="CB1002" s="64"/>
      <c r="CC1002" s="64"/>
      <c r="CD1002" s="64"/>
      <c r="CE1002" s="64"/>
      <c r="CF1002" s="64"/>
      <c r="CG1002" s="64"/>
      <c r="CH1002" s="64"/>
      <c r="CI1002" s="64"/>
      <c r="CJ1002" s="64"/>
      <c r="CK1002" s="64"/>
      <c r="CL1002" s="64"/>
      <c r="CM1002" s="64"/>
      <c r="CN1002" s="64"/>
      <c r="CO1002" s="64"/>
      <c r="CP1002" s="64"/>
      <c r="CQ1002" s="64"/>
      <c r="CR1002" s="64"/>
      <c r="CS1002" s="64"/>
      <c r="CT1002" s="64"/>
      <c r="CU1002" s="64"/>
      <c r="CV1002" s="64"/>
      <c r="CW1002" s="64"/>
      <c r="CX1002" s="64"/>
      <c r="CY1002" s="64"/>
      <c r="CZ1002" s="64"/>
      <c r="DA1002" s="64"/>
      <c r="DB1002" s="64"/>
      <c r="DC1002" s="64"/>
      <c r="DD1002" s="64"/>
      <c r="DE1002" s="64"/>
      <c r="DF1002" s="64"/>
      <c r="DG1002" s="64"/>
    </row>
    <row r="1003">
      <c r="A1003" s="314" t="s">
        <v>5350</v>
      </c>
      <c r="B1003" s="136" t="s">
        <v>107</v>
      </c>
      <c r="C1003" s="41" t="s">
        <v>3672</v>
      </c>
      <c r="E1003" s="115" t="s">
        <v>5599</v>
      </c>
      <c r="F1003" s="139" t="s">
        <v>5965</v>
      </c>
      <c r="G1003" s="1247" t="s">
        <v>3673</v>
      </c>
      <c r="H1003" s="140">
        <v>45674.0</v>
      </c>
      <c r="I1003" s="140">
        <v>45691.0</v>
      </c>
      <c r="J1003" s="147" t="s">
        <v>5966</v>
      </c>
      <c r="K1003" s="60" t="s">
        <v>5967</v>
      </c>
      <c r="L1003" s="147" t="s">
        <v>5602</v>
      </c>
      <c r="M1003" s="147" t="s">
        <v>5603</v>
      </c>
      <c r="N1003" s="144">
        <v>1.0</v>
      </c>
      <c r="O1003" s="147" t="str">
        <f t="shared" si="53"/>
        <v>10.5840--jphil20111081238.pdf</v>
      </c>
      <c r="P1003" s="48" t="str">
        <f t="array" ref="P1003">HYPERLINK(INDEX('File Links'!B:B, MATCH(O1003, 'File Links'!C:C, 0)))
</f>
        <v>https://drive.google.com/file/d/1-XMlXEjoIspJ3kqVPF-O6pr1PklAU4DF/view?usp=drivesdk</v>
      </c>
      <c r="Q1003" s="1249" t="s">
        <v>5329</v>
      </c>
      <c r="R1003" s="303" t="s">
        <v>5330</v>
      </c>
      <c r="S1003" s="303" t="s">
        <v>5331</v>
      </c>
      <c r="T1003" s="144">
        <v>26.0</v>
      </c>
      <c r="U1003" s="847" t="s">
        <v>5332</v>
      </c>
      <c r="V1003" s="1212" t="s">
        <v>5333</v>
      </c>
      <c r="W1003" s="50" t="str">
        <f t="array" ref="W1003">HYPERLINK(INDEX('File Links'!B:B, MATCH(U1003, 'File Links'!C:C, 0)))
</f>
        <v>https://drive.google.com/file/d/1hjI3aqifdfXjWhQAlvKCKKtvjuncAn5M/view?usp=drivesdk</v>
      </c>
      <c r="X1003" s="60"/>
      <c r="Y1003" s="147" t="s">
        <v>156</v>
      </c>
      <c r="Z1003" s="115" t="s">
        <v>165</v>
      </c>
      <c r="AA1003" s="147" t="s">
        <v>5604</v>
      </c>
      <c r="AB1003" s="60"/>
      <c r="AC1003" s="147" t="s">
        <v>5968</v>
      </c>
      <c r="AD1003" s="147" t="s">
        <v>5606</v>
      </c>
      <c r="AE1003" s="1282">
        <v>217.0</v>
      </c>
      <c r="AF1003" s="1282">
        <v>11.28</v>
      </c>
      <c r="AG1003" s="1283" t="s">
        <v>1051</v>
      </c>
      <c r="AH1003" s="1284" t="s">
        <v>5969</v>
      </c>
      <c r="AI1003" s="355">
        <v>0.001</v>
      </c>
      <c r="AJ1003" s="52" t="s">
        <v>127</v>
      </c>
      <c r="AK1003" s="147" t="s">
        <v>179</v>
      </c>
      <c r="AL1003" s="52" t="s">
        <v>129</v>
      </c>
      <c r="AM1003" s="60"/>
      <c r="AN1003" s="144">
        <v>319.0</v>
      </c>
      <c r="AO1003" s="147" t="s">
        <v>5970</v>
      </c>
      <c r="AP1003" s="147" t="s">
        <v>162</v>
      </c>
      <c r="AQ1003" s="147" t="s">
        <v>629</v>
      </c>
      <c r="AR1003" s="144">
        <v>0.18</v>
      </c>
      <c r="AS1003" s="147" t="s">
        <v>164</v>
      </c>
      <c r="AT1003" s="147" t="s">
        <v>179</v>
      </c>
      <c r="AU1003" s="147" t="s">
        <v>129</v>
      </c>
      <c r="AV1003" s="303" t="s">
        <v>5608</v>
      </c>
      <c r="AW1003" s="147" t="s">
        <v>134</v>
      </c>
      <c r="AY1003" s="142" t="s">
        <v>244</v>
      </c>
      <c r="BA1003" s="64"/>
      <c r="BB1003" s="64"/>
      <c r="BC1003" s="64"/>
      <c r="BD1003" s="64"/>
      <c r="BE1003" s="64"/>
      <c r="BF1003" s="64"/>
      <c r="BG1003" s="64"/>
      <c r="BH1003" s="64"/>
      <c r="BI1003" s="64"/>
      <c r="BJ1003" s="64"/>
      <c r="BK1003" s="64"/>
      <c r="BL1003" s="64"/>
      <c r="BM1003" s="64"/>
      <c r="BN1003" s="64"/>
      <c r="BO1003" s="64"/>
      <c r="BP1003" s="64"/>
      <c r="BQ1003" s="64"/>
      <c r="BR1003" s="64"/>
      <c r="BS1003" s="64"/>
      <c r="BT1003" s="64"/>
      <c r="BU1003" s="64"/>
      <c r="BV1003" s="64"/>
      <c r="BW1003" s="64"/>
      <c r="BX1003" s="64"/>
      <c r="BY1003" s="64"/>
      <c r="BZ1003" s="64"/>
      <c r="CA1003" s="64"/>
      <c r="CB1003" s="64"/>
      <c r="CC1003" s="64"/>
      <c r="CD1003" s="64"/>
      <c r="CE1003" s="64"/>
      <c r="CF1003" s="64"/>
      <c r="CG1003" s="64"/>
      <c r="CH1003" s="64"/>
      <c r="CI1003" s="64"/>
      <c r="CJ1003" s="64"/>
      <c r="CK1003" s="64"/>
      <c r="CL1003" s="64"/>
      <c r="CM1003" s="64"/>
      <c r="CN1003" s="64"/>
      <c r="CO1003" s="64"/>
      <c r="CP1003" s="64"/>
      <c r="CQ1003" s="64"/>
      <c r="CR1003" s="64"/>
      <c r="CS1003" s="64"/>
      <c r="CT1003" s="64"/>
      <c r="CU1003" s="64"/>
      <c r="CV1003" s="64"/>
      <c r="CW1003" s="64"/>
      <c r="CX1003" s="64"/>
      <c r="CY1003" s="64"/>
      <c r="CZ1003" s="64"/>
      <c r="DA1003" s="64"/>
      <c r="DB1003" s="64"/>
      <c r="DC1003" s="64"/>
      <c r="DD1003" s="64"/>
      <c r="DE1003" s="64"/>
      <c r="DF1003" s="64"/>
      <c r="DG1003" s="64"/>
    </row>
    <row r="1004">
      <c r="A1004" s="314" t="s">
        <v>5350</v>
      </c>
      <c r="B1004" s="136" t="s">
        <v>107</v>
      </c>
      <c r="C1004" s="41" t="s">
        <v>3672</v>
      </c>
      <c r="E1004" s="115" t="s">
        <v>5599</v>
      </c>
      <c r="F1004" s="139" t="s">
        <v>5971</v>
      </c>
      <c r="G1004" s="1247" t="s">
        <v>3673</v>
      </c>
      <c r="H1004" s="140">
        <v>45674.0</v>
      </c>
      <c r="I1004" s="140">
        <v>45691.0</v>
      </c>
      <c r="J1004" s="453" t="s">
        <v>5966</v>
      </c>
      <c r="K1004" s="60" t="s">
        <v>5967</v>
      </c>
      <c r="L1004" s="147" t="s">
        <v>5602</v>
      </c>
      <c r="M1004" s="147" t="s">
        <v>5603</v>
      </c>
      <c r="N1004" s="144">
        <v>1.0</v>
      </c>
      <c r="O1004" s="147" t="str">
        <f t="shared" si="53"/>
        <v>10.5840--jphil20111081238.pdf</v>
      </c>
      <c r="P1004" s="48" t="str">
        <f t="array" ref="P1004">HYPERLINK(INDEX('File Links'!B:B, MATCH(O1004, 'File Links'!C:C, 0)))
</f>
        <v>https://drive.google.com/file/d/1-XMlXEjoIspJ3kqVPF-O6pr1PklAU4DF/view?usp=drivesdk</v>
      </c>
      <c r="Q1004" s="1249" t="s">
        <v>5329</v>
      </c>
      <c r="R1004" s="303" t="s">
        <v>5330</v>
      </c>
      <c r="S1004" s="303" t="s">
        <v>5331</v>
      </c>
      <c r="T1004" s="144">
        <v>26.0</v>
      </c>
      <c r="U1004" s="847" t="s">
        <v>5332</v>
      </c>
      <c r="V1004" s="1212" t="s">
        <v>5333</v>
      </c>
      <c r="W1004" s="50" t="str">
        <f t="array" ref="W1004">HYPERLINK(INDEX('File Links'!B:B, MATCH(U1004, 'File Links'!C:C, 0)))
</f>
        <v>https://drive.google.com/file/d/1hjI3aqifdfXjWhQAlvKCKKtvjuncAn5M/view?usp=drivesdk</v>
      </c>
      <c r="X1004" s="60"/>
      <c r="Y1004" s="147" t="s">
        <v>156</v>
      </c>
      <c r="Z1004" s="115" t="s">
        <v>165</v>
      </c>
      <c r="AA1004" s="147" t="s">
        <v>5604</v>
      </c>
      <c r="AB1004" s="60"/>
      <c r="AC1004" s="147" t="s">
        <v>5972</v>
      </c>
      <c r="AD1004" s="147" t="s">
        <v>5606</v>
      </c>
      <c r="AE1004" s="1282">
        <v>217.0</v>
      </c>
      <c r="AF1004" s="1282">
        <v>23.92</v>
      </c>
      <c r="AG1004" s="1283" t="s">
        <v>1051</v>
      </c>
      <c r="AH1004" s="1284" t="s">
        <v>5969</v>
      </c>
      <c r="AI1004" s="355">
        <v>0.001</v>
      </c>
      <c r="AJ1004" s="52" t="s">
        <v>127</v>
      </c>
      <c r="AK1004" s="147" t="s">
        <v>179</v>
      </c>
      <c r="AL1004" s="52" t="s">
        <v>129</v>
      </c>
      <c r="AM1004" s="60"/>
      <c r="AN1004" s="144">
        <v>319.0</v>
      </c>
      <c r="AO1004" s="147" t="s">
        <v>5973</v>
      </c>
      <c r="AP1004" s="147" t="s">
        <v>162</v>
      </c>
      <c r="AQ1004" s="147" t="s">
        <v>629</v>
      </c>
      <c r="AR1004" s="144">
        <v>0.001</v>
      </c>
      <c r="AS1004" s="147" t="s">
        <v>127</v>
      </c>
      <c r="AT1004" s="147" t="s">
        <v>179</v>
      </c>
      <c r="AU1004" s="147" t="s">
        <v>129</v>
      </c>
      <c r="AV1004" s="303" t="s">
        <v>5608</v>
      </c>
      <c r="AW1004" s="147" t="s">
        <v>134</v>
      </c>
      <c r="AY1004" s="142" t="s">
        <v>244</v>
      </c>
      <c r="BA1004" s="64"/>
      <c r="BB1004" s="64"/>
      <c r="BC1004" s="64"/>
      <c r="BD1004" s="64"/>
      <c r="BE1004" s="64"/>
      <c r="BF1004" s="64"/>
      <c r="BG1004" s="64"/>
      <c r="BH1004" s="64"/>
      <c r="BI1004" s="64"/>
      <c r="BJ1004" s="64"/>
      <c r="BK1004" s="64"/>
      <c r="BL1004" s="64"/>
      <c r="BM1004" s="64"/>
      <c r="BN1004" s="64"/>
      <c r="BO1004" s="64"/>
      <c r="BP1004" s="64"/>
      <c r="BQ1004" s="64"/>
      <c r="BR1004" s="64"/>
      <c r="BS1004" s="64"/>
      <c r="BT1004" s="64"/>
      <c r="BU1004" s="64"/>
      <c r="BV1004" s="64"/>
      <c r="BW1004" s="64"/>
      <c r="BX1004" s="64"/>
      <c r="BY1004" s="64"/>
      <c r="BZ1004" s="64"/>
      <c r="CA1004" s="64"/>
      <c r="CB1004" s="64"/>
      <c r="CC1004" s="64"/>
      <c r="CD1004" s="64"/>
      <c r="CE1004" s="64"/>
      <c r="CF1004" s="64"/>
      <c r="CG1004" s="64"/>
      <c r="CH1004" s="64"/>
      <c r="CI1004" s="64"/>
      <c r="CJ1004" s="64"/>
      <c r="CK1004" s="64"/>
      <c r="CL1004" s="64"/>
      <c r="CM1004" s="64"/>
      <c r="CN1004" s="64"/>
      <c r="CO1004" s="64"/>
      <c r="CP1004" s="64"/>
      <c r="CQ1004" s="64"/>
      <c r="CR1004" s="64"/>
      <c r="CS1004" s="64"/>
      <c r="CT1004" s="64"/>
      <c r="CU1004" s="64"/>
      <c r="CV1004" s="64"/>
      <c r="CW1004" s="64"/>
      <c r="CX1004" s="64"/>
      <c r="CY1004" s="64"/>
      <c r="CZ1004" s="64"/>
      <c r="DA1004" s="64"/>
      <c r="DB1004" s="64"/>
      <c r="DC1004" s="64"/>
      <c r="DD1004" s="64"/>
      <c r="DE1004" s="64"/>
      <c r="DF1004" s="64"/>
      <c r="DG1004" s="64"/>
    </row>
    <row r="1005">
      <c r="A1005" s="60" t="s">
        <v>143</v>
      </c>
      <c r="B1005" s="136" t="s">
        <v>107</v>
      </c>
      <c r="C1005" s="41" t="s">
        <v>3672</v>
      </c>
      <c r="E1005" s="115" t="s">
        <v>5599</v>
      </c>
      <c r="F1005" s="139" t="s">
        <v>5974</v>
      </c>
      <c r="G1005" s="1247" t="s">
        <v>3673</v>
      </c>
      <c r="H1005" s="140">
        <v>45674.0</v>
      </c>
      <c r="I1005" s="140">
        <v>45691.0</v>
      </c>
      <c r="J1005" s="147" t="s">
        <v>5966</v>
      </c>
      <c r="K1005" s="60" t="s">
        <v>5967</v>
      </c>
      <c r="L1005" s="147" t="s">
        <v>5602</v>
      </c>
      <c r="M1005" s="147" t="s">
        <v>5603</v>
      </c>
      <c r="N1005" s="144">
        <v>1.0</v>
      </c>
      <c r="O1005" s="147" t="str">
        <f t="shared" si="53"/>
        <v>10.5840--jphil20111081238.pdf</v>
      </c>
      <c r="P1005" s="48" t="str">
        <f t="array" ref="P1005">HYPERLINK(INDEX('File Links'!B:B, MATCH(O1005, 'File Links'!C:C, 0)))
</f>
        <v>https://drive.google.com/file/d/1-XMlXEjoIspJ3kqVPF-O6pr1PklAU4DF/view?usp=drivesdk</v>
      </c>
      <c r="Q1005" s="1249" t="s">
        <v>5329</v>
      </c>
      <c r="R1005" s="303" t="s">
        <v>5330</v>
      </c>
      <c r="S1005" s="303" t="s">
        <v>5331</v>
      </c>
      <c r="T1005" s="144">
        <v>26.0</v>
      </c>
      <c r="U1005" s="847" t="s">
        <v>5332</v>
      </c>
      <c r="V1005" s="1212" t="s">
        <v>5333</v>
      </c>
      <c r="W1005" s="50" t="str">
        <f t="array" ref="W1005">HYPERLINK(INDEX('File Links'!B:B, MATCH(U1005, 'File Links'!C:C, 0)))
</f>
        <v>https://drive.google.com/file/d/1hjI3aqifdfXjWhQAlvKCKKtvjuncAn5M/view?usp=drivesdk</v>
      </c>
      <c r="X1005" s="60"/>
      <c r="Y1005" s="147" t="s">
        <v>156</v>
      </c>
      <c r="Z1005" s="115" t="s">
        <v>165</v>
      </c>
      <c r="AA1005" s="147" t="s">
        <v>5604</v>
      </c>
      <c r="AB1005" s="60"/>
      <c r="AC1005" s="147" t="s">
        <v>5975</v>
      </c>
      <c r="AD1005" s="147" t="s">
        <v>5606</v>
      </c>
      <c r="AE1005" s="1282">
        <v>217.0</v>
      </c>
      <c r="AF1005" s="1282">
        <v>48.59</v>
      </c>
      <c r="AG1005" s="1283" t="s">
        <v>1051</v>
      </c>
      <c r="AH1005" s="1284" t="s">
        <v>5969</v>
      </c>
      <c r="AI1005" s="355">
        <v>1.0E-4</v>
      </c>
      <c r="AJ1005" s="52" t="s">
        <v>127</v>
      </c>
      <c r="AK1005" s="147" t="s">
        <v>179</v>
      </c>
      <c r="AL1005" s="52" t="s">
        <v>129</v>
      </c>
      <c r="AM1005" s="60"/>
      <c r="AN1005" s="144">
        <v>319.0</v>
      </c>
      <c r="AO1005" s="147" t="s">
        <v>5976</v>
      </c>
      <c r="AP1005" s="147" t="s">
        <v>162</v>
      </c>
      <c r="AQ1005" s="147" t="s">
        <v>629</v>
      </c>
      <c r="AR1005" s="144">
        <v>0.001</v>
      </c>
      <c r="AS1005" s="147" t="s">
        <v>127</v>
      </c>
      <c r="AT1005" s="147" t="s">
        <v>179</v>
      </c>
      <c r="AU1005" s="147" t="s">
        <v>129</v>
      </c>
      <c r="AV1005" s="303" t="s">
        <v>5608</v>
      </c>
      <c r="AW1005" s="147" t="s">
        <v>134</v>
      </c>
      <c r="AY1005" s="142" t="s">
        <v>244</v>
      </c>
      <c r="BA1005" s="64"/>
      <c r="BB1005" s="64"/>
      <c r="BC1005" s="64"/>
      <c r="BD1005" s="64"/>
      <c r="BE1005" s="64"/>
      <c r="BF1005" s="64"/>
      <c r="BG1005" s="64"/>
      <c r="BH1005" s="64"/>
      <c r="BI1005" s="64"/>
      <c r="BJ1005" s="64"/>
      <c r="BK1005" s="64"/>
      <c r="BL1005" s="64"/>
      <c r="BM1005" s="64"/>
      <c r="BN1005" s="64"/>
      <c r="BO1005" s="64"/>
      <c r="BP1005" s="64"/>
      <c r="BQ1005" s="64"/>
      <c r="BR1005" s="64"/>
      <c r="BS1005" s="64"/>
      <c r="BT1005" s="64"/>
      <c r="BU1005" s="64"/>
      <c r="BV1005" s="64"/>
      <c r="BW1005" s="64"/>
      <c r="BX1005" s="64"/>
      <c r="BY1005" s="64"/>
      <c r="BZ1005" s="64"/>
      <c r="CA1005" s="64"/>
      <c r="CB1005" s="64"/>
      <c r="CC1005" s="64"/>
      <c r="CD1005" s="64"/>
      <c r="CE1005" s="64"/>
      <c r="CF1005" s="64"/>
      <c r="CG1005" s="64"/>
      <c r="CH1005" s="64"/>
      <c r="CI1005" s="64"/>
      <c r="CJ1005" s="64"/>
      <c r="CK1005" s="64"/>
      <c r="CL1005" s="64"/>
      <c r="CM1005" s="64"/>
      <c r="CN1005" s="64"/>
      <c r="CO1005" s="64"/>
      <c r="CP1005" s="64"/>
      <c r="CQ1005" s="64"/>
      <c r="CR1005" s="64"/>
      <c r="CS1005" s="64"/>
      <c r="CT1005" s="64"/>
      <c r="CU1005" s="64"/>
      <c r="CV1005" s="64"/>
      <c r="CW1005" s="64"/>
      <c r="CX1005" s="64"/>
      <c r="CY1005" s="64"/>
      <c r="CZ1005" s="64"/>
      <c r="DA1005" s="64"/>
      <c r="DB1005" s="64"/>
      <c r="DC1005" s="64"/>
      <c r="DD1005" s="64"/>
      <c r="DE1005" s="64"/>
      <c r="DF1005" s="64"/>
      <c r="DG1005" s="64"/>
    </row>
    <row r="1006">
      <c r="A1006" s="60" t="s">
        <v>143</v>
      </c>
      <c r="B1006" s="136" t="s">
        <v>107</v>
      </c>
      <c r="C1006" s="41" t="s">
        <v>3672</v>
      </c>
      <c r="E1006" s="115" t="s">
        <v>5599</v>
      </c>
      <c r="F1006" s="139" t="s">
        <v>5977</v>
      </c>
      <c r="G1006" s="1247" t="s">
        <v>3673</v>
      </c>
      <c r="H1006" s="140">
        <v>45674.0</v>
      </c>
      <c r="I1006" s="140">
        <v>45691.0</v>
      </c>
      <c r="J1006" s="453" t="s">
        <v>5966</v>
      </c>
      <c r="K1006" s="60" t="s">
        <v>5967</v>
      </c>
      <c r="L1006" s="147" t="s">
        <v>5602</v>
      </c>
      <c r="M1006" s="147" t="s">
        <v>5603</v>
      </c>
      <c r="N1006" s="144">
        <v>1.0</v>
      </c>
      <c r="O1006" s="147" t="str">
        <f t="shared" si="53"/>
        <v>10.5840--jphil20111081238.pdf</v>
      </c>
      <c r="P1006" s="48" t="str">
        <f t="array" ref="P1006">HYPERLINK(INDEX('File Links'!B:B, MATCH(O1006, 'File Links'!C:C, 0)))
</f>
        <v>https://drive.google.com/file/d/1-XMlXEjoIspJ3kqVPF-O6pr1PklAU4DF/view?usp=drivesdk</v>
      </c>
      <c r="Q1006" s="1249" t="s">
        <v>5329</v>
      </c>
      <c r="R1006" s="303" t="s">
        <v>5330</v>
      </c>
      <c r="S1006" s="303" t="s">
        <v>5331</v>
      </c>
      <c r="T1006" s="144">
        <v>26.0</v>
      </c>
      <c r="U1006" s="847" t="s">
        <v>5332</v>
      </c>
      <c r="V1006" s="1212" t="s">
        <v>5333</v>
      </c>
      <c r="W1006" s="50" t="str">
        <f t="array" ref="W1006">HYPERLINK(INDEX('File Links'!B:B, MATCH(U1006, 'File Links'!C:C, 0)))
</f>
        <v>https://drive.google.com/file/d/1hjI3aqifdfXjWhQAlvKCKKtvjuncAn5M/view?usp=drivesdk</v>
      </c>
      <c r="X1006" s="60"/>
      <c r="Y1006" s="147" t="s">
        <v>156</v>
      </c>
      <c r="Z1006" s="115" t="s">
        <v>165</v>
      </c>
      <c r="AA1006" s="147" t="s">
        <v>5604</v>
      </c>
      <c r="AB1006" s="60"/>
      <c r="AC1006" s="147" t="s">
        <v>5978</v>
      </c>
      <c r="AD1006" s="147" t="s">
        <v>5606</v>
      </c>
      <c r="AE1006" s="1282">
        <v>217.0</v>
      </c>
      <c r="AF1006" s="1282">
        <v>9.59</v>
      </c>
      <c r="AG1006" s="1283" t="s">
        <v>1051</v>
      </c>
      <c r="AH1006" s="1284" t="s">
        <v>5969</v>
      </c>
      <c r="AI1006" s="355">
        <v>0.01</v>
      </c>
      <c r="AJ1006" s="52" t="s">
        <v>127</v>
      </c>
      <c r="AK1006" s="147" t="s">
        <v>179</v>
      </c>
      <c r="AL1006" s="52" t="s">
        <v>129</v>
      </c>
      <c r="AM1006" s="60"/>
      <c r="AN1006" s="144">
        <v>319.0</v>
      </c>
      <c r="AO1006" s="147" t="s">
        <v>5979</v>
      </c>
      <c r="AP1006" s="147" t="s">
        <v>162</v>
      </c>
      <c r="AQ1006" s="147" t="s">
        <v>629</v>
      </c>
      <c r="AR1006" s="144">
        <v>0.46</v>
      </c>
      <c r="AS1006" s="147" t="s">
        <v>164</v>
      </c>
      <c r="AT1006" s="147" t="s">
        <v>179</v>
      </c>
      <c r="AU1006" s="147" t="s">
        <v>129</v>
      </c>
      <c r="AV1006" s="303" t="s">
        <v>5608</v>
      </c>
      <c r="AW1006" s="147" t="s">
        <v>134</v>
      </c>
      <c r="AY1006" s="142" t="s">
        <v>244</v>
      </c>
      <c r="BA1006" s="64"/>
      <c r="BB1006" s="64"/>
      <c r="BC1006" s="64"/>
      <c r="BD1006" s="64"/>
      <c r="BE1006" s="64"/>
      <c r="BF1006" s="64"/>
      <c r="BG1006" s="64"/>
      <c r="BH1006" s="64"/>
      <c r="BI1006" s="64"/>
      <c r="BJ1006" s="64"/>
      <c r="BK1006" s="64"/>
      <c r="BL1006" s="64"/>
      <c r="BM1006" s="64"/>
      <c r="BN1006" s="64"/>
      <c r="BO1006" s="64"/>
      <c r="BP1006" s="64"/>
      <c r="BQ1006" s="64"/>
      <c r="BR1006" s="64"/>
      <c r="BS1006" s="64"/>
      <c r="BT1006" s="64"/>
      <c r="BU1006" s="64"/>
      <c r="BV1006" s="64"/>
      <c r="BW1006" s="64"/>
      <c r="BX1006" s="64"/>
      <c r="BY1006" s="64"/>
      <c r="BZ1006" s="64"/>
      <c r="CA1006" s="64"/>
      <c r="CB1006" s="64"/>
      <c r="CC1006" s="64"/>
      <c r="CD1006" s="64"/>
      <c r="CE1006" s="64"/>
      <c r="CF1006" s="64"/>
      <c r="CG1006" s="64"/>
      <c r="CH1006" s="64"/>
      <c r="CI1006" s="64"/>
      <c r="CJ1006" s="64"/>
      <c r="CK1006" s="64"/>
      <c r="CL1006" s="64"/>
      <c r="CM1006" s="64"/>
      <c r="CN1006" s="64"/>
      <c r="CO1006" s="64"/>
      <c r="CP1006" s="64"/>
      <c r="CQ1006" s="64"/>
      <c r="CR1006" s="64"/>
      <c r="CS1006" s="64"/>
      <c r="CT1006" s="64"/>
      <c r="CU1006" s="64"/>
      <c r="CV1006" s="64"/>
      <c r="CW1006" s="64"/>
      <c r="CX1006" s="64"/>
      <c r="CY1006" s="64"/>
      <c r="CZ1006" s="64"/>
      <c r="DA1006" s="64"/>
      <c r="DB1006" s="64"/>
      <c r="DC1006" s="64"/>
      <c r="DD1006" s="64"/>
      <c r="DE1006" s="64"/>
      <c r="DF1006" s="64"/>
      <c r="DG1006" s="64"/>
    </row>
    <row r="1007">
      <c r="A1007" s="142" t="s">
        <v>143</v>
      </c>
      <c r="B1007" s="136" t="s">
        <v>107</v>
      </c>
      <c r="C1007" s="41" t="s">
        <v>3672</v>
      </c>
      <c r="E1007" s="115" t="s">
        <v>5599</v>
      </c>
      <c r="F1007" s="139" t="s">
        <v>5980</v>
      </c>
      <c r="G1007" s="1247" t="s">
        <v>3673</v>
      </c>
      <c r="H1007" s="140">
        <v>45674.0</v>
      </c>
      <c r="I1007" s="140">
        <v>45691.0</v>
      </c>
      <c r="J1007" s="147" t="s">
        <v>5966</v>
      </c>
      <c r="K1007" s="60" t="s">
        <v>5967</v>
      </c>
      <c r="L1007" s="147" t="s">
        <v>5602</v>
      </c>
      <c r="M1007" s="147" t="s">
        <v>5603</v>
      </c>
      <c r="N1007" s="144">
        <v>1.0</v>
      </c>
      <c r="O1007" s="147" t="str">
        <f t="shared" si="53"/>
        <v>10.5840--jphil20111081238.pdf</v>
      </c>
      <c r="P1007" s="48" t="str">
        <f t="array" ref="P1007">HYPERLINK(INDEX('File Links'!B:B, MATCH(O1007, 'File Links'!C:C, 0)))
</f>
        <v>https://drive.google.com/file/d/1-XMlXEjoIspJ3kqVPF-O6pr1PklAU4DF/view?usp=drivesdk</v>
      </c>
      <c r="Q1007" s="1249" t="s">
        <v>5329</v>
      </c>
      <c r="R1007" s="303" t="s">
        <v>5330</v>
      </c>
      <c r="S1007" s="303" t="s">
        <v>5331</v>
      </c>
      <c r="T1007" s="144">
        <v>26.0</v>
      </c>
      <c r="U1007" s="847" t="s">
        <v>5332</v>
      </c>
      <c r="V1007" s="1212" t="s">
        <v>5333</v>
      </c>
      <c r="W1007" s="50" t="str">
        <f t="array" ref="W1007">HYPERLINK(INDEX('File Links'!B:B, MATCH(U1007, 'File Links'!C:C, 0)))
</f>
        <v>https://drive.google.com/file/d/1hjI3aqifdfXjWhQAlvKCKKtvjuncAn5M/view?usp=drivesdk</v>
      </c>
      <c r="X1007" s="60"/>
      <c r="Y1007" s="147" t="s">
        <v>156</v>
      </c>
      <c r="Z1007" s="115" t="s">
        <v>165</v>
      </c>
      <c r="AA1007" s="147" t="s">
        <v>5604</v>
      </c>
      <c r="AB1007" s="60"/>
      <c r="AC1007" s="147" t="s">
        <v>5981</v>
      </c>
      <c r="AD1007" s="147" t="s">
        <v>5606</v>
      </c>
      <c r="AE1007" s="1282">
        <v>217.0</v>
      </c>
      <c r="AF1007" s="1282">
        <v>56.28</v>
      </c>
      <c r="AG1007" s="1283" t="s">
        <v>1051</v>
      </c>
      <c r="AH1007" s="1284" t="s">
        <v>5969</v>
      </c>
      <c r="AI1007" s="355">
        <v>1.0E-4</v>
      </c>
      <c r="AJ1007" s="52" t="s">
        <v>127</v>
      </c>
      <c r="AK1007" s="147" t="s">
        <v>179</v>
      </c>
      <c r="AL1007" s="52" t="s">
        <v>129</v>
      </c>
      <c r="AM1007" s="60"/>
      <c r="AN1007" s="144">
        <v>319.0</v>
      </c>
      <c r="AO1007" s="147" t="s">
        <v>5982</v>
      </c>
      <c r="AP1007" s="147" t="s">
        <v>162</v>
      </c>
      <c r="AQ1007" s="147" t="s">
        <v>629</v>
      </c>
      <c r="AR1007" s="144">
        <v>0.001</v>
      </c>
      <c r="AS1007" s="147" t="s">
        <v>127</v>
      </c>
      <c r="AT1007" s="147" t="s">
        <v>179</v>
      </c>
      <c r="AU1007" s="147" t="s">
        <v>129</v>
      </c>
      <c r="AV1007" s="303" t="s">
        <v>5608</v>
      </c>
      <c r="AW1007" s="147" t="s">
        <v>134</v>
      </c>
      <c r="AY1007" s="142" t="s">
        <v>244</v>
      </c>
      <c r="BA1007" s="64"/>
      <c r="BB1007" s="64"/>
      <c r="BC1007" s="64"/>
      <c r="BD1007" s="64"/>
      <c r="BE1007" s="64"/>
      <c r="BF1007" s="64"/>
      <c r="BG1007" s="64"/>
      <c r="BH1007" s="64"/>
      <c r="BI1007" s="64"/>
      <c r="BJ1007" s="64"/>
      <c r="BK1007" s="64"/>
      <c r="BL1007" s="64"/>
      <c r="BM1007" s="64"/>
      <c r="BN1007" s="64"/>
      <c r="BO1007" s="64"/>
      <c r="BP1007" s="64"/>
      <c r="BQ1007" s="64"/>
      <c r="BR1007" s="64"/>
      <c r="BS1007" s="64"/>
      <c r="BT1007" s="64"/>
      <c r="BU1007" s="64"/>
      <c r="BV1007" s="64"/>
      <c r="BW1007" s="64"/>
      <c r="BX1007" s="64"/>
      <c r="BY1007" s="64"/>
      <c r="BZ1007" s="64"/>
      <c r="CA1007" s="64"/>
      <c r="CB1007" s="64"/>
      <c r="CC1007" s="64"/>
      <c r="CD1007" s="64"/>
      <c r="CE1007" s="64"/>
      <c r="CF1007" s="64"/>
      <c r="CG1007" s="64"/>
      <c r="CH1007" s="64"/>
      <c r="CI1007" s="64"/>
      <c r="CJ1007" s="64"/>
      <c r="CK1007" s="64"/>
      <c r="CL1007" s="64"/>
      <c r="CM1007" s="64"/>
      <c r="CN1007" s="64"/>
      <c r="CO1007" s="64"/>
      <c r="CP1007" s="64"/>
      <c r="CQ1007" s="64"/>
      <c r="CR1007" s="64"/>
      <c r="CS1007" s="64"/>
      <c r="CT1007" s="64"/>
      <c r="CU1007" s="64"/>
      <c r="CV1007" s="64"/>
      <c r="CW1007" s="64"/>
      <c r="CX1007" s="64"/>
      <c r="CY1007" s="64"/>
      <c r="CZ1007" s="64"/>
      <c r="DA1007" s="64"/>
      <c r="DB1007" s="64"/>
      <c r="DC1007" s="64"/>
      <c r="DD1007" s="64"/>
      <c r="DE1007" s="64"/>
      <c r="DF1007" s="64"/>
      <c r="DG1007" s="64"/>
    </row>
    <row r="1008">
      <c r="A1008" s="60" t="s">
        <v>143</v>
      </c>
      <c r="B1008" s="136" t="s">
        <v>107</v>
      </c>
      <c r="C1008" s="41" t="s">
        <v>3672</v>
      </c>
      <c r="E1008" s="115" t="s">
        <v>5599</v>
      </c>
      <c r="F1008" s="139" t="s">
        <v>5983</v>
      </c>
      <c r="G1008" s="1247" t="s">
        <v>3673</v>
      </c>
      <c r="H1008" s="140">
        <v>45674.0</v>
      </c>
      <c r="I1008" s="140">
        <v>45691.0</v>
      </c>
      <c r="J1008" s="147" t="s">
        <v>5966</v>
      </c>
      <c r="K1008" s="60" t="s">
        <v>5967</v>
      </c>
      <c r="L1008" s="147" t="s">
        <v>5602</v>
      </c>
      <c r="M1008" s="147" t="s">
        <v>5603</v>
      </c>
      <c r="N1008" s="144">
        <v>1.0</v>
      </c>
      <c r="O1008" s="147" t="str">
        <f t="shared" si="53"/>
        <v>10.5840--jphil20111081238.pdf</v>
      </c>
      <c r="P1008" s="48" t="str">
        <f t="array" ref="P1008">HYPERLINK(INDEX('File Links'!B:B, MATCH(O1008, 'File Links'!C:C, 0)))
</f>
        <v>https://drive.google.com/file/d/1-XMlXEjoIspJ3kqVPF-O6pr1PklAU4DF/view?usp=drivesdk</v>
      </c>
      <c r="Q1008" s="1249" t="s">
        <v>5329</v>
      </c>
      <c r="R1008" s="303" t="s">
        <v>5330</v>
      </c>
      <c r="S1008" s="303" t="s">
        <v>5331</v>
      </c>
      <c r="T1008" s="144">
        <v>26.0</v>
      </c>
      <c r="U1008" s="847" t="s">
        <v>5332</v>
      </c>
      <c r="V1008" s="1212" t="s">
        <v>5333</v>
      </c>
      <c r="W1008" s="50" t="str">
        <f t="array" ref="W1008">HYPERLINK(INDEX('File Links'!B:B, MATCH(U1008, 'File Links'!C:C, 0)))
</f>
        <v>https://drive.google.com/file/d/1hjI3aqifdfXjWhQAlvKCKKtvjuncAn5M/view?usp=drivesdk</v>
      </c>
      <c r="X1008" s="60"/>
      <c r="Y1008" s="147" t="s">
        <v>156</v>
      </c>
      <c r="Z1008" s="115" t="s">
        <v>165</v>
      </c>
      <c r="AA1008" s="147" t="s">
        <v>5604</v>
      </c>
      <c r="AB1008" s="60"/>
      <c r="AC1008" s="147" t="s">
        <v>5984</v>
      </c>
      <c r="AD1008" s="144">
        <v>11.0</v>
      </c>
      <c r="AE1008" s="1282">
        <v>217.0</v>
      </c>
      <c r="AF1008" s="1282">
        <v>188.24</v>
      </c>
      <c r="AG1008" s="1283" t="s">
        <v>1051</v>
      </c>
      <c r="AH1008" s="1284" t="s">
        <v>5969</v>
      </c>
      <c r="AI1008" s="355">
        <v>1.0E-4</v>
      </c>
      <c r="AJ1008" s="52" t="s">
        <v>127</v>
      </c>
      <c r="AK1008" s="147" t="s">
        <v>179</v>
      </c>
      <c r="AL1008" s="52" t="s">
        <v>129</v>
      </c>
      <c r="AM1008" s="60"/>
      <c r="AN1008" s="144">
        <v>319.0</v>
      </c>
      <c r="AO1008" s="147" t="s">
        <v>5985</v>
      </c>
      <c r="AP1008" s="147" t="s">
        <v>162</v>
      </c>
      <c r="AQ1008" s="147" t="s">
        <v>629</v>
      </c>
      <c r="AR1008" s="144">
        <v>0.001</v>
      </c>
      <c r="AS1008" s="147" t="s">
        <v>127</v>
      </c>
      <c r="AT1008" s="147" t="s">
        <v>179</v>
      </c>
      <c r="AU1008" s="147" t="s">
        <v>129</v>
      </c>
      <c r="AV1008" s="303" t="s">
        <v>5608</v>
      </c>
      <c r="AW1008" s="147" t="s">
        <v>134</v>
      </c>
      <c r="AY1008" s="142" t="s">
        <v>244</v>
      </c>
      <c r="BA1008" s="64"/>
      <c r="BB1008" s="64"/>
      <c r="BC1008" s="64"/>
      <c r="BD1008" s="64"/>
      <c r="BE1008" s="64"/>
      <c r="BF1008" s="64"/>
      <c r="BG1008" s="64"/>
      <c r="BH1008" s="64"/>
      <c r="BI1008" s="64"/>
      <c r="BJ1008" s="64"/>
      <c r="BK1008" s="64"/>
      <c r="BL1008" s="64"/>
      <c r="BM1008" s="64"/>
      <c r="BN1008" s="64"/>
      <c r="BO1008" s="64"/>
      <c r="BP1008" s="64"/>
      <c r="BQ1008" s="64"/>
      <c r="BR1008" s="64"/>
      <c r="BS1008" s="64"/>
      <c r="BT1008" s="64"/>
      <c r="BU1008" s="64"/>
      <c r="BV1008" s="64"/>
      <c r="BW1008" s="64"/>
      <c r="BX1008" s="64"/>
      <c r="BY1008" s="64"/>
      <c r="BZ1008" s="64"/>
      <c r="CA1008" s="64"/>
      <c r="CB1008" s="64"/>
      <c r="CC1008" s="64"/>
      <c r="CD1008" s="64"/>
      <c r="CE1008" s="64"/>
      <c r="CF1008" s="64"/>
      <c r="CG1008" s="64"/>
      <c r="CH1008" s="64"/>
      <c r="CI1008" s="64"/>
      <c r="CJ1008" s="64"/>
      <c r="CK1008" s="64"/>
      <c r="CL1008" s="64"/>
      <c r="CM1008" s="64"/>
      <c r="CN1008" s="64"/>
      <c r="CO1008" s="64"/>
      <c r="CP1008" s="64"/>
      <c r="CQ1008" s="64"/>
      <c r="CR1008" s="64"/>
      <c r="CS1008" s="64"/>
      <c r="CT1008" s="64"/>
      <c r="CU1008" s="64"/>
      <c r="CV1008" s="64"/>
      <c r="CW1008" s="64"/>
      <c r="CX1008" s="64"/>
      <c r="CY1008" s="64"/>
      <c r="CZ1008" s="64"/>
      <c r="DA1008" s="64"/>
      <c r="DB1008" s="64"/>
      <c r="DC1008" s="64"/>
      <c r="DD1008" s="64"/>
      <c r="DE1008" s="64"/>
      <c r="DF1008" s="64"/>
      <c r="DG1008" s="64"/>
    </row>
    <row r="1009">
      <c r="A1009" s="60" t="s">
        <v>143</v>
      </c>
      <c r="B1009" s="136" t="s">
        <v>107</v>
      </c>
      <c r="C1009" s="41" t="s">
        <v>3672</v>
      </c>
      <c r="E1009" s="115" t="s">
        <v>5637</v>
      </c>
      <c r="F1009" s="139" t="s">
        <v>5986</v>
      </c>
      <c r="G1009" s="1247" t="s">
        <v>3673</v>
      </c>
      <c r="H1009" s="140">
        <v>45674.0</v>
      </c>
      <c r="I1009" s="140">
        <v>45691.0</v>
      </c>
      <c r="J1009" s="453" t="s">
        <v>5639</v>
      </c>
      <c r="K1009" s="60" t="s">
        <v>5936</v>
      </c>
      <c r="L1009" s="147" t="s">
        <v>5640</v>
      </c>
      <c r="M1009" s="147" t="s">
        <v>5641</v>
      </c>
      <c r="N1009" s="144">
        <v>1.0</v>
      </c>
      <c r="O1009" s="147" t="str">
        <f t="shared" si="53"/>
        <v>10.1111--j.1551-6709.2011.01210.x.pdf</v>
      </c>
      <c r="P1009" s="48" t="str">
        <f t="array" ref="P1009">HYPERLINK(INDEX('File Links'!B:B, MATCH(O1009, 'File Links'!C:C, 0)))
</f>
        <v>https://drive.google.com/file/d/1peHj2qn55XShERDto7FmUKmKRW04vw25/view?usp=drivesdk</v>
      </c>
      <c r="Q1009" s="1249" t="s">
        <v>5329</v>
      </c>
      <c r="R1009" s="303" t="s">
        <v>5330</v>
      </c>
      <c r="S1009" s="303" t="s">
        <v>5331</v>
      </c>
      <c r="T1009" s="144">
        <v>29.0</v>
      </c>
      <c r="U1009" s="847" t="s">
        <v>5332</v>
      </c>
      <c r="V1009" s="1212" t="s">
        <v>5333</v>
      </c>
      <c r="W1009" s="50" t="str">
        <f t="array" ref="W1009">HYPERLINK(INDEX('File Links'!B:B, MATCH(U1009, 'File Links'!C:C, 0)))
</f>
        <v>https://drive.google.com/file/d/1hjI3aqifdfXjWhQAlvKCKKtvjuncAn5M/view?usp=drivesdk</v>
      </c>
      <c r="X1009" s="60"/>
      <c r="Y1009" s="147" t="s">
        <v>156</v>
      </c>
      <c r="Z1009" s="115" t="s">
        <v>165</v>
      </c>
      <c r="AA1009" s="147" t="s">
        <v>5642</v>
      </c>
      <c r="AB1009" s="60"/>
      <c r="AC1009" s="147" t="s">
        <v>5987</v>
      </c>
      <c r="AD1009" s="147" t="s">
        <v>5644</v>
      </c>
      <c r="AE1009" s="144">
        <v>92.0</v>
      </c>
      <c r="AF1009" s="147" t="s">
        <v>5988</v>
      </c>
      <c r="AG1009" s="147" t="s">
        <v>208</v>
      </c>
      <c r="AH1009" s="330" t="s">
        <v>861</v>
      </c>
      <c r="AI1009" s="355">
        <v>0.001</v>
      </c>
      <c r="AJ1009" s="52" t="s">
        <v>164</v>
      </c>
      <c r="AK1009" s="147" t="s">
        <v>179</v>
      </c>
      <c r="AL1009" s="52" t="s">
        <v>129</v>
      </c>
      <c r="AM1009" s="60"/>
      <c r="AN1009" s="144">
        <v>316.0</v>
      </c>
      <c r="AO1009" s="1266" t="s">
        <v>5989</v>
      </c>
      <c r="AP1009" s="147" t="s">
        <v>208</v>
      </c>
      <c r="AQ1009" s="147" t="s">
        <v>5990</v>
      </c>
      <c r="AR1009" s="144">
        <v>0.11</v>
      </c>
      <c r="AS1009" s="147" t="s">
        <v>164</v>
      </c>
      <c r="AT1009" s="147" t="s">
        <v>179</v>
      </c>
      <c r="AU1009" s="147" t="s">
        <v>129</v>
      </c>
      <c r="AV1009" s="303" t="s">
        <v>5646</v>
      </c>
      <c r="AW1009" s="147" t="s">
        <v>134</v>
      </c>
      <c r="AY1009" s="142" t="s">
        <v>244</v>
      </c>
      <c r="BA1009" s="64"/>
      <c r="BB1009" s="64"/>
      <c r="BC1009" s="64"/>
      <c r="BD1009" s="64"/>
      <c r="BE1009" s="64"/>
      <c r="BF1009" s="64"/>
      <c r="BG1009" s="64"/>
      <c r="BH1009" s="64"/>
      <c r="BI1009" s="64"/>
      <c r="BJ1009" s="64"/>
      <c r="BK1009" s="64"/>
      <c r="BL1009" s="64"/>
      <c r="BM1009" s="64"/>
      <c r="BN1009" s="64"/>
      <c r="BO1009" s="64"/>
      <c r="BP1009" s="64"/>
      <c r="BQ1009" s="64"/>
      <c r="BR1009" s="64"/>
      <c r="BS1009" s="64"/>
      <c r="BT1009" s="64"/>
      <c r="BU1009" s="64"/>
      <c r="BV1009" s="64"/>
      <c r="BW1009" s="64"/>
      <c r="BX1009" s="64"/>
      <c r="BY1009" s="64"/>
      <c r="BZ1009" s="64"/>
      <c r="CA1009" s="64"/>
      <c r="CB1009" s="64"/>
      <c r="CC1009" s="64"/>
      <c r="CD1009" s="64"/>
      <c r="CE1009" s="64"/>
      <c r="CF1009" s="64"/>
      <c r="CG1009" s="64"/>
      <c r="CH1009" s="64"/>
      <c r="CI1009" s="64"/>
      <c r="CJ1009" s="64"/>
      <c r="CK1009" s="64"/>
      <c r="CL1009" s="64"/>
      <c r="CM1009" s="64"/>
      <c r="CN1009" s="64"/>
      <c r="CO1009" s="64"/>
      <c r="CP1009" s="64"/>
      <c r="CQ1009" s="64"/>
      <c r="CR1009" s="64"/>
      <c r="CS1009" s="64"/>
      <c r="CT1009" s="64"/>
      <c r="CU1009" s="64"/>
      <c r="CV1009" s="64"/>
      <c r="CW1009" s="64"/>
      <c r="CX1009" s="64"/>
      <c r="CY1009" s="64"/>
      <c r="CZ1009" s="64"/>
      <c r="DA1009" s="64"/>
      <c r="DB1009" s="64"/>
      <c r="DC1009" s="64"/>
      <c r="DD1009" s="64"/>
      <c r="DE1009" s="64"/>
      <c r="DF1009" s="64"/>
      <c r="DG1009" s="64"/>
    </row>
    <row r="1010">
      <c r="A1010" s="60" t="s">
        <v>586</v>
      </c>
      <c r="B1010" s="136" t="s">
        <v>107</v>
      </c>
      <c r="C1010" s="41" t="s">
        <v>243</v>
      </c>
      <c r="E1010" s="115" t="s">
        <v>5696</v>
      </c>
      <c r="F1010" s="147" t="s">
        <v>5991</v>
      </c>
      <c r="G1010" s="1247" t="s">
        <v>244</v>
      </c>
      <c r="H1010" s="140">
        <v>45691.0</v>
      </c>
      <c r="I1010" s="140">
        <v>45691.0</v>
      </c>
      <c r="J1010" s="60"/>
      <c r="K1010" s="60" t="s">
        <v>5992</v>
      </c>
      <c r="L1010" s="147" t="s">
        <v>5699</v>
      </c>
      <c r="M1010" s="147" t="s">
        <v>5700</v>
      </c>
      <c r="N1010" s="115">
        <v>1.0</v>
      </c>
      <c r="O1010" s="147" t="str">
        <f t="shared" si="53"/>
        <v>10.1016--j.cognition.2013.02.008.pdf</v>
      </c>
      <c r="P1010" s="48" t="str">
        <f t="array" ref="P1010">HYPERLINK(INDEX('File Links'!B:B, MATCH(O1010, 'File Links'!C:C, 0)))
</f>
        <v>https://drive.google.com/file/d/1kb4iozdFSFtKZKGvaK7sOkqlr4kI2jg5/view?usp=drivesdk</v>
      </c>
      <c r="Q1010" s="1249" t="s">
        <v>5329</v>
      </c>
      <c r="R1010" s="303" t="s">
        <v>5330</v>
      </c>
      <c r="S1010" s="303" t="s">
        <v>5331</v>
      </c>
      <c r="T1010" s="60"/>
      <c r="U1010" s="847" t="s">
        <v>5332</v>
      </c>
      <c r="V1010" s="1212" t="s">
        <v>5333</v>
      </c>
      <c r="W1010" s="50" t="str">
        <f t="array" ref="W1010">HYPERLINK(INDEX('File Links'!B:B, MATCH(U1010, 'File Links'!C:C, 0)))
</f>
        <v>https://drive.google.com/file/d/1hjI3aqifdfXjWhQAlvKCKKtvjuncAn5M/view?usp=drivesdk</v>
      </c>
      <c r="X1010" s="60"/>
      <c r="Y1010" s="147" t="s">
        <v>156</v>
      </c>
      <c r="Z1010" s="115" t="s">
        <v>165</v>
      </c>
      <c r="AA1010" s="147" t="s">
        <v>5993</v>
      </c>
      <c r="AB1010" s="60"/>
      <c r="AC1010" s="147" t="s">
        <v>5994</v>
      </c>
      <c r="AD1010" s="144" t="s">
        <v>1062</v>
      </c>
      <c r="AE1010" s="144">
        <v>207.0</v>
      </c>
      <c r="AF1010" s="147" t="s">
        <v>5995</v>
      </c>
      <c r="AG1010" s="147" t="s">
        <v>162</v>
      </c>
      <c r="AH1010" s="149" t="s">
        <v>1062</v>
      </c>
      <c r="AI1010" s="355">
        <v>0.001</v>
      </c>
      <c r="AJ1010" s="52" t="s">
        <v>127</v>
      </c>
      <c r="AK1010" s="147" t="s">
        <v>179</v>
      </c>
      <c r="AL1010" s="1246" t="s">
        <v>129</v>
      </c>
      <c r="AM1010" s="147" t="s">
        <v>129</v>
      </c>
      <c r="AN1010" s="144">
        <v>63.0</v>
      </c>
      <c r="AO1010" s="1266" t="s">
        <v>5996</v>
      </c>
      <c r="AP1010" s="147" t="s">
        <v>162</v>
      </c>
      <c r="AQ1010" s="147" t="s">
        <v>5997</v>
      </c>
      <c r="AR1010" s="144">
        <v>0.001</v>
      </c>
      <c r="AS1010" s="147" t="s">
        <v>127</v>
      </c>
      <c r="AT1010" s="147" t="s">
        <v>179</v>
      </c>
      <c r="AU1010" s="142" t="s">
        <v>129</v>
      </c>
      <c r="AV1010" s="453" t="s">
        <v>5998</v>
      </c>
      <c r="AW1010" s="147" t="s">
        <v>134</v>
      </c>
      <c r="AY1010" s="142" t="s">
        <v>244</v>
      </c>
      <c r="BA1010" s="64"/>
      <c r="BB1010" s="64"/>
      <c r="BC1010" s="64"/>
      <c r="BD1010" s="64"/>
      <c r="BE1010" s="64"/>
      <c r="BF1010" s="64"/>
      <c r="BG1010" s="64"/>
      <c r="BH1010" s="64"/>
      <c r="BI1010" s="64"/>
      <c r="BJ1010" s="64"/>
      <c r="BK1010" s="64"/>
      <c r="BL1010" s="64"/>
      <c r="BM1010" s="64"/>
      <c r="BN1010" s="64"/>
      <c r="BO1010" s="64"/>
      <c r="BP1010" s="64"/>
      <c r="BQ1010" s="64"/>
      <c r="BR1010" s="64"/>
      <c r="BS1010" s="64"/>
      <c r="BT1010" s="64"/>
      <c r="BU1010" s="64"/>
      <c r="BV1010" s="64"/>
      <c r="BW1010" s="64"/>
      <c r="BX1010" s="64"/>
      <c r="BY1010" s="64"/>
      <c r="BZ1010" s="64"/>
      <c r="CA1010" s="64"/>
      <c r="CB1010" s="64"/>
      <c r="CC1010" s="64"/>
      <c r="CD1010" s="64"/>
      <c r="CE1010" s="64"/>
      <c r="CF1010" s="64"/>
      <c r="CG1010" s="64"/>
      <c r="CH1010" s="64"/>
      <c r="CI1010" s="64"/>
      <c r="CJ1010" s="64"/>
      <c r="CK1010" s="64"/>
      <c r="CL1010" s="64"/>
      <c r="CM1010" s="64"/>
      <c r="CN1010" s="64"/>
      <c r="CO1010" s="64"/>
      <c r="CP1010" s="64"/>
      <c r="CQ1010" s="64"/>
      <c r="CR1010" s="64"/>
      <c r="CS1010" s="64"/>
      <c r="CT1010" s="64"/>
      <c r="CU1010" s="64"/>
      <c r="CV1010" s="64"/>
      <c r="CW1010" s="64"/>
      <c r="CX1010" s="64"/>
      <c r="CY1010" s="64"/>
      <c r="CZ1010" s="64"/>
      <c r="DA1010" s="64"/>
      <c r="DB1010" s="64"/>
      <c r="DC1010" s="64"/>
      <c r="DD1010" s="64"/>
      <c r="DE1010" s="64"/>
      <c r="DF1010" s="64"/>
      <c r="DG1010" s="64"/>
    </row>
    <row r="1011">
      <c r="A1011" s="60" t="s">
        <v>586</v>
      </c>
      <c r="B1011" s="136" t="s">
        <v>107</v>
      </c>
      <c r="C1011" s="41" t="s">
        <v>3672</v>
      </c>
      <c r="E1011" s="115" t="s">
        <v>5696</v>
      </c>
      <c r="F1011" s="139" t="s">
        <v>5991</v>
      </c>
      <c r="G1011" s="1247" t="s">
        <v>3673</v>
      </c>
      <c r="H1011" s="140">
        <v>45674.0</v>
      </c>
      <c r="I1011" s="140">
        <v>45691.0</v>
      </c>
      <c r="J1011" s="60"/>
      <c r="K1011" s="60" t="s">
        <v>5992</v>
      </c>
      <c r="L1011" s="147" t="s">
        <v>5699</v>
      </c>
      <c r="M1011" s="147" t="s">
        <v>5700</v>
      </c>
      <c r="N1011" s="115">
        <v>1.0</v>
      </c>
      <c r="O1011" s="147" t="str">
        <f t="shared" si="53"/>
        <v>10.1016--j.cognition.2013.02.008.pdf</v>
      </c>
      <c r="P1011" s="48" t="str">
        <f t="array" ref="P1011">HYPERLINK(INDEX('File Links'!B:B, MATCH(O1011, 'File Links'!C:C, 0)))
</f>
        <v>https://drive.google.com/file/d/1kb4iozdFSFtKZKGvaK7sOkqlr4kI2jg5/view?usp=drivesdk</v>
      </c>
      <c r="Q1011" s="1249" t="s">
        <v>5329</v>
      </c>
      <c r="R1011" s="303" t="s">
        <v>5330</v>
      </c>
      <c r="S1011" s="303" t="s">
        <v>5331</v>
      </c>
      <c r="T1011" s="144">
        <v>32.0</v>
      </c>
      <c r="U1011" s="847" t="s">
        <v>5332</v>
      </c>
      <c r="V1011" s="1212" t="s">
        <v>5333</v>
      </c>
      <c r="W1011" s="50" t="str">
        <f t="array" ref="W1011">HYPERLINK(INDEX('File Links'!B:B, MATCH(U1011, 'File Links'!C:C, 0)))
</f>
        <v>https://drive.google.com/file/d/1hjI3aqifdfXjWhQAlvKCKKtvjuncAn5M/view?usp=drivesdk</v>
      </c>
      <c r="X1011" s="60"/>
      <c r="Y1011" s="147" t="s">
        <v>156</v>
      </c>
      <c r="Z1011" s="115" t="s">
        <v>165</v>
      </c>
      <c r="AA1011" s="147" t="s">
        <v>5701</v>
      </c>
      <c r="AB1011" s="60"/>
      <c r="AC1011" s="147" t="s">
        <v>5999</v>
      </c>
      <c r="AD1011" s="144">
        <v>6.0</v>
      </c>
      <c r="AE1011" s="144">
        <v>207.0</v>
      </c>
      <c r="AF1011" s="147" t="s">
        <v>5995</v>
      </c>
      <c r="AG1011" s="147" t="s">
        <v>162</v>
      </c>
      <c r="AH1011" s="149" t="s">
        <v>1062</v>
      </c>
      <c r="AI1011" s="355">
        <v>0.001</v>
      </c>
      <c r="AJ1011" s="52" t="s">
        <v>127</v>
      </c>
      <c r="AK1011" s="147" t="s">
        <v>179</v>
      </c>
      <c r="AL1011" s="526" t="s">
        <v>821</v>
      </c>
      <c r="AM1011" s="60"/>
      <c r="AN1011" s="144">
        <v>63.0</v>
      </c>
      <c r="AO1011" s="1266" t="s">
        <v>5996</v>
      </c>
      <c r="AP1011" s="147" t="s">
        <v>162</v>
      </c>
      <c r="AQ1011" s="147" t="s">
        <v>6000</v>
      </c>
      <c r="AR1011" s="144">
        <v>0.001</v>
      </c>
      <c r="AS1011" s="147" t="s">
        <v>127</v>
      </c>
      <c r="AT1011" s="147" t="s">
        <v>179</v>
      </c>
      <c r="AU1011" s="525" t="s">
        <v>821</v>
      </c>
      <c r="AV1011" s="303" t="s">
        <v>5706</v>
      </c>
      <c r="AW1011" s="147" t="s">
        <v>134</v>
      </c>
      <c r="AY1011" s="142" t="s">
        <v>244</v>
      </c>
      <c r="BA1011" s="64"/>
      <c r="BB1011" s="64"/>
      <c r="BC1011" s="64"/>
      <c r="BD1011" s="64"/>
      <c r="BE1011" s="64"/>
      <c r="BF1011" s="64"/>
      <c r="BG1011" s="64"/>
      <c r="BH1011" s="64"/>
      <c r="BI1011" s="64"/>
      <c r="BJ1011" s="64"/>
      <c r="BK1011" s="64"/>
      <c r="BL1011" s="64"/>
      <c r="BM1011" s="64"/>
      <c r="BN1011" s="64"/>
      <c r="BO1011" s="64"/>
      <c r="BP1011" s="64"/>
      <c r="BQ1011" s="64"/>
      <c r="BR1011" s="64"/>
      <c r="BS1011" s="64"/>
      <c r="BT1011" s="64"/>
      <c r="BU1011" s="64"/>
      <c r="BV1011" s="64"/>
      <c r="BW1011" s="64"/>
      <c r="BX1011" s="64"/>
      <c r="BY1011" s="64"/>
      <c r="BZ1011" s="64"/>
      <c r="CA1011" s="64"/>
      <c r="CB1011" s="64"/>
      <c r="CC1011" s="64"/>
      <c r="CD1011" s="64"/>
      <c r="CE1011" s="64"/>
      <c r="CF1011" s="64"/>
      <c r="CG1011" s="64"/>
      <c r="CH1011" s="64"/>
      <c r="CI1011" s="64"/>
      <c r="CJ1011" s="64"/>
      <c r="CK1011" s="64"/>
      <c r="CL1011" s="64"/>
      <c r="CM1011" s="64"/>
      <c r="CN1011" s="64"/>
      <c r="CO1011" s="64"/>
      <c r="CP1011" s="64"/>
      <c r="CQ1011" s="64"/>
      <c r="CR1011" s="64"/>
      <c r="CS1011" s="64"/>
      <c r="CT1011" s="64"/>
      <c r="CU1011" s="64"/>
      <c r="CV1011" s="64"/>
      <c r="CW1011" s="64"/>
      <c r="CX1011" s="64"/>
      <c r="CY1011" s="64"/>
      <c r="CZ1011" s="64"/>
      <c r="DA1011" s="64"/>
      <c r="DB1011" s="64"/>
      <c r="DC1011" s="64"/>
      <c r="DD1011" s="64"/>
      <c r="DE1011" s="64"/>
      <c r="DF1011" s="64"/>
      <c r="DG1011" s="64"/>
    </row>
    <row r="1012">
      <c r="A1012" s="142" t="s">
        <v>586</v>
      </c>
      <c r="B1012" s="136" t="s">
        <v>107</v>
      </c>
      <c r="C1012" s="41" t="s">
        <v>243</v>
      </c>
      <c r="E1012" s="115" t="s">
        <v>5696</v>
      </c>
      <c r="F1012" s="147" t="s">
        <v>6001</v>
      </c>
      <c r="G1012" s="1247" t="s">
        <v>244</v>
      </c>
      <c r="H1012" s="140">
        <v>45691.0</v>
      </c>
      <c r="I1012" s="140">
        <v>45691.0</v>
      </c>
      <c r="J1012" s="60"/>
      <c r="K1012" s="60" t="s">
        <v>5992</v>
      </c>
      <c r="L1012" s="147" t="s">
        <v>5699</v>
      </c>
      <c r="M1012" s="147" t="s">
        <v>5700</v>
      </c>
      <c r="N1012" s="115">
        <v>1.0</v>
      </c>
      <c r="O1012" s="147" t="str">
        <f t="shared" si="53"/>
        <v>10.1016--j.cognition.2013.02.008.pdf</v>
      </c>
      <c r="P1012" s="48" t="str">
        <f t="array" ref="P1012">HYPERLINK(INDEX('File Links'!B:B, MATCH(O1012, 'File Links'!C:C, 0)))
</f>
        <v>https://drive.google.com/file/d/1kb4iozdFSFtKZKGvaK7sOkqlr4kI2jg5/view?usp=drivesdk</v>
      </c>
      <c r="Q1012" s="1249" t="s">
        <v>5329</v>
      </c>
      <c r="R1012" s="303" t="s">
        <v>5330</v>
      </c>
      <c r="S1012" s="303" t="s">
        <v>5331</v>
      </c>
      <c r="T1012" s="60"/>
      <c r="U1012" s="847" t="s">
        <v>5332</v>
      </c>
      <c r="V1012" s="1212" t="s">
        <v>5333</v>
      </c>
      <c r="W1012" s="50" t="str">
        <f t="array" ref="W1012">HYPERLINK(INDEX('File Links'!B:B, MATCH(U1012, 'File Links'!C:C, 0)))
</f>
        <v>https://drive.google.com/file/d/1hjI3aqifdfXjWhQAlvKCKKtvjuncAn5M/view?usp=drivesdk</v>
      </c>
      <c r="X1012" s="60"/>
      <c r="Y1012" s="147" t="s">
        <v>156</v>
      </c>
      <c r="Z1012" s="115" t="s">
        <v>165</v>
      </c>
      <c r="AA1012" s="147" t="s">
        <v>6002</v>
      </c>
      <c r="AB1012" s="60"/>
      <c r="AC1012" s="147" t="s">
        <v>6003</v>
      </c>
      <c r="AD1012" s="144" t="s">
        <v>1062</v>
      </c>
      <c r="AE1012" s="144">
        <v>204.0</v>
      </c>
      <c r="AF1012" s="144">
        <v>1.35</v>
      </c>
      <c r="AG1012" s="147" t="s">
        <v>1006</v>
      </c>
      <c r="AH1012" s="149" t="s">
        <v>1062</v>
      </c>
      <c r="AI1012" s="355">
        <v>0.001</v>
      </c>
      <c r="AJ1012" s="52" t="s">
        <v>127</v>
      </c>
      <c r="AK1012" s="147" t="s">
        <v>179</v>
      </c>
      <c r="AL1012" s="1246" t="s">
        <v>129</v>
      </c>
      <c r="AM1012" s="147" t="s">
        <v>129</v>
      </c>
      <c r="AN1012" s="144">
        <v>63.0</v>
      </c>
      <c r="AO1012" s="1251">
        <v>0.87</v>
      </c>
      <c r="AP1012" s="147" t="s">
        <v>1006</v>
      </c>
      <c r="AQ1012" s="1285" t="s">
        <v>6004</v>
      </c>
      <c r="AR1012" s="144">
        <v>0.001</v>
      </c>
      <c r="AS1012" s="147" t="s">
        <v>127</v>
      </c>
      <c r="AT1012" s="147" t="s">
        <v>179</v>
      </c>
      <c r="AU1012" s="142" t="s">
        <v>129</v>
      </c>
      <c r="AV1012" s="453" t="s">
        <v>6005</v>
      </c>
      <c r="AW1012" s="147" t="s">
        <v>134</v>
      </c>
      <c r="AY1012" s="142" t="s">
        <v>244</v>
      </c>
      <c r="BA1012" s="64"/>
      <c r="BB1012" s="64"/>
      <c r="BC1012" s="64"/>
      <c r="BD1012" s="64"/>
      <c r="BE1012" s="64"/>
      <c r="BF1012" s="64"/>
      <c r="BG1012" s="64"/>
      <c r="BH1012" s="64"/>
      <c r="BI1012" s="64"/>
      <c r="BJ1012" s="64"/>
      <c r="BK1012" s="64"/>
      <c r="BL1012" s="64"/>
      <c r="BM1012" s="64"/>
      <c r="BN1012" s="64"/>
      <c r="BO1012" s="64"/>
      <c r="BP1012" s="64"/>
      <c r="BQ1012" s="64"/>
      <c r="BR1012" s="64"/>
      <c r="BS1012" s="64"/>
      <c r="BT1012" s="64"/>
      <c r="BU1012" s="64"/>
      <c r="BV1012" s="64"/>
      <c r="BW1012" s="64"/>
      <c r="BX1012" s="64"/>
      <c r="BY1012" s="64"/>
      <c r="BZ1012" s="64"/>
      <c r="CA1012" s="64"/>
      <c r="CB1012" s="64"/>
      <c r="CC1012" s="64"/>
      <c r="CD1012" s="64"/>
      <c r="CE1012" s="64"/>
      <c r="CF1012" s="64"/>
      <c r="CG1012" s="64"/>
      <c r="CH1012" s="64"/>
      <c r="CI1012" s="64"/>
      <c r="CJ1012" s="64"/>
      <c r="CK1012" s="64"/>
      <c r="CL1012" s="64"/>
      <c r="CM1012" s="64"/>
      <c r="CN1012" s="64"/>
      <c r="CO1012" s="64"/>
      <c r="CP1012" s="64"/>
      <c r="CQ1012" s="64"/>
      <c r="CR1012" s="64"/>
      <c r="CS1012" s="64"/>
      <c r="CT1012" s="64"/>
      <c r="CU1012" s="64"/>
      <c r="CV1012" s="64"/>
      <c r="CW1012" s="64"/>
      <c r="CX1012" s="64"/>
      <c r="CY1012" s="64"/>
      <c r="CZ1012" s="64"/>
      <c r="DA1012" s="64"/>
      <c r="DB1012" s="64"/>
      <c r="DC1012" s="64"/>
      <c r="DD1012" s="64"/>
      <c r="DE1012" s="64"/>
      <c r="DF1012" s="64"/>
      <c r="DG1012" s="64"/>
    </row>
    <row r="1013">
      <c r="A1013" s="142" t="s">
        <v>586</v>
      </c>
      <c r="B1013" s="136" t="s">
        <v>107</v>
      </c>
      <c r="C1013" s="41" t="s">
        <v>3672</v>
      </c>
      <c r="E1013" s="115" t="s">
        <v>5696</v>
      </c>
      <c r="F1013" s="139" t="s">
        <v>6001</v>
      </c>
      <c r="G1013" s="1247" t="s">
        <v>3673</v>
      </c>
      <c r="H1013" s="140">
        <v>45674.0</v>
      </c>
      <c r="I1013" s="140">
        <v>45691.0</v>
      </c>
      <c r="J1013" s="60"/>
      <c r="K1013" s="60" t="s">
        <v>5992</v>
      </c>
      <c r="L1013" s="147" t="s">
        <v>5699</v>
      </c>
      <c r="M1013" s="147" t="s">
        <v>5700</v>
      </c>
      <c r="N1013" s="115">
        <v>1.0</v>
      </c>
      <c r="O1013" s="147" t="str">
        <f t="shared" si="53"/>
        <v>10.1016--j.cognition.2013.02.008.pdf</v>
      </c>
      <c r="P1013" s="48" t="str">
        <f t="array" ref="P1013">HYPERLINK(INDEX('File Links'!B:B, MATCH(O1013, 'File Links'!C:C, 0)))
</f>
        <v>https://drive.google.com/file/d/1kb4iozdFSFtKZKGvaK7sOkqlr4kI2jg5/view?usp=drivesdk</v>
      </c>
      <c r="Q1013" s="1249" t="s">
        <v>5329</v>
      </c>
      <c r="R1013" s="303" t="s">
        <v>5330</v>
      </c>
      <c r="S1013" s="303" t="s">
        <v>5331</v>
      </c>
      <c r="T1013" s="144">
        <v>32.0</v>
      </c>
      <c r="U1013" s="847" t="s">
        <v>5332</v>
      </c>
      <c r="V1013" s="1212" t="s">
        <v>5333</v>
      </c>
      <c r="W1013" s="50" t="str">
        <f t="array" ref="W1013">HYPERLINK(INDEX('File Links'!B:B, MATCH(U1013, 'File Links'!C:C, 0)))
</f>
        <v>https://drive.google.com/file/d/1hjI3aqifdfXjWhQAlvKCKKtvjuncAn5M/view?usp=drivesdk</v>
      </c>
      <c r="X1013" s="60"/>
      <c r="Y1013" s="147" t="s">
        <v>156</v>
      </c>
      <c r="Z1013" s="115" t="s">
        <v>165</v>
      </c>
      <c r="AA1013" s="147" t="s">
        <v>5701</v>
      </c>
      <c r="AB1013" s="60"/>
      <c r="AC1013" s="147" t="s">
        <v>6006</v>
      </c>
      <c r="AD1013" s="144">
        <v>6.0</v>
      </c>
      <c r="AE1013" s="144">
        <v>204.0</v>
      </c>
      <c r="AF1013" s="147" t="s">
        <v>6007</v>
      </c>
      <c r="AG1013" s="147" t="s">
        <v>162</v>
      </c>
      <c r="AH1013" s="149" t="s">
        <v>1062</v>
      </c>
      <c r="AI1013" s="355">
        <v>0.001</v>
      </c>
      <c r="AJ1013" s="52" t="s">
        <v>127</v>
      </c>
      <c r="AK1013" s="147" t="s">
        <v>179</v>
      </c>
      <c r="AL1013" s="526" t="s">
        <v>821</v>
      </c>
      <c r="AM1013" s="60"/>
      <c r="AN1013" s="144">
        <v>63.0</v>
      </c>
      <c r="AO1013" s="1266" t="s">
        <v>6008</v>
      </c>
      <c r="AP1013" s="147" t="s">
        <v>162</v>
      </c>
      <c r="AQ1013" s="303" t="s">
        <v>6000</v>
      </c>
      <c r="AR1013" s="144">
        <v>0.001</v>
      </c>
      <c r="AS1013" s="147" t="s">
        <v>127</v>
      </c>
      <c r="AT1013" s="147" t="s">
        <v>179</v>
      </c>
      <c r="AU1013" s="525" t="s">
        <v>821</v>
      </c>
      <c r="AV1013" s="303" t="s">
        <v>5706</v>
      </c>
      <c r="AW1013" s="147" t="s">
        <v>134</v>
      </c>
      <c r="AY1013" s="142" t="s">
        <v>244</v>
      </c>
      <c r="BA1013" s="64"/>
      <c r="BB1013" s="64"/>
      <c r="BC1013" s="64"/>
      <c r="BD1013" s="64"/>
      <c r="BE1013" s="64"/>
      <c r="BF1013" s="64"/>
      <c r="BG1013" s="64"/>
      <c r="BH1013" s="64"/>
      <c r="BI1013" s="64"/>
      <c r="BJ1013" s="64"/>
      <c r="BK1013" s="64"/>
      <c r="BL1013" s="64"/>
      <c r="BM1013" s="64"/>
      <c r="BN1013" s="64"/>
      <c r="BO1013" s="64"/>
      <c r="BP1013" s="64"/>
      <c r="BQ1013" s="64"/>
      <c r="BR1013" s="64"/>
      <c r="BS1013" s="64"/>
      <c r="BT1013" s="64"/>
      <c r="BU1013" s="64"/>
      <c r="BV1013" s="64"/>
      <c r="BW1013" s="64"/>
      <c r="BX1013" s="64"/>
      <c r="BY1013" s="64"/>
      <c r="BZ1013" s="64"/>
      <c r="CA1013" s="64"/>
      <c r="CB1013" s="64"/>
      <c r="CC1013" s="64"/>
      <c r="CD1013" s="64"/>
      <c r="CE1013" s="64"/>
      <c r="CF1013" s="64"/>
      <c r="CG1013" s="64"/>
      <c r="CH1013" s="64"/>
      <c r="CI1013" s="64"/>
      <c r="CJ1013" s="64"/>
      <c r="CK1013" s="64"/>
      <c r="CL1013" s="64"/>
      <c r="CM1013" s="64"/>
      <c r="CN1013" s="64"/>
      <c r="CO1013" s="64"/>
      <c r="CP1013" s="64"/>
      <c r="CQ1013" s="64"/>
      <c r="CR1013" s="64"/>
      <c r="CS1013" s="64"/>
      <c r="CT1013" s="64"/>
      <c r="CU1013" s="64"/>
      <c r="CV1013" s="64"/>
      <c r="CW1013" s="64"/>
      <c r="CX1013" s="64"/>
      <c r="CY1013" s="64"/>
      <c r="CZ1013" s="64"/>
      <c r="DA1013" s="64"/>
      <c r="DB1013" s="64"/>
      <c r="DC1013" s="64"/>
      <c r="DD1013" s="64"/>
      <c r="DE1013" s="64"/>
      <c r="DF1013" s="64"/>
      <c r="DG1013" s="64"/>
    </row>
    <row r="1014">
      <c r="A1014" s="60" t="s">
        <v>586</v>
      </c>
      <c r="B1014" s="136" t="s">
        <v>107</v>
      </c>
      <c r="C1014" s="41" t="s">
        <v>243</v>
      </c>
      <c r="E1014" s="115" t="s">
        <v>5696</v>
      </c>
      <c r="F1014" s="147" t="s">
        <v>6009</v>
      </c>
      <c r="G1014" s="1247" t="s">
        <v>244</v>
      </c>
      <c r="H1014" s="140">
        <v>45691.0</v>
      </c>
      <c r="I1014" s="140">
        <v>45691.0</v>
      </c>
      <c r="J1014" s="60"/>
      <c r="K1014" s="60" t="s">
        <v>5992</v>
      </c>
      <c r="L1014" s="147" t="s">
        <v>5699</v>
      </c>
      <c r="M1014" s="147" t="s">
        <v>5700</v>
      </c>
      <c r="N1014" s="115">
        <v>1.0</v>
      </c>
      <c r="O1014" s="147" t="str">
        <f t="shared" si="53"/>
        <v>10.1016--j.cognition.2013.02.008.pdf</v>
      </c>
      <c r="P1014" s="48" t="str">
        <f t="array" ref="P1014">HYPERLINK(INDEX('File Links'!B:B, MATCH(O1014, 'File Links'!C:C, 0)))
</f>
        <v>https://drive.google.com/file/d/1kb4iozdFSFtKZKGvaK7sOkqlr4kI2jg5/view?usp=drivesdk</v>
      </c>
      <c r="Q1014" s="1249" t="s">
        <v>5329</v>
      </c>
      <c r="R1014" s="303" t="s">
        <v>5330</v>
      </c>
      <c r="S1014" s="303" t="s">
        <v>5331</v>
      </c>
      <c r="T1014" s="60"/>
      <c r="U1014" s="847" t="s">
        <v>5332</v>
      </c>
      <c r="V1014" s="1212" t="s">
        <v>5333</v>
      </c>
      <c r="W1014" s="50" t="str">
        <f t="array" ref="W1014">HYPERLINK(INDEX('File Links'!B:B, MATCH(U1014, 'File Links'!C:C, 0)))
</f>
        <v>https://drive.google.com/file/d/1hjI3aqifdfXjWhQAlvKCKKtvjuncAn5M/view?usp=drivesdk</v>
      </c>
      <c r="X1014" s="60"/>
      <c r="Y1014" s="147" t="s">
        <v>156</v>
      </c>
      <c r="Z1014" s="115" t="s">
        <v>165</v>
      </c>
      <c r="AA1014" s="147" t="s">
        <v>6010</v>
      </c>
      <c r="AB1014" s="60"/>
      <c r="AC1014" s="147" t="s">
        <v>6011</v>
      </c>
      <c r="AD1014" s="144" t="s">
        <v>1062</v>
      </c>
      <c r="AE1014" s="144">
        <v>204.0</v>
      </c>
      <c r="AF1014" s="144">
        <v>2.71</v>
      </c>
      <c r="AG1014" s="147" t="s">
        <v>1006</v>
      </c>
      <c r="AH1014" s="149" t="s">
        <v>1062</v>
      </c>
      <c r="AI1014" s="355">
        <v>0.001</v>
      </c>
      <c r="AJ1014" s="52" t="s">
        <v>127</v>
      </c>
      <c r="AK1014" s="147" t="s">
        <v>179</v>
      </c>
      <c r="AL1014" s="1246" t="s">
        <v>129</v>
      </c>
      <c r="AM1014" s="147" t="s">
        <v>129</v>
      </c>
      <c r="AN1014" s="144">
        <v>63.0</v>
      </c>
      <c r="AO1014" s="1251">
        <v>2.3</v>
      </c>
      <c r="AP1014" s="147" t="s">
        <v>1006</v>
      </c>
      <c r="AQ1014" s="147" t="s">
        <v>6012</v>
      </c>
      <c r="AR1014" s="144">
        <v>0.001</v>
      </c>
      <c r="AS1014" s="147" t="s">
        <v>127</v>
      </c>
      <c r="AT1014" s="147" t="s">
        <v>179</v>
      </c>
      <c r="AU1014" s="142" t="s">
        <v>129</v>
      </c>
      <c r="AV1014" s="453" t="s">
        <v>6013</v>
      </c>
      <c r="AW1014" s="147" t="s">
        <v>134</v>
      </c>
      <c r="AY1014" s="142" t="s">
        <v>244</v>
      </c>
      <c r="BA1014" s="64"/>
      <c r="BB1014" s="64"/>
      <c r="BC1014" s="64"/>
      <c r="BD1014" s="64"/>
      <c r="BE1014" s="64"/>
      <c r="BF1014" s="64"/>
      <c r="BG1014" s="64"/>
      <c r="BH1014" s="64"/>
      <c r="BI1014" s="64"/>
      <c r="BJ1014" s="64"/>
      <c r="BK1014" s="64"/>
      <c r="BL1014" s="64"/>
      <c r="BM1014" s="64"/>
      <c r="BN1014" s="64"/>
      <c r="BO1014" s="64"/>
      <c r="BP1014" s="64"/>
      <c r="BQ1014" s="64"/>
      <c r="BR1014" s="64"/>
      <c r="BS1014" s="64"/>
      <c r="BT1014" s="64"/>
      <c r="BU1014" s="64"/>
      <c r="BV1014" s="64"/>
      <c r="BW1014" s="64"/>
      <c r="BX1014" s="64"/>
      <c r="BY1014" s="64"/>
      <c r="BZ1014" s="64"/>
      <c r="CA1014" s="64"/>
      <c r="CB1014" s="64"/>
      <c r="CC1014" s="64"/>
      <c r="CD1014" s="64"/>
      <c r="CE1014" s="64"/>
      <c r="CF1014" s="64"/>
      <c r="CG1014" s="64"/>
      <c r="CH1014" s="64"/>
      <c r="CI1014" s="64"/>
      <c r="CJ1014" s="64"/>
      <c r="CK1014" s="64"/>
      <c r="CL1014" s="64"/>
      <c r="CM1014" s="64"/>
      <c r="CN1014" s="64"/>
      <c r="CO1014" s="64"/>
      <c r="CP1014" s="64"/>
      <c r="CQ1014" s="64"/>
      <c r="CR1014" s="64"/>
      <c r="CS1014" s="64"/>
      <c r="CT1014" s="64"/>
      <c r="CU1014" s="64"/>
      <c r="CV1014" s="64"/>
      <c r="CW1014" s="64"/>
      <c r="CX1014" s="64"/>
      <c r="CY1014" s="64"/>
      <c r="CZ1014" s="64"/>
      <c r="DA1014" s="64"/>
      <c r="DB1014" s="64"/>
      <c r="DC1014" s="64"/>
      <c r="DD1014" s="64"/>
      <c r="DE1014" s="64"/>
      <c r="DF1014" s="64"/>
      <c r="DG1014" s="64"/>
    </row>
    <row r="1015">
      <c r="A1015" s="60" t="s">
        <v>586</v>
      </c>
      <c r="B1015" s="136" t="s">
        <v>107</v>
      </c>
      <c r="C1015" s="41" t="s">
        <v>3672</v>
      </c>
      <c r="E1015" s="115" t="s">
        <v>5696</v>
      </c>
      <c r="F1015" s="139" t="s">
        <v>6009</v>
      </c>
      <c r="G1015" s="1247" t="s">
        <v>3673</v>
      </c>
      <c r="H1015" s="140">
        <v>45674.0</v>
      </c>
      <c r="I1015" s="140">
        <v>45691.0</v>
      </c>
      <c r="J1015" s="60"/>
      <c r="K1015" s="60" t="s">
        <v>5992</v>
      </c>
      <c r="L1015" s="147" t="s">
        <v>5699</v>
      </c>
      <c r="M1015" s="147" t="s">
        <v>5700</v>
      </c>
      <c r="N1015" s="115">
        <v>1.0</v>
      </c>
      <c r="O1015" s="147" t="str">
        <f t="shared" si="53"/>
        <v>10.1016--j.cognition.2013.02.008.pdf</v>
      </c>
      <c r="P1015" s="48" t="str">
        <f t="array" ref="P1015">HYPERLINK(INDEX('File Links'!B:B, MATCH(O1015, 'File Links'!C:C, 0)))
</f>
        <v>https://drive.google.com/file/d/1kb4iozdFSFtKZKGvaK7sOkqlr4kI2jg5/view?usp=drivesdk</v>
      </c>
      <c r="Q1015" s="1249" t="s">
        <v>5329</v>
      </c>
      <c r="R1015" s="303" t="s">
        <v>5330</v>
      </c>
      <c r="S1015" s="303" t="s">
        <v>5331</v>
      </c>
      <c r="T1015" s="144">
        <v>32.0</v>
      </c>
      <c r="U1015" s="847" t="s">
        <v>5332</v>
      </c>
      <c r="V1015" s="1212" t="s">
        <v>5333</v>
      </c>
      <c r="W1015" s="50" t="str">
        <f t="array" ref="W1015">HYPERLINK(INDEX('File Links'!B:B, MATCH(U1015, 'File Links'!C:C, 0)))
</f>
        <v>https://drive.google.com/file/d/1hjI3aqifdfXjWhQAlvKCKKtvjuncAn5M/view?usp=drivesdk</v>
      </c>
      <c r="X1015" s="60"/>
      <c r="Y1015" s="147" t="s">
        <v>156</v>
      </c>
      <c r="Z1015" s="115" t="s">
        <v>165</v>
      </c>
      <c r="AA1015" s="147" t="s">
        <v>5701</v>
      </c>
      <c r="AB1015" s="60"/>
      <c r="AC1015" s="147" t="s">
        <v>6014</v>
      </c>
      <c r="AD1015" s="144">
        <v>6.0</v>
      </c>
      <c r="AE1015" s="144">
        <v>204.0</v>
      </c>
      <c r="AF1015" s="147" t="s">
        <v>6015</v>
      </c>
      <c r="AG1015" s="147" t="s">
        <v>162</v>
      </c>
      <c r="AH1015" s="149" t="s">
        <v>1062</v>
      </c>
      <c r="AI1015" s="355">
        <v>0.001</v>
      </c>
      <c r="AJ1015" s="52" t="s">
        <v>127</v>
      </c>
      <c r="AK1015" s="147" t="s">
        <v>179</v>
      </c>
      <c r="AL1015" s="526" t="s">
        <v>821</v>
      </c>
      <c r="AM1015" s="60"/>
      <c r="AN1015" s="144">
        <v>63.0</v>
      </c>
      <c r="AO1015" s="1266" t="s">
        <v>6016</v>
      </c>
      <c r="AP1015" s="147" t="s">
        <v>162</v>
      </c>
      <c r="AQ1015" s="147" t="s">
        <v>6000</v>
      </c>
      <c r="AR1015" s="144">
        <v>0.001</v>
      </c>
      <c r="AS1015" s="147" t="s">
        <v>127</v>
      </c>
      <c r="AT1015" s="147" t="s">
        <v>179</v>
      </c>
      <c r="AU1015" s="525" t="s">
        <v>821</v>
      </c>
      <c r="AV1015" s="303" t="s">
        <v>5706</v>
      </c>
      <c r="AW1015" s="147" t="s">
        <v>134</v>
      </c>
      <c r="AY1015" s="142" t="s">
        <v>244</v>
      </c>
      <c r="BA1015" s="64"/>
      <c r="BB1015" s="64"/>
      <c r="BC1015" s="64"/>
      <c r="BD1015" s="64"/>
      <c r="BE1015" s="64"/>
      <c r="BF1015" s="64"/>
      <c r="BG1015" s="64"/>
      <c r="BH1015" s="64"/>
      <c r="BI1015" s="64"/>
      <c r="BJ1015" s="64"/>
      <c r="BK1015" s="64"/>
      <c r="BL1015" s="64"/>
      <c r="BM1015" s="64"/>
      <c r="BN1015" s="64"/>
      <c r="BO1015" s="64"/>
      <c r="BP1015" s="64"/>
      <c r="BQ1015" s="64"/>
      <c r="BR1015" s="64"/>
      <c r="BS1015" s="64"/>
      <c r="BT1015" s="64"/>
      <c r="BU1015" s="64"/>
      <c r="BV1015" s="64"/>
      <c r="BW1015" s="64"/>
      <c r="BX1015" s="64"/>
      <c r="BY1015" s="64"/>
      <c r="BZ1015" s="64"/>
      <c r="CA1015" s="64"/>
      <c r="CB1015" s="64"/>
      <c r="CC1015" s="64"/>
      <c r="CD1015" s="64"/>
      <c r="CE1015" s="64"/>
      <c r="CF1015" s="64"/>
      <c r="CG1015" s="64"/>
      <c r="CH1015" s="64"/>
      <c r="CI1015" s="64"/>
      <c r="CJ1015" s="64"/>
      <c r="CK1015" s="64"/>
      <c r="CL1015" s="64"/>
      <c r="CM1015" s="64"/>
      <c r="CN1015" s="64"/>
      <c r="CO1015" s="64"/>
      <c r="CP1015" s="64"/>
      <c r="CQ1015" s="64"/>
      <c r="CR1015" s="64"/>
      <c r="CS1015" s="64"/>
      <c r="CT1015" s="64"/>
      <c r="CU1015" s="64"/>
      <c r="CV1015" s="64"/>
      <c r="CW1015" s="64"/>
      <c r="CX1015" s="64"/>
      <c r="CY1015" s="64"/>
      <c r="CZ1015" s="64"/>
      <c r="DA1015" s="64"/>
      <c r="DB1015" s="64"/>
      <c r="DC1015" s="64"/>
      <c r="DD1015" s="64"/>
      <c r="DE1015" s="64"/>
      <c r="DF1015" s="64"/>
      <c r="DG1015" s="64"/>
    </row>
    <row r="1016">
      <c r="A1016" s="142" t="s">
        <v>586</v>
      </c>
      <c r="B1016" s="136" t="s">
        <v>107</v>
      </c>
      <c r="C1016" s="41" t="s">
        <v>243</v>
      </c>
      <c r="E1016" s="115" t="s">
        <v>5696</v>
      </c>
      <c r="F1016" s="147" t="s">
        <v>6017</v>
      </c>
      <c r="G1016" s="1247" t="s">
        <v>244</v>
      </c>
      <c r="H1016" s="140">
        <v>45691.0</v>
      </c>
      <c r="I1016" s="140">
        <v>45691.0</v>
      </c>
      <c r="J1016" s="60"/>
      <c r="K1016" s="60" t="s">
        <v>5992</v>
      </c>
      <c r="L1016" s="147" t="s">
        <v>5699</v>
      </c>
      <c r="M1016" s="147" t="s">
        <v>5700</v>
      </c>
      <c r="N1016" s="115">
        <v>1.0</v>
      </c>
      <c r="O1016" s="147" t="str">
        <f t="shared" si="53"/>
        <v>10.1016--j.cognition.2013.02.008.pdf</v>
      </c>
      <c r="P1016" s="48" t="str">
        <f t="array" ref="P1016">HYPERLINK(INDEX('File Links'!B:B, MATCH(O1016, 'File Links'!C:C, 0)))
</f>
        <v>https://drive.google.com/file/d/1kb4iozdFSFtKZKGvaK7sOkqlr4kI2jg5/view?usp=drivesdk</v>
      </c>
      <c r="Q1016" s="1249" t="s">
        <v>5329</v>
      </c>
      <c r="R1016" s="303" t="s">
        <v>5330</v>
      </c>
      <c r="S1016" s="303" t="s">
        <v>5331</v>
      </c>
      <c r="T1016" s="60"/>
      <c r="U1016" s="847" t="s">
        <v>5332</v>
      </c>
      <c r="V1016" s="1212" t="s">
        <v>5333</v>
      </c>
      <c r="W1016" s="50" t="str">
        <f t="array" ref="W1016">HYPERLINK(INDEX('File Links'!B:B, MATCH(U1016, 'File Links'!C:C, 0)))
</f>
        <v>https://drive.google.com/file/d/1hjI3aqifdfXjWhQAlvKCKKtvjuncAn5M/view?usp=drivesdk</v>
      </c>
      <c r="X1016" s="60"/>
      <c r="Y1016" s="147" t="s">
        <v>156</v>
      </c>
      <c r="Z1016" s="115" t="s">
        <v>165</v>
      </c>
      <c r="AA1016" s="147" t="s">
        <v>6018</v>
      </c>
      <c r="AB1016" s="60"/>
      <c r="AC1016" s="147" t="s">
        <v>6019</v>
      </c>
      <c r="AD1016" s="144" t="s">
        <v>1062</v>
      </c>
      <c r="AE1016" s="144">
        <v>197.0</v>
      </c>
      <c r="AF1016" s="144">
        <v>1.45</v>
      </c>
      <c r="AG1016" s="147" t="s">
        <v>1006</v>
      </c>
      <c r="AH1016" s="149" t="s">
        <v>1062</v>
      </c>
      <c r="AI1016" s="355">
        <v>0.001</v>
      </c>
      <c r="AJ1016" s="52" t="s">
        <v>127</v>
      </c>
      <c r="AK1016" s="147" t="s">
        <v>179</v>
      </c>
      <c r="AL1016" s="1246" t="s">
        <v>129</v>
      </c>
      <c r="AM1016" s="147" t="s">
        <v>129</v>
      </c>
      <c r="AN1016" s="144">
        <v>63.0</v>
      </c>
      <c r="AO1016" s="1251">
        <v>1.44</v>
      </c>
      <c r="AP1016" s="147" t="s">
        <v>1006</v>
      </c>
      <c r="AQ1016" s="147" t="s">
        <v>6020</v>
      </c>
      <c r="AR1016" s="144">
        <v>0.001</v>
      </c>
      <c r="AS1016" s="147" t="s">
        <v>127</v>
      </c>
      <c r="AT1016" s="147" t="s">
        <v>179</v>
      </c>
      <c r="AU1016" s="142" t="s">
        <v>129</v>
      </c>
      <c r="AV1016" s="453" t="s">
        <v>6021</v>
      </c>
      <c r="AW1016" s="147" t="s">
        <v>134</v>
      </c>
      <c r="AY1016" s="142" t="s">
        <v>244</v>
      </c>
      <c r="BA1016" s="64"/>
      <c r="BB1016" s="64"/>
      <c r="BC1016" s="64"/>
      <c r="BD1016" s="64"/>
      <c r="BE1016" s="64"/>
      <c r="BF1016" s="64"/>
      <c r="BG1016" s="64"/>
      <c r="BH1016" s="64"/>
      <c r="BI1016" s="64"/>
      <c r="BJ1016" s="64"/>
      <c r="BK1016" s="64"/>
      <c r="BL1016" s="64"/>
      <c r="BM1016" s="64"/>
      <c r="BN1016" s="64"/>
      <c r="BO1016" s="64"/>
      <c r="BP1016" s="64"/>
      <c r="BQ1016" s="64"/>
      <c r="BR1016" s="64"/>
      <c r="BS1016" s="64"/>
      <c r="BT1016" s="64"/>
      <c r="BU1016" s="64"/>
      <c r="BV1016" s="64"/>
      <c r="BW1016" s="64"/>
      <c r="BX1016" s="64"/>
      <c r="BY1016" s="64"/>
      <c r="BZ1016" s="64"/>
      <c r="CA1016" s="64"/>
      <c r="CB1016" s="64"/>
      <c r="CC1016" s="64"/>
      <c r="CD1016" s="64"/>
      <c r="CE1016" s="64"/>
      <c r="CF1016" s="64"/>
      <c r="CG1016" s="64"/>
      <c r="CH1016" s="64"/>
      <c r="CI1016" s="64"/>
      <c r="CJ1016" s="64"/>
      <c r="CK1016" s="64"/>
      <c r="CL1016" s="64"/>
      <c r="CM1016" s="64"/>
      <c r="CN1016" s="64"/>
      <c r="CO1016" s="64"/>
      <c r="CP1016" s="64"/>
      <c r="CQ1016" s="64"/>
      <c r="CR1016" s="64"/>
      <c r="CS1016" s="64"/>
      <c r="CT1016" s="64"/>
      <c r="CU1016" s="64"/>
      <c r="CV1016" s="64"/>
      <c r="CW1016" s="64"/>
      <c r="CX1016" s="64"/>
      <c r="CY1016" s="64"/>
      <c r="CZ1016" s="64"/>
      <c r="DA1016" s="64"/>
      <c r="DB1016" s="64"/>
      <c r="DC1016" s="64"/>
      <c r="DD1016" s="64"/>
      <c r="DE1016" s="64"/>
      <c r="DF1016" s="64"/>
      <c r="DG1016" s="64"/>
    </row>
    <row r="1017">
      <c r="A1017" s="142" t="s">
        <v>586</v>
      </c>
      <c r="B1017" s="136" t="s">
        <v>107</v>
      </c>
      <c r="C1017" s="41" t="s">
        <v>3672</v>
      </c>
      <c r="E1017" s="115" t="s">
        <v>5696</v>
      </c>
      <c r="F1017" s="139" t="s">
        <v>6017</v>
      </c>
      <c r="G1017" s="1247" t="s">
        <v>3673</v>
      </c>
      <c r="H1017" s="140">
        <v>45674.0</v>
      </c>
      <c r="I1017" s="140">
        <v>45691.0</v>
      </c>
      <c r="J1017" s="60"/>
      <c r="K1017" s="60" t="s">
        <v>5992</v>
      </c>
      <c r="L1017" s="147" t="s">
        <v>5699</v>
      </c>
      <c r="M1017" s="147" t="s">
        <v>5700</v>
      </c>
      <c r="N1017" s="115">
        <v>1.0</v>
      </c>
      <c r="O1017" s="147" t="str">
        <f t="shared" si="53"/>
        <v>10.1016--j.cognition.2013.02.008.pdf</v>
      </c>
      <c r="P1017" s="48" t="str">
        <f t="array" ref="P1017">HYPERLINK(INDEX('File Links'!B:B, MATCH(O1017, 'File Links'!C:C, 0)))
</f>
        <v>https://drive.google.com/file/d/1kb4iozdFSFtKZKGvaK7sOkqlr4kI2jg5/view?usp=drivesdk</v>
      </c>
      <c r="Q1017" s="1249" t="s">
        <v>5329</v>
      </c>
      <c r="R1017" s="303" t="s">
        <v>5330</v>
      </c>
      <c r="S1017" s="303" t="s">
        <v>5331</v>
      </c>
      <c r="T1017" s="144">
        <v>32.0</v>
      </c>
      <c r="U1017" s="847" t="s">
        <v>5332</v>
      </c>
      <c r="V1017" s="1212" t="s">
        <v>5333</v>
      </c>
      <c r="W1017" s="50" t="str">
        <f t="array" ref="W1017">HYPERLINK(INDEX('File Links'!B:B, MATCH(U1017, 'File Links'!C:C, 0)))
</f>
        <v>https://drive.google.com/file/d/1hjI3aqifdfXjWhQAlvKCKKtvjuncAn5M/view?usp=drivesdk</v>
      </c>
      <c r="X1017" s="60"/>
      <c r="Y1017" s="147" t="s">
        <v>156</v>
      </c>
      <c r="Z1017" s="115" t="s">
        <v>165</v>
      </c>
      <c r="AA1017" s="147" t="s">
        <v>5701</v>
      </c>
      <c r="AB1017" s="60"/>
      <c r="AC1017" s="147" t="s">
        <v>6022</v>
      </c>
      <c r="AD1017" s="144">
        <v>6.0</v>
      </c>
      <c r="AE1017" s="144">
        <v>197.0</v>
      </c>
      <c r="AF1017" s="147" t="s">
        <v>6023</v>
      </c>
      <c r="AG1017" s="147" t="s">
        <v>162</v>
      </c>
      <c r="AH1017" s="149" t="s">
        <v>1062</v>
      </c>
      <c r="AI1017" s="355">
        <v>0.001</v>
      </c>
      <c r="AJ1017" s="52" t="s">
        <v>127</v>
      </c>
      <c r="AK1017" s="147" t="s">
        <v>179</v>
      </c>
      <c r="AL1017" s="526" t="s">
        <v>821</v>
      </c>
      <c r="AM1017" s="60"/>
      <c r="AN1017" s="144">
        <v>63.0</v>
      </c>
      <c r="AO1017" s="1266" t="s">
        <v>6024</v>
      </c>
      <c r="AP1017" s="147" t="s">
        <v>162</v>
      </c>
      <c r="AQ1017" s="147" t="s">
        <v>6000</v>
      </c>
      <c r="AR1017" s="144">
        <v>0.001</v>
      </c>
      <c r="AS1017" s="147" t="s">
        <v>127</v>
      </c>
      <c r="AT1017" s="147" t="s">
        <v>179</v>
      </c>
      <c r="AU1017" s="525" t="s">
        <v>821</v>
      </c>
      <c r="AV1017" s="303" t="s">
        <v>5706</v>
      </c>
      <c r="AW1017" s="147" t="s">
        <v>134</v>
      </c>
      <c r="AY1017" s="142" t="s">
        <v>244</v>
      </c>
      <c r="AZ1017" s="475">
        <v>58.0</v>
      </c>
      <c r="BA1017" s="64"/>
      <c r="BB1017" s="64"/>
      <c r="BC1017" s="64"/>
      <c r="BD1017" s="64"/>
      <c r="BE1017" s="64"/>
      <c r="BF1017" s="64"/>
      <c r="BG1017" s="64"/>
      <c r="BH1017" s="64"/>
      <c r="BI1017" s="64"/>
      <c r="BJ1017" s="64"/>
      <c r="BK1017" s="64"/>
      <c r="BL1017" s="64"/>
      <c r="BM1017" s="64"/>
      <c r="BN1017" s="64"/>
      <c r="BO1017" s="64"/>
      <c r="BP1017" s="64"/>
      <c r="BQ1017" s="64"/>
      <c r="BR1017" s="64"/>
      <c r="BS1017" s="64"/>
      <c r="BT1017" s="64"/>
      <c r="BU1017" s="64"/>
      <c r="BV1017" s="64"/>
      <c r="BW1017" s="64"/>
      <c r="BX1017" s="64"/>
      <c r="BY1017" s="64"/>
      <c r="BZ1017" s="64"/>
      <c r="CA1017" s="64"/>
      <c r="CB1017" s="64"/>
      <c r="CC1017" s="64"/>
      <c r="CD1017" s="64"/>
      <c r="CE1017" s="64"/>
      <c r="CF1017" s="64"/>
      <c r="CG1017" s="64"/>
      <c r="CH1017" s="64"/>
      <c r="CI1017" s="64"/>
      <c r="CJ1017" s="64"/>
      <c r="CK1017" s="64"/>
      <c r="CL1017" s="64"/>
      <c r="CM1017" s="64"/>
      <c r="CN1017" s="64"/>
      <c r="CO1017" s="64"/>
      <c r="CP1017" s="64"/>
      <c r="CQ1017" s="64"/>
      <c r="CR1017" s="64"/>
      <c r="CS1017" s="64"/>
      <c r="CT1017" s="64"/>
      <c r="CU1017" s="64"/>
      <c r="CV1017" s="64"/>
      <c r="CW1017" s="64"/>
      <c r="CX1017" s="64"/>
      <c r="CY1017" s="64"/>
      <c r="CZ1017" s="64"/>
      <c r="DA1017" s="64"/>
      <c r="DB1017" s="64"/>
      <c r="DC1017" s="64"/>
      <c r="DD1017" s="64"/>
      <c r="DE1017" s="64"/>
      <c r="DF1017" s="64"/>
      <c r="DG1017" s="64"/>
    </row>
    <row r="1018">
      <c r="A1018" s="60" t="s">
        <v>586</v>
      </c>
      <c r="B1018" s="136" t="s">
        <v>107</v>
      </c>
      <c r="C1018" s="41" t="s">
        <v>243</v>
      </c>
      <c r="E1018" s="115" t="s">
        <v>5696</v>
      </c>
      <c r="F1018" s="147" t="s">
        <v>6025</v>
      </c>
      <c r="G1018" s="1247" t="s">
        <v>244</v>
      </c>
      <c r="H1018" s="140">
        <v>45691.0</v>
      </c>
      <c r="I1018" s="140">
        <v>45691.0</v>
      </c>
      <c r="J1018" s="60"/>
      <c r="K1018" s="60" t="s">
        <v>5992</v>
      </c>
      <c r="L1018" s="147" t="s">
        <v>5699</v>
      </c>
      <c r="M1018" s="147" t="s">
        <v>5700</v>
      </c>
      <c r="N1018" s="115">
        <v>1.0</v>
      </c>
      <c r="O1018" s="147" t="str">
        <f t="shared" si="53"/>
        <v>10.1016--j.cognition.2013.02.008.pdf</v>
      </c>
      <c r="P1018" s="48" t="str">
        <f t="array" ref="P1018">HYPERLINK(INDEX('File Links'!B:B, MATCH(O1018, 'File Links'!C:C, 0)))
</f>
        <v>https://drive.google.com/file/d/1kb4iozdFSFtKZKGvaK7sOkqlr4kI2jg5/view?usp=drivesdk</v>
      </c>
      <c r="Q1018" s="1249" t="s">
        <v>5329</v>
      </c>
      <c r="R1018" s="303" t="s">
        <v>5330</v>
      </c>
      <c r="S1018" s="303" t="s">
        <v>5331</v>
      </c>
      <c r="T1018" s="60"/>
      <c r="U1018" s="847" t="s">
        <v>5332</v>
      </c>
      <c r="V1018" s="1212" t="s">
        <v>5333</v>
      </c>
      <c r="W1018" s="50" t="str">
        <f t="array" ref="W1018">HYPERLINK(INDEX('File Links'!B:B, MATCH(U1018, 'File Links'!C:C, 0)))
</f>
        <v>https://drive.google.com/file/d/1hjI3aqifdfXjWhQAlvKCKKtvjuncAn5M/view?usp=drivesdk</v>
      </c>
      <c r="X1018" s="60"/>
      <c r="Y1018" s="147" t="s">
        <v>156</v>
      </c>
      <c r="Z1018" s="115" t="s">
        <v>165</v>
      </c>
      <c r="AA1018" s="147" t="s">
        <v>6026</v>
      </c>
      <c r="AB1018" s="60"/>
      <c r="AC1018" s="147" t="s">
        <v>6027</v>
      </c>
      <c r="AD1018" s="144" t="s">
        <v>1062</v>
      </c>
      <c r="AE1018" s="144">
        <v>196.0</v>
      </c>
      <c r="AF1018" s="144">
        <v>1.13</v>
      </c>
      <c r="AG1018" s="147" t="s">
        <v>1006</v>
      </c>
      <c r="AH1018" s="149" t="s">
        <v>1062</v>
      </c>
      <c r="AI1018" s="355">
        <v>0.001</v>
      </c>
      <c r="AJ1018" s="52" t="s">
        <v>127</v>
      </c>
      <c r="AK1018" s="147" t="s">
        <v>179</v>
      </c>
      <c r="AL1018" s="1246" t="s">
        <v>129</v>
      </c>
      <c r="AM1018" s="147" t="s">
        <v>129</v>
      </c>
      <c r="AN1018" s="144">
        <v>63.0</v>
      </c>
      <c r="AO1018" s="1251">
        <v>1.07</v>
      </c>
      <c r="AP1018" s="147" t="s">
        <v>1006</v>
      </c>
      <c r="AQ1018" s="147" t="s">
        <v>6028</v>
      </c>
      <c r="AR1018" s="144">
        <v>0.001</v>
      </c>
      <c r="AS1018" s="147" t="s">
        <v>127</v>
      </c>
      <c r="AT1018" s="147" t="s">
        <v>179</v>
      </c>
      <c r="AU1018" s="142" t="s">
        <v>129</v>
      </c>
      <c r="AV1018" s="453" t="s">
        <v>6029</v>
      </c>
      <c r="AW1018" s="147" t="s">
        <v>134</v>
      </c>
      <c r="AY1018" s="142" t="s">
        <v>244</v>
      </c>
      <c r="BA1018" s="64"/>
      <c r="BB1018" s="64"/>
      <c r="BC1018" s="64"/>
      <c r="BD1018" s="64"/>
      <c r="BE1018" s="64"/>
      <c r="BF1018" s="64"/>
      <c r="BG1018" s="64"/>
      <c r="BH1018" s="64"/>
      <c r="BI1018" s="64"/>
      <c r="BJ1018" s="64"/>
      <c r="BK1018" s="64"/>
      <c r="BL1018" s="64"/>
      <c r="BM1018" s="64"/>
      <c r="BN1018" s="64"/>
      <c r="BO1018" s="64"/>
      <c r="BP1018" s="64"/>
      <c r="BQ1018" s="64"/>
      <c r="BR1018" s="64"/>
      <c r="BS1018" s="64"/>
      <c r="BT1018" s="64"/>
      <c r="BU1018" s="64"/>
      <c r="BV1018" s="64"/>
      <c r="BW1018" s="64"/>
      <c r="BX1018" s="64"/>
      <c r="BY1018" s="64"/>
      <c r="BZ1018" s="64"/>
      <c r="CA1018" s="64"/>
      <c r="CB1018" s="64"/>
      <c r="CC1018" s="64"/>
      <c r="CD1018" s="64"/>
      <c r="CE1018" s="64"/>
      <c r="CF1018" s="64"/>
      <c r="CG1018" s="64"/>
      <c r="CH1018" s="64"/>
      <c r="CI1018" s="64"/>
      <c r="CJ1018" s="64"/>
      <c r="CK1018" s="64"/>
      <c r="CL1018" s="64"/>
      <c r="CM1018" s="64"/>
      <c r="CN1018" s="64"/>
      <c r="CO1018" s="64"/>
      <c r="CP1018" s="64"/>
      <c r="CQ1018" s="64"/>
      <c r="CR1018" s="64"/>
      <c r="CS1018" s="64"/>
      <c r="CT1018" s="64"/>
      <c r="CU1018" s="64"/>
      <c r="CV1018" s="64"/>
      <c r="CW1018" s="64"/>
      <c r="CX1018" s="64"/>
      <c r="CY1018" s="64"/>
      <c r="CZ1018" s="64"/>
      <c r="DA1018" s="64"/>
      <c r="DB1018" s="64"/>
      <c r="DC1018" s="64"/>
      <c r="DD1018" s="64"/>
      <c r="DE1018" s="64"/>
      <c r="DF1018" s="64"/>
      <c r="DG1018" s="64"/>
    </row>
    <row r="1019">
      <c r="A1019" s="60" t="s">
        <v>586</v>
      </c>
      <c r="B1019" s="136" t="s">
        <v>107</v>
      </c>
      <c r="C1019" s="41" t="s">
        <v>3672</v>
      </c>
      <c r="E1019" s="115" t="s">
        <v>5696</v>
      </c>
      <c r="F1019" s="139" t="s">
        <v>6025</v>
      </c>
      <c r="G1019" s="1247" t="s">
        <v>3673</v>
      </c>
      <c r="H1019" s="140">
        <v>45674.0</v>
      </c>
      <c r="I1019" s="140">
        <v>45691.0</v>
      </c>
      <c r="J1019" s="60"/>
      <c r="K1019" s="60" t="s">
        <v>5992</v>
      </c>
      <c r="L1019" s="147" t="s">
        <v>5699</v>
      </c>
      <c r="M1019" s="147" t="s">
        <v>5700</v>
      </c>
      <c r="N1019" s="115">
        <v>1.0</v>
      </c>
      <c r="O1019" s="147" t="str">
        <f t="shared" si="53"/>
        <v>10.1016--j.cognition.2013.02.008.pdf</v>
      </c>
      <c r="P1019" s="48" t="str">
        <f t="array" ref="P1019">HYPERLINK(INDEX('File Links'!B:B, MATCH(O1019, 'File Links'!C:C, 0)))
</f>
        <v>https://drive.google.com/file/d/1kb4iozdFSFtKZKGvaK7sOkqlr4kI2jg5/view?usp=drivesdk</v>
      </c>
      <c r="Q1019" s="1249" t="s">
        <v>5329</v>
      </c>
      <c r="R1019" s="303" t="s">
        <v>5330</v>
      </c>
      <c r="S1019" s="303" t="s">
        <v>5331</v>
      </c>
      <c r="T1019" s="144">
        <v>32.0</v>
      </c>
      <c r="U1019" s="847" t="s">
        <v>5332</v>
      </c>
      <c r="V1019" s="1212" t="s">
        <v>5333</v>
      </c>
      <c r="W1019" s="50" t="str">
        <f t="array" ref="W1019">HYPERLINK(INDEX('File Links'!B:B, MATCH(U1019, 'File Links'!C:C, 0)))
</f>
        <v>https://drive.google.com/file/d/1hjI3aqifdfXjWhQAlvKCKKtvjuncAn5M/view?usp=drivesdk</v>
      </c>
      <c r="X1019" s="60"/>
      <c r="Y1019" s="147" t="s">
        <v>156</v>
      </c>
      <c r="Z1019" s="115" t="s">
        <v>165</v>
      </c>
      <c r="AA1019" s="147" t="s">
        <v>5701</v>
      </c>
      <c r="AB1019" s="60"/>
      <c r="AC1019" s="147" t="s">
        <v>6030</v>
      </c>
      <c r="AD1019" s="144">
        <v>6.0</v>
      </c>
      <c r="AE1019" s="144">
        <v>196.0</v>
      </c>
      <c r="AF1019" s="147" t="s">
        <v>6031</v>
      </c>
      <c r="AG1019" s="147" t="s">
        <v>162</v>
      </c>
      <c r="AH1019" s="149" t="s">
        <v>1062</v>
      </c>
      <c r="AI1019" s="355">
        <v>0.001</v>
      </c>
      <c r="AJ1019" s="52" t="s">
        <v>127</v>
      </c>
      <c r="AK1019" s="147" t="s">
        <v>179</v>
      </c>
      <c r="AL1019" s="526" t="s">
        <v>821</v>
      </c>
      <c r="AM1019" s="60"/>
      <c r="AN1019" s="144">
        <v>63.0</v>
      </c>
      <c r="AO1019" s="1266" t="s">
        <v>6032</v>
      </c>
      <c r="AP1019" s="147" t="s">
        <v>162</v>
      </c>
      <c r="AQ1019" s="147" t="s">
        <v>6000</v>
      </c>
      <c r="AR1019" s="144">
        <v>0.001</v>
      </c>
      <c r="AS1019" s="147" t="s">
        <v>127</v>
      </c>
      <c r="AT1019" s="147" t="s">
        <v>179</v>
      </c>
      <c r="AU1019" s="525" t="s">
        <v>821</v>
      </c>
      <c r="AV1019" s="303" t="s">
        <v>5706</v>
      </c>
      <c r="AW1019" s="147" t="s">
        <v>134</v>
      </c>
      <c r="AY1019" s="142" t="s">
        <v>244</v>
      </c>
      <c r="BA1019" s="64"/>
      <c r="BB1019" s="64"/>
      <c r="BC1019" s="64"/>
      <c r="BD1019" s="64"/>
      <c r="BE1019" s="64"/>
      <c r="BF1019" s="64"/>
      <c r="BG1019" s="64"/>
      <c r="BH1019" s="64"/>
      <c r="BI1019" s="64"/>
      <c r="BJ1019" s="64"/>
      <c r="BK1019" s="64"/>
      <c r="BL1019" s="64"/>
      <c r="BM1019" s="64"/>
      <c r="BN1019" s="64"/>
      <c r="BO1019" s="64"/>
      <c r="BP1019" s="64"/>
      <c r="BQ1019" s="64"/>
      <c r="BR1019" s="64"/>
      <c r="BS1019" s="64"/>
      <c r="BT1019" s="64"/>
      <c r="BU1019" s="64"/>
      <c r="BV1019" s="64"/>
      <c r="BW1019" s="64"/>
      <c r="BX1019" s="64"/>
      <c r="BY1019" s="64"/>
      <c r="BZ1019" s="64"/>
      <c r="CA1019" s="64"/>
      <c r="CB1019" s="64"/>
      <c r="CC1019" s="64"/>
      <c r="CD1019" s="64"/>
      <c r="CE1019" s="64"/>
      <c r="CF1019" s="64"/>
      <c r="CG1019" s="64"/>
      <c r="CH1019" s="64"/>
      <c r="CI1019" s="64"/>
      <c r="CJ1019" s="64"/>
      <c r="CK1019" s="64"/>
      <c r="CL1019" s="64"/>
      <c r="CM1019" s="64"/>
      <c r="CN1019" s="64"/>
      <c r="CO1019" s="64"/>
      <c r="CP1019" s="64"/>
      <c r="CQ1019" s="64"/>
      <c r="CR1019" s="64"/>
      <c r="CS1019" s="64"/>
      <c r="CT1019" s="64"/>
      <c r="CU1019" s="64"/>
      <c r="CV1019" s="64"/>
      <c r="CW1019" s="64"/>
      <c r="CX1019" s="64"/>
      <c r="CY1019" s="64"/>
      <c r="CZ1019" s="64"/>
      <c r="DA1019" s="64"/>
      <c r="DB1019" s="64"/>
      <c r="DC1019" s="64"/>
      <c r="DD1019" s="64"/>
      <c r="DE1019" s="64"/>
      <c r="DF1019" s="64"/>
      <c r="DG1019" s="64"/>
    </row>
    <row r="1020">
      <c r="A1020" s="60" t="s">
        <v>143</v>
      </c>
      <c r="B1020" s="136" t="s">
        <v>107</v>
      </c>
      <c r="C1020" s="41" t="s">
        <v>243</v>
      </c>
      <c r="E1020" s="115" t="s">
        <v>5696</v>
      </c>
      <c r="F1020" s="147" t="s">
        <v>6033</v>
      </c>
      <c r="G1020" s="1247" t="s">
        <v>244</v>
      </c>
      <c r="H1020" s="140">
        <v>45691.0</v>
      </c>
      <c r="I1020" s="140">
        <v>45691.0</v>
      </c>
      <c r="J1020" s="60"/>
      <c r="K1020" s="60" t="s">
        <v>5936</v>
      </c>
      <c r="L1020" s="147" t="s">
        <v>5699</v>
      </c>
      <c r="M1020" s="147" t="s">
        <v>5700</v>
      </c>
      <c r="N1020" s="115">
        <v>1.0</v>
      </c>
      <c r="O1020" s="147" t="str">
        <f t="shared" si="53"/>
        <v>10.1016--j.cognition.2013.02.008.pdf</v>
      </c>
      <c r="P1020" s="48" t="str">
        <f t="array" ref="P1020">HYPERLINK(INDEX('File Links'!B:B, MATCH(O1020, 'File Links'!C:C, 0)))
</f>
        <v>https://drive.google.com/file/d/1kb4iozdFSFtKZKGvaK7sOkqlr4kI2jg5/view?usp=drivesdk</v>
      </c>
      <c r="Q1020" s="1249" t="s">
        <v>5329</v>
      </c>
      <c r="R1020" s="303" t="s">
        <v>5330</v>
      </c>
      <c r="S1020" s="303" t="s">
        <v>5331</v>
      </c>
      <c r="T1020" s="60"/>
      <c r="U1020" s="847" t="s">
        <v>5332</v>
      </c>
      <c r="V1020" s="1212" t="s">
        <v>5333</v>
      </c>
      <c r="W1020" s="50" t="str">
        <f t="array" ref="W1020">HYPERLINK(INDEX('File Links'!B:B, MATCH(U1020, 'File Links'!C:C, 0)))
</f>
        <v>https://drive.google.com/file/d/1hjI3aqifdfXjWhQAlvKCKKtvjuncAn5M/view?usp=drivesdk</v>
      </c>
      <c r="X1020" s="60"/>
      <c r="Y1020" s="147" t="s">
        <v>156</v>
      </c>
      <c r="Z1020" s="115" t="s">
        <v>165</v>
      </c>
      <c r="AA1020" s="147" t="s">
        <v>6034</v>
      </c>
      <c r="AB1020" s="60"/>
      <c r="AC1020" s="147" t="s">
        <v>6011</v>
      </c>
      <c r="AD1020" s="144" t="s">
        <v>1062</v>
      </c>
      <c r="AE1020" s="144">
        <v>204.0</v>
      </c>
      <c r="AF1020" s="144">
        <v>1.62</v>
      </c>
      <c r="AG1020" s="147" t="s">
        <v>1006</v>
      </c>
      <c r="AH1020" s="149" t="s">
        <v>1062</v>
      </c>
      <c r="AI1020" s="355">
        <v>0.001</v>
      </c>
      <c r="AJ1020" s="52" t="s">
        <v>127</v>
      </c>
      <c r="AK1020" s="147" t="s">
        <v>179</v>
      </c>
      <c r="AL1020" s="1246" t="s">
        <v>129</v>
      </c>
      <c r="AM1020" s="147" t="s">
        <v>129</v>
      </c>
      <c r="AN1020" s="144">
        <v>63.0</v>
      </c>
      <c r="AO1020" s="1251">
        <v>1.32</v>
      </c>
      <c r="AP1020" s="147" t="s">
        <v>1006</v>
      </c>
      <c r="AQ1020" s="147" t="s">
        <v>6035</v>
      </c>
      <c r="AR1020" s="144">
        <v>0.001</v>
      </c>
      <c r="AS1020" s="147" t="s">
        <v>127</v>
      </c>
      <c r="AT1020" s="147" t="s">
        <v>179</v>
      </c>
      <c r="AU1020" s="142" t="s">
        <v>129</v>
      </c>
      <c r="AV1020" s="453" t="s">
        <v>6036</v>
      </c>
      <c r="AW1020" s="147" t="s">
        <v>134</v>
      </c>
      <c r="AY1020" s="142" t="s">
        <v>244</v>
      </c>
      <c r="BA1020" s="64"/>
      <c r="BB1020" s="64"/>
      <c r="BC1020" s="64"/>
      <c r="BD1020" s="64"/>
      <c r="BE1020" s="64"/>
      <c r="BF1020" s="64"/>
      <c r="BG1020" s="64"/>
      <c r="BH1020" s="64"/>
      <c r="BI1020" s="64"/>
      <c r="BJ1020" s="64"/>
      <c r="BK1020" s="64"/>
      <c r="BL1020" s="64"/>
      <c r="BM1020" s="64"/>
      <c r="BN1020" s="64"/>
      <c r="BO1020" s="64"/>
      <c r="BP1020" s="64"/>
      <c r="BQ1020" s="64"/>
      <c r="BR1020" s="64"/>
      <c r="BS1020" s="64"/>
      <c r="BT1020" s="64"/>
      <c r="BU1020" s="64"/>
      <c r="BV1020" s="64"/>
      <c r="BW1020" s="64"/>
      <c r="BX1020" s="64"/>
      <c r="BY1020" s="64"/>
      <c r="BZ1020" s="64"/>
      <c r="CA1020" s="64"/>
      <c r="CB1020" s="64"/>
      <c r="CC1020" s="64"/>
      <c r="CD1020" s="64"/>
      <c r="CE1020" s="64"/>
      <c r="CF1020" s="64"/>
      <c r="CG1020" s="64"/>
      <c r="CH1020" s="64"/>
      <c r="CI1020" s="64"/>
      <c r="CJ1020" s="64"/>
      <c r="CK1020" s="64"/>
      <c r="CL1020" s="64"/>
      <c r="CM1020" s="64"/>
      <c r="CN1020" s="64"/>
      <c r="CO1020" s="64"/>
      <c r="CP1020" s="64"/>
      <c r="CQ1020" s="64"/>
      <c r="CR1020" s="64"/>
      <c r="CS1020" s="64"/>
      <c r="CT1020" s="64"/>
      <c r="CU1020" s="64"/>
      <c r="CV1020" s="64"/>
      <c r="CW1020" s="64"/>
      <c r="CX1020" s="64"/>
      <c r="CY1020" s="64"/>
      <c r="CZ1020" s="64"/>
      <c r="DA1020" s="64"/>
      <c r="DB1020" s="64"/>
      <c r="DC1020" s="64"/>
      <c r="DD1020" s="64"/>
      <c r="DE1020" s="64"/>
      <c r="DF1020" s="64"/>
      <c r="DG1020" s="64"/>
    </row>
    <row r="1021">
      <c r="A1021" s="60" t="s">
        <v>143</v>
      </c>
      <c r="B1021" s="136" t="s">
        <v>107</v>
      </c>
      <c r="C1021" s="41" t="s">
        <v>3672</v>
      </c>
      <c r="E1021" s="115" t="s">
        <v>5715</v>
      </c>
      <c r="F1021" s="139" t="s">
        <v>6037</v>
      </c>
      <c r="G1021" s="1247" t="s">
        <v>3673</v>
      </c>
      <c r="H1021" s="140">
        <v>45674.0</v>
      </c>
      <c r="I1021" s="140">
        <v>45691.0</v>
      </c>
      <c r="J1021" s="60"/>
      <c r="K1021" s="60" t="s">
        <v>5936</v>
      </c>
      <c r="L1021" s="147" t="s">
        <v>5718</v>
      </c>
      <c r="M1021" s="147" t="s">
        <v>5719</v>
      </c>
      <c r="N1021" s="144">
        <v>1.0</v>
      </c>
      <c r="O1021" s="147" t="str">
        <f t="shared" si="53"/>
        <v>10.1017--epi.2013.23.pdf</v>
      </c>
      <c r="P1021" s="48" t="str">
        <f t="array" ref="P1021">HYPERLINK(INDEX('File Links'!B:B, MATCH(O1021, 'File Links'!C:C, 0)))
</f>
        <v>https://drive.google.com/file/d/1xs7muWdyYdblxSMymp-O09c44czfutsh/view?usp=drivesdk</v>
      </c>
      <c r="Q1021" s="1249" t="s">
        <v>5329</v>
      </c>
      <c r="R1021" s="303" t="s">
        <v>5330</v>
      </c>
      <c r="S1021" s="303" t="s">
        <v>5331</v>
      </c>
      <c r="T1021" s="144">
        <v>33.0</v>
      </c>
      <c r="U1021" s="847" t="s">
        <v>5332</v>
      </c>
      <c r="V1021" s="1212" t="s">
        <v>5333</v>
      </c>
      <c r="W1021" s="50" t="str">
        <f t="array" ref="W1021">HYPERLINK(INDEX('File Links'!B:B, MATCH(U1021, 'File Links'!C:C, 0)))
</f>
        <v>https://drive.google.com/file/d/1hjI3aqifdfXjWhQAlvKCKKtvjuncAn5M/view?usp=drivesdk</v>
      </c>
      <c r="X1021" s="60"/>
      <c r="Y1021" s="147" t="s">
        <v>156</v>
      </c>
      <c r="Z1021" s="115" t="s">
        <v>165</v>
      </c>
      <c r="AA1021" s="147" t="s">
        <v>5720</v>
      </c>
      <c r="AB1021" s="60"/>
      <c r="AC1021" s="147" t="s">
        <v>6038</v>
      </c>
      <c r="AD1021" s="144">
        <v>9.0</v>
      </c>
      <c r="AE1021" s="144">
        <v>376.0</v>
      </c>
      <c r="AF1021" s="147" t="s">
        <v>6039</v>
      </c>
      <c r="AG1021" s="147" t="s">
        <v>162</v>
      </c>
      <c r="AH1021" s="330" t="s">
        <v>625</v>
      </c>
      <c r="AI1021" s="355">
        <v>0.05</v>
      </c>
      <c r="AJ1021" s="52" t="s">
        <v>127</v>
      </c>
      <c r="AK1021" s="147" t="s">
        <v>179</v>
      </c>
      <c r="AL1021" s="52" t="s">
        <v>129</v>
      </c>
      <c r="AM1021" s="60"/>
      <c r="AN1021" s="144">
        <v>418.0</v>
      </c>
      <c r="AO1021" s="147" t="s">
        <v>5282</v>
      </c>
      <c r="AP1021" s="147" t="s">
        <v>166</v>
      </c>
      <c r="AQ1021" s="147" t="s">
        <v>6040</v>
      </c>
      <c r="AR1021" s="144">
        <v>0.001</v>
      </c>
      <c r="AS1021" s="147" t="s">
        <v>127</v>
      </c>
      <c r="AT1021" s="147" t="s">
        <v>179</v>
      </c>
      <c r="AU1021" s="147" t="s">
        <v>129</v>
      </c>
      <c r="AV1021" s="303" t="s">
        <v>5724</v>
      </c>
      <c r="AW1021" s="147" t="s">
        <v>134</v>
      </c>
      <c r="AY1021" s="142" t="s">
        <v>244</v>
      </c>
      <c r="BA1021" s="64"/>
      <c r="BB1021" s="64"/>
      <c r="BC1021" s="64"/>
      <c r="BD1021" s="64"/>
      <c r="BE1021" s="64"/>
      <c r="BF1021" s="64"/>
      <c r="BG1021" s="64"/>
      <c r="BH1021" s="64"/>
      <c r="BI1021" s="64"/>
      <c r="BJ1021" s="64"/>
      <c r="BK1021" s="64"/>
      <c r="BL1021" s="64"/>
      <c r="BM1021" s="64"/>
      <c r="BN1021" s="64"/>
      <c r="BO1021" s="64"/>
      <c r="BP1021" s="64"/>
      <c r="BQ1021" s="64"/>
      <c r="BR1021" s="64"/>
      <c r="BS1021" s="64"/>
      <c r="BT1021" s="64"/>
      <c r="BU1021" s="64"/>
      <c r="BV1021" s="64"/>
      <c r="BW1021" s="64"/>
      <c r="BX1021" s="64"/>
      <c r="BY1021" s="64"/>
      <c r="BZ1021" s="64"/>
      <c r="CA1021" s="64"/>
      <c r="CB1021" s="64"/>
      <c r="CC1021" s="64"/>
      <c r="CD1021" s="64"/>
      <c r="CE1021" s="64"/>
      <c r="CF1021" s="64"/>
      <c r="CG1021" s="64"/>
      <c r="CH1021" s="64"/>
      <c r="CI1021" s="64"/>
      <c r="CJ1021" s="64"/>
      <c r="CK1021" s="64"/>
      <c r="CL1021" s="64"/>
      <c r="CM1021" s="64"/>
      <c r="CN1021" s="64"/>
      <c r="CO1021" s="64"/>
      <c r="CP1021" s="64"/>
      <c r="CQ1021" s="64"/>
      <c r="CR1021" s="64"/>
      <c r="CS1021" s="64"/>
      <c r="CT1021" s="64"/>
      <c r="CU1021" s="64"/>
      <c r="CV1021" s="64"/>
      <c r="CW1021" s="64"/>
      <c r="CX1021" s="64"/>
      <c r="CY1021" s="64"/>
      <c r="CZ1021" s="64"/>
      <c r="DA1021" s="64"/>
      <c r="DB1021" s="64"/>
      <c r="DC1021" s="64"/>
      <c r="DD1021" s="64"/>
      <c r="DE1021" s="64"/>
      <c r="DF1021" s="64"/>
      <c r="DG1021" s="64"/>
    </row>
    <row r="1022" ht="20.25" customHeight="1">
      <c r="A1022" s="142" t="s">
        <v>143</v>
      </c>
      <c r="B1022" s="136" t="s">
        <v>107</v>
      </c>
      <c r="C1022" s="41" t="s">
        <v>3672</v>
      </c>
      <c r="E1022" s="115" t="s">
        <v>5715</v>
      </c>
      <c r="F1022" s="139" t="s">
        <v>6041</v>
      </c>
      <c r="G1022" s="1247" t="s">
        <v>3673</v>
      </c>
      <c r="H1022" s="140">
        <v>45674.0</v>
      </c>
      <c r="I1022" s="140">
        <v>45691.0</v>
      </c>
      <c r="J1022" s="60"/>
      <c r="K1022" s="60" t="s">
        <v>5936</v>
      </c>
      <c r="L1022" s="147" t="s">
        <v>5718</v>
      </c>
      <c r="M1022" s="147" t="s">
        <v>5719</v>
      </c>
      <c r="N1022" s="144">
        <v>1.0</v>
      </c>
      <c r="O1022" s="147" t="str">
        <f t="shared" si="53"/>
        <v>10.1017--epi.2013.23.pdf</v>
      </c>
      <c r="P1022" s="48" t="str">
        <f t="array" ref="P1022">HYPERLINK(INDEX('File Links'!B:B, MATCH(O1022, 'File Links'!C:C, 0)))
</f>
        <v>https://drive.google.com/file/d/1xs7muWdyYdblxSMymp-O09c44czfutsh/view?usp=drivesdk</v>
      </c>
      <c r="Q1022" s="1249" t="s">
        <v>5329</v>
      </c>
      <c r="R1022" s="303" t="s">
        <v>5330</v>
      </c>
      <c r="S1022" s="303" t="s">
        <v>5331</v>
      </c>
      <c r="T1022" s="144">
        <v>33.0</v>
      </c>
      <c r="U1022" s="847" t="s">
        <v>5332</v>
      </c>
      <c r="V1022" s="1212" t="s">
        <v>5333</v>
      </c>
      <c r="W1022" s="50" t="str">
        <f t="array" ref="W1022">HYPERLINK(INDEX('File Links'!B:B, MATCH(U1022, 'File Links'!C:C, 0)))
</f>
        <v>https://drive.google.com/file/d/1hjI3aqifdfXjWhQAlvKCKKtvjuncAn5M/view?usp=drivesdk</v>
      </c>
      <c r="X1022" s="60"/>
      <c r="Y1022" s="147" t="s">
        <v>156</v>
      </c>
      <c r="Z1022" s="115" t="s">
        <v>165</v>
      </c>
      <c r="AA1022" s="147" t="s">
        <v>5720</v>
      </c>
      <c r="AB1022" s="60"/>
      <c r="AC1022" s="147" t="s">
        <v>6042</v>
      </c>
      <c r="AD1022" s="144">
        <v>9.0</v>
      </c>
      <c r="AE1022" s="144">
        <v>376.0</v>
      </c>
      <c r="AF1022" s="147" t="s">
        <v>6043</v>
      </c>
      <c r="AG1022" s="147" t="s">
        <v>162</v>
      </c>
      <c r="AH1022" s="330" t="s">
        <v>625</v>
      </c>
      <c r="AI1022" s="355">
        <v>0.05</v>
      </c>
      <c r="AJ1022" s="52" t="s">
        <v>329</v>
      </c>
      <c r="AK1022" s="147" t="s">
        <v>179</v>
      </c>
      <c r="AL1022" s="52" t="s">
        <v>129</v>
      </c>
      <c r="AM1022" s="60"/>
      <c r="AN1022" s="144">
        <v>418.0</v>
      </c>
      <c r="AO1022" s="1286" t="s">
        <v>6044</v>
      </c>
      <c r="AP1022" s="147" t="s">
        <v>166</v>
      </c>
      <c r="AQ1022" s="147" t="s">
        <v>6040</v>
      </c>
      <c r="AR1022" s="144">
        <v>0.001</v>
      </c>
      <c r="AS1022" s="147" t="s">
        <v>127</v>
      </c>
      <c r="AT1022" s="147" t="s">
        <v>179</v>
      </c>
      <c r="AU1022" s="147" t="s">
        <v>129</v>
      </c>
      <c r="AV1022" s="303" t="s">
        <v>5724</v>
      </c>
      <c r="AW1022" s="147" t="s">
        <v>134</v>
      </c>
      <c r="AY1022" s="142" t="s">
        <v>244</v>
      </c>
      <c r="BA1022" s="64"/>
      <c r="BB1022" s="64"/>
      <c r="BC1022" s="64"/>
      <c r="BD1022" s="64"/>
      <c r="BE1022" s="64"/>
      <c r="BF1022" s="64"/>
      <c r="BG1022" s="64"/>
      <c r="BH1022" s="64"/>
      <c r="BI1022" s="64"/>
      <c r="BJ1022" s="64"/>
      <c r="BK1022" s="64"/>
      <c r="BL1022" s="64"/>
      <c r="BM1022" s="64"/>
      <c r="BN1022" s="64"/>
      <c r="BO1022" s="64"/>
      <c r="BP1022" s="64"/>
      <c r="BQ1022" s="64"/>
      <c r="BR1022" s="64"/>
      <c r="BS1022" s="64"/>
      <c r="BT1022" s="64"/>
      <c r="BU1022" s="64"/>
      <c r="BV1022" s="64"/>
      <c r="BW1022" s="64"/>
      <c r="BX1022" s="64"/>
      <c r="BY1022" s="64"/>
      <c r="BZ1022" s="64"/>
      <c r="CA1022" s="64"/>
      <c r="CB1022" s="64"/>
      <c r="CC1022" s="64"/>
      <c r="CD1022" s="64"/>
      <c r="CE1022" s="64"/>
      <c r="CF1022" s="64"/>
      <c r="CG1022" s="64"/>
      <c r="CH1022" s="64"/>
      <c r="CI1022" s="64"/>
      <c r="CJ1022" s="64"/>
      <c r="CK1022" s="64"/>
      <c r="CL1022" s="64"/>
      <c r="CM1022" s="64"/>
      <c r="CN1022" s="64"/>
      <c r="CO1022" s="64"/>
      <c r="CP1022" s="64"/>
      <c r="CQ1022" s="64"/>
      <c r="CR1022" s="64"/>
      <c r="CS1022" s="64"/>
      <c r="CT1022" s="64"/>
      <c r="CU1022" s="64"/>
      <c r="CV1022" s="64"/>
      <c r="CW1022" s="64"/>
      <c r="CX1022" s="64"/>
      <c r="CY1022" s="64"/>
      <c r="CZ1022" s="64"/>
      <c r="DA1022" s="64"/>
      <c r="DB1022" s="64"/>
      <c r="DC1022" s="64"/>
      <c r="DD1022" s="64"/>
      <c r="DE1022" s="64"/>
      <c r="DF1022" s="64"/>
      <c r="DG1022" s="64"/>
    </row>
    <row r="1023">
      <c r="A1023" s="60" t="s">
        <v>143</v>
      </c>
      <c r="B1023" s="136" t="s">
        <v>107</v>
      </c>
      <c r="C1023" s="41" t="s">
        <v>3672</v>
      </c>
      <c r="E1023" s="115" t="s">
        <v>5715</v>
      </c>
      <c r="F1023" s="139" t="s">
        <v>6045</v>
      </c>
      <c r="G1023" s="1247" t="s">
        <v>3673</v>
      </c>
      <c r="H1023" s="140">
        <v>45674.0</v>
      </c>
      <c r="I1023" s="140">
        <v>45691.0</v>
      </c>
      <c r="J1023" s="60"/>
      <c r="K1023" s="60" t="s">
        <v>5936</v>
      </c>
      <c r="L1023" s="147" t="s">
        <v>5718</v>
      </c>
      <c r="M1023" s="147" t="s">
        <v>5719</v>
      </c>
      <c r="N1023" s="144">
        <v>1.0</v>
      </c>
      <c r="O1023" s="147" t="str">
        <f t="shared" si="53"/>
        <v>10.1017--epi.2013.23.pdf</v>
      </c>
      <c r="P1023" s="48" t="str">
        <f t="array" ref="P1023">HYPERLINK(INDEX('File Links'!B:B, MATCH(O1023, 'File Links'!C:C, 0)))
</f>
        <v>https://drive.google.com/file/d/1xs7muWdyYdblxSMymp-O09c44czfutsh/view?usp=drivesdk</v>
      </c>
      <c r="Q1023" s="1249" t="s">
        <v>5329</v>
      </c>
      <c r="R1023" s="303" t="s">
        <v>5330</v>
      </c>
      <c r="S1023" s="303" t="s">
        <v>5331</v>
      </c>
      <c r="T1023" s="144">
        <v>33.0</v>
      </c>
      <c r="U1023" s="847" t="s">
        <v>5332</v>
      </c>
      <c r="V1023" s="1212" t="s">
        <v>5333</v>
      </c>
      <c r="W1023" s="50" t="str">
        <f t="array" ref="W1023">HYPERLINK(INDEX('File Links'!B:B, MATCH(U1023, 'File Links'!C:C, 0)))
</f>
        <v>https://drive.google.com/file/d/1hjI3aqifdfXjWhQAlvKCKKtvjuncAn5M/view?usp=drivesdk</v>
      </c>
      <c r="X1023" s="60"/>
      <c r="Y1023" s="147" t="s">
        <v>156</v>
      </c>
      <c r="Z1023" s="115" t="s">
        <v>165</v>
      </c>
      <c r="AA1023" s="147" t="s">
        <v>5720</v>
      </c>
      <c r="AB1023" s="60"/>
      <c r="AC1023" s="147" t="s">
        <v>6046</v>
      </c>
      <c r="AD1023" s="144">
        <v>9.0</v>
      </c>
      <c r="AE1023" s="144">
        <v>376.0</v>
      </c>
      <c r="AF1023" s="147" t="s">
        <v>6047</v>
      </c>
      <c r="AG1023" s="147" t="s">
        <v>162</v>
      </c>
      <c r="AH1023" s="330" t="s">
        <v>625</v>
      </c>
      <c r="AI1023" s="355">
        <v>0.05</v>
      </c>
      <c r="AJ1023" s="52" t="s">
        <v>329</v>
      </c>
      <c r="AK1023" s="147" t="s">
        <v>179</v>
      </c>
      <c r="AL1023" s="52" t="s">
        <v>129</v>
      </c>
      <c r="AM1023" s="60"/>
      <c r="AN1023" s="144">
        <v>418.0</v>
      </c>
      <c r="AO1023" s="147" t="s">
        <v>6048</v>
      </c>
      <c r="AP1023" s="147" t="s">
        <v>166</v>
      </c>
      <c r="AQ1023" s="147" t="s">
        <v>6040</v>
      </c>
      <c r="AR1023" s="144">
        <v>0.001</v>
      </c>
      <c r="AS1023" s="147" t="s">
        <v>127</v>
      </c>
      <c r="AT1023" s="147" t="s">
        <v>179</v>
      </c>
      <c r="AU1023" s="147" t="s">
        <v>129</v>
      </c>
      <c r="AV1023" s="303" t="s">
        <v>5724</v>
      </c>
      <c r="AW1023" s="147" t="s">
        <v>134</v>
      </c>
      <c r="AY1023" s="142" t="s">
        <v>244</v>
      </c>
      <c r="BA1023" s="64"/>
      <c r="BB1023" s="64"/>
      <c r="BC1023" s="64"/>
      <c r="BD1023" s="64"/>
      <c r="BE1023" s="64"/>
      <c r="BF1023" s="64"/>
      <c r="BG1023" s="64"/>
      <c r="BH1023" s="64"/>
      <c r="BI1023" s="64"/>
      <c r="BJ1023" s="64"/>
      <c r="BK1023" s="64"/>
      <c r="BL1023" s="64"/>
      <c r="BM1023" s="64"/>
      <c r="BN1023" s="64"/>
      <c r="BO1023" s="64"/>
      <c r="BP1023" s="64"/>
      <c r="BQ1023" s="64"/>
      <c r="BR1023" s="64"/>
      <c r="BS1023" s="64"/>
      <c r="BT1023" s="64"/>
      <c r="BU1023" s="64"/>
      <c r="BV1023" s="64"/>
      <c r="BW1023" s="64"/>
      <c r="BX1023" s="64"/>
      <c r="BY1023" s="64"/>
      <c r="BZ1023" s="64"/>
      <c r="CA1023" s="64"/>
      <c r="CB1023" s="64"/>
      <c r="CC1023" s="64"/>
      <c r="CD1023" s="64"/>
      <c r="CE1023" s="64"/>
      <c r="CF1023" s="64"/>
      <c r="CG1023" s="64"/>
      <c r="CH1023" s="64"/>
      <c r="CI1023" s="64"/>
      <c r="CJ1023" s="64"/>
      <c r="CK1023" s="64"/>
      <c r="CL1023" s="64"/>
      <c r="CM1023" s="64"/>
      <c r="CN1023" s="64"/>
      <c r="CO1023" s="64"/>
      <c r="CP1023" s="64"/>
      <c r="CQ1023" s="64"/>
      <c r="CR1023" s="64"/>
      <c r="CS1023" s="64"/>
      <c r="CT1023" s="64"/>
      <c r="CU1023" s="64"/>
      <c r="CV1023" s="64"/>
      <c r="CW1023" s="64"/>
      <c r="CX1023" s="64"/>
      <c r="CY1023" s="64"/>
      <c r="CZ1023" s="64"/>
      <c r="DA1023" s="64"/>
      <c r="DB1023" s="64"/>
      <c r="DC1023" s="64"/>
      <c r="DD1023" s="64"/>
      <c r="DE1023" s="64"/>
      <c r="DF1023" s="64"/>
      <c r="DG1023" s="64"/>
    </row>
    <row r="1024">
      <c r="A1024" s="60" t="s">
        <v>143</v>
      </c>
      <c r="B1024" s="136" t="s">
        <v>107</v>
      </c>
      <c r="C1024" s="41" t="s">
        <v>3672</v>
      </c>
      <c r="E1024" s="115" t="s">
        <v>5715</v>
      </c>
      <c r="F1024" s="139" t="s">
        <v>6049</v>
      </c>
      <c r="G1024" s="1247" t="s">
        <v>3673</v>
      </c>
      <c r="H1024" s="140">
        <v>45674.0</v>
      </c>
      <c r="I1024" s="140">
        <v>45691.0</v>
      </c>
      <c r="J1024" s="60"/>
      <c r="K1024" s="60" t="s">
        <v>5936</v>
      </c>
      <c r="L1024" s="147" t="s">
        <v>5718</v>
      </c>
      <c r="M1024" s="147" t="s">
        <v>5719</v>
      </c>
      <c r="N1024" s="144">
        <v>1.0</v>
      </c>
      <c r="O1024" s="147" t="str">
        <f t="shared" si="53"/>
        <v>10.1017--epi.2013.23.pdf</v>
      </c>
      <c r="P1024" s="48" t="str">
        <f t="array" ref="P1024">HYPERLINK(INDEX('File Links'!B:B, MATCH(O1024, 'File Links'!C:C, 0)))
</f>
        <v>https://drive.google.com/file/d/1xs7muWdyYdblxSMymp-O09c44czfutsh/view?usp=drivesdk</v>
      </c>
      <c r="Q1024" s="1249" t="s">
        <v>5329</v>
      </c>
      <c r="R1024" s="303" t="s">
        <v>5330</v>
      </c>
      <c r="S1024" s="303" t="s">
        <v>5331</v>
      </c>
      <c r="T1024" s="144">
        <v>33.0</v>
      </c>
      <c r="U1024" s="847" t="s">
        <v>5332</v>
      </c>
      <c r="V1024" s="1212" t="s">
        <v>5333</v>
      </c>
      <c r="W1024" s="50" t="str">
        <f t="array" ref="W1024">HYPERLINK(INDEX('File Links'!B:B, MATCH(U1024, 'File Links'!C:C, 0)))
</f>
        <v>https://drive.google.com/file/d/1hjI3aqifdfXjWhQAlvKCKKtvjuncAn5M/view?usp=drivesdk</v>
      </c>
      <c r="X1024" s="60"/>
      <c r="Y1024" s="147" t="s">
        <v>156</v>
      </c>
      <c r="Z1024" s="115" t="s">
        <v>165</v>
      </c>
      <c r="AA1024" s="147" t="s">
        <v>5720</v>
      </c>
      <c r="AB1024" s="60"/>
      <c r="AC1024" s="147" t="s">
        <v>6050</v>
      </c>
      <c r="AD1024" s="144">
        <v>9.0</v>
      </c>
      <c r="AE1024" s="144">
        <v>376.0</v>
      </c>
      <c r="AF1024" s="147" t="s">
        <v>6051</v>
      </c>
      <c r="AG1024" s="147" t="s">
        <v>162</v>
      </c>
      <c r="AH1024" s="330" t="s">
        <v>625</v>
      </c>
      <c r="AI1024" s="355">
        <v>1.0E-4</v>
      </c>
      <c r="AJ1024" s="52" t="s">
        <v>127</v>
      </c>
      <c r="AK1024" s="147" t="s">
        <v>179</v>
      </c>
      <c r="AL1024" s="52" t="s">
        <v>129</v>
      </c>
      <c r="AM1024" s="60"/>
      <c r="AN1024" s="144">
        <v>418.0</v>
      </c>
      <c r="AO1024" s="147" t="s">
        <v>6052</v>
      </c>
      <c r="AP1024" s="147" t="s">
        <v>166</v>
      </c>
      <c r="AQ1024" s="147" t="s">
        <v>6040</v>
      </c>
      <c r="AR1024" s="144">
        <v>0.04</v>
      </c>
      <c r="AS1024" s="147" t="s">
        <v>164</v>
      </c>
      <c r="AT1024" s="147" t="s">
        <v>179</v>
      </c>
      <c r="AU1024" s="147" t="s">
        <v>129</v>
      </c>
      <c r="AV1024" s="303" t="s">
        <v>5724</v>
      </c>
      <c r="AW1024" s="147" t="s">
        <v>134</v>
      </c>
      <c r="AY1024" s="142" t="s">
        <v>244</v>
      </c>
      <c r="BA1024" s="64"/>
      <c r="BB1024" s="64"/>
      <c r="BC1024" s="64"/>
      <c r="BD1024" s="64"/>
      <c r="BE1024" s="64"/>
      <c r="BF1024" s="64"/>
      <c r="BG1024" s="64"/>
      <c r="BH1024" s="64"/>
      <c r="BI1024" s="64"/>
      <c r="BJ1024" s="64"/>
      <c r="BK1024" s="64"/>
      <c r="BL1024" s="64"/>
      <c r="BM1024" s="64"/>
      <c r="BN1024" s="64"/>
      <c r="BO1024" s="64"/>
      <c r="BP1024" s="64"/>
      <c r="BQ1024" s="64"/>
      <c r="BR1024" s="64"/>
      <c r="BS1024" s="64"/>
      <c r="BT1024" s="64"/>
      <c r="BU1024" s="64"/>
      <c r="BV1024" s="64"/>
      <c r="BW1024" s="64"/>
      <c r="BX1024" s="64"/>
      <c r="BY1024" s="64"/>
      <c r="BZ1024" s="64"/>
      <c r="CA1024" s="64"/>
      <c r="CB1024" s="64"/>
      <c r="CC1024" s="64"/>
      <c r="CD1024" s="64"/>
      <c r="CE1024" s="64"/>
      <c r="CF1024" s="64"/>
      <c r="CG1024" s="64"/>
      <c r="CH1024" s="64"/>
      <c r="CI1024" s="64"/>
      <c r="CJ1024" s="64"/>
      <c r="CK1024" s="64"/>
      <c r="CL1024" s="64"/>
      <c r="CM1024" s="64"/>
      <c r="CN1024" s="64"/>
      <c r="CO1024" s="64"/>
      <c r="CP1024" s="64"/>
      <c r="CQ1024" s="64"/>
      <c r="CR1024" s="64"/>
      <c r="CS1024" s="64"/>
      <c r="CT1024" s="64"/>
      <c r="CU1024" s="64"/>
      <c r="CV1024" s="64"/>
      <c r="CW1024" s="64"/>
      <c r="CX1024" s="64"/>
      <c r="CY1024" s="64"/>
      <c r="CZ1024" s="64"/>
      <c r="DA1024" s="64"/>
      <c r="DB1024" s="64"/>
      <c r="DC1024" s="64"/>
      <c r="DD1024" s="64"/>
      <c r="DE1024" s="64"/>
      <c r="DF1024" s="64"/>
      <c r="DG1024" s="64"/>
    </row>
    <row r="1025">
      <c r="A1025" s="60" t="s">
        <v>143</v>
      </c>
      <c r="B1025" s="136" t="s">
        <v>107</v>
      </c>
      <c r="C1025" s="41" t="s">
        <v>3672</v>
      </c>
      <c r="E1025" s="55" t="s">
        <v>5748</v>
      </c>
      <c r="F1025" s="139" t="s">
        <v>6053</v>
      </c>
      <c r="G1025" s="1247" t="s">
        <v>3673</v>
      </c>
      <c r="H1025" s="140">
        <v>45674.0</v>
      </c>
      <c r="I1025" s="60"/>
      <c r="J1025" s="147" t="s">
        <v>6054</v>
      </c>
      <c r="K1025" s="60" t="s">
        <v>6055</v>
      </c>
      <c r="L1025" s="147" t="s">
        <v>5751</v>
      </c>
      <c r="M1025" s="147" t="s">
        <v>5752</v>
      </c>
      <c r="N1025" s="144">
        <v>1.0</v>
      </c>
      <c r="O1025" s="147" t="str">
        <f t="shared" si="53"/>
        <v>10.1111--j.1933-1592.2012.00609.x.pdf</v>
      </c>
      <c r="P1025" s="48" t="str">
        <f t="array" ref="P1025">HYPERLINK(INDEX('File Links'!B:B, MATCH(O1025, 'File Links'!C:C, 0)))
</f>
        <v>https://drive.google.com/file/d/1vevfUy0iTc6NQfF1T-jwqjcTM_yHdsf0/view?usp=drivesdk</v>
      </c>
      <c r="Q1025" s="1249" t="s">
        <v>5329</v>
      </c>
      <c r="R1025" s="303" t="s">
        <v>5330</v>
      </c>
      <c r="S1025" s="303" t="s">
        <v>5331</v>
      </c>
      <c r="T1025" s="144">
        <v>35.0</v>
      </c>
      <c r="U1025" s="847" t="s">
        <v>5332</v>
      </c>
      <c r="V1025" s="1212" t="s">
        <v>5333</v>
      </c>
      <c r="W1025" s="50" t="str">
        <f t="array" ref="W1025">HYPERLINK(INDEX('File Links'!B:B, MATCH(U1025, 'File Links'!C:C, 0)))
</f>
        <v>https://drive.google.com/file/d/1hjI3aqifdfXjWhQAlvKCKKtvjuncAn5M/view?usp=drivesdk</v>
      </c>
      <c r="X1025" s="60"/>
      <c r="Y1025" s="147" t="s">
        <v>156</v>
      </c>
      <c r="Z1025" s="115" t="s">
        <v>165</v>
      </c>
      <c r="AA1025" s="147" t="s">
        <v>5737</v>
      </c>
      <c r="AB1025" s="60"/>
      <c r="AC1025" s="147" t="s">
        <v>6056</v>
      </c>
      <c r="AD1025" s="144">
        <v>16.0</v>
      </c>
      <c r="AE1025" s="144">
        <v>134.0</v>
      </c>
      <c r="AF1025" s="147" t="s">
        <v>6057</v>
      </c>
      <c r="AG1025" s="147" t="s">
        <v>162</v>
      </c>
      <c r="AH1025" s="330" t="s">
        <v>175</v>
      </c>
      <c r="AI1025" s="355">
        <v>0.004</v>
      </c>
      <c r="AJ1025" s="52" t="s">
        <v>164</v>
      </c>
      <c r="AK1025" s="147" t="s">
        <v>179</v>
      </c>
      <c r="AL1025" s="52" t="s">
        <v>129</v>
      </c>
      <c r="AM1025" s="60"/>
      <c r="AN1025" s="144">
        <v>335.0</v>
      </c>
      <c r="AO1025" s="147" t="s">
        <v>6058</v>
      </c>
      <c r="AP1025" s="1283" t="s">
        <v>208</v>
      </c>
      <c r="AQ1025" s="1287" t="s">
        <v>2748</v>
      </c>
      <c r="AR1025" s="144">
        <v>0.001</v>
      </c>
      <c r="AS1025" s="147" t="s">
        <v>127</v>
      </c>
      <c r="AT1025" s="147" t="s">
        <v>179</v>
      </c>
      <c r="AU1025" s="147" t="s">
        <v>129</v>
      </c>
      <c r="AV1025" s="303" t="s">
        <v>5756</v>
      </c>
      <c r="AW1025" s="147" t="s">
        <v>134</v>
      </c>
      <c r="AY1025" s="142" t="s">
        <v>244</v>
      </c>
      <c r="BA1025" s="64"/>
      <c r="BB1025" s="64"/>
      <c r="BC1025" s="64"/>
      <c r="BD1025" s="64"/>
      <c r="BE1025" s="64"/>
      <c r="BF1025" s="64"/>
      <c r="BG1025" s="64"/>
      <c r="BH1025" s="64"/>
      <c r="BI1025" s="64"/>
      <c r="BJ1025" s="64"/>
      <c r="BK1025" s="64"/>
      <c r="BL1025" s="64"/>
      <c r="BM1025" s="64"/>
      <c r="BN1025" s="64"/>
      <c r="BO1025" s="64"/>
      <c r="BP1025" s="64"/>
      <c r="BQ1025" s="64"/>
      <c r="BR1025" s="64"/>
      <c r="BS1025" s="64"/>
      <c r="BT1025" s="64"/>
      <c r="BU1025" s="64"/>
      <c r="BV1025" s="64"/>
      <c r="BW1025" s="64"/>
      <c r="BX1025" s="64"/>
      <c r="BY1025" s="64"/>
      <c r="BZ1025" s="64"/>
      <c r="CA1025" s="64"/>
      <c r="CB1025" s="64"/>
      <c r="CC1025" s="64"/>
      <c r="CD1025" s="64"/>
      <c r="CE1025" s="64"/>
      <c r="CF1025" s="64"/>
      <c r="CG1025" s="64"/>
      <c r="CH1025" s="64"/>
      <c r="CI1025" s="64"/>
      <c r="CJ1025" s="64"/>
      <c r="CK1025" s="64"/>
      <c r="CL1025" s="64"/>
      <c r="CM1025" s="64"/>
      <c r="CN1025" s="64"/>
      <c r="CO1025" s="64"/>
      <c r="CP1025" s="64"/>
      <c r="CQ1025" s="64"/>
      <c r="CR1025" s="64"/>
      <c r="CS1025" s="64"/>
      <c r="CT1025" s="64"/>
      <c r="CU1025" s="64"/>
      <c r="CV1025" s="64"/>
      <c r="CW1025" s="64"/>
      <c r="CX1025" s="64"/>
      <c r="CY1025" s="64"/>
      <c r="CZ1025" s="64"/>
      <c r="DA1025" s="64"/>
      <c r="DB1025" s="64"/>
      <c r="DC1025" s="64"/>
      <c r="DD1025" s="64"/>
      <c r="DE1025" s="64"/>
      <c r="DF1025" s="64"/>
      <c r="DG1025" s="64"/>
    </row>
    <row r="1026">
      <c r="A1026" s="60" t="s">
        <v>143</v>
      </c>
      <c r="B1026" s="136" t="s">
        <v>107</v>
      </c>
      <c r="C1026" s="41" t="s">
        <v>3672</v>
      </c>
      <c r="E1026" s="55" t="s">
        <v>5748</v>
      </c>
      <c r="F1026" s="139" t="s">
        <v>6059</v>
      </c>
      <c r="G1026" s="1247" t="s">
        <v>3673</v>
      </c>
      <c r="H1026" s="140">
        <v>45674.0</v>
      </c>
      <c r="I1026" s="60"/>
      <c r="J1026" s="147" t="s">
        <v>6054</v>
      </c>
      <c r="K1026" s="60" t="s">
        <v>6055</v>
      </c>
      <c r="L1026" s="147" t="s">
        <v>5751</v>
      </c>
      <c r="M1026" s="147" t="s">
        <v>5752</v>
      </c>
      <c r="N1026" s="144">
        <v>1.0</v>
      </c>
      <c r="O1026" s="147" t="str">
        <f t="shared" si="53"/>
        <v>10.1111--j.1933-1592.2012.00609.x.pdf</v>
      </c>
      <c r="P1026" s="48" t="str">
        <f t="array" ref="P1026">HYPERLINK(INDEX('File Links'!B:B, MATCH(O1026, 'File Links'!C:C, 0)))
</f>
        <v>https://drive.google.com/file/d/1vevfUy0iTc6NQfF1T-jwqjcTM_yHdsf0/view?usp=drivesdk</v>
      </c>
      <c r="Q1026" s="1249" t="s">
        <v>5329</v>
      </c>
      <c r="R1026" s="303" t="s">
        <v>5330</v>
      </c>
      <c r="S1026" s="303" t="s">
        <v>5331</v>
      </c>
      <c r="T1026" s="144">
        <v>35.0</v>
      </c>
      <c r="U1026" s="847" t="s">
        <v>5332</v>
      </c>
      <c r="V1026" s="1212" t="s">
        <v>5333</v>
      </c>
      <c r="W1026" s="50" t="str">
        <f t="array" ref="W1026">HYPERLINK(INDEX('File Links'!B:B, MATCH(U1026, 'File Links'!C:C, 0)))
</f>
        <v>https://drive.google.com/file/d/1hjI3aqifdfXjWhQAlvKCKKtvjuncAn5M/view?usp=drivesdk</v>
      </c>
      <c r="X1026" s="60"/>
      <c r="Y1026" s="147" t="s">
        <v>156</v>
      </c>
      <c r="Z1026" s="115" t="s">
        <v>165</v>
      </c>
      <c r="AA1026" s="147" t="s">
        <v>5737</v>
      </c>
      <c r="AB1026" s="60"/>
      <c r="AC1026" s="147" t="s">
        <v>6060</v>
      </c>
      <c r="AD1026" s="144">
        <v>16.0</v>
      </c>
      <c r="AE1026" s="144">
        <v>134.0</v>
      </c>
      <c r="AF1026" s="147" t="s">
        <v>6061</v>
      </c>
      <c r="AG1026" s="147" t="s">
        <v>162</v>
      </c>
      <c r="AH1026" s="330" t="s">
        <v>175</v>
      </c>
      <c r="AI1026" s="355">
        <v>0.022</v>
      </c>
      <c r="AJ1026" s="52" t="s">
        <v>164</v>
      </c>
      <c r="AK1026" s="147" t="s">
        <v>179</v>
      </c>
      <c r="AL1026" s="52" t="s">
        <v>129</v>
      </c>
      <c r="AM1026" s="60"/>
      <c r="AN1026" s="144">
        <v>335.0</v>
      </c>
      <c r="AO1026" s="147" t="s">
        <v>6062</v>
      </c>
      <c r="AP1026" s="1283" t="s">
        <v>208</v>
      </c>
      <c r="AQ1026" s="1287" t="s">
        <v>505</v>
      </c>
      <c r="AR1026" s="144">
        <v>0.001</v>
      </c>
      <c r="AS1026" s="147" t="s">
        <v>127</v>
      </c>
      <c r="AT1026" s="147" t="s">
        <v>179</v>
      </c>
      <c r="AU1026" s="147" t="s">
        <v>129</v>
      </c>
      <c r="AV1026" s="303" t="s">
        <v>5756</v>
      </c>
      <c r="AW1026" s="147" t="s">
        <v>134</v>
      </c>
      <c r="AY1026" s="142" t="s">
        <v>244</v>
      </c>
      <c r="BA1026" s="64"/>
      <c r="BB1026" s="64"/>
      <c r="BC1026" s="64"/>
      <c r="BD1026" s="64"/>
      <c r="BE1026" s="64"/>
      <c r="BF1026" s="64"/>
      <c r="BG1026" s="64"/>
      <c r="BH1026" s="64"/>
      <c r="BI1026" s="64"/>
      <c r="BJ1026" s="64"/>
      <c r="BK1026" s="64"/>
      <c r="BL1026" s="64"/>
      <c r="BM1026" s="64"/>
      <c r="BN1026" s="64"/>
      <c r="BO1026" s="64"/>
      <c r="BP1026" s="64"/>
      <c r="BQ1026" s="64"/>
      <c r="BR1026" s="64"/>
      <c r="BS1026" s="64"/>
      <c r="BT1026" s="64"/>
      <c r="BU1026" s="64"/>
      <c r="BV1026" s="64"/>
      <c r="BW1026" s="64"/>
      <c r="BX1026" s="64"/>
      <c r="BY1026" s="64"/>
      <c r="BZ1026" s="64"/>
      <c r="CA1026" s="64"/>
      <c r="CB1026" s="64"/>
      <c r="CC1026" s="64"/>
      <c r="CD1026" s="64"/>
      <c r="CE1026" s="64"/>
      <c r="CF1026" s="64"/>
      <c r="CG1026" s="64"/>
      <c r="CH1026" s="64"/>
      <c r="CI1026" s="64"/>
      <c r="CJ1026" s="64"/>
      <c r="CK1026" s="64"/>
      <c r="CL1026" s="64"/>
      <c r="CM1026" s="64"/>
      <c r="CN1026" s="64"/>
      <c r="CO1026" s="64"/>
      <c r="CP1026" s="64"/>
      <c r="CQ1026" s="64"/>
      <c r="CR1026" s="64"/>
      <c r="CS1026" s="64"/>
      <c r="CT1026" s="64"/>
      <c r="CU1026" s="64"/>
      <c r="CV1026" s="64"/>
      <c r="CW1026" s="64"/>
      <c r="CX1026" s="64"/>
      <c r="CY1026" s="64"/>
      <c r="CZ1026" s="64"/>
      <c r="DA1026" s="64"/>
      <c r="DB1026" s="64"/>
      <c r="DC1026" s="64"/>
      <c r="DD1026" s="64"/>
      <c r="DE1026" s="64"/>
      <c r="DF1026" s="64"/>
      <c r="DG1026" s="64"/>
    </row>
    <row r="1027">
      <c r="A1027" s="142" t="s">
        <v>143</v>
      </c>
      <c r="B1027" s="136" t="s">
        <v>107</v>
      </c>
      <c r="C1027" s="41" t="s">
        <v>3672</v>
      </c>
      <c r="E1027" s="55" t="s">
        <v>5794</v>
      </c>
      <c r="F1027" s="139" t="s">
        <v>6063</v>
      </c>
      <c r="G1027" s="1247" t="s">
        <v>3673</v>
      </c>
      <c r="H1027" s="140">
        <v>45675.0</v>
      </c>
      <c r="I1027" s="140">
        <v>45691.0</v>
      </c>
      <c r="J1027" s="453" t="s">
        <v>5796</v>
      </c>
      <c r="K1027" s="60" t="s">
        <v>5936</v>
      </c>
      <c r="L1027" s="147" t="s">
        <v>5797</v>
      </c>
      <c r="M1027" s="147" t="s">
        <v>5798</v>
      </c>
      <c r="N1027" s="115">
        <v>1.0</v>
      </c>
      <c r="O1027" s="147" t="str">
        <f t="shared" si="53"/>
        <v>10.1080--09515089.2014.894431.pdf</v>
      </c>
      <c r="P1027" s="48" t="str">
        <f t="array" ref="P1027">HYPERLINK(INDEX('File Links'!B:B, MATCH(O1027, 'File Links'!C:C, 0)))
</f>
        <v>https://drive.google.com/file/d/1zG4Fc_IEv6joOTyPj0JeBdLMNt-6vqsC/view?usp=drivesdk</v>
      </c>
      <c r="Q1027" s="1249" t="s">
        <v>5329</v>
      </c>
      <c r="R1027" s="303" t="s">
        <v>5330</v>
      </c>
      <c r="S1027" s="303" t="s">
        <v>5331</v>
      </c>
      <c r="T1027" s="144">
        <v>38.0</v>
      </c>
      <c r="U1027" s="847" t="s">
        <v>5332</v>
      </c>
      <c r="V1027" s="1212" t="s">
        <v>5333</v>
      </c>
      <c r="W1027" s="50" t="str">
        <f t="array" ref="W1027">HYPERLINK(INDEX('File Links'!B:B, MATCH(U1027, 'File Links'!C:C, 0)))
</f>
        <v>https://drive.google.com/file/d/1hjI3aqifdfXjWhQAlvKCKKtvjuncAn5M/view?usp=drivesdk</v>
      </c>
      <c r="X1027" s="60"/>
      <c r="Y1027" s="147" t="s">
        <v>156</v>
      </c>
      <c r="Z1027" s="115" t="s">
        <v>165</v>
      </c>
      <c r="AA1027" s="147" t="s">
        <v>5799</v>
      </c>
      <c r="AB1027" s="60"/>
      <c r="AC1027" s="147" t="s">
        <v>6064</v>
      </c>
      <c r="AD1027" s="147" t="s">
        <v>5589</v>
      </c>
      <c r="AE1027" s="144">
        <v>169.0</v>
      </c>
      <c r="AF1027" s="808">
        <v>3296.0</v>
      </c>
      <c r="AG1027" s="147" t="s">
        <v>722</v>
      </c>
      <c r="AH1027" s="330" t="s">
        <v>625</v>
      </c>
      <c r="AI1027" s="55"/>
      <c r="AJ1027" s="55"/>
      <c r="AK1027" s="60"/>
      <c r="AL1027" s="55"/>
      <c r="AM1027" s="60"/>
      <c r="AN1027" s="144">
        <v>304.0</v>
      </c>
      <c r="AO1027" s="147" t="s">
        <v>6065</v>
      </c>
      <c r="AP1027" s="147" t="s">
        <v>162</v>
      </c>
      <c r="AQ1027" s="147" t="s">
        <v>6066</v>
      </c>
      <c r="AR1027" s="144">
        <v>0.001</v>
      </c>
      <c r="AS1027" s="147" t="s">
        <v>127</v>
      </c>
      <c r="AT1027" s="147" t="s">
        <v>179</v>
      </c>
      <c r="AU1027" s="147" t="s">
        <v>129</v>
      </c>
      <c r="AV1027" s="303" t="s">
        <v>5802</v>
      </c>
      <c r="AW1027" s="147" t="s">
        <v>134</v>
      </c>
      <c r="AY1027" s="142" t="s">
        <v>244</v>
      </c>
      <c r="BA1027" s="64"/>
      <c r="BB1027" s="64"/>
      <c r="BC1027" s="64"/>
      <c r="BD1027" s="64"/>
      <c r="BE1027" s="64"/>
      <c r="BF1027" s="64"/>
      <c r="BG1027" s="64"/>
      <c r="BH1027" s="64"/>
      <c r="BI1027" s="64"/>
      <c r="BJ1027" s="64"/>
      <c r="BK1027" s="64"/>
      <c r="BL1027" s="64"/>
      <c r="BM1027" s="64"/>
      <c r="BN1027" s="64"/>
      <c r="BO1027" s="64"/>
      <c r="BP1027" s="64"/>
      <c r="BQ1027" s="64"/>
      <c r="BR1027" s="64"/>
      <c r="BS1027" s="64"/>
      <c r="BT1027" s="64"/>
      <c r="BU1027" s="64"/>
      <c r="BV1027" s="64"/>
      <c r="BW1027" s="64"/>
      <c r="BX1027" s="64"/>
      <c r="BY1027" s="64"/>
      <c r="BZ1027" s="64"/>
      <c r="CA1027" s="64"/>
      <c r="CB1027" s="64"/>
      <c r="CC1027" s="64"/>
      <c r="CD1027" s="64"/>
      <c r="CE1027" s="64"/>
      <c r="CF1027" s="64"/>
      <c r="CG1027" s="64"/>
      <c r="CH1027" s="64"/>
      <c r="CI1027" s="64"/>
      <c r="CJ1027" s="64"/>
      <c r="CK1027" s="64"/>
      <c r="CL1027" s="64"/>
      <c r="CM1027" s="64"/>
      <c r="CN1027" s="64"/>
      <c r="CO1027" s="64"/>
      <c r="CP1027" s="64"/>
      <c r="CQ1027" s="64"/>
      <c r="CR1027" s="64"/>
      <c r="CS1027" s="64"/>
      <c r="CT1027" s="64"/>
      <c r="CU1027" s="64"/>
      <c r="CV1027" s="64"/>
      <c r="CW1027" s="64"/>
      <c r="CX1027" s="64"/>
      <c r="CY1027" s="64"/>
      <c r="CZ1027" s="64"/>
      <c r="DA1027" s="64"/>
      <c r="DB1027" s="64"/>
      <c r="DC1027" s="64"/>
      <c r="DD1027" s="64"/>
      <c r="DE1027" s="64"/>
      <c r="DF1027" s="64"/>
      <c r="DG1027" s="64"/>
    </row>
    <row r="1028">
      <c r="A1028" s="60" t="s">
        <v>143</v>
      </c>
      <c r="B1028" s="136" t="s">
        <v>107</v>
      </c>
      <c r="C1028" s="41" t="s">
        <v>243</v>
      </c>
      <c r="E1028" s="55" t="s">
        <v>5811</v>
      </c>
      <c r="F1028" s="147" t="s">
        <v>6067</v>
      </c>
      <c r="G1028" s="1247" t="s">
        <v>244</v>
      </c>
      <c r="H1028" s="140">
        <v>45331.0</v>
      </c>
      <c r="I1028" s="140">
        <v>45691.0</v>
      </c>
      <c r="J1028" s="60"/>
      <c r="K1028" s="60" t="s">
        <v>5936</v>
      </c>
      <c r="L1028" s="147" t="s">
        <v>5813</v>
      </c>
      <c r="M1028" s="147" t="s">
        <v>5814</v>
      </c>
      <c r="N1028" s="115">
        <v>1.0</v>
      </c>
      <c r="O1028" s="147" t="s">
        <v>5822</v>
      </c>
      <c r="P1028" s="48" t="str">
        <f t="array" ref="P1028">HYPERLINK(INDEX('File Links'!B:B, MATCH(O1028, 'File Links'!C:C, 0)))
</f>
        <v>https://drive.google.com/file/d/1siDzTCg5TAqWvx1F7jfvqWF5y01jo9l6/view?usp=drivesdk</v>
      </c>
      <c r="Q1028" s="1249" t="s">
        <v>5329</v>
      </c>
      <c r="R1028" s="453" t="s">
        <v>5330</v>
      </c>
      <c r="S1028" s="1288" t="s">
        <v>5331</v>
      </c>
      <c r="T1028" s="144">
        <v>39.0</v>
      </c>
      <c r="U1028" s="847" t="s">
        <v>5332</v>
      </c>
      <c r="V1028" s="1212" t="s">
        <v>5333</v>
      </c>
      <c r="W1028" s="50" t="str">
        <f t="array" ref="W1028">HYPERLINK(INDEX('File Links'!B:B, MATCH(U1028, 'File Links'!C:C, 0)))
</f>
        <v>https://drive.google.com/file/d/1hjI3aqifdfXjWhQAlvKCKKtvjuncAn5M/view?usp=drivesdk</v>
      </c>
      <c r="X1028" s="60"/>
      <c r="Y1028" s="147" t="s">
        <v>156</v>
      </c>
      <c r="Z1028" s="115" t="s">
        <v>165</v>
      </c>
      <c r="AA1028" s="147" t="s">
        <v>6068</v>
      </c>
      <c r="AB1028" s="60"/>
      <c r="AC1028" s="147" t="s">
        <v>6069</v>
      </c>
      <c r="AD1028" s="147" t="s">
        <v>163</v>
      </c>
      <c r="AE1028" s="144">
        <v>264.0</v>
      </c>
      <c r="AF1028" s="144">
        <v>1.45</v>
      </c>
      <c r="AG1028" s="147" t="s">
        <v>1051</v>
      </c>
      <c r="AH1028" s="139" t="s">
        <v>5819</v>
      </c>
      <c r="AI1028" s="355">
        <v>0.24</v>
      </c>
      <c r="AJ1028" s="52" t="s">
        <v>164</v>
      </c>
      <c r="AK1028" s="147" t="s">
        <v>179</v>
      </c>
      <c r="AL1028" s="52" t="s">
        <v>129</v>
      </c>
      <c r="AM1028" s="60"/>
      <c r="AN1028" s="144">
        <v>442.0</v>
      </c>
      <c r="AO1028" s="144">
        <v>0.45</v>
      </c>
      <c r="AP1028" s="147" t="s">
        <v>1051</v>
      </c>
      <c r="AQ1028" s="147" t="s">
        <v>6070</v>
      </c>
      <c r="AR1028" s="144">
        <v>0.64</v>
      </c>
      <c r="AS1028" s="147" t="s">
        <v>164</v>
      </c>
      <c r="AT1028" s="147" t="s">
        <v>179</v>
      </c>
      <c r="AU1028" s="147" t="s">
        <v>129</v>
      </c>
      <c r="AV1028" s="453" t="s">
        <v>6071</v>
      </c>
      <c r="AW1028" s="147" t="s">
        <v>134</v>
      </c>
      <c r="AY1028" s="142" t="s">
        <v>244</v>
      </c>
      <c r="BA1028" s="64"/>
      <c r="BB1028" s="64"/>
      <c r="BC1028" s="64"/>
      <c r="BD1028" s="64"/>
      <c r="BE1028" s="64"/>
      <c r="BF1028" s="64"/>
      <c r="BG1028" s="64"/>
      <c r="BH1028" s="64"/>
      <c r="BI1028" s="64"/>
      <c r="BJ1028" s="64"/>
      <c r="BK1028" s="64"/>
      <c r="BL1028" s="64"/>
      <c r="BM1028" s="64"/>
      <c r="BN1028" s="64"/>
      <c r="BO1028" s="64"/>
      <c r="BP1028" s="64"/>
      <c r="BQ1028" s="64"/>
      <c r="BR1028" s="64"/>
      <c r="BS1028" s="64"/>
      <c r="BT1028" s="64"/>
      <c r="BU1028" s="64"/>
      <c r="BV1028" s="64"/>
      <c r="BW1028" s="64"/>
      <c r="BX1028" s="64"/>
      <c r="BY1028" s="64"/>
      <c r="BZ1028" s="64"/>
      <c r="CA1028" s="64"/>
      <c r="CB1028" s="64"/>
      <c r="CC1028" s="64"/>
      <c r="CD1028" s="64"/>
      <c r="CE1028" s="64"/>
      <c r="CF1028" s="64"/>
      <c r="CG1028" s="64"/>
      <c r="CH1028" s="64"/>
      <c r="CI1028" s="64"/>
      <c r="CJ1028" s="64"/>
      <c r="CK1028" s="64"/>
      <c r="CL1028" s="64"/>
      <c r="CM1028" s="64"/>
      <c r="CN1028" s="64"/>
      <c r="CO1028" s="64"/>
      <c r="CP1028" s="64"/>
      <c r="CQ1028" s="64"/>
      <c r="CR1028" s="64"/>
      <c r="CS1028" s="64"/>
      <c r="CT1028" s="64"/>
      <c r="CU1028" s="64"/>
      <c r="CV1028" s="64"/>
      <c r="CW1028" s="64"/>
      <c r="CX1028" s="64"/>
      <c r="CY1028" s="64"/>
      <c r="CZ1028" s="64"/>
      <c r="DA1028" s="64"/>
      <c r="DB1028" s="64"/>
      <c r="DC1028" s="64"/>
      <c r="DD1028" s="64"/>
      <c r="DE1028" s="64"/>
      <c r="DF1028" s="64"/>
      <c r="DG1028" s="64"/>
    </row>
    <row r="1029">
      <c r="A1029" s="60" t="s">
        <v>106</v>
      </c>
      <c r="B1029" s="136" t="s">
        <v>107</v>
      </c>
      <c r="C1029" s="41" t="s">
        <v>3672</v>
      </c>
      <c r="E1029" s="55" t="s">
        <v>5811</v>
      </c>
      <c r="F1029" s="139" t="s">
        <v>6067</v>
      </c>
      <c r="G1029" s="1247" t="s">
        <v>3673</v>
      </c>
      <c r="H1029" s="140">
        <v>45675.0</v>
      </c>
      <c r="I1029" s="140">
        <v>45691.0</v>
      </c>
      <c r="J1029" s="60"/>
      <c r="K1029" s="60" t="s">
        <v>5936</v>
      </c>
      <c r="L1029" s="147" t="s">
        <v>5813</v>
      </c>
      <c r="M1029" s="147" t="s">
        <v>5814</v>
      </c>
      <c r="N1029" s="115">
        <v>1.0</v>
      </c>
      <c r="O1029" s="147" t="s">
        <v>5822</v>
      </c>
      <c r="P1029" s="48" t="str">
        <f t="array" ref="P1029">HYPERLINK(INDEX('File Links'!B:B, MATCH(O1029, 'File Links'!C:C, 0)))
</f>
        <v>https://drive.google.com/file/d/1siDzTCg5TAqWvx1F7jfvqWF5y01jo9l6/view?usp=drivesdk</v>
      </c>
      <c r="Q1029" s="1249" t="s">
        <v>5329</v>
      </c>
      <c r="R1029" s="1288" t="s">
        <v>5330</v>
      </c>
      <c r="S1029" s="1288" t="s">
        <v>5331</v>
      </c>
      <c r="T1029" s="144">
        <v>39.0</v>
      </c>
      <c r="U1029" s="847" t="s">
        <v>5332</v>
      </c>
      <c r="V1029" s="1212" t="s">
        <v>5333</v>
      </c>
      <c r="W1029" s="50" t="str">
        <f t="array" ref="W1029">HYPERLINK(INDEX('File Links'!B:B, MATCH(U1029, 'File Links'!C:C, 0)))
</f>
        <v>https://drive.google.com/file/d/1hjI3aqifdfXjWhQAlvKCKKtvjuncAn5M/view?usp=drivesdk</v>
      </c>
      <c r="X1029" s="60"/>
      <c r="Y1029" s="147" t="s">
        <v>156</v>
      </c>
      <c r="Z1029" s="115" t="s">
        <v>165</v>
      </c>
      <c r="AA1029" s="147" t="s">
        <v>5815</v>
      </c>
      <c r="AB1029" s="60"/>
      <c r="AC1029" s="147" t="s">
        <v>6072</v>
      </c>
      <c r="AD1029" s="147" t="s">
        <v>5817</v>
      </c>
      <c r="AE1029" s="144">
        <v>264.0</v>
      </c>
      <c r="AF1029" s="147" t="s">
        <v>6073</v>
      </c>
      <c r="AG1029" s="147" t="s">
        <v>162</v>
      </c>
      <c r="AH1029" s="330" t="s">
        <v>5819</v>
      </c>
      <c r="AI1029" s="355">
        <v>0.24</v>
      </c>
      <c r="AJ1029" s="52" t="s">
        <v>164</v>
      </c>
      <c r="AK1029" s="147" t="s">
        <v>179</v>
      </c>
      <c r="AL1029" s="52" t="s">
        <v>129</v>
      </c>
      <c r="AM1029" s="60"/>
      <c r="AN1029" s="144">
        <v>442.0</v>
      </c>
      <c r="AO1029" s="147" t="s">
        <v>6070</v>
      </c>
      <c r="AP1029" s="147" t="s">
        <v>162</v>
      </c>
      <c r="AQ1029" s="147" t="s">
        <v>6074</v>
      </c>
      <c r="AR1029" s="144">
        <v>0.64</v>
      </c>
      <c r="AS1029" s="147" t="s">
        <v>164</v>
      </c>
      <c r="AT1029" s="147" t="s">
        <v>179</v>
      </c>
      <c r="AU1029" s="147" t="s">
        <v>129</v>
      </c>
      <c r="AV1029" s="303" t="s">
        <v>5821</v>
      </c>
      <c r="AW1029" s="147" t="s">
        <v>134</v>
      </c>
      <c r="AY1029" s="142" t="s">
        <v>244</v>
      </c>
      <c r="BA1029" s="64"/>
      <c r="BB1029" s="64"/>
      <c r="BC1029" s="64"/>
      <c r="BD1029" s="64"/>
      <c r="BE1029" s="64"/>
      <c r="BF1029" s="64"/>
      <c r="BG1029" s="64"/>
      <c r="BH1029" s="64"/>
      <c r="BI1029" s="64"/>
      <c r="BJ1029" s="64"/>
      <c r="BK1029" s="64"/>
      <c r="BL1029" s="64"/>
      <c r="BM1029" s="64"/>
      <c r="BN1029" s="64"/>
      <c r="BO1029" s="64"/>
      <c r="BP1029" s="64"/>
      <c r="BQ1029" s="64"/>
      <c r="BR1029" s="64"/>
      <c r="BS1029" s="64"/>
      <c r="BT1029" s="64"/>
      <c r="BU1029" s="64"/>
      <c r="BV1029" s="64"/>
      <c r="BW1029" s="64"/>
      <c r="BX1029" s="64"/>
      <c r="BY1029" s="64"/>
      <c r="BZ1029" s="64"/>
      <c r="CA1029" s="64"/>
      <c r="CB1029" s="64"/>
      <c r="CC1029" s="64"/>
      <c r="CD1029" s="64"/>
      <c r="CE1029" s="64"/>
      <c r="CF1029" s="64"/>
      <c r="CG1029" s="64"/>
      <c r="CH1029" s="64"/>
      <c r="CI1029" s="64"/>
      <c r="CJ1029" s="64"/>
      <c r="CK1029" s="64"/>
      <c r="CL1029" s="64"/>
      <c r="CM1029" s="64"/>
      <c r="CN1029" s="64"/>
      <c r="CO1029" s="64"/>
      <c r="CP1029" s="64"/>
      <c r="CQ1029" s="64"/>
      <c r="CR1029" s="64"/>
      <c r="CS1029" s="64"/>
      <c r="CT1029" s="64"/>
      <c r="CU1029" s="64"/>
      <c r="CV1029" s="64"/>
      <c r="CW1029" s="64"/>
      <c r="CX1029" s="64"/>
      <c r="CY1029" s="64"/>
      <c r="CZ1029" s="64"/>
      <c r="DA1029" s="64"/>
      <c r="DB1029" s="64"/>
      <c r="DC1029" s="64"/>
      <c r="DD1029" s="64"/>
      <c r="DE1029" s="64"/>
      <c r="DF1029" s="64"/>
      <c r="DG1029" s="64"/>
    </row>
    <row r="1030">
      <c r="A1030" s="142" t="s">
        <v>143</v>
      </c>
      <c r="B1030" s="136" t="s">
        <v>107</v>
      </c>
      <c r="C1030" s="41" t="s">
        <v>243</v>
      </c>
      <c r="E1030" s="55" t="s">
        <v>5811</v>
      </c>
      <c r="F1030" s="147" t="s">
        <v>6075</v>
      </c>
      <c r="G1030" s="1247" t="s">
        <v>244</v>
      </c>
      <c r="H1030" s="140">
        <v>45331.0</v>
      </c>
      <c r="I1030" s="140">
        <v>45691.0</v>
      </c>
      <c r="J1030" s="60"/>
      <c r="K1030" s="60" t="s">
        <v>5936</v>
      </c>
      <c r="L1030" s="147" t="s">
        <v>5813</v>
      </c>
      <c r="M1030" s="147" t="s">
        <v>5814</v>
      </c>
      <c r="N1030" s="115">
        <v>1.0</v>
      </c>
      <c r="O1030" s="147" t="s">
        <v>5822</v>
      </c>
      <c r="P1030" s="48" t="str">
        <f t="array" ref="P1030">HYPERLINK(INDEX('File Links'!B:B, MATCH(O1030, 'File Links'!C:C, 0)))
</f>
        <v>https://drive.google.com/file/d/1siDzTCg5TAqWvx1F7jfvqWF5y01jo9l6/view?usp=drivesdk</v>
      </c>
      <c r="Q1030" s="1249" t="s">
        <v>5329</v>
      </c>
      <c r="R1030" s="1288" t="s">
        <v>5330</v>
      </c>
      <c r="S1030" s="1288" t="s">
        <v>5331</v>
      </c>
      <c r="T1030" s="144">
        <v>39.0</v>
      </c>
      <c r="U1030" s="847" t="s">
        <v>5332</v>
      </c>
      <c r="V1030" s="1212" t="s">
        <v>5333</v>
      </c>
      <c r="W1030" s="50" t="str">
        <f t="array" ref="W1030">HYPERLINK(INDEX('File Links'!B:B, MATCH(U1030, 'File Links'!C:C, 0)))
</f>
        <v>https://drive.google.com/file/d/1hjI3aqifdfXjWhQAlvKCKKtvjuncAn5M/view?usp=drivesdk</v>
      </c>
      <c r="X1030" s="60"/>
      <c r="Y1030" s="147" t="s">
        <v>156</v>
      </c>
      <c r="Z1030" s="115" t="s">
        <v>165</v>
      </c>
      <c r="AA1030" s="147" t="s">
        <v>6076</v>
      </c>
      <c r="AB1030" s="60"/>
      <c r="AC1030" s="147" t="s">
        <v>6069</v>
      </c>
      <c r="AD1030" s="147" t="s">
        <v>163</v>
      </c>
      <c r="AE1030" s="144">
        <v>264.0</v>
      </c>
      <c r="AF1030" s="144">
        <v>0.191</v>
      </c>
      <c r="AG1030" s="147" t="s">
        <v>1051</v>
      </c>
      <c r="AH1030" s="139" t="s">
        <v>5819</v>
      </c>
      <c r="AI1030" s="355">
        <v>0.83</v>
      </c>
      <c r="AJ1030" s="52" t="s">
        <v>164</v>
      </c>
      <c r="AK1030" s="147" t="s">
        <v>179</v>
      </c>
      <c r="AL1030" s="52" t="s">
        <v>129</v>
      </c>
      <c r="AM1030" s="60"/>
      <c r="AN1030" s="144">
        <v>442.0</v>
      </c>
      <c r="AO1030" s="144">
        <v>1.06</v>
      </c>
      <c r="AP1030" s="147" t="s">
        <v>1051</v>
      </c>
      <c r="AQ1030" s="147" t="s">
        <v>6077</v>
      </c>
      <c r="AR1030" s="144">
        <v>0.35</v>
      </c>
      <c r="AS1030" s="147" t="s">
        <v>164</v>
      </c>
      <c r="AT1030" s="147" t="s">
        <v>179</v>
      </c>
      <c r="AU1030" s="147" t="s">
        <v>129</v>
      </c>
      <c r="AV1030" s="453" t="s">
        <v>6078</v>
      </c>
      <c r="AW1030" s="147" t="s">
        <v>134</v>
      </c>
      <c r="AY1030" s="142" t="s">
        <v>244</v>
      </c>
      <c r="BA1030" s="64"/>
      <c r="BB1030" s="64"/>
      <c r="BC1030" s="64"/>
      <c r="BD1030" s="64"/>
      <c r="BE1030" s="64"/>
      <c r="BF1030" s="64"/>
      <c r="BG1030" s="64"/>
      <c r="BH1030" s="64"/>
      <c r="BI1030" s="64"/>
      <c r="BJ1030" s="64"/>
      <c r="BK1030" s="64"/>
      <c r="BL1030" s="64"/>
      <c r="BM1030" s="64"/>
      <c r="BN1030" s="64"/>
      <c r="BO1030" s="64"/>
      <c r="BP1030" s="64"/>
      <c r="BQ1030" s="64"/>
      <c r="BR1030" s="64"/>
      <c r="BS1030" s="64"/>
      <c r="BT1030" s="64"/>
      <c r="BU1030" s="64"/>
      <c r="BV1030" s="64"/>
      <c r="BW1030" s="64"/>
      <c r="BX1030" s="64"/>
      <c r="BY1030" s="64"/>
      <c r="BZ1030" s="64"/>
      <c r="CA1030" s="64"/>
      <c r="CB1030" s="64"/>
      <c r="CC1030" s="64"/>
      <c r="CD1030" s="64"/>
      <c r="CE1030" s="64"/>
      <c r="CF1030" s="64"/>
      <c r="CG1030" s="64"/>
      <c r="CH1030" s="64"/>
      <c r="CI1030" s="64"/>
      <c r="CJ1030" s="64"/>
      <c r="CK1030" s="64"/>
      <c r="CL1030" s="64"/>
      <c r="CM1030" s="64"/>
      <c r="CN1030" s="64"/>
      <c r="CO1030" s="64"/>
      <c r="CP1030" s="64"/>
      <c r="CQ1030" s="64"/>
      <c r="CR1030" s="64"/>
      <c r="CS1030" s="64"/>
      <c r="CT1030" s="64"/>
      <c r="CU1030" s="64"/>
      <c r="CV1030" s="64"/>
      <c r="CW1030" s="64"/>
      <c r="CX1030" s="64"/>
      <c r="CY1030" s="64"/>
      <c r="CZ1030" s="64"/>
      <c r="DA1030" s="64"/>
      <c r="DB1030" s="64"/>
      <c r="DC1030" s="64"/>
      <c r="DD1030" s="64"/>
      <c r="DE1030" s="64"/>
      <c r="DF1030" s="64"/>
      <c r="DG1030" s="64"/>
    </row>
    <row r="1031">
      <c r="A1031" s="142" t="s">
        <v>106</v>
      </c>
      <c r="B1031" s="136" t="s">
        <v>107</v>
      </c>
      <c r="C1031" s="41" t="s">
        <v>3672</v>
      </c>
      <c r="E1031" s="55" t="s">
        <v>5811</v>
      </c>
      <c r="F1031" s="139" t="s">
        <v>6075</v>
      </c>
      <c r="G1031" s="1247" t="s">
        <v>3673</v>
      </c>
      <c r="H1031" s="140">
        <v>45675.0</v>
      </c>
      <c r="I1031" s="140">
        <v>45691.0</v>
      </c>
      <c r="J1031" s="60"/>
      <c r="K1031" s="60" t="s">
        <v>5936</v>
      </c>
      <c r="L1031" s="147" t="s">
        <v>5813</v>
      </c>
      <c r="M1031" s="147" t="s">
        <v>5814</v>
      </c>
      <c r="N1031" s="115">
        <v>1.0</v>
      </c>
      <c r="O1031" s="147" t="s">
        <v>5822</v>
      </c>
      <c r="P1031" s="48" t="str">
        <f t="array" ref="P1031">HYPERLINK(INDEX('File Links'!B:B, MATCH(O1031, 'File Links'!C:C, 0)))
</f>
        <v>https://drive.google.com/file/d/1siDzTCg5TAqWvx1F7jfvqWF5y01jo9l6/view?usp=drivesdk</v>
      </c>
      <c r="Q1031" s="1249" t="s">
        <v>5329</v>
      </c>
      <c r="R1031" s="1288" t="s">
        <v>5330</v>
      </c>
      <c r="S1031" s="1288" t="s">
        <v>5331</v>
      </c>
      <c r="T1031" s="144">
        <v>39.0</v>
      </c>
      <c r="U1031" s="847" t="s">
        <v>5332</v>
      </c>
      <c r="V1031" s="1212" t="s">
        <v>5333</v>
      </c>
      <c r="W1031" s="50" t="str">
        <f t="array" ref="W1031">HYPERLINK(INDEX('File Links'!B:B, MATCH(U1031, 'File Links'!C:C, 0)))
</f>
        <v>https://drive.google.com/file/d/1hjI3aqifdfXjWhQAlvKCKKtvjuncAn5M/view?usp=drivesdk</v>
      </c>
      <c r="X1031" s="60"/>
      <c r="Y1031" s="147" t="s">
        <v>156</v>
      </c>
      <c r="Z1031" s="115" t="s">
        <v>165</v>
      </c>
      <c r="AA1031" s="147" t="s">
        <v>5815</v>
      </c>
      <c r="AB1031" s="60"/>
      <c r="AC1031" s="147" t="s">
        <v>6079</v>
      </c>
      <c r="AD1031" s="147" t="s">
        <v>5817</v>
      </c>
      <c r="AE1031" s="144">
        <v>264.0</v>
      </c>
      <c r="AF1031" s="147" t="s">
        <v>6080</v>
      </c>
      <c r="AG1031" s="147" t="s">
        <v>162</v>
      </c>
      <c r="AH1031" s="330" t="s">
        <v>5819</v>
      </c>
      <c r="AI1031" s="355">
        <v>0.83</v>
      </c>
      <c r="AJ1031" s="52" t="s">
        <v>164</v>
      </c>
      <c r="AK1031" s="147" t="s">
        <v>179</v>
      </c>
      <c r="AL1031" s="52" t="s">
        <v>129</v>
      </c>
      <c r="AM1031" s="60"/>
      <c r="AN1031" s="144">
        <v>442.0</v>
      </c>
      <c r="AO1031" s="147" t="s">
        <v>6077</v>
      </c>
      <c r="AP1031" s="147" t="s">
        <v>162</v>
      </c>
      <c r="AQ1031" s="147" t="s">
        <v>6074</v>
      </c>
      <c r="AR1031" s="144">
        <v>0.35</v>
      </c>
      <c r="AS1031" s="147" t="s">
        <v>164</v>
      </c>
      <c r="AT1031" s="147" t="s">
        <v>179</v>
      </c>
      <c r="AU1031" s="147" t="s">
        <v>129</v>
      </c>
      <c r="AV1031" s="303" t="s">
        <v>5821</v>
      </c>
      <c r="AW1031" s="147" t="s">
        <v>134</v>
      </c>
      <c r="AY1031" s="142" t="s">
        <v>244</v>
      </c>
      <c r="BA1031" s="64"/>
      <c r="BB1031" s="64"/>
      <c r="BC1031" s="64"/>
      <c r="BD1031" s="64"/>
      <c r="BE1031" s="64"/>
      <c r="BF1031" s="64"/>
      <c r="BG1031" s="64"/>
      <c r="BH1031" s="64"/>
      <c r="BI1031" s="64"/>
      <c r="BJ1031" s="64"/>
      <c r="BK1031" s="64"/>
      <c r="BL1031" s="64"/>
      <c r="BM1031" s="64"/>
      <c r="BN1031" s="64"/>
      <c r="BO1031" s="64"/>
      <c r="BP1031" s="64"/>
      <c r="BQ1031" s="64"/>
      <c r="BR1031" s="64"/>
      <c r="BS1031" s="64"/>
      <c r="BT1031" s="64"/>
      <c r="BU1031" s="64"/>
      <c r="BV1031" s="64"/>
      <c r="BW1031" s="64"/>
      <c r="BX1031" s="64"/>
      <c r="BY1031" s="64"/>
      <c r="BZ1031" s="64"/>
      <c r="CA1031" s="64"/>
      <c r="CB1031" s="64"/>
      <c r="CC1031" s="64"/>
      <c r="CD1031" s="64"/>
      <c r="CE1031" s="64"/>
      <c r="CF1031" s="64"/>
      <c r="CG1031" s="64"/>
      <c r="CH1031" s="64"/>
      <c r="CI1031" s="64"/>
      <c r="CJ1031" s="64"/>
      <c r="CK1031" s="64"/>
      <c r="CL1031" s="64"/>
      <c r="CM1031" s="64"/>
      <c r="CN1031" s="64"/>
      <c r="CO1031" s="64"/>
      <c r="CP1031" s="64"/>
      <c r="CQ1031" s="64"/>
      <c r="CR1031" s="64"/>
      <c r="CS1031" s="64"/>
      <c r="CT1031" s="64"/>
      <c r="CU1031" s="64"/>
      <c r="CV1031" s="64"/>
      <c r="CW1031" s="64"/>
      <c r="CX1031" s="64"/>
      <c r="CY1031" s="64"/>
      <c r="CZ1031" s="64"/>
      <c r="DA1031" s="64"/>
      <c r="DB1031" s="64"/>
      <c r="DC1031" s="64"/>
      <c r="DD1031" s="64"/>
      <c r="DE1031" s="64"/>
      <c r="DF1031" s="64"/>
      <c r="DG1031" s="64"/>
    </row>
    <row r="1032">
      <c r="A1032" s="60" t="s">
        <v>143</v>
      </c>
      <c r="B1032" s="136" t="s">
        <v>107</v>
      </c>
      <c r="C1032" s="41" t="s">
        <v>3672</v>
      </c>
      <c r="E1032" s="55" t="s">
        <v>5846</v>
      </c>
      <c r="F1032" s="139" t="s">
        <v>6081</v>
      </c>
      <c r="G1032" s="1247" t="s">
        <v>3673</v>
      </c>
      <c r="H1032" s="140">
        <v>45675.0</v>
      </c>
      <c r="I1032" s="140">
        <v>45691.0</v>
      </c>
      <c r="J1032" s="60"/>
      <c r="K1032" s="60" t="s">
        <v>5936</v>
      </c>
      <c r="L1032" s="147" t="s">
        <v>5848</v>
      </c>
      <c r="M1032" s="147" t="s">
        <v>5849</v>
      </c>
      <c r="N1032" s="144">
        <v>1.0</v>
      </c>
      <c r="O1032" s="147" t="str">
        <f t="shared" ref="O1032:O1035" si="54">SUBSTITUTE(LOWER(M1032), "/", "--") &amp;  ".pdf"</f>
        <v>10.1016--j.cognition.2015.01.013.pdf</v>
      </c>
      <c r="P1032" s="48" t="str">
        <f t="array" ref="P1032">HYPERLINK(INDEX('File Links'!B:B, MATCH(O1032, 'File Links'!C:C, 0)))
</f>
        <v>https://drive.google.com/file/d/15kuHQf8erGaSOBxt1lOz994u1DIsHk_v/view?usp=drivesdk</v>
      </c>
      <c r="Q1032" s="1249" t="s">
        <v>5329</v>
      </c>
      <c r="R1032" s="303" t="s">
        <v>5330</v>
      </c>
      <c r="S1032" s="303" t="s">
        <v>5331</v>
      </c>
      <c r="T1032" s="144">
        <v>40.0</v>
      </c>
      <c r="U1032" s="847" t="s">
        <v>5332</v>
      </c>
      <c r="V1032" s="1212" t="s">
        <v>5333</v>
      </c>
      <c r="W1032" s="50" t="str">
        <f t="array" ref="W1032">HYPERLINK(INDEX('File Links'!B:B, MATCH(U1032, 'File Links'!C:C, 0)))
</f>
        <v>https://drive.google.com/file/d/1hjI3aqifdfXjWhQAlvKCKKtvjuncAn5M/view?usp=drivesdk</v>
      </c>
      <c r="X1032" s="60"/>
      <c r="Y1032" s="147" t="s">
        <v>156</v>
      </c>
      <c r="Z1032" s="115" t="s">
        <v>165</v>
      </c>
      <c r="AA1032" s="147" t="s">
        <v>5850</v>
      </c>
      <c r="AB1032" s="60"/>
      <c r="AC1032" s="147" t="s">
        <v>6082</v>
      </c>
      <c r="AD1032" s="144">
        <v>6.0</v>
      </c>
      <c r="AE1032" s="144">
        <v>60.0</v>
      </c>
      <c r="AF1032" s="147" t="s">
        <v>6083</v>
      </c>
      <c r="AG1032" s="147" t="s">
        <v>166</v>
      </c>
      <c r="AH1032" s="330" t="s">
        <v>131</v>
      </c>
      <c r="AI1032" s="355">
        <v>0.005</v>
      </c>
      <c r="AJ1032" s="52" t="s">
        <v>164</v>
      </c>
      <c r="AK1032" s="147" t="s">
        <v>179</v>
      </c>
      <c r="AL1032" s="52" t="s">
        <v>129</v>
      </c>
      <c r="AM1032" s="60"/>
      <c r="AN1032" s="144">
        <v>200.0</v>
      </c>
      <c r="AO1032" s="147" t="s">
        <v>6084</v>
      </c>
      <c r="AP1032" s="147" t="s">
        <v>162</v>
      </c>
      <c r="AQ1032" s="147" t="s">
        <v>6085</v>
      </c>
      <c r="AR1032" s="144">
        <v>0.1647</v>
      </c>
      <c r="AS1032" s="147" t="s">
        <v>164</v>
      </c>
      <c r="AT1032" s="147" t="s">
        <v>179</v>
      </c>
      <c r="AU1032" s="147" t="s">
        <v>129</v>
      </c>
      <c r="AV1032" s="303" t="s">
        <v>5855</v>
      </c>
      <c r="AW1032" s="147" t="s">
        <v>134</v>
      </c>
      <c r="AY1032" s="142" t="s">
        <v>244</v>
      </c>
      <c r="BA1032" s="64"/>
      <c r="BB1032" s="64"/>
      <c r="BC1032" s="64"/>
      <c r="BD1032" s="64"/>
      <c r="BE1032" s="64"/>
      <c r="BF1032" s="64"/>
      <c r="BG1032" s="64"/>
      <c r="BH1032" s="64"/>
      <c r="BI1032" s="64"/>
      <c r="BJ1032" s="64"/>
      <c r="BK1032" s="64"/>
      <c r="BL1032" s="64"/>
      <c r="BM1032" s="64"/>
      <c r="BN1032" s="64"/>
      <c r="BO1032" s="64"/>
      <c r="BP1032" s="64"/>
      <c r="BQ1032" s="64"/>
      <c r="BR1032" s="64"/>
      <c r="BS1032" s="64"/>
      <c r="BT1032" s="64"/>
      <c r="BU1032" s="64"/>
      <c r="BV1032" s="64"/>
      <c r="BW1032" s="64"/>
      <c r="BX1032" s="64"/>
      <c r="BY1032" s="64"/>
      <c r="BZ1032" s="64"/>
      <c r="CA1032" s="64"/>
      <c r="CB1032" s="64"/>
      <c r="CC1032" s="64"/>
      <c r="CD1032" s="64"/>
      <c r="CE1032" s="64"/>
      <c r="CF1032" s="64"/>
      <c r="CG1032" s="64"/>
      <c r="CH1032" s="64"/>
      <c r="CI1032" s="64"/>
      <c r="CJ1032" s="64"/>
      <c r="CK1032" s="64"/>
      <c r="CL1032" s="64"/>
      <c r="CM1032" s="64"/>
      <c r="CN1032" s="64"/>
      <c r="CO1032" s="64"/>
      <c r="CP1032" s="64"/>
      <c r="CQ1032" s="64"/>
      <c r="CR1032" s="64"/>
      <c r="CS1032" s="64"/>
      <c r="CT1032" s="64"/>
      <c r="CU1032" s="64"/>
      <c r="CV1032" s="64"/>
      <c r="CW1032" s="64"/>
      <c r="CX1032" s="64"/>
      <c r="CY1032" s="64"/>
      <c r="CZ1032" s="64"/>
      <c r="DA1032" s="64"/>
      <c r="DB1032" s="64"/>
      <c r="DC1032" s="64"/>
      <c r="DD1032" s="64"/>
      <c r="DE1032" s="64"/>
      <c r="DF1032" s="64"/>
      <c r="DG1032" s="64"/>
    </row>
    <row r="1033">
      <c r="A1033" s="142" t="s">
        <v>143</v>
      </c>
      <c r="B1033" s="136" t="s">
        <v>107</v>
      </c>
      <c r="C1033" s="41" t="s">
        <v>3672</v>
      </c>
      <c r="E1033" s="55" t="s">
        <v>5861</v>
      </c>
      <c r="F1033" s="139" t="s">
        <v>6086</v>
      </c>
      <c r="G1033" s="1247" t="s">
        <v>3673</v>
      </c>
      <c r="H1033" s="140">
        <v>45667.0</v>
      </c>
      <c r="I1033" s="140">
        <v>45691.0</v>
      </c>
      <c r="J1033" s="60"/>
      <c r="K1033" s="60" t="s">
        <v>5936</v>
      </c>
      <c r="L1033" s="147" t="s">
        <v>5864</v>
      </c>
      <c r="M1033" s="147" t="s">
        <v>5865</v>
      </c>
      <c r="N1033" s="144">
        <v>3.0</v>
      </c>
      <c r="O1033" s="147" t="str">
        <f t="shared" si="54"/>
        <v>10.1080--0951508042000202354.pdf</v>
      </c>
      <c r="P1033" s="48" t="str">
        <f t="array" ref="P1033">HYPERLINK(INDEX('File Links'!B:B, MATCH(O1033, 'File Links'!C:C, 0)))
</f>
        <v>https://drive.google.com/file/d/1kCe7dne_GNfNSHLYlAzOzBcQn9yFuOr2/view?usp=drivesdk</v>
      </c>
      <c r="Q1033" s="1249" t="s">
        <v>5329</v>
      </c>
      <c r="R1033" s="303" t="s">
        <v>5330</v>
      </c>
      <c r="S1033" s="303" t="s">
        <v>5331</v>
      </c>
      <c r="T1033" s="144">
        <v>5.0</v>
      </c>
      <c r="U1033" s="847" t="s">
        <v>5332</v>
      </c>
      <c r="V1033" s="1212" t="s">
        <v>5333</v>
      </c>
      <c r="W1033" s="50" t="str">
        <f t="array" ref="W1033">HYPERLINK(INDEX('File Links'!B:B, MATCH(U1033, 'File Links'!C:C, 0)))
</f>
        <v>https://drive.google.com/file/d/1hjI3aqifdfXjWhQAlvKCKKtvjuncAn5M/view?usp=drivesdk</v>
      </c>
      <c r="X1033" s="60"/>
      <c r="Y1033" s="147" t="s">
        <v>156</v>
      </c>
      <c r="Z1033" s="115" t="s">
        <v>165</v>
      </c>
      <c r="AA1033" s="147" t="s">
        <v>5866</v>
      </c>
      <c r="AB1033" s="60"/>
      <c r="AC1033" s="147" t="s">
        <v>6087</v>
      </c>
      <c r="AD1033" s="144">
        <v>15.0</v>
      </c>
      <c r="AE1033" s="144">
        <v>10.0</v>
      </c>
      <c r="AF1033" s="147" t="s">
        <v>6088</v>
      </c>
      <c r="AG1033" s="147" t="s">
        <v>162</v>
      </c>
      <c r="AH1033" s="330" t="s">
        <v>624</v>
      </c>
      <c r="AI1033" s="355">
        <v>0.001</v>
      </c>
      <c r="AJ1033" s="52" t="s">
        <v>127</v>
      </c>
      <c r="AK1033" s="147" t="s">
        <v>179</v>
      </c>
      <c r="AL1033" s="52" t="s">
        <v>132</v>
      </c>
      <c r="AM1033" s="60"/>
      <c r="AN1033" s="144">
        <v>9.0</v>
      </c>
      <c r="AO1033" s="1251">
        <v>0.24</v>
      </c>
      <c r="AP1033" s="147" t="s">
        <v>130</v>
      </c>
      <c r="AQ1033" s="147" t="s">
        <v>5869</v>
      </c>
      <c r="AR1033" s="144">
        <v>0.009</v>
      </c>
      <c r="AS1033" s="147" t="s">
        <v>164</v>
      </c>
      <c r="AT1033" s="147" t="s">
        <v>179</v>
      </c>
      <c r="AU1033" s="147" t="s">
        <v>132</v>
      </c>
      <c r="AV1033" s="303" t="s">
        <v>5870</v>
      </c>
      <c r="AW1033" s="147" t="s">
        <v>134</v>
      </c>
      <c r="AY1033" s="142" t="s">
        <v>244</v>
      </c>
      <c r="BA1033" s="64"/>
      <c r="BB1033" s="64"/>
      <c r="BC1033" s="64"/>
      <c r="BD1033" s="64"/>
      <c r="BE1033" s="64"/>
      <c r="BF1033" s="64"/>
      <c r="BG1033" s="64"/>
      <c r="BH1033" s="64"/>
      <c r="BI1033" s="64"/>
      <c r="BJ1033" s="64"/>
      <c r="BK1033" s="64"/>
      <c r="BL1033" s="64"/>
      <c r="BM1033" s="64"/>
      <c r="BN1033" s="64"/>
      <c r="BO1033" s="64"/>
      <c r="BP1033" s="64"/>
      <c r="BQ1033" s="64"/>
      <c r="BR1033" s="64"/>
      <c r="BS1033" s="64"/>
      <c r="BT1033" s="64"/>
      <c r="BU1033" s="64"/>
      <c r="BV1033" s="64"/>
      <c r="BW1033" s="64"/>
      <c r="BX1033" s="64"/>
      <c r="BY1033" s="64"/>
      <c r="BZ1033" s="64"/>
      <c r="CA1033" s="64"/>
      <c r="CB1033" s="64"/>
      <c r="CC1033" s="64"/>
      <c r="CD1033" s="64"/>
      <c r="CE1033" s="64"/>
      <c r="CF1033" s="64"/>
      <c r="CG1033" s="64"/>
      <c r="CH1033" s="64"/>
      <c r="CI1033" s="64"/>
      <c r="CJ1033" s="64"/>
      <c r="CK1033" s="64"/>
      <c r="CL1033" s="64"/>
      <c r="CM1033" s="64"/>
      <c r="CN1033" s="64"/>
      <c r="CO1033" s="64"/>
      <c r="CP1033" s="64"/>
      <c r="CQ1033" s="64"/>
      <c r="CR1033" s="64"/>
      <c r="CS1033" s="64"/>
      <c r="CT1033" s="64"/>
      <c r="CU1033" s="64"/>
      <c r="CV1033" s="64"/>
      <c r="CW1033" s="64"/>
      <c r="CX1033" s="64"/>
      <c r="CY1033" s="64"/>
      <c r="CZ1033" s="64"/>
      <c r="DA1033" s="64"/>
      <c r="DB1033" s="64"/>
      <c r="DC1033" s="64"/>
      <c r="DD1033" s="64"/>
      <c r="DE1033" s="64"/>
      <c r="DF1033" s="64"/>
      <c r="DG1033" s="64"/>
    </row>
    <row r="1034">
      <c r="A1034" s="142" t="s">
        <v>143</v>
      </c>
      <c r="B1034" s="136" t="s">
        <v>107</v>
      </c>
      <c r="C1034" s="41" t="s">
        <v>3672</v>
      </c>
      <c r="E1034" s="55" t="s">
        <v>5861</v>
      </c>
      <c r="F1034" s="139" t="s">
        <v>6089</v>
      </c>
      <c r="G1034" s="1247" t="s">
        <v>3673</v>
      </c>
      <c r="H1034" s="140">
        <v>45667.0</v>
      </c>
      <c r="I1034" s="140">
        <v>45691.0</v>
      </c>
      <c r="J1034" s="60"/>
      <c r="K1034" s="60" t="s">
        <v>5936</v>
      </c>
      <c r="L1034" s="147" t="s">
        <v>5864</v>
      </c>
      <c r="M1034" s="147" t="s">
        <v>5865</v>
      </c>
      <c r="N1034" s="144">
        <v>3.0</v>
      </c>
      <c r="O1034" s="147" t="str">
        <f t="shared" si="54"/>
        <v>10.1080--0951508042000202354.pdf</v>
      </c>
      <c r="P1034" s="48" t="str">
        <f t="array" ref="P1034">HYPERLINK(INDEX('File Links'!B:B, MATCH(O1034, 'File Links'!C:C, 0)))
</f>
        <v>https://drive.google.com/file/d/1kCe7dne_GNfNSHLYlAzOzBcQn9yFuOr2/view?usp=drivesdk</v>
      </c>
      <c r="Q1034" s="1249" t="s">
        <v>5329</v>
      </c>
      <c r="R1034" s="303" t="s">
        <v>5330</v>
      </c>
      <c r="S1034" s="303" t="s">
        <v>5331</v>
      </c>
      <c r="T1034" s="144">
        <v>5.0</v>
      </c>
      <c r="U1034" s="847" t="s">
        <v>5332</v>
      </c>
      <c r="V1034" s="1212" t="s">
        <v>5333</v>
      </c>
      <c r="W1034" s="50" t="str">
        <f t="array" ref="W1034">HYPERLINK(INDEX('File Links'!B:B, MATCH(U1034, 'File Links'!C:C, 0)))
</f>
        <v>https://drive.google.com/file/d/1hjI3aqifdfXjWhQAlvKCKKtvjuncAn5M/view?usp=drivesdk</v>
      </c>
      <c r="X1034" s="60"/>
      <c r="Y1034" s="147" t="s">
        <v>156</v>
      </c>
      <c r="Z1034" s="115" t="s">
        <v>165</v>
      </c>
      <c r="AA1034" s="147" t="s">
        <v>5866</v>
      </c>
      <c r="AB1034" s="60"/>
      <c r="AC1034" s="147" t="s">
        <v>6090</v>
      </c>
      <c r="AD1034" s="144">
        <v>15.0</v>
      </c>
      <c r="AE1034" s="144">
        <v>10.0</v>
      </c>
      <c r="AF1034" s="147" t="s">
        <v>6091</v>
      </c>
      <c r="AG1034" s="147" t="s">
        <v>162</v>
      </c>
      <c r="AH1034" s="330" t="s">
        <v>624</v>
      </c>
      <c r="AI1034" s="355">
        <v>0.01</v>
      </c>
      <c r="AJ1034" s="52" t="s">
        <v>127</v>
      </c>
      <c r="AK1034" s="147" t="s">
        <v>179</v>
      </c>
      <c r="AL1034" s="52" t="s">
        <v>132</v>
      </c>
      <c r="AM1034" s="60"/>
      <c r="AN1034" s="144">
        <v>9.0</v>
      </c>
      <c r="AO1034" s="1251">
        <v>0.53</v>
      </c>
      <c r="AP1034" s="147" t="s">
        <v>130</v>
      </c>
      <c r="AQ1034" s="147" t="s">
        <v>5869</v>
      </c>
      <c r="AR1034" s="144">
        <v>0.03</v>
      </c>
      <c r="AS1034" s="147" t="s">
        <v>164</v>
      </c>
      <c r="AT1034" s="147" t="s">
        <v>179</v>
      </c>
      <c r="AU1034" s="147" t="s">
        <v>132</v>
      </c>
      <c r="AV1034" s="303" t="s">
        <v>5870</v>
      </c>
      <c r="AW1034" s="147" t="s">
        <v>134</v>
      </c>
      <c r="AY1034" s="142" t="s">
        <v>244</v>
      </c>
      <c r="BA1034" s="64"/>
      <c r="BB1034" s="64"/>
      <c r="BC1034" s="64"/>
      <c r="BD1034" s="64"/>
      <c r="BE1034" s="64"/>
      <c r="BF1034" s="64"/>
      <c r="BG1034" s="64"/>
      <c r="BH1034" s="64"/>
      <c r="BI1034" s="64"/>
      <c r="BJ1034" s="64"/>
      <c r="BK1034" s="64"/>
      <c r="BL1034" s="64"/>
      <c r="BM1034" s="64"/>
      <c r="BN1034" s="64"/>
      <c r="BO1034" s="64"/>
      <c r="BP1034" s="64"/>
      <c r="BQ1034" s="64"/>
      <c r="BR1034" s="64"/>
      <c r="BS1034" s="64"/>
      <c r="BT1034" s="64"/>
      <c r="BU1034" s="64"/>
      <c r="BV1034" s="64"/>
      <c r="BW1034" s="64"/>
      <c r="BX1034" s="64"/>
      <c r="BY1034" s="64"/>
      <c r="BZ1034" s="64"/>
      <c r="CA1034" s="64"/>
      <c r="CB1034" s="64"/>
      <c r="CC1034" s="64"/>
      <c r="CD1034" s="64"/>
      <c r="CE1034" s="64"/>
      <c r="CF1034" s="64"/>
      <c r="CG1034" s="64"/>
      <c r="CH1034" s="64"/>
      <c r="CI1034" s="64"/>
      <c r="CJ1034" s="64"/>
      <c r="CK1034" s="64"/>
      <c r="CL1034" s="64"/>
      <c r="CM1034" s="64"/>
      <c r="CN1034" s="64"/>
      <c r="CO1034" s="64"/>
      <c r="CP1034" s="64"/>
      <c r="CQ1034" s="64"/>
      <c r="CR1034" s="64"/>
      <c r="CS1034" s="64"/>
      <c r="CT1034" s="64"/>
      <c r="CU1034" s="64"/>
      <c r="CV1034" s="64"/>
      <c r="CW1034" s="64"/>
      <c r="CX1034" s="64"/>
      <c r="CY1034" s="64"/>
      <c r="CZ1034" s="64"/>
      <c r="DA1034" s="64"/>
      <c r="DB1034" s="64"/>
      <c r="DC1034" s="64"/>
      <c r="DD1034" s="64"/>
      <c r="DE1034" s="64"/>
      <c r="DF1034" s="64"/>
      <c r="DG1034" s="64"/>
    </row>
    <row r="1035">
      <c r="A1035" s="60" t="s">
        <v>106</v>
      </c>
      <c r="B1035" s="136" t="s">
        <v>107</v>
      </c>
      <c r="C1035" s="41" t="s">
        <v>3672</v>
      </c>
      <c r="E1035" s="55" t="s">
        <v>5861</v>
      </c>
      <c r="F1035" s="139" t="s">
        <v>6092</v>
      </c>
      <c r="G1035" s="1247" t="s">
        <v>3673</v>
      </c>
      <c r="H1035" s="140">
        <v>45667.0</v>
      </c>
      <c r="I1035" s="140">
        <v>45691.0</v>
      </c>
      <c r="J1035" s="60"/>
      <c r="K1035" s="60"/>
      <c r="L1035" s="147" t="s">
        <v>5864</v>
      </c>
      <c r="M1035" s="147" t="s">
        <v>5865</v>
      </c>
      <c r="N1035" s="144">
        <v>3.0</v>
      </c>
      <c r="O1035" s="147" t="str">
        <f t="shared" si="54"/>
        <v>10.1080--0951508042000202354.pdf</v>
      </c>
      <c r="P1035" s="48" t="str">
        <f t="array" ref="P1035">HYPERLINK(INDEX('File Links'!B:B, MATCH(O1035, 'File Links'!C:C, 0)))
</f>
        <v>https://drive.google.com/file/d/1kCe7dne_GNfNSHLYlAzOzBcQn9yFuOr2/view?usp=drivesdk</v>
      </c>
      <c r="Q1035" s="1249" t="s">
        <v>5329</v>
      </c>
      <c r="R1035" s="303" t="s">
        <v>5330</v>
      </c>
      <c r="S1035" s="303" t="s">
        <v>5331</v>
      </c>
      <c r="T1035" s="144">
        <v>5.0</v>
      </c>
      <c r="U1035" s="847" t="s">
        <v>5332</v>
      </c>
      <c r="V1035" s="1212" t="s">
        <v>5333</v>
      </c>
      <c r="W1035" s="50" t="str">
        <f t="array" ref="W1035">HYPERLINK(INDEX('File Links'!B:B, MATCH(U1035, 'File Links'!C:C, 0)))
</f>
        <v>https://drive.google.com/file/d/1hjI3aqifdfXjWhQAlvKCKKtvjuncAn5M/view?usp=drivesdk</v>
      </c>
      <c r="X1035" s="60"/>
      <c r="Y1035" s="147" t="s">
        <v>156</v>
      </c>
      <c r="Z1035" s="115" t="s">
        <v>165</v>
      </c>
      <c r="AA1035" s="147" t="s">
        <v>5866</v>
      </c>
      <c r="AB1035" s="60"/>
      <c r="AC1035" s="147" t="s">
        <v>6093</v>
      </c>
      <c r="AD1035" s="144">
        <v>15.0</v>
      </c>
      <c r="AE1035" s="144">
        <v>10.0</v>
      </c>
      <c r="AF1035" s="147" t="s">
        <v>6094</v>
      </c>
      <c r="AG1035" s="147" t="s">
        <v>162</v>
      </c>
      <c r="AH1035" s="330" t="s">
        <v>624</v>
      </c>
      <c r="AI1035" s="355">
        <v>0.01</v>
      </c>
      <c r="AJ1035" s="52" t="s">
        <v>127</v>
      </c>
      <c r="AK1035" s="147" t="s">
        <v>179</v>
      </c>
      <c r="AL1035" s="52" t="s">
        <v>132</v>
      </c>
      <c r="AM1035" s="60"/>
      <c r="AN1035" s="144">
        <v>9.0</v>
      </c>
      <c r="AO1035" s="1251">
        <v>0.31</v>
      </c>
      <c r="AP1035" s="147" t="s">
        <v>130</v>
      </c>
      <c r="AQ1035" s="303" t="s">
        <v>5869</v>
      </c>
      <c r="AR1035" s="144">
        <v>0.008</v>
      </c>
      <c r="AS1035" s="147" t="s">
        <v>164</v>
      </c>
      <c r="AT1035" s="147" t="s">
        <v>179</v>
      </c>
      <c r="AU1035" s="147" t="s">
        <v>132</v>
      </c>
      <c r="AV1035" s="303" t="s">
        <v>5870</v>
      </c>
      <c r="AW1035" s="147" t="s">
        <v>134</v>
      </c>
      <c r="AY1035" s="142" t="s">
        <v>244</v>
      </c>
      <c r="BA1035" s="64"/>
      <c r="BB1035" s="64"/>
      <c r="BC1035" s="64"/>
      <c r="BD1035" s="64"/>
      <c r="BE1035" s="64"/>
      <c r="BF1035" s="64"/>
      <c r="BG1035" s="64"/>
      <c r="BH1035" s="64"/>
      <c r="BI1035" s="64"/>
      <c r="BJ1035" s="64"/>
      <c r="BK1035" s="64"/>
      <c r="BL1035" s="64"/>
      <c r="BM1035" s="64"/>
      <c r="BN1035" s="64"/>
      <c r="BO1035" s="64"/>
      <c r="BP1035" s="64"/>
      <c r="BQ1035" s="64"/>
      <c r="BR1035" s="64"/>
      <c r="BS1035" s="64"/>
      <c r="BT1035" s="64"/>
      <c r="BU1035" s="64"/>
      <c r="BV1035" s="64"/>
      <c r="BW1035" s="64"/>
      <c r="BX1035" s="64"/>
      <c r="BY1035" s="64"/>
      <c r="BZ1035" s="64"/>
      <c r="CA1035" s="64"/>
      <c r="CB1035" s="64"/>
      <c r="CC1035" s="64"/>
      <c r="CD1035" s="64"/>
      <c r="CE1035" s="64"/>
      <c r="CF1035" s="64"/>
      <c r="CG1035" s="64"/>
      <c r="CH1035" s="64"/>
      <c r="CI1035" s="64"/>
      <c r="CJ1035" s="64"/>
      <c r="CK1035" s="64"/>
      <c r="CL1035" s="64"/>
      <c r="CM1035" s="64"/>
      <c r="CN1035" s="64"/>
      <c r="CO1035" s="64"/>
      <c r="CP1035" s="64"/>
      <c r="CQ1035" s="64"/>
      <c r="CR1035" s="64"/>
      <c r="CS1035" s="64"/>
      <c r="CT1035" s="64"/>
      <c r="CU1035" s="64"/>
      <c r="CV1035" s="64"/>
      <c r="CW1035" s="64"/>
      <c r="CX1035" s="64"/>
      <c r="CY1035" s="64"/>
      <c r="CZ1035" s="64"/>
      <c r="DA1035" s="64"/>
      <c r="DB1035" s="64"/>
      <c r="DC1035" s="64"/>
      <c r="DD1035" s="64"/>
      <c r="DE1035" s="64"/>
      <c r="DF1035" s="64"/>
      <c r="DG1035" s="64"/>
    </row>
    <row r="1036">
      <c r="A1036" s="115" t="s">
        <v>106</v>
      </c>
      <c r="B1036" s="41" t="s">
        <v>107</v>
      </c>
      <c r="C1036" s="41" t="s">
        <v>108</v>
      </c>
      <c r="D1036" s="340"/>
      <c r="E1036" s="1289" t="s">
        <v>6095</v>
      </c>
      <c r="F1036" s="1290" t="s">
        <v>6096</v>
      </c>
      <c r="G1036" s="1291" t="s">
        <v>6097</v>
      </c>
      <c r="H1036" s="1292">
        <v>45688.0</v>
      </c>
      <c r="I1036" s="1293">
        <v>45692.0</v>
      </c>
      <c r="J1036" s="1289" t="s">
        <v>6098</v>
      </c>
      <c r="K1036" s="1289" t="s">
        <v>6099</v>
      </c>
      <c r="L1036" s="1291" t="s">
        <v>6100</v>
      </c>
      <c r="M1036" s="1291" t="s">
        <v>6101</v>
      </c>
      <c r="N1036" s="1294">
        <v>1.0</v>
      </c>
      <c r="O1036" s="1291" t="s">
        <v>6102</v>
      </c>
      <c r="P1036" s="48" t="str">
        <f t="array" ref="P1036">HYPERLINK(INDEX('File Links'!B:B, MATCH(O1036, 'File Links'!C:C, 0)))
</f>
        <v>https://drive.google.com/file/d/17yvRZkdBULPZU-hy9QprgZuJeonQfAel/view?usp=drivesdk</v>
      </c>
      <c r="Q1036" s="1291" t="s">
        <v>6103</v>
      </c>
      <c r="R1036" s="147" t="s">
        <v>6104</v>
      </c>
      <c r="S1036" s="1289" t="s">
        <v>768</v>
      </c>
      <c r="T1036" s="1289" t="s">
        <v>768</v>
      </c>
      <c r="U1036" s="1291" t="s">
        <v>6105</v>
      </c>
      <c r="V1036" s="1289" t="s">
        <v>768</v>
      </c>
      <c r="W1036" s="45" t="str">
        <f t="array" ref="W1036">HYPERLINK(INDEX('File Links'!B:B, MATCH(U1036, 'File Links'!C:C, 0)))
</f>
        <v>#N/A</v>
      </c>
      <c r="X1036" s="1289"/>
      <c r="Y1036" s="1291" t="s">
        <v>220</v>
      </c>
      <c r="Z1036" s="1289" t="s">
        <v>768</v>
      </c>
      <c r="AA1036" s="1289" t="s">
        <v>6106</v>
      </c>
      <c r="AB1036" s="1291" t="s">
        <v>6107</v>
      </c>
      <c r="AC1036" s="1289" t="s">
        <v>6108</v>
      </c>
      <c r="AD1036" s="1289" t="s">
        <v>6109</v>
      </c>
      <c r="AE1036" s="1294">
        <v>63.0</v>
      </c>
      <c r="AF1036" s="1289" t="s">
        <v>6110</v>
      </c>
      <c r="AG1036" s="1289" t="s">
        <v>162</v>
      </c>
      <c r="AH1036" s="1289" t="s">
        <v>2401</v>
      </c>
      <c r="AI1036" s="1295" t="s">
        <v>768</v>
      </c>
      <c r="AJ1036" s="1296" t="s">
        <v>768</v>
      </c>
      <c r="AK1036" s="1296" t="s">
        <v>179</v>
      </c>
      <c r="AL1036" s="1289" t="s">
        <v>129</v>
      </c>
      <c r="AM1036" s="1297" t="s">
        <v>165</v>
      </c>
      <c r="AN1036" s="1294">
        <v>26.0</v>
      </c>
      <c r="AO1036" s="1289" t="s">
        <v>6111</v>
      </c>
      <c r="AP1036" s="1289" t="s">
        <v>162</v>
      </c>
      <c r="AQ1036" s="1297" t="s">
        <v>6112</v>
      </c>
      <c r="AR1036" s="1289" t="s">
        <v>768</v>
      </c>
      <c r="AS1036" s="1289" t="s">
        <v>768</v>
      </c>
      <c r="AT1036" s="1289" t="s">
        <v>179</v>
      </c>
      <c r="AU1036" s="1289" t="s">
        <v>129</v>
      </c>
      <c r="AV1036" s="1298" t="s">
        <v>165</v>
      </c>
      <c r="AW1036" s="1289" t="s">
        <v>134</v>
      </c>
      <c r="AY1036" s="1297" t="s">
        <v>6113</v>
      </c>
      <c r="BA1036" s="64"/>
      <c r="BB1036" s="64"/>
      <c r="BC1036" s="64"/>
      <c r="BD1036" s="64"/>
      <c r="BE1036" s="64"/>
      <c r="BF1036" s="64"/>
      <c r="BG1036" s="64"/>
      <c r="BH1036" s="64"/>
      <c r="BI1036" s="64"/>
      <c r="BJ1036" s="64"/>
      <c r="BK1036" s="64"/>
      <c r="BL1036" s="64"/>
      <c r="BM1036" s="64"/>
      <c r="BN1036" s="64"/>
      <c r="BO1036" s="64"/>
      <c r="BP1036" s="64"/>
      <c r="BQ1036" s="64"/>
      <c r="BR1036" s="64"/>
      <c r="BS1036" s="64"/>
      <c r="BT1036" s="64"/>
      <c r="BU1036" s="64"/>
      <c r="BV1036" s="64"/>
      <c r="BW1036" s="64"/>
      <c r="BX1036" s="64"/>
      <c r="BY1036" s="64"/>
      <c r="BZ1036" s="64"/>
      <c r="CA1036" s="64"/>
      <c r="CB1036" s="64"/>
      <c r="CC1036" s="64"/>
      <c r="CD1036" s="64"/>
      <c r="CE1036" s="64"/>
      <c r="CF1036" s="64"/>
      <c r="CG1036" s="64"/>
      <c r="CH1036" s="64"/>
      <c r="CI1036" s="64"/>
      <c r="CJ1036" s="64"/>
      <c r="CK1036" s="64"/>
      <c r="CL1036" s="64"/>
      <c r="CM1036" s="64"/>
      <c r="CN1036" s="64"/>
      <c r="CO1036" s="64"/>
      <c r="CP1036" s="64"/>
      <c r="CQ1036" s="64"/>
      <c r="CR1036" s="64"/>
      <c r="CS1036" s="64"/>
      <c r="CT1036" s="64"/>
      <c r="CU1036" s="64"/>
      <c r="CV1036" s="64"/>
      <c r="CW1036" s="64"/>
      <c r="CX1036" s="64"/>
      <c r="CY1036" s="64"/>
      <c r="CZ1036" s="64"/>
      <c r="DA1036" s="64"/>
      <c r="DB1036" s="64"/>
      <c r="DC1036" s="64"/>
      <c r="DD1036" s="64"/>
      <c r="DE1036" s="64"/>
      <c r="DF1036" s="64"/>
      <c r="DG1036" s="64"/>
    </row>
    <row r="1037">
      <c r="A1037" s="115" t="s">
        <v>143</v>
      </c>
      <c r="B1037" s="41" t="s">
        <v>107</v>
      </c>
      <c r="C1037" s="41" t="s">
        <v>108</v>
      </c>
      <c r="D1037" s="340"/>
      <c r="E1037" s="1289" t="s">
        <v>6095</v>
      </c>
      <c r="F1037" s="1290" t="s">
        <v>6114</v>
      </c>
      <c r="G1037" s="1291" t="s">
        <v>6097</v>
      </c>
      <c r="H1037" s="1292">
        <v>45688.0</v>
      </c>
      <c r="I1037" s="1293">
        <v>45692.0</v>
      </c>
      <c r="J1037" s="1289" t="s">
        <v>6115</v>
      </c>
      <c r="K1037" s="1289" t="s">
        <v>6116</v>
      </c>
      <c r="L1037" s="1291" t="s">
        <v>6100</v>
      </c>
      <c r="M1037" s="1291" t="s">
        <v>6101</v>
      </c>
      <c r="N1037" s="1294">
        <v>1.0</v>
      </c>
      <c r="O1037" s="1291" t="s">
        <v>6102</v>
      </c>
      <c r="P1037" s="48" t="str">
        <f t="array" ref="P1037">HYPERLINK(INDEX('File Links'!B:B, MATCH(O1037, 'File Links'!C:C, 0)))
</f>
        <v>https://drive.google.com/file/d/17yvRZkdBULPZU-hy9QprgZuJeonQfAel/view?usp=drivesdk</v>
      </c>
      <c r="Q1037" s="1291" t="s">
        <v>6103</v>
      </c>
      <c r="R1037" s="147" t="s">
        <v>6104</v>
      </c>
      <c r="S1037" s="1297" t="s">
        <v>165</v>
      </c>
      <c r="T1037" s="1297" t="s">
        <v>165</v>
      </c>
      <c r="U1037" s="1291" t="s">
        <v>6105</v>
      </c>
      <c r="V1037" s="1299" t="s">
        <v>6117</v>
      </c>
      <c r="W1037" s="45" t="str">
        <f t="array" ref="W1037">HYPERLINK(INDEX('File Links'!B:B, MATCH(U1037, 'File Links'!C:C, 0)))
</f>
        <v>#N/A</v>
      </c>
      <c r="X1037" s="1289"/>
      <c r="Y1037" s="1291" t="s">
        <v>220</v>
      </c>
      <c r="Z1037" s="1297" t="s">
        <v>165</v>
      </c>
      <c r="AA1037" s="1289" t="s">
        <v>6106</v>
      </c>
      <c r="AB1037" s="1291" t="s">
        <v>6118</v>
      </c>
      <c r="AC1037" s="1289" t="s">
        <v>6119</v>
      </c>
      <c r="AD1037" s="1289" t="s">
        <v>6109</v>
      </c>
      <c r="AE1037" s="1294">
        <v>63.0</v>
      </c>
      <c r="AF1037" s="1289">
        <f>3.28</f>
        <v>3.28</v>
      </c>
      <c r="AG1037" s="1297" t="s">
        <v>722</v>
      </c>
      <c r="AH1037" s="1289" t="s">
        <v>182</v>
      </c>
      <c r="AI1037" s="1300">
        <v>0.037</v>
      </c>
      <c r="AJ1037" s="1296" t="s">
        <v>164</v>
      </c>
      <c r="AK1037" s="1296" t="s">
        <v>179</v>
      </c>
      <c r="AL1037" s="1289" t="s">
        <v>129</v>
      </c>
      <c r="AM1037" s="1297" t="s">
        <v>165</v>
      </c>
      <c r="AN1037" s="1294">
        <v>26.0</v>
      </c>
      <c r="AO1037" s="1297" t="s">
        <v>6120</v>
      </c>
      <c r="AP1037" s="1289" t="s">
        <v>162</v>
      </c>
      <c r="AQ1037" s="1297" t="s">
        <v>6112</v>
      </c>
      <c r="AR1037" s="350" t="s">
        <v>165</v>
      </c>
      <c r="AS1037" s="128" t="s">
        <v>165</v>
      </c>
      <c r="AT1037" s="1289" t="s">
        <v>179</v>
      </c>
      <c r="AU1037" s="1289" t="s">
        <v>129</v>
      </c>
      <c r="AV1037" s="1298" t="s">
        <v>165</v>
      </c>
      <c r="AW1037" s="1289" t="s">
        <v>134</v>
      </c>
      <c r="AY1037" s="1297" t="s">
        <v>6113</v>
      </c>
      <c r="BA1037" s="64"/>
      <c r="BB1037" s="64"/>
      <c r="BC1037" s="64"/>
      <c r="BD1037" s="64"/>
      <c r="BE1037" s="64"/>
      <c r="BF1037" s="64"/>
      <c r="BG1037" s="64"/>
      <c r="BH1037" s="64"/>
      <c r="BI1037" s="64"/>
      <c r="BJ1037" s="64"/>
      <c r="BK1037" s="64"/>
      <c r="BL1037" s="64"/>
      <c r="BM1037" s="64"/>
      <c r="BN1037" s="64"/>
      <c r="BO1037" s="64"/>
      <c r="BP1037" s="64"/>
      <c r="BQ1037" s="64"/>
      <c r="BR1037" s="64"/>
      <c r="BS1037" s="64"/>
      <c r="BT1037" s="64"/>
      <c r="BU1037" s="64"/>
      <c r="BV1037" s="64"/>
      <c r="BW1037" s="64"/>
      <c r="BX1037" s="64"/>
      <c r="BY1037" s="64"/>
      <c r="BZ1037" s="64"/>
      <c r="CA1037" s="64"/>
      <c r="CB1037" s="64"/>
      <c r="CC1037" s="64"/>
      <c r="CD1037" s="64"/>
      <c r="CE1037" s="64"/>
      <c r="CF1037" s="64"/>
      <c r="CG1037" s="64"/>
      <c r="CH1037" s="64"/>
      <c r="CI1037" s="64"/>
      <c r="CJ1037" s="64"/>
      <c r="CK1037" s="64"/>
      <c r="CL1037" s="64"/>
      <c r="CM1037" s="64"/>
      <c r="CN1037" s="64"/>
      <c r="CO1037" s="64"/>
      <c r="CP1037" s="64"/>
      <c r="CQ1037" s="64"/>
      <c r="CR1037" s="64"/>
      <c r="CS1037" s="64"/>
      <c r="CT1037" s="64"/>
      <c r="CU1037" s="64"/>
      <c r="CV1037" s="64"/>
      <c r="CW1037" s="64"/>
      <c r="CX1037" s="64"/>
      <c r="CY1037" s="64"/>
      <c r="CZ1037" s="64"/>
      <c r="DA1037" s="64"/>
      <c r="DB1037" s="64"/>
      <c r="DC1037" s="64"/>
      <c r="DD1037" s="64"/>
      <c r="DE1037" s="64"/>
      <c r="DF1037" s="64"/>
      <c r="DG1037" s="64"/>
    </row>
    <row r="1038">
      <c r="A1038" s="115" t="s">
        <v>106</v>
      </c>
      <c r="B1038" s="41" t="s">
        <v>107</v>
      </c>
      <c r="C1038" s="41" t="s">
        <v>243</v>
      </c>
      <c r="D1038" s="340"/>
      <c r="E1038" s="112" t="s">
        <v>6095</v>
      </c>
      <c r="F1038" s="116" t="s">
        <v>6096</v>
      </c>
      <c r="G1038" s="127" t="s">
        <v>244</v>
      </c>
      <c r="H1038" s="310">
        <v>45664.0</v>
      </c>
      <c r="I1038" s="1301">
        <v>45692.0</v>
      </c>
      <c r="J1038" s="111"/>
      <c r="K1038" s="111" t="s">
        <v>6121</v>
      </c>
      <c r="L1038" s="127" t="s">
        <v>6100</v>
      </c>
      <c r="M1038" s="127" t="s">
        <v>6101</v>
      </c>
      <c r="N1038" s="128">
        <v>1.0</v>
      </c>
      <c r="O1038" s="127" t="str">
        <f> SUBSTITUTE(lower(M1038), "/", "--") &amp;  ".pdf"</f>
        <v>10.1111--j.1467-9280.2008.02039.x.pdf</v>
      </c>
      <c r="P1038" s="48" t="str">
        <f t="array" ref="P1038">HYPERLINK(INDEX('File Links'!B:B, MATCH(O1038, 'File Links'!C:C, 0)))
</f>
        <v>https://drive.google.com/file/d/17yvRZkdBULPZU-hy9QprgZuJeonQfAel/view?usp=drivesdk</v>
      </c>
      <c r="Q1038" s="118" t="s">
        <v>6122</v>
      </c>
      <c r="R1038" s="147" t="s">
        <v>6104</v>
      </c>
      <c r="S1038" s="128" t="s">
        <v>165</v>
      </c>
      <c r="T1038" s="128" t="s">
        <v>165</v>
      </c>
      <c r="U1038" s="127" t="s">
        <v>6105</v>
      </c>
      <c r="V1038" s="127" t="s">
        <v>6117</v>
      </c>
      <c r="W1038" s="45" t="str">
        <f t="array" ref="W1038">HYPERLINK(INDEX('File Links'!B:B, MATCH(U1038, 'File Links'!C:C, 0)))
</f>
        <v>#N/A</v>
      </c>
      <c r="X1038" s="111"/>
      <c r="Y1038" s="127" t="s">
        <v>203</v>
      </c>
      <c r="Z1038" s="111"/>
      <c r="AA1038" s="111"/>
      <c r="AB1038" s="111"/>
      <c r="AC1038" s="127" t="s">
        <v>6123</v>
      </c>
      <c r="AD1038" s="720">
        <v>19.0</v>
      </c>
      <c r="AE1038" s="720">
        <v>56.0</v>
      </c>
      <c r="AF1038" s="720">
        <v>3.28</v>
      </c>
      <c r="AG1038" s="127" t="s">
        <v>722</v>
      </c>
      <c r="AH1038" s="127" t="s">
        <v>1580</v>
      </c>
      <c r="AI1038" s="120">
        <v>0.037</v>
      </c>
      <c r="AJ1038" s="112" t="s">
        <v>164</v>
      </c>
      <c r="AK1038" s="112" t="s">
        <v>179</v>
      </c>
      <c r="AL1038" s="127" t="s">
        <v>129</v>
      </c>
      <c r="AM1038" s="1297" t="s">
        <v>165</v>
      </c>
      <c r="AN1038" s="720">
        <v>26.0</v>
      </c>
      <c r="AO1038" s="127" t="s">
        <v>165</v>
      </c>
      <c r="AP1038" s="111"/>
      <c r="AQ1038" s="1297" t="s">
        <v>6112</v>
      </c>
      <c r="AR1038" s="127" t="s">
        <v>165</v>
      </c>
      <c r="AS1038" s="111"/>
      <c r="AT1038" s="127" t="s">
        <v>179</v>
      </c>
      <c r="AU1038" s="127" t="s">
        <v>129</v>
      </c>
      <c r="AV1038" s="1298" t="s">
        <v>165</v>
      </c>
      <c r="AW1038" s="127" t="s">
        <v>134</v>
      </c>
      <c r="AY1038" s="1297" t="s">
        <v>6113</v>
      </c>
      <c r="BA1038" s="64"/>
      <c r="BB1038" s="64"/>
      <c r="BC1038" s="64"/>
      <c r="BD1038" s="64"/>
      <c r="BE1038" s="64"/>
      <c r="BF1038" s="64"/>
      <c r="BG1038" s="64"/>
      <c r="BH1038" s="64"/>
      <c r="BI1038" s="64"/>
      <c r="BJ1038" s="64"/>
      <c r="BK1038" s="64"/>
      <c r="BL1038" s="64"/>
      <c r="BM1038" s="64"/>
      <c r="BN1038" s="64"/>
      <c r="BO1038" s="64"/>
      <c r="BP1038" s="64"/>
      <c r="BQ1038" s="64"/>
      <c r="BR1038" s="64"/>
      <c r="BS1038" s="64"/>
      <c r="BT1038" s="64"/>
      <c r="BU1038" s="64"/>
      <c r="BV1038" s="64"/>
      <c r="BW1038" s="64"/>
      <c r="BX1038" s="64"/>
      <c r="BY1038" s="64"/>
      <c r="BZ1038" s="64"/>
      <c r="CA1038" s="64"/>
      <c r="CB1038" s="64"/>
      <c r="CC1038" s="64"/>
      <c r="CD1038" s="64"/>
      <c r="CE1038" s="64"/>
      <c r="CF1038" s="64"/>
      <c r="CG1038" s="64"/>
      <c r="CH1038" s="64"/>
      <c r="CI1038" s="64"/>
      <c r="CJ1038" s="64"/>
      <c r="CK1038" s="64"/>
      <c r="CL1038" s="64"/>
      <c r="CM1038" s="64"/>
      <c r="CN1038" s="64"/>
      <c r="CO1038" s="64"/>
      <c r="CP1038" s="64"/>
      <c r="CQ1038" s="64"/>
      <c r="CR1038" s="64"/>
      <c r="CS1038" s="64"/>
      <c r="CT1038" s="64"/>
      <c r="CU1038" s="64"/>
      <c r="CV1038" s="64"/>
      <c r="CW1038" s="64"/>
      <c r="CX1038" s="64"/>
      <c r="CY1038" s="64"/>
      <c r="CZ1038" s="64"/>
      <c r="DA1038" s="64"/>
      <c r="DB1038" s="64"/>
      <c r="DC1038" s="64"/>
      <c r="DD1038" s="64"/>
      <c r="DE1038" s="64"/>
      <c r="DF1038" s="64"/>
      <c r="DG1038" s="64"/>
    </row>
    <row r="1039">
      <c r="A1039" s="321" t="s">
        <v>106</v>
      </c>
      <c r="B1039" s="316" t="s">
        <v>107</v>
      </c>
      <c r="C1039" s="316" t="s">
        <v>108</v>
      </c>
      <c r="D1039" s="215"/>
      <c r="E1039" s="322" t="s">
        <v>6124</v>
      </c>
      <c r="F1039" s="386" t="s">
        <v>6125</v>
      </c>
      <c r="G1039" s="232" t="s">
        <v>6097</v>
      </c>
      <c r="H1039" s="597">
        <v>45688.0</v>
      </c>
      <c r="I1039" s="1302">
        <v>45692.0</v>
      </c>
      <c r="J1039" s="322" t="s">
        <v>6126</v>
      </c>
      <c r="K1039" s="322" t="s">
        <v>6099</v>
      </c>
      <c r="L1039" s="232" t="s">
        <v>6127</v>
      </c>
      <c r="M1039" s="232" t="s">
        <v>6128</v>
      </c>
      <c r="N1039" s="325">
        <v>1.0</v>
      </c>
      <c r="O1039" s="232" t="s">
        <v>6129</v>
      </c>
      <c r="P1039" s="980" t="str">
        <f t="array" ref="P1039">HYPERLINK(INDEX('File Links'!B:B, MATCH(O1039, 'File Links'!C:C, 0)))
</f>
        <v>https://drive.google.com/file/d/1dU1UjhKXuYwEUy9G1SAQvFWoiujBUM-l/view?usp=drivesdk</v>
      </c>
      <c r="Q1039" s="232" t="s">
        <v>6103</v>
      </c>
      <c r="R1039" s="147" t="s">
        <v>6104</v>
      </c>
      <c r="S1039" s="322" t="s">
        <v>768</v>
      </c>
      <c r="T1039" s="322" t="s">
        <v>768</v>
      </c>
      <c r="U1039" s="232" t="s">
        <v>6105</v>
      </c>
      <c r="V1039" s="322" t="s">
        <v>768</v>
      </c>
      <c r="W1039" s="364" t="str">
        <f t="array" ref="W1039">HYPERLINK(INDEX('File Links'!B:B, MATCH(U1039, 'File Links'!C:C, 0)))
</f>
        <v>#N/A</v>
      </c>
      <c r="X1039" s="322"/>
      <c r="Y1039" s="232" t="s">
        <v>220</v>
      </c>
      <c r="Z1039" s="322" t="s">
        <v>6130</v>
      </c>
      <c r="AA1039" s="322" t="s">
        <v>6131</v>
      </c>
      <c r="AB1039" s="232" t="s">
        <v>6132</v>
      </c>
      <c r="AC1039" s="322" t="s">
        <v>6133</v>
      </c>
      <c r="AD1039" s="817">
        <v>3.0</v>
      </c>
      <c r="AE1039" s="325">
        <v>28.0</v>
      </c>
      <c r="AF1039" s="817">
        <v>0.92</v>
      </c>
      <c r="AG1039" s="322" t="s">
        <v>166</v>
      </c>
      <c r="AH1039" s="322" t="s">
        <v>210</v>
      </c>
      <c r="AI1039" s="819">
        <v>1.0E-4</v>
      </c>
      <c r="AJ1039" s="364" t="s">
        <v>127</v>
      </c>
      <c r="AK1039" s="364" t="s">
        <v>179</v>
      </c>
      <c r="AL1039" s="322" t="s">
        <v>129</v>
      </c>
      <c r="AM1039" s="603" t="s">
        <v>6134</v>
      </c>
      <c r="AN1039" s="325">
        <v>25.0</v>
      </c>
      <c r="AO1039" s="817">
        <v>2.08342966938226</v>
      </c>
      <c r="AP1039" s="322" t="s">
        <v>166</v>
      </c>
      <c r="AQ1039" s="321" t="s">
        <v>6112</v>
      </c>
      <c r="AR1039" s="1303">
        <v>3.29154931197221E-10</v>
      </c>
      <c r="AS1039" s="322" t="s">
        <v>164</v>
      </c>
      <c r="AT1039" s="322" t="s">
        <v>179</v>
      </c>
      <c r="AU1039" s="322" t="s">
        <v>129</v>
      </c>
      <c r="AV1039" s="1304" t="s">
        <v>165</v>
      </c>
      <c r="AW1039" s="322" t="s">
        <v>134</v>
      </c>
      <c r="AX1039" s="215"/>
      <c r="AY1039" s="321" t="s">
        <v>6113</v>
      </c>
      <c r="AZ1039" s="215"/>
      <c r="BA1039" s="215"/>
      <c r="BB1039" s="215"/>
      <c r="BC1039" s="215"/>
      <c r="BD1039" s="215"/>
      <c r="BE1039" s="215"/>
      <c r="BF1039" s="215"/>
      <c r="BG1039" s="215"/>
      <c r="BH1039" s="215"/>
      <c r="BI1039" s="215"/>
      <c r="BJ1039" s="215"/>
      <c r="BK1039" s="215"/>
      <c r="BL1039" s="215"/>
      <c r="BM1039" s="215"/>
      <c r="BN1039" s="215"/>
      <c r="BO1039" s="215"/>
      <c r="BP1039" s="215"/>
      <c r="BQ1039" s="215"/>
      <c r="BR1039" s="215"/>
      <c r="BS1039" s="215"/>
      <c r="BT1039" s="215"/>
      <c r="BU1039" s="215"/>
      <c r="BV1039" s="215"/>
      <c r="BW1039" s="215"/>
      <c r="BX1039" s="215"/>
      <c r="BY1039" s="215"/>
      <c r="BZ1039" s="215"/>
      <c r="CA1039" s="215"/>
      <c r="CB1039" s="215"/>
      <c r="CC1039" s="215"/>
      <c r="CD1039" s="215"/>
      <c r="CE1039" s="215"/>
      <c r="CF1039" s="215"/>
      <c r="CG1039" s="215"/>
      <c r="CH1039" s="215"/>
      <c r="CI1039" s="215"/>
      <c r="CJ1039" s="215"/>
      <c r="CK1039" s="215"/>
      <c r="CL1039" s="215"/>
      <c r="CM1039" s="215"/>
      <c r="CN1039" s="215"/>
      <c r="CO1039" s="215"/>
      <c r="CP1039" s="215"/>
      <c r="CQ1039" s="215"/>
      <c r="CR1039" s="215"/>
      <c r="CS1039" s="215"/>
      <c r="CT1039" s="215"/>
      <c r="CU1039" s="215"/>
      <c r="CV1039" s="215"/>
      <c r="CW1039" s="215"/>
      <c r="CX1039" s="215"/>
      <c r="CY1039" s="215"/>
      <c r="CZ1039" s="215"/>
      <c r="DA1039" s="215"/>
      <c r="DB1039" s="215"/>
      <c r="DC1039" s="215"/>
      <c r="DD1039" s="215"/>
      <c r="DE1039" s="215"/>
      <c r="DF1039" s="215"/>
      <c r="DG1039" s="215"/>
    </row>
    <row r="1040">
      <c r="A1040" s="321" t="s">
        <v>106</v>
      </c>
      <c r="B1040" s="316" t="s">
        <v>107</v>
      </c>
      <c r="C1040" s="316" t="s">
        <v>108</v>
      </c>
      <c r="D1040" s="215"/>
      <c r="E1040" s="322" t="s">
        <v>6124</v>
      </c>
      <c r="F1040" s="386" t="s">
        <v>6135</v>
      </c>
      <c r="G1040" s="232" t="s">
        <v>6097</v>
      </c>
      <c r="H1040" s="597">
        <v>45688.0</v>
      </c>
      <c r="I1040" s="1302">
        <v>45692.0</v>
      </c>
      <c r="J1040" s="947" t="s">
        <v>6136</v>
      </c>
      <c r="K1040" s="322" t="s">
        <v>6137</v>
      </c>
      <c r="L1040" s="232" t="s">
        <v>6127</v>
      </c>
      <c r="M1040" s="232" t="s">
        <v>6128</v>
      </c>
      <c r="N1040" s="325">
        <v>1.0</v>
      </c>
      <c r="O1040" s="232" t="s">
        <v>6129</v>
      </c>
      <c r="P1040" s="980" t="str">
        <f t="array" ref="P1040">HYPERLINK(INDEX('File Links'!B:B, MATCH(O1040, 'File Links'!C:C, 0)))
</f>
        <v>https://drive.google.com/file/d/1dU1UjhKXuYwEUy9G1SAQvFWoiujBUM-l/view?usp=drivesdk</v>
      </c>
      <c r="Q1040" s="232" t="s">
        <v>6103</v>
      </c>
      <c r="R1040" s="147" t="s">
        <v>6104</v>
      </c>
      <c r="S1040" s="322" t="s">
        <v>768</v>
      </c>
      <c r="T1040" s="322" t="s">
        <v>768</v>
      </c>
      <c r="U1040" s="232" t="s">
        <v>6105</v>
      </c>
      <c r="V1040" s="322" t="s">
        <v>768</v>
      </c>
      <c r="W1040" s="364" t="str">
        <f t="array" ref="W1040">HYPERLINK(INDEX('File Links'!B:B, MATCH(U1040, 'File Links'!C:C, 0)))
</f>
        <v>#N/A</v>
      </c>
      <c r="X1040" s="322"/>
      <c r="Y1040" s="232" t="s">
        <v>220</v>
      </c>
      <c r="Z1040" s="322" t="s">
        <v>6130</v>
      </c>
      <c r="AA1040" s="322" t="s">
        <v>6131</v>
      </c>
      <c r="AB1040" s="232" t="s">
        <v>6138</v>
      </c>
      <c r="AC1040" s="322" t="s">
        <v>6139</v>
      </c>
      <c r="AD1040" s="817">
        <v>3.0</v>
      </c>
      <c r="AE1040" s="325">
        <v>24.0</v>
      </c>
      <c r="AF1040" s="817">
        <v>0.57</v>
      </c>
      <c r="AG1040" s="322" t="s">
        <v>166</v>
      </c>
      <c r="AH1040" s="322" t="s">
        <v>210</v>
      </c>
      <c r="AI1040" s="819">
        <v>1.0E-4</v>
      </c>
      <c r="AJ1040" s="364" t="s">
        <v>127</v>
      </c>
      <c r="AK1040" s="364" t="s">
        <v>179</v>
      </c>
      <c r="AL1040" s="322" t="s">
        <v>129</v>
      </c>
      <c r="AM1040" s="603" t="s">
        <v>6134</v>
      </c>
      <c r="AN1040" s="325">
        <v>25.0</v>
      </c>
      <c r="AO1040" s="817">
        <v>2.08342966938226</v>
      </c>
      <c r="AP1040" s="322" t="s">
        <v>166</v>
      </c>
      <c r="AQ1040" s="321" t="s">
        <v>6112</v>
      </c>
      <c r="AR1040" s="1303">
        <v>3.29154931197221E-10</v>
      </c>
      <c r="AS1040" s="322" t="s">
        <v>164</v>
      </c>
      <c r="AT1040" s="322" t="s">
        <v>179</v>
      </c>
      <c r="AU1040" s="322" t="s">
        <v>129</v>
      </c>
      <c r="AV1040" s="1304" t="s">
        <v>165</v>
      </c>
      <c r="AW1040" s="322" t="s">
        <v>134</v>
      </c>
      <c r="AX1040" s="215"/>
      <c r="AY1040" s="321" t="s">
        <v>6113</v>
      </c>
      <c r="AZ1040" s="215"/>
      <c r="BA1040" s="215"/>
      <c r="BB1040" s="215"/>
      <c r="BC1040" s="215"/>
      <c r="BD1040" s="215"/>
      <c r="BE1040" s="215"/>
      <c r="BF1040" s="215"/>
      <c r="BG1040" s="215"/>
      <c r="BH1040" s="215"/>
      <c r="BI1040" s="215"/>
      <c r="BJ1040" s="215"/>
      <c r="BK1040" s="215"/>
      <c r="BL1040" s="215"/>
      <c r="BM1040" s="215"/>
      <c r="BN1040" s="215"/>
      <c r="BO1040" s="215"/>
      <c r="BP1040" s="215"/>
      <c r="BQ1040" s="215"/>
      <c r="BR1040" s="215"/>
      <c r="BS1040" s="215"/>
      <c r="BT1040" s="215"/>
      <c r="BU1040" s="215"/>
      <c r="BV1040" s="215"/>
      <c r="BW1040" s="215"/>
      <c r="BX1040" s="215"/>
      <c r="BY1040" s="215"/>
      <c r="BZ1040" s="215"/>
      <c r="CA1040" s="215"/>
      <c r="CB1040" s="215"/>
      <c r="CC1040" s="215"/>
      <c r="CD1040" s="215"/>
      <c r="CE1040" s="215"/>
      <c r="CF1040" s="215"/>
      <c r="CG1040" s="215"/>
      <c r="CH1040" s="215"/>
      <c r="CI1040" s="215"/>
      <c r="CJ1040" s="215"/>
      <c r="CK1040" s="215"/>
      <c r="CL1040" s="215"/>
      <c r="CM1040" s="215"/>
      <c r="CN1040" s="215"/>
      <c r="CO1040" s="215"/>
      <c r="CP1040" s="215"/>
      <c r="CQ1040" s="215"/>
      <c r="CR1040" s="215"/>
      <c r="CS1040" s="215"/>
      <c r="CT1040" s="215"/>
      <c r="CU1040" s="215"/>
      <c r="CV1040" s="215"/>
      <c r="CW1040" s="215"/>
      <c r="CX1040" s="215"/>
      <c r="CY1040" s="215"/>
      <c r="CZ1040" s="215"/>
      <c r="DA1040" s="215"/>
      <c r="DB1040" s="215"/>
      <c r="DC1040" s="215"/>
      <c r="DD1040" s="215"/>
      <c r="DE1040" s="215"/>
      <c r="DF1040" s="215"/>
      <c r="DG1040" s="215"/>
    </row>
    <row r="1041">
      <c r="A1041" s="321" t="s">
        <v>143</v>
      </c>
      <c r="B1041" s="316" t="s">
        <v>107</v>
      </c>
      <c r="C1041" s="316" t="s">
        <v>243</v>
      </c>
      <c r="D1041" s="215"/>
      <c r="E1041" s="386" t="s">
        <v>6124</v>
      </c>
      <c r="F1041" s="315" t="s">
        <v>6125</v>
      </c>
      <c r="G1041" s="232" t="s">
        <v>244</v>
      </c>
      <c r="H1041" s="597">
        <v>45663.0</v>
      </c>
      <c r="I1041" s="1302">
        <v>45692.0</v>
      </c>
      <c r="J1041" s="322"/>
      <c r="K1041" s="321" t="s">
        <v>6140</v>
      </c>
      <c r="L1041" s="232" t="s">
        <v>6127</v>
      </c>
      <c r="M1041" s="232" t="s">
        <v>6128</v>
      </c>
      <c r="N1041" s="321">
        <v>1.0</v>
      </c>
      <c r="O1041" s="232" t="str">
        <f> SUBSTITUTE(lower(M1041), "/", "--") &amp;  ".pdf"</f>
        <v>10.1177--0956797620927967.pdf</v>
      </c>
      <c r="P1041" s="980" t="str">
        <f t="array" ref="P1041">HYPERLINK(INDEX('File Links'!B:B, MATCH(O1041, 'File Links'!C:C, 0)))
</f>
        <v>https://drive.google.com/file/d/1dU1UjhKXuYwEUy9G1SAQvFWoiujBUM-l/view?usp=drivesdk</v>
      </c>
      <c r="Q1041" s="232" t="s">
        <v>6141</v>
      </c>
      <c r="R1041" s="147" t="s">
        <v>6104</v>
      </c>
      <c r="S1041" s="322"/>
      <c r="T1041" s="322"/>
      <c r="U1041" s="232" t="s">
        <v>6105</v>
      </c>
      <c r="V1041" s="232" t="s">
        <v>318</v>
      </c>
      <c r="W1041" s="364" t="str">
        <f t="array" ref="W1041">HYPERLINK(INDEX('File Links'!B:B, MATCH(U1041, 'File Links'!C:C, 0)))
</f>
        <v>#N/A</v>
      </c>
      <c r="X1041" s="322"/>
      <c r="Y1041" s="232" t="s">
        <v>220</v>
      </c>
      <c r="Z1041" s="322" t="s">
        <v>6130</v>
      </c>
      <c r="AA1041" s="322" t="s">
        <v>6131</v>
      </c>
      <c r="AB1041" s="232" t="s">
        <v>6138</v>
      </c>
      <c r="AC1041" s="232" t="s">
        <v>6142</v>
      </c>
      <c r="AD1041" s="325">
        <v>3.0</v>
      </c>
      <c r="AE1041" s="325">
        <v>28.0</v>
      </c>
      <c r="AF1041" s="325">
        <v>0.92</v>
      </c>
      <c r="AG1041" s="232" t="s">
        <v>166</v>
      </c>
      <c r="AH1041" s="232" t="s">
        <v>210</v>
      </c>
      <c r="AI1041" s="818">
        <v>0.001</v>
      </c>
      <c r="AJ1041" s="386" t="s">
        <v>127</v>
      </c>
      <c r="AK1041" s="386" t="s">
        <v>179</v>
      </c>
      <c r="AL1041" s="232" t="s">
        <v>129</v>
      </c>
      <c r="AM1041" s="603" t="s">
        <v>6134</v>
      </c>
      <c r="AN1041" s="325">
        <v>25.0</v>
      </c>
      <c r="AO1041" s="325">
        <v>2.08342966938226</v>
      </c>
      <c r="AP1041" s="232" t="s">
        <v>166</v>
      </c>
      <c r="AQ1041" s="321" t="s">
        <v>6112</v>
      </c>
      <c r="AR1041" s="1305">
        <v>3.29154931197221E-10</v>
      </c>
      <c r="AS1041" s="232" t="s">
        <v>164</v>
      </c>
      <c r="AT1041" s="232" t="s">
        <v>179</v>
      </c>
      <c r="AU1041" s="232" t="s">
        <v>129</v>
      </c>
      <c r="AV1041" s="1304" t="s">
        <v>165</v>
      </c>
      <c r="AW1041" s="232" t="s">
        <v>134</v>
      </c>
      <c r="AX1041" s="215"/>
      <c r="AY1041" s="321" t="s">
        <v>6113</v>
      </c>
      <c r="AZ1041" s="215"/>
      <c r="BA1041" s="215"/>
      <c r="BB1041" s="215"/>
      <c r="BC1041" s="215"/>
      <c r="BD1041" s="215"/>
      <c r="BE1041" s="215"/>
      <c r="BF1041" s="215"/>
      <c r="BG1041" s="215"/>
      <c r="BH1041" s="215"/>
      <c r="BI1041" s="215"/>
      <c r="BJ1041" s="215"/>
      <c r="BK1041" s="215"/>
      <c r="BL1041" s="215"/>
      <c r="BM1041" s="215"/>
      <c r="BN1041" s="215"/>
      <c r="BO1041" s="215"/>
      <c r="BP1041" s="215"/>
      <c r="BQ1041" s="215"/>
      <c r="BR1041" s="215"/>
      <c r="BS1041" s="215"/>
      <c r="BT1041" s="215"/>
      <c r="BU1041" s="215"/>
      <c r="BV1041" s="215"/>
      <c r="BW1041" s="215"/>
      <c r="BX1041" s="215"/>
      <c r="BY1041" s="215"/>
      <c r="BZ1041" s="215"/>
      <c r="CA1041" s="215"/>
      <c r="CB1041" s="215"/>
      <c r="CC1041" s="215"/>
      <c r="CD1041" s="215"/>
      <c r="CE1041" s="215"/>
      <c r="CF1041" s="215"/>
      <c r="CG1041" s="215"/>
      <c r="CH1041" s="215"/>
      <c r="CI1041" s="215"/>
      <c r="CJ1041" s="215"/>
      <c r="CK1041" s="215"/>
      <c r="CL1041" s="215"/>
      <c r="CM1041" s="215"/>
      <c r="CN1041" s="215"/>
      <c r="CO1041" s="215"/>
      <c r="CP1041" s="215"/>
      <c r="CQ1041" s="215"/>
      <c r="CR1041" s="215"/>
      <c r="CS1041" s="215"/>
      <c r="CT1041" s="215"/>
      <c r="CU1041" s="215"/>
      <c r="CV1041" s="215"/>
      <c r="CW1041" s="215"/>
      <c r="CX1041" s="215"/>
      <c r="CY1041" s="215"/>
      <c r="CZ1041" s="215"/>
      <c r="DA1041" s="215"/>
      <c r="DB1041" s="215"/>
      <c r="DC1041" s="215"/>
      <c r="DD1041" s="215"/>
      <c r="DE1041" s="215"/>
      <c r="DF1041" s="215"/>
      <c r="DG1041" s="215"/>
    </row>
    <row r="1042">
      <c r="A1042" s="350" t="s">
        <v>5350</v>
      </c>
      <c r="B1042" s="177" t="s">
        <v>107</v>
      </c>
      <c r="C1042" s="177" t="s">
        <v>108</v>
      </c>
      <c r="D1042" s="178"/>
      <c r="E1042" s="179" t="s">
        <v>6143</v>
      </c>
      <c r="F1042" s="180" t="s">
        <v>6144</v>
      </c>
      <c r="G1042" s="188" t="s">
        <v>6097</v>
      </c>
      <c r="H1042" s="181">
        <v>45688.0</v>
      </c>
      <c r="I1042" s="1306">
        <v>45692.0</v>
      </c>
      <c r="J1042" s="179"/>
      <c r="K1042" s="179" t="s">
        <v>6145</v>
      </c>
      <c r="L1042" s="188" t="s">
        <v>6146</v>
      </c>
      <c r="M1042" s="188" t="s">
        <v>6147</v>
      </c>
      <c r="N1042" s="188" t="s">
        <v>6148</v>
      </c>
      <c r="O1042" s="188" t="s">
        <v>6149</v>
      </c>
      <c r="P1042" s="351" t="str">
        <f t="array" ref="P1042">HYPERLINK(INDEX('File Links'!B:B, MATCH(O1042, 'File Links'!C:C, 0)))
</f>
        <v>https://drive.google.com/file/d/1F1gmEthZ6jBt549BBg-rdg_5OVDXWokk/view?usp=drivesdk</v>
      </c>
      <c r="Q1042" s="188" t="s">
        <v>6103</v>
      </c>
      <c r="R1042" s="147" t="s">
        <v>6104</v>
      </c>
      <c r="S1042" s="179" t="s">
        <v>768</v>
      </c>
      <c r="T1042" s="179" t="s">
        <v>768</v>
      </c>
      <c r="U1042" s="188" t="s">
        <v>6105</v>
      </c>
      <c r="V1042" s="188" t="s">
        <v>6117</v>
      </c>
      <c r="W1042" s="183" t="str">
        <f t="array" ref="W1042">HYPERLINK(INDEX('File Links'!B:B, MATCH(U1042, 'File Links'!C:C, 0)))
</f>
        <v>#N/A</v>
      </c>
      <c r="X1042" s="179"/>
      <c r="Y1042" s="188" t="s">
        <v>139</v>
      </c>
      <c r="Z1042" s="350" t="s">
        <v>165</v>
      </c>
      <c r="AA1042" s="179" t="s">
        <v>6150</v>
      </c>
      <c r="AB1042" s="188" t="s">
        <v>6151</v>
      </c>
      <c r="AC1042" s="179" t="s">
        <v>6152</v>
      </c>
      <c r="AD1042" s="179" t="s">
        <v>6153</v>
      </c>
      <c r="AE1042" s="695">
        <v>60.0</v>
      </c>
      <c r="AF1042" s="179" t="s">
        <v>6154</v>
      </c>
      <c r="AG1042" s="179" t="s">
        <v>162</v>
      </c>
      <c r="AH1042" s="687">
        <v>7.0</v>
      </c>
      <c r="AI1042" s="1307">
        <v>5.0E-4</v>
      </c>
      <c r="AJ1042" s="183" t="s">
        <v>127</v>
      </c>
      <c r="AK1042" s="183" t="s">
        <v>179</v>
      </c>
      <c r="AL1042" s="179" t="s">
        <v>129</v>
      </c>
      <c r="AM1042" s="1297" t="s">
        <v>165</v>
      </c>
      <c r="AN1042" s="695">
        <v>55.0</v>
      </c>
      <c r="AO1042" s="179" t="s">
        <v>6155</v>
      </c>
      <c r="AP1042" s="179" t="s">
        <v>162</v>
      </c>
      <c r="AQ1042" s="350" t="s">
        <v>6112</v>
      </c>
      <c r="AR1042" s="179" t="s">
        <v>768</v>
      </c>
      <c r="AS1042" s="179" t="s">
        <v>768</v>
      </c>
      <c r="AT1042" s="179" t="s">
        <v>179</v>
      </c>
      <c r="AU1042" s="179" t="s">
        <v>129</v>
      </c>
      <c r="AV1042" s="1308" t="s">
        <v>165</v>
      </c>
      <c r="AW1042" s="179" t="s">
        <v>134</v>
      </c>
      <c r="AX1042" s="178"/>
      <c r="AY1042" s="350" t="s">
        <v>6113</v>
      </c>
      <c r="AZ1042" s="178"/>
      <c r="BA1042" s="178"/>
      <c r="BB1042" s="178"/>
      <c r="BC1042" s="178"/>
      <c r="BD1042" s="178"/>
      <c r="BE1042" s="178"/>
      <c r="BF1042" s="178"/>
      <c r="BG1042" s="178"/>
      <c r="BH1042" s="178"/>
      <c r="BI1042" s="178"/>
      <c r="BJ1042" s="178"/>
      <c r="BK1042" s="178"/>
      <c r="BL1042" s="178"/>
      <c r="BM1042" s="178"/>
      <c r="BN1042" s="178"/>
      <c r="BO1042" s="178"/>
      <c r="BP1042" s="178"/>
      <c r="BQ1042" s="178"/>
      <c r="BR1042" s="178"/>
      <c r="BS1042" s="178"/>
      <c r="BT1042" s="178"/>
      <c r="BU1042" s="178"/>
      <c r="BV1042" s="178"/>
      <c r="BW1042" s="178"/>
      <c r="BX1042" s="178"/>
      <c r="BY1042" s="178"/>
      <c r="BZ1042" s="178"/>
      <c r="CA1042" s="178"/>
      <c r="CB1042" s="178"/>
      <c r="CC1042" s="178"/>
      <c r="CD1042" s="178"/>
      <c r="CE1042" s="178"/>
      <c r="CF1042" s="178"/>
      <c r="CG1042" s="178"/>
      <c r="CH1042" s="178"/>
      <c r="CI1042" s="178"/>
      <c r="CJ1042" s="178"/>
      <c r="CK1042" s="178"/>
      <c r="CL1042" s="178"/>
      <c r="CM1042" s="178"/>
      <c r="CN1042" s="178"/>
      <c r="CO1042" s="178"/>
      <c r="CP1042" s="178"/>
      <c r="CQ1042" s="178"/>
      <c r="CR1042" s="178"/>
      <c r="CS1042" s="178"/>
      <c r="CT1042" s="178"/>
      <c r="CU1042" s="178"/>
      <c r="CV1042" s="178"/>
      <c r="CW1042" s="178"/>
      <c r="CX1042" s="178"/>
      <c r="CY1042" s="178"/>
      <c r="CZ1042" s="178"/>
      <c r="DA1042" s="178"/>
      <c r="DB1042" s="178"/>
      <c r="DC1042" s="178"/>
      <c r="DD1042" s="178"/>
      <c r="DE1042" s="178"/>
      <c r="DF1042" s="178"/>
      <c r="DG1042" s="178"/>
    </row>
    <row r="1043">
      <c r="A1043" s="179" t="s">
        <v>106</v>
      </c>
      <c r="B1043" s="177" t="s">
        <v>107</v>
      </c>
      <c r="C1043" s="177" t="s">
        <v>243</v>
      </c>
      <c r="D1043" s="178"/>
      <c r="E1043" s="180" t="s">
        <v>6143</v>
      </c>
      <c r="F1043" s="508" t="s">
        <v>6144</v>
      </c>
      <c r="G1043" s="188" t="s">
        <v>244</v>
      </c>
      <c r="H1043" s="181">
        <v>45664.0</v>
      </c>
      <c r="I1043" s="1306">
        <v>45692.0</v>
      </c>
      <c r="J1043" s="179"/>
      <c r="K1043" s="179" t="s">
        <v>6099</v>
      </c>
      <c r="L1043" s="188" t="s">
        <v>6146</v>
      </c>
      <c r="M1043" s="188" t="s">
        <v>6147</v>
      </c>
      <c r="N1043" s="179"/>
      <c r="O1043" s="188" t="str">
        <f> SUBSTITUTE(lower(M1043), "/", "--") &amp;  ".pdf"</f>
        <v>10.1111--j.1551-6709.2010.01164.x.pdf</v>
      </c>
      <c r="P1043" s="351" t="str">
        <f t="array" ref="P1043">HYPERLINK(INDEX('File Links'!B:B, MATCH(O1043, 'File Links'!C:C, 0)))
</f>
        <v>https://drive.google.com/file/d/1F1gmEthZ6jBt549BBg-rdg_5OVDXWokk/view?usp=drivesdk</v>
      </c>
      <c r="Q1043" s="188" t="s">
        <v>6156</v>
      </c>
      <c r="R1043" s="147" t="s">
        <v>6104</v>
      </c>
      <c r="S1043" s="179"/>
      <c r="T1043" s="179"/>
      <c r="U1043" s="188" t="s">
        <v>6105</v>
      </c>
      <c r="V1043" s="188" t="s">
        <v>6117</v>
      </c>
      <c r="W1043" s="183" t="str">
        <f t="array" ref="W1043">HYPERLINK(INDEX('File Links'!B:B, MATCH(U1043, 'File Links'!C:C, 0)))
</f>
        <v>#N/A</v>
      </c>
      <c r="X1043" s="179"/>
      <c r="Y1043" s="188" t="s">
        <v>139</v>
      </c>
      <c r="Z1043" s="350" t="s">
        <v>165</v>
      </c>
      <c r="AA1043" s="179" t="s">
        <v>6150</v>
      </c>
      <c r="AB1043" s="188"/>
      <c r="AC1043" s="188" t="s">
        <v>6157</v>
      </c>
      <c r="AD1043" s="695">
        <v>989.0</v>
      </c>
      <c r="AE1043" s="695">
        <v>60.0</v>
      </c>
      <c r="AF1043" s="695">
        <v>6.9</v>
      </c>
      <c r="AG1043" s="188" t="s">
        <v>1051</v>
      </c>
      <c r="AH1043" s="188" t="s">
        <v>6158</v>
      </c>
      <c r="AI1043" s="827">
        <v>0.01</v>
      </c>
      <c r="AJ1043" s="180" t="s">
        <v>127</v>
      </c>
      <c r="AK1043" s="180" t="s">
        <v>179</v>
      </c>
      <c r="AL1043" s="188" t="s">
        <v>132</v>
      </c>
      <c r="AM1043" s="1297" t="s">
        <v>165</v>
      </c>
      <c r="AN1043" s="695">
        <v>55.0</v>
      </c>
      <c r="AO1043" s="188" t="s">
        <v>165</v>
      </c>
      <c r="AP1043" s="179"/>
      <c r="AQ1043" s="350" t="s">
        <v>6112</v>
      </c>
      <c r="AR1043" s="188" t="s">
        <v>165</v>
      </c>
      <c r="AS1043" s="179"/>
      <c r="AT1043" s="188" t="s">
        <v>179</v>
      </c>
      <c r="AU1043" s="188" t="s">
        <v>132</v>
      </c>
      <c r="AV1043" s="1308" t="s">
        <v>165</v>
      </c>
      <c r="AW1043" s="188" t="s">
        <v>134</v>
      </c>
      <c r="AX1043" s="178"/>
      <c r="AY1043" s="350" t="s">
        <v>6113</v>
      </c>
      <c r="AZ1043" s="178"/>
      <c r="BA1043" s="178"/>
      <c r="BB1043" s="178"/>
      <c r="BC1043" s="178"/>
      <c r="BD1043" s="178"/>
      <c r="BE1043" s="178"/>
      <c r="BF1043" s="178"/>
      <c r="BG1043" s="178"/>
      <c r="BH1043" s="178"/>
      <c r="BI1043" s="178"/>
      <c r="BJ1043" s="178"/>
      <c r="BK1043" s="178"/>
      <c r="BL1043" s="178"/>
      <c r="BM1043" s="178"/>
      <c r="BN1043" s="178"/>
      <c r="BO1043" s="178"/>
      <c r="BP1043" s="178"/>
      <c r="BQ1043" s="178"/>
      <c r="BR1043" s="178"/>
      <c r="BS1043" s="178"/>
      <c r="BT1043" s="178"/>
      <c r="BU1043" s="178"/>
      <c r="BV1043" s="178"/>
      <c r="BW1043" s="178"/>
      <c r="BX1043" s="178"/>
      <c r="BY1043" s="178"/>
      <c r="BZ1043" s="178"/>
      <c r="CA1043" s="178"/>
      <c r="CB1043" s="178"/>
      <c r="CC1043" s="178"/>
      <c r="CD1043" s="178"/>
      <c r="CE1043" s="178"/>
      <c r="CF1043" s="178"/>
      <c r="CG1043" s="178"/>
      <c r="CH1043" s="178"/>
      <c r="CI1043" s="178"/>
      <c r="CJ1043" s="178"/>
      <c r="CK1043" s="178"/>
      <c r="CL1043" s="178"/>
      <c r="CM1043" s="178"/>
      <c r="CN1043" s="178"/>
      <c r="CO1043" s="178"/>
      <c r="CP1043" s="178"/>
      <c r="CQ1043" s="178"/>
      <c r="CR1043" s="178"/>
      <c r="CS1043" s="178"/>
      <c r="CT1043" s="178"/>
      <c r="CU1043" s="178"/>
      <c r="CV1043" s="178"/>
      <c r="CW1043" s="178"/>
      <c r="CX1043" s="178"/>
      <c r="CY1043" s="178"/>
      <c r="CZ1043" s="178"/>
      <c r="DA1043" s="178"/>
      <c r="DB1043" s="178"/>
      <c r="DC1043" s="178"/>
      <c r="DD1043" s="178"/>
      <c r="DE1043" s="178"/>
      <c r="DF1043" s="178"/>
      <c r="DG1043" s="178"/>
    </row>
    <row r="1044">
      <c r="A1044" s="350" t="s">
        <v>143</v>
      </c>
      <c r="B1044" s="177" t="s">
        <v>107</v>
      </c>
      <c r="C1044" s="177" t="s">
        <v>108</v>
      </c>
      <c r="D1044" s="178"/>
      <c r="E1044" s="180" t="s">
        <v>6143</v>
      </c>
      <c r="F1044" s="180" t="s">
        <v>6159</v>
      </c>
      <c r="G1044" s="188" t="s">
        <v>6097</v>
      </c>
      <c r="H1044" s="181">
        <v>45688.0</v>
      </c>
      <c r="I1044" s="1306">
        <v>45692.0</v>
      </c>
      <c r="J1044" s="179"/>
      <c r="K1044" s="350" t="s">
        <v>6160</v>
      </c>
      <c r="L1044" s="188" t="s">
        <v>6146</v>
      </c>
      <c r="M1044" s="188" t="s">
        <v>6147</v>
      </c>
      <c r="N1044" s="188" t="s">
        <v>6148</v>
      </c>
      <c r="O1044" s="188" t="s">
        <v>6149</v>
      </c>
      <c r="P1044" s="351" t="str">
        <f t="array" ref="P1044">HYPERLINK(INDEX('File Links'!B:B, MATCH(O1044, 'File Links'!C:C, 0)))
</f>
        <v>https://drive.google.com/file/d/1F1gmEthZ6jBt549BBg-rdg_5OVDXWokk/view?usp=drivesdk</v>
      </c>
      <c r="Q1044" s="188" t="s">
        <v>6103</v>
      </c>
      <c r="R1044" s="147" t="s">
        <v>6104</v>
      </c>
      <c r="S1044" s="134" t="s">
        <v>165</v>
      </c>
      <c r="T1044" s="134" t="s">
        <v>165</v>
      </c>
      <c r="U1044" s="188" t="s">
        <v>6105</v>
      </c>
      <c r="V1044" s="188" t="s">
        <v>6117</v>
      </c>
      <c r="W1044" s="183" t="str">
        <f t="array" ref="W1044">HYPERLINK(INDEX('File Links'!B:B, MATCH(U1044, 'File Links'!C:C, 0)))
</f>
        <v>#N/A</v>
      </c>
      <c r="X1044" s="179"/>
      <c r="Y1044" s="188" t="s">
        <v>139</v>
      </c>
      <c r="Z1044" s="350" t="s">
        <v>165</v>
      </c>
      <c r="AA1044" s="179" t="s">
        <v>6150</v>
      </c>
      <c r="AB1044" s="188" t="s">
        <v>6161</v>
      </c>
      <c r="AC1044" s="179" t="s">
        <v>6162</v>
      </c>
      <c r="AD1044" s="179" t="s">
        <v>6153</v>
      </c>
      <c r="AE1044" s="695">
        <v>60.0</v>
      </c>
      <c r="AF1044" s="179" t="s">
        <v>6163</v>
      </c>
      <c r="AG1044" s="179" t="s">
        <v>162</v>
      </c>
      <c r="AH1044" s="687">
        <v>7.0</v>
      </c>
      <c r="AI1044" s="1307">
        <v>0.01</v>
      </c>
      <c r="AJ1044" s="183" t="s">
        <v>127</v>
      </c>
      <c r="AK1044" s="183" t="s">
        <v>179</v>
      </c>
      <c r="AL1044" s="179" t="s">
        <v>129</v>
      </c>
      <c r="AM1044" s="1297" t="s">
        <v>165</v>
      </c>
      <c r="AN1044" s="695">
        <v>55.0</v>
      </c>
      <c r="AO1044" s="179" t="s">
        <v>6155</v>
      </c>
      <c r="AP1044" s="179" t="s">
        <v>162</v>
      </c>
      <c r="AQ1044" s="350" t="s">
        <v>6112</v>
      </c>
      <c r="AR1044" s="350" t="s">
        <v>165</v>
      </c>
      <c r="AS1044" s="128" t="s">
        <v>165</v>
      </c>
      <c r="AT1044" s="179" t="s">
        <v>179</v>
      </c>
      <c r="AU1044" s="179" t="s">
        <v>129</v>
      </c>
      <c r="AV1044" s="1308" t="s">
        <v>165</v>
      </c>
      <c r="AW1044" s="179" t="s">
        <v>134</v>
      </c>
      <c r="AX1044" s="178"/>
      <c r="AY1044" s="350" t="s">
        <v>6113</v>
      </c>
      <c r="AZ1044" s="178"/>
      <c r="BA1044" s="178"/>
      <c r="BB1044" s="178"/>
      <c r="BC1044" s="178"/>
      <c r="BD1044" s="178"/>
      <c r="BE1044" s="178"/>
      <c r="BF1044" s="178"/>
      <c r="BG1044" s="178"/>
      <c r="BH1044" s="178"/>
      <c r="BI1044" s="178"/>
      <c r="BJ1044" s="178"/>
      <c r="BK1044" s="178"/>
      <c r="BL1044" s="178"/>
      <c r="BM1044" s="178"/>
      <c r="BN1044" s="178"/>
      <c r="BO1044" s="178"/>
      <c r="BP1044" s="178"/>
      <c r="BQ1044" s="178"/>
      <c r="BR1044" s="178"/>
      <c r="BS1044" s="178"/>
      <c r="BT1044" s="178"/>
      <c r="BU1044" s="178"/>
      <c r="BV1044" s="178"/>
      <c r="BW1044" s="178"/>
      <c r="BX1044" s="178"/>
      <c r="BY1044" s="178"/>
      <c r="BZ1044" s="178"/>
      <c r="CA1044" s="178"/>
      <c r="CB1044" s="178"/>
      <c r="CC1044" s="178"/>
      <c r="CD1044" s="178"/>
      <c r="CE1044" s="178"/>
      <c r="CF1044" s="178"/>
      <c r="CG1044" s="178"/>
      <c r="CH1044" s="178"/>
      <c r="CI1044" s="178"/>
      <c r="CJ1044" s="178"/>
      <c r="CK1044" s="178"/>
      <c r="CL1044" s="178"/>
      <c r="CM1044" s="178"/>
      <c r="CN1044" s="178"/>
      <c r="CO1044" s="178"/>
      <c r="CP1044" s="178"/>
      <c r="CQ1044" s="178"/>
      <c r="CR1044" s="178"/>
      <c r="CS1044" s="178"/>
      <c r="CT1044" s="178"/>
      <c r="CU1044" s="178"/>
      <c r="CV1044" s="178"/>
      <c r="CW1044" s="178"/>
      <c r="CX1044" s="178"/>
      <c r="CY1044" s="178"/>
      <c r="CZ1044" s="178"/>
      <c r="DA1044" s="178"/>
      <c r="DB1044" s="178"/>
      <c r="DC1044" s="178"/>
      <c r="DD1044" s="178"/>
      <c r="DE1044" s="178"/>
      <c r="DF1044" s="178"/>
      <c r="DG1044" s="178"/>
    </row>
    <row r="1045">
      <c r="A1045" s="350" t="s">
        <v>106</v>
      </c>
      <c r="B1045" s="177" t="s">
        <v>107</v>
      </c>
      <c r="C1045" s="177" t="s">
        <v>108</v>
      </c>
      <c r="D1045" s="178"/>
      <c r="E1045" s="180" t="s">
        <v>6143</v>
      </c>
      <c r="F1045" s="180" t="s">
        <v>6164</v>
      </c>
      <c r="G1045" s="188" t="s">
        <v>6097</v>
      </c>
      <c r="H1045" s="181">
        <v>45688.0</v>
      </c>
      <c r="I1045" s="1306">
        <v>45692.0</v>
      </c>
      <c r="J1045" s="179"/>
      <c r="K1045" s="179" t="s">
        <v>6165</v>
      </c>
      <c r="L1045" s="188" t="s">
        <v>6146</v>
      </c>
      <c r="M1045" s="188" t="s">
        <v>6147</v>
      </c>
      <c r="N1045" s="188" t="s">
        <v>6148</v>
      </c>
      <c r="O1045" s="188" t="s">
        <v>6149</v>
      </c>
      <c r="P1045" s="351" t="str">
        <f t="array" ref="P1045">HYPERLINK(INDEX('File Links'!B:B, MATCH(O1045, 'File Links'!C:C, 0)))
</f>
        <v>https://drive.google.com/file/d/1F1gmEthZ6jBt549BBg-rdg_5OVDXWokk/view?usp=drivesdk</v>
      </c>
      <c r="Q1045" s="188" t="s">
        <v>6103</v>
      </c>
      <c r="R1045" s="147" t="s">
        <v>6104</v>
      </c>
      <c r="S1045" s="179" t="s">
        <v>768</v>
      </c>
      <c r="T1045" s="179" t="s">
        <v>768</v>
      </c>
      <c r="U1045" s="188" t="s">
        <v>6105</v>
      </c>
      <c r="V1045" s="188" t="s">
        <v>6117</v>
      </c>
      <c r="W1045" s="183" t="str">
        <f t="array" ref="W1045">HYPERLINK(INDEX('File Links'!B:B, MATCH(U1045, 'File Links'!C:C, 0)))
</f>
        <v>#N/A</v>
      </c>
      <c r="X1045" s="179"/>
      <c r="Y1045" s="188" t="s">
        <v>139</v>
      </c>
      <c r="Z1045" s="350" t="s">
        <v>165</v>
      </c>
      <c r="AA1045" s="179" t="s">
        <v>6150</v>
      </c>
      <c r="AB1045" s="188" t="s">
        <v>6166</v>
      </c>
      <c r="AC1045" s="179" t="s">
        <v>6167</v>
      </c>
      <c r="AD1045" s="179" t="s">
        <v>6153</v>
      </c>
      <c r="AE1045" s="695">
        <v>60.0</v>
      </c>
      <c r="AF1045" s="179" t="s">
        <v>6168</v>
      </c>
      <c r="AG1045" s="179" t="s">
        <v>162</v>
      </c>
      <c r="AH1045" s="687">
        <v>7.0</v>
      </c>
      <c r="AI1045" s="1307">
        <v>1.0E-4</v>
      </c>
      <c r="AJ1045" s="183" t="s">
        <v>127</v>
      </c>
      <c r="AK1045" s="183" t="s">
        <v>179</v>
      </c>
      <c r="AL1045" s="179" t="s">
        <v>129</v>
      </c>
      <c r="AM1045" s="1297" t="s">
        <v>165</v>
      </c>
      <c r="AN1045" s="695">
        <v>55.0</v>
      </c>
      <c r="AO1045" s="179" t="s">
        <v>6155</v>
      </c>
      <c r="AP1045" s="179" t="s">
        <v>162</v>
      </c>
      <c r="AQ1045" s="350" t="s">
        <v>6112</v>
      </c>
      <c r="AR1045" s="179" t="s">
        <v>768</v>
      </c>
      <c r="AS1045" s="179" t="s">
        <v>768</v>
      </c>
      <c r="AT1045" s="179" t="s">
        <v>179</v>
      </c>
      <c r="AU1045" s="179" t="s">
        <v>129</v>
      </c>
      <c r="AV1045" s="1308" t="s">
        <v>165</v>
      </c>
      <c r="AW1045" s="179" t="s">
        <v>134</v>
      </c>
      <c r="AX1045" s="178"/>
      <c r="AY1045" s="350" t="s">
        <v>6113</v>
      </c>
      <c r="AZ1045" s="178"/>
      <c r="BA1045" s="178"/>
      <c r="BB1045" s="178"/>
      <c r="BC1045" s="178"/>
      <c r="BD1045" s="178"/>
      <c r="BE1045" s="178"/>
      <c r="BF1045" s="178"/>
      <c r="BG1045" s="178"/>
      <c r="BH1045" s="178"/>
      <c r="BI1045" s="178"/>
      <c r="BJ1045" s="178"/>
      <c r="BK1045" s="178"/>
      <c r="BL1045" s="178"/>
      <c r="BM1045" s="178"/>
      <c r="BN1045" s="178"/>
      <c r="BO1045" s="178"/>
      <c r="BP1045" s="178"/>
      <c r="BQ1045" s="178"/>
      <c r="BR1045" s="178"/>
      <c r="BS1045" s="178"/>
      <c r="BT1045" s="178"/>
      <c r="BU1045" s="178"/>
      <c r="BV1045" s="178"/>
      <c r="BW1045" s="178"/>
      <c r="BX1045" s="178"/>
      <c r="BY1045" s="178"/>
      <c r="BZ1045" s="178"/>
      <c r="CA1045" s="178"/>
      <c r="CB1045" s="178"/>
      <c r="CC1045" s="178"/>
      <c r="CD1045" s="178"/>
      <c r="CE1045" s="178"/>
      <c r="CF1045" s="178"/>
      <c r="CG1045" s="178"/>
      <c r="CH1045" s="178"/>
      <c r="CI1045" s="178"/>
      <c r="CJ1045" s="178"/>
      <c r="CK1045" s="178"/>
      <c r="CL1045" s="178"/>
      <c r="CM1045" s="178"/>
      <c r="CN1045" s="178"/>
      <c r="CO1045" s="178"/>
      <c r="CP1045" s="178"/>
      <c r="CQ1045" s="178"/>
      <c r="CR1045" s="178"/>
      <c r="CS1045" s="178"/>
      <c r="CT1045" s="178"/>
      <c r="CU1045" s="178"/>
      <c r="CV1045" s="178"/>
      <c r="CW1045" s="178"/>
      <c r="CX1045" s="178"/>
      <c r="CY1045" s="178"/>
      <c r="CZ1045" s="178"/>
      <c r="DA1045" s="178"/>
      <c r="DB1045" s="178"/>
      <c r="DC1045" s="178"/>
      <c r="DD1045" s="178"/>
      <c r="DE1045" s="178"/>
      <c r="DF1045" s="178"/>
      <c r="DG1045" s="178"/>
    </row>
    <row r="1046">
      <c r="A1046" s="350" t="s">
        <v>106</v>
      </c>
      <c r="B1046" s="177" t="s">
        <v>107</v>
      </c>
      <c r="C1046" s="177" t="s">
        <v>108</v>
      </c>
      <c r="D1046" s="178"/>
      <c r="E1046" s="180" t="s">
        <v>6143</v>
      </c>
      <c r="F1046" s="180" t="s">
        <v>6169</v>
      </c>
      <c r="G1046" s="188" t="s">
        <v>6097</v>
      </c>
      <c r="H1046" s="181">
        <v>45688.0</v>
      </c>
      <c r="I1046" s="1306">
        <v>45692.0</v>
      </c>
      <c r="J1046" s="179"/>
      <c r="K1046" s="179" t="s">
        <v>6165</v>
      </c>
      <c r="L1046" s="188" t="s">
        <v>6146</v>
      </c>
      <c r="M1046" s="188" t="s">
        <v>6147</v>
      </c>
      <c r="N1046" s="188" t="s">
        <v>6148</v>
      </c>
      <c r="O1046" s="188" t="s">
        <v>6149</v>
      </c>
      <c r="P1046" s="351" t="str">
        <f t="array" ref="P1046">HYPERLINK(INDEX('File Links'!B:B, MATCH(O1046, 'File Links'!C:C, 0)))
</f>
        <v>https://drive.google.com/file/d/1F1gmEthZ6jBt549BBg-rdg_5OVDXWokk/view?usp=drivesdk</v>
      </c>
      <c r="Q1046" s="188" t="s">
        <v>6103</v>
      </c>
      <c r="R1046" s="147" t="s">
        <v>6104</v>
      </c>
      <c r="S1046" s="179" t="s">
        <v>768</v>
      </c>
      <c r="T1046" s="179" t="s">
        <v>768</v>
      </c>
      <c r="U1046" s="188" t="s">
        <v>6105</v>
      </c>
      <c r="V1046" s="188" t="s">
        <v>6117</v>
      </c>
      <c r="W1046" s="183" t="str">
        <f t="array" ref="W1046">HYPERLINK(INDEX('File Links'!B:B, MATCH(U1046, 'File Links'!C:C, 0)))
</f>
        <v>#N/A</v>
      </c>
      <c r="X1046" s="179"/>
      <c r="Y1046" s="188" t="s">
        <v>139</v>
      </c>
      <c r="Z1046" s="350" t="s">
        <v>165</v>
      </c>
      <c r="AA1046" s="179" t="s">
        <v>6150</v>
      </c>
      <c r="AB1046" s="188" t="s">
        <v>6170</v>
      </c>
      <c r="AC1046" s="179" t="s">
        <v>6171</v>
      </c>
      <c r="AD1046" s="179" t="s">
        <v>6153</v>
      </c>
      <c r="AE1046" s="695">
        <v>60.0</v>
      </c>
      <c r="AF1046" s="179" t="s">
        <v>6172</v>
      </c>
      <c r="AG1046" s="179" t="s">
        <v>162</v>
      </c>
      <c r="AH1046" s="687">
        <v>7.0</v>
      </c>
      <c r="AI1046" s="1307">
        <v>5.0E-4</v>
      </c>
      <c r="AJ1046" s="183" t="s">
        <v>127</v>
      </c>
      <c r="AK1046" s="183" t="s">
        <v>179</v>
      </c>
      <c r="AL1046" s="179" t="s">
        <v>129</v>
      </c>
      <c r="AM1046" s="1297" t="s">
        <v>165</v>
      </c>
      <c r="AN1046" s="695">
        <v>55.0</v>
      </c>
      <c r="AO1046" s="179" t="s">
        <v>6155</v>
      </c>
      <c r="AP1046" s="179" t="s">
        <v>162</v>
      </c>
      <c r="AQ1046" s="350" t="s">
        <v>6112</v>
      </c>
      <c r="AR1046" s="179" t="s">
        <v>768</v>
      </c>
      <c r="AS1046" s="179" t="s">
        <v>768</v>
      </c>
      <c r="AT1046" s="179" t="s">
        <v>179</v>
      </c>
      <c r="AU1046" s="179" t="s">
        <v>129</v>
      </c>
      <c r="AV1046" s="1308" t="s">
        <v>165</v>
      </c>
      <c r="AW1046" s="179" t="s">
        <v>134</v>
      </c>
      <c r="AX1046" s="178"/>
      <c r="AY1046" s="350" t="s">
        <v>6113</v>
      </c>
      <c r="AZ1046" s="178"/>
      <c r="BA1046" s="178"/>
      <c r="BB1046" s="178"/>
      <c r="BC1046" s="178"/>
      <c r="BD1046" s="178"/>
      <c r="BE1046" s="178"/>
      <c r="BF1046" s="178"/>
      <c r="BG1046" s="178"/>
      <c r="BH1046" s="178"/>
      <c r="BI1046" s="178"/>
      <c r="BJ1046" s="178"/>
      <c r="BK1046" s="178"/>
      <c r="BL1046" s="178"/>
      <c r="BM1046" s="178"/>
      <c r="BN1046" s="178"/>
      <c r="BO1046" s="178"/>
      <c r="BP1046" s="178"/>
      <c r="BQ1046" s="178"/>
      <c r="BR1046" s="178"/>
      <c r="BS1046" s="178"/>
      <c r="BT1046" s="178"/>
      <c r="BU1046" s="178"/>
      <c r="BV1046" s="178"/>
      <c r="BW1046" s="178"/>
      <c r="BX1046" s="178"/>
      <c r="BY1046" s="178"/>
      <c r="BZ1046" s="178"/>
      <c r="CA1046" s="178"/>
      <c r="CB1046" s="178"/>
      <c r="CC1046" s="178"/>
      <c r="CD1046" s="178"/>
      <c r="CE1046" s="178"/>
      <c r="CF1046" s="178"/>
      <c r="CG1046" s="178"/>
      <c r="CH1046" s="178"/>
      <c r="CI1046" s="178"/>
      <c r="CJ1046" s="178"/>
      <c r="CK1046" s="178"/>
      <c r="CL1046" s="178"/>
      <c r="CM1046" s="178"/>
      <c r="CN1046" s="178"/>
      <c r="CO1046" s="178"/>
      <c r="CP1046" s="178"/>
      <c r="CQ1046" s="178"/>
      <c r="CR1046" s="178"/>
      <c r="CS1046" s="178"/>
      <c r="CT1046" s="178"/>
      <c r="CU1046" s="178"/>
      <c r="CV1046" s="178"/>
      <c r="CW1046" s="178"/>
      <c r="CX1046" s="178"/>
      <c r="CY1046" s="178"/>
      <c r="CZ1046" s="178"/>
      <c r="DA1046" s="178"/>
      <c r="DB1046" s="178"/>
      <c r="DC1046" s="178"/>
      <c r="DD1046" s="178"/>
      <c r="DE1046" s="178"/>
      <c r="DF1046" s="178"/>
      <c r="DG1046" s="178"/>
    </row>
    <row r="1047">
      <c r="A1047" s="134" t="s">
        <v>2021</v>
      </c>
      <c r="B1047" s="136" t="s">
        <v>107</v>
      </c>
      <c r="C1047" s="136" t="s">
        <v>108</v>
      </c>
      <c r="D1047" s="64"/>
      <c r="E1047" s="108" t="s">
        <v>6173</v>
      </c>
      <c r="F1047" s="99" t="s">
        <v>6174</v>
      </c>
      <c r="G1047" s="108" t="s">
        <v>6097</v>
      </c>
      <c r="H1047" s="391">
        <v>45688.0</v>
      </c>
      <c r="I1047" s="1309">
        <v>45692.0</v>
      </c>
      <c r="J1047" s="450" t="s">
        <v>6175</v>
      </c>
      <c r="K1047" s="98" t="s">
        <v>6176</v>
      </c>
      <c r="L1047" s="108" t="s">
        <v>6177</v>
      </c>
      <c r="M1047" s="98" t="str">
        <f>lower(SUBSTITUTE(SUBSTITUTE(O1047, "--", "/"), ".pdf", ""))</f>
        <v>10.1111/j.1551-6709.2010.01164.x</v>
      </c>
      <c r="N1047" s="482">
        <v>1.0</v>
      </c>
      <c r="O1047" s="108" t="s">
        <v>6149</v>
      </c>
      <c r="P1047" s="392" t="str">
        <f t="array" ref="P1047">HYPERLINK(INDEX('File Links'!B:B, MATCH(O1047, 'File Links'!C:C, 0)))
</f>
        <v>https://drive.google.com/file/d/1F1gmEthZ6jBt549BBg-rdg_5OVDXWokk/view?usp=drivesdk</v>
      </c>
      <c r="Q1047" s="108" t="s">
        <v>6103</v>
      </c>
      <c r="R1047" s="108" t="s">
        <v>6104</v>
      </c>
      <c r="S1047" s="134" t="s">
        <v>165</v>
      </c>
      <c r="T1047" s="134" t="s">
        <v>165</v>
      </c>
      <c r="U1047" s="108" t="s">
        <v>6105</v>
      </c>
      <c r="V1047" s="108" t="s">
        <v>318</v>
      </c>
      <c r="W1047" s="101" t="str">
        <f t="array" ref="W1047">HYPERLINK(INDEX('File Links'!B:B, MATCH(U1047, 'File Links'!C:C, 0)))
</f>
        <v>#N/A</v>
      </c>
      <c r="X1047" s="98"/>
      <c r="Y1047" s="108" t="s">
        <v>139</v>
      </c>
      <c r="Z1047" s="350" t="s">
        <v>165</v>
      </c>
      <c r="AA1047" s="98" t="s">
        <v>6178</v>
      </c>
      <c r="AB1047" s="108" t="s">
        <v>6179</v>
      </c>
      <c r="AC1047" s="108" t="s">
        <v>165</v>
      </c>
      <c r="AD1047" s="98" t="s">
        <v>768</v>
      </c>
      <c r="AE1047" s="482">
        <v>17.0</v>
      </c>
      <c r="AF1047" s="98" t="s">
        <v>768</v>
      </c>
      <c r="AG1047" s="98" t="s">
        <v>768</v>
      </c>
      <c r="AH1047" s="98" t="s">
        <v>768</v>
      </c>
      <c r="AI1047" s="106" t="s">
        <v>768</v>
      </c>
      <c r="AJ1047" s="101" t="s">
        <v>768</v>
      </c>
      <c r="AK1047" s="101" t="s">
        <v>179</v>
      </c>
      <c r="AL1047" s="98" t="s">
        <v>129</v>
      </c>
      <c r="AM1047" s="1297" t="s">
        <v>165</v>
      </c>
      <c r="AN1047" s="482">
        <v>40.0</v>
      </c>
      <c r="AO1047" s="98" t="s">
        <v>768</v>
      </c>
      <c r="AP1047" s="98" t="s">
        <v>768</v>
      </c>
      <c r="AQ1047" s="134" t="s">
        <v>6112</v>
      </c>
      <c r="AR1047" s="98" t="s">
        <v>768</v>
      </c>
      <c r="AS1047" s="98" t="s">
        <v>768</v>
      </c>
      <c r="AT1047" s="98" t="s">
        <v>179</v>
      </c>
      <c r="AU1047" s="98" t="s">
        <v>129</v>
      </c>
      <c r="AV1047" s="1310" t="s">
        <v>165</v>
      </c>
      <c r="AW1047" s="98" t="s">
        <v>134</v>
      </c>
      <c r="AX1047" s="64"/>
      <c r="AY1047" s="134" t="s">
        <v>6113</v>
      </c>
      <c r="AZ1047" s="64"/>
      <c r="BA1047" s="64"/>
      <c r="BB1047" s="64"/>
      <c r="BC1047" s="64"/>
      <c r="BD1047" s="64"/>
      <c r="BE1047" s="64"/>
      <c r="BF1047" s="64"/>
      <c r="BG1047" s="64"/>
      <c r="BH1047" s="64"/>
      <c r="BI1047" s="64"/>
      <c r="BJ1047" s="64"/>
      <c r="BK1047" s="64"/>
      <c r="BL1047" s="64"/>
      <c r="BM1047" s="64"/>
      <c r="BN1047" s="64"/>
      <c r="BO1047" s="64"/>
      <c r="BP1047" s="64"/>
      <c r="BQ1047" s="64"/>
      <c r="BR1047" s="64"/>
      <c r="BS1047" s="64"/>
      <c r="BT1047" s="64"/>
      <c r="BU1047" s="64"/>
      <c r="BV1047" s="64"/>
      <c r="BW1047" s="64"/>
      <c r="BX1047" s="64"/>
      <c r="BY1047" s="64"/>
      <c r="BZ1047" s="64"/>
      <c r="CA1047" s="64"/>
      <c r="CB1047" s="64"/>
      <c r="CC1047" s="64"/>
      <c r="CD1047" s="64"/>
      <c r="CE1047" s="64"/>
      <c r="CF1047" s="64"/>
      <c r="CG1047" s="64"/>
      <c r="CH1047" s="64"/>
      <c r="CI1047" s="64"/>
      <c r="CJ1047" s="64"/>
      <c r="CK1047" s="64"/>
      <c r="CL1047" s="64"/>
      <c r="CM1047" s="64"/>
      <c r="CN1047" s="64"/>
      <c r="CO1047" s="64"/>
      <c r="CP1047" s="64"/>
      <c r="CQ1047" s="64"/>
      <c r="CR1047" s="64"/>
      <c r="CS1047" s="64"/>
      <c r="CT1047" s="64"/>
      <c r="CU1047" s="64"/>
      <c r="CV1047" s="64"/>
      <c r="CW1047" s="64"/>
      <c r="CX1047" s="64"/>
      <c r="CY1047" s="64"/>
      <c r="CZ1047" s="64"/>
      <c r="DA1047" s="64"/>
      <c r="DB1047" s="64"/>
      <c r="DC1047" s="64"/>
      <c r="DD1047" s="64"/>
      <c r="DE1047" s="64"/>
      <c r="DF1047" s="64"/>
      <c r="DG1047" s="64"/>
    </row>
    <row r="1048">
      <c r="A1048" s="98" t="s">
        <v>106</v>
      </c>
      <c r="B1048" s="136" t="s">
        <v>107</v>
      </c>
      <c r="C1048" s="136" t="s">
        <v>243</v>
      </c>
      <c r="D1048" s="64"/>
      <c r="E1048" s="99" t="s">
        <v>6173</v>
      </c>
      <c r="F1048" s="103" t="s">
        <v>6174</v>
      </c>
      <c r="G1048" s="108" t="s">
        <v>244</v>
      </c>
      <c r="H1048" s="391">
        <v>45664.0</v>
      </c>
      <c r="I1048" s="1309">
        <v>45692.0</v>
      </c>
      <c r="J1048" s="108" t="s">
        <v>6180</v>
      </c>
      <c r="K1048" s="98" t="s">
        <v>6099</v>
      </c>
      <c r="L1048" s="108" t="s">
        <v>6177</v>
      </c>
      <c r="M1048" s="108" t="s">
        <v>6181</v>
      </c>
      <c r="N1048" s="482">
        <v>1.0</v>
      </c>
      <c r="O1048" s="108" t="str">
        <f t="shared" ref="O1048:O1054" si="55"> SUBSTITUTE(lower(M1048), "/", "--") &amp;  ".pdf"</f>
        <v>10.1016--j.neuron.2011.02.027.pdf</v>
      </c>
      <c r="P1048" s="392" t="str">
        <f t="array" ref="P1048">HYPERLINK(INDEX('File Links'!B:B, MATCH(O1048, 'File Links'!C:C, 0)))
</f>
        <v>https://drive.google.com/file/d/1VgMcBc_Zck2mNomOuS1CZVLBzdiV_nWC/view?usp=drivesdk</v>
      </c>
      <c r="Q1048" s="108" t="s">
        <v>6182</v>
      </c>
      <c r="R1048" s="108" t="s">
        <v>6104</v>
      </c>
      <c r="S1048" s="134" t="s">
        <v>165</v>
      </c>
      <c r="T1048" s="134" t="s">
        <v>165</v>
      </c>
      <c r="U1048" s="108" t="s">
        <v>6105</v>
      </c>
      <c r="V1048" s="108" t="s">
        <v>318</v>
      </c>
      <c r="W1048" s="101" t="str">
        <f t="array" ref="W1048">HYPERLINK(INDEX('File Links'!B:B, MATCH(U1048, 'File Links'!C:C, 0)))
</f>
        <v>#N/A</v>
      </c>
      <c r="X1048" s="98"/>
      <c r="Y1048" s="108" t="s">
        <v>139</v>
      </c>
      <c r="Z1048" s="350" t="s">
        <v>165</v>
      </c>
      <c r="AA1048" s="98"/>
      <c r="AB1048" s="98"/>
      <c r="AC1048" s="108" t="s">
        <v>165</v>
      </c>
      <c r="AD1048" s="108" t="s">
        <v>165</v>
      </c>
      <c r="AE1048" s="482">
        <v>17.0</v>
      </c>
      <c r="AF1048" s="108" t="s">
        <v>165</v>
      </c>
      <c r="AG1048" s="108" t="s">
        <v>165</v>
      </c>
      <c r="AH1048" s="108" t="s">
        <v>165</v>
      </c>
      <c r="AI1048" s="107" t="s">
        <v>165</v>
      </c>
      <c r="AJ1048" s="101"/>
      <c r="AK1048" s="99" t="s">
        <v>179</v>
      </c>
      <c r="AL1048" s="108" t="s">
        <v>821</v>
      </c>
      <c r="AM1048" s="1297" t="s">
        <v>165</v>
      </c>
      <c r="AN1048" s="482">
        <v>40.0</v>
      </c>
      <c r="AO1048" s="108" t="s">
        <v>165</v>
      </c>
      <c r="AP1048" s="98"/>
      <c r="AQ1048" s="134" t="s">
        <v>6112</v>
      </c>
      <c r="AR1048" s="108" t="s">
        <v>165</v>
      </c>
      <c r="AS1048" s="98"/>
      <c r="AT1048" s="108" t="s">
        <v>179</v>
      </c>
      <c r="AU1048" s="108" t="s">
        <v>821</v>
      </c>
      <c r="AV1048" s="1310" t="s">
        <v>165</v>
      </c>
      <c r="AW1048" s="108" t="s">
        <v>134</v>
      </c>
      <c r="AX1048" s="64"/>
      <c r="AY1048" s="134" t="s">
        <v>6113</v>
      </c>
      <c r="AZ1048" s="64"/>
      <c r="BA1048" s="64"/>
      <c r="BB1048" s="64"/>
      <c r="BC1048" s="64"/>
      <c r="BD1048" s="64"/>
      <c r="BE1048" s="64"/>
      <c r="BF1048" s="64"/>
      <c r="BG1048" s="64"/>
      <c r="BH1048" s="64"/>
      <c r="BI1048" s="64"/>
      <c r="BJ1048" s="64"/>
      <c r="BK1048" s="64"/>
      <c r="BL1048" s="64"/>
      <c r="BM1048" s="64"/>
      <c r="BN1048" s="64"/>
      <c r="BO1048" s="64"/>
      <c r="BP1048" s="64"/>
      <c r="BQ1048" s="64"/>
      <c r="BR1048" s="64"/>
      <c r="BS1048" s="64"/>
      <c r="BT1048" s="64"/>
      <c r="BU1048" s="64"/>
      <c r="BV1048" s="64"/>
      <c r="BW1048" s="64"/>
      <c r="BX1048" s="64"/>
      <c r="BY1048" s="64"/>
      <c r="BZ1048" s="64"/>
      <c r="CA1048" s="64"/>
      <c r="CB1048" s="64"/>
      <c r="CC1048" s="64"/>
      <c r="CD1048" s="64"/>
      <c r="CE1048" s="64"/>
      <c r="CF1048" s="64"/>
      <c r="CG1048" s="64"/>
      <c r="CH1048" s="64"/>
      <c r="CI1048" s="64"/>
      <c r="CJ1048" s="64"/>
      <c r="CK1048" s="64"/>
      <c r="CL1048" s="64"/>
      <c r="CM1048" s="64"/>
      <c r="CN1048" s="64"/>
      <c r="CO1048" s="64"/>
      <c r="CP1048" s="64"/>
      <c r="CQ1048" s="64"/>
      <c r="CR1048" s="64"/>
      <c r="CS1048" s="64"/>
      <c r="CT1048" s="64"/>
      <c r="CU1048" s="64"/>
      <c r="CV1048" s="64"/>
      <c r="CW1048" s="64"/>
      <c r="CX1048" s="64"/>
      <c r="CY1048" s="64"/>
      <c r="CZ1048" s="64"/>
      <c r="DA1048" s="64"/>
      <c r="DB1048" s="64"/>
      <c r="DC1048" s="64"/>
      <c r="DD1048" s="64"/>
      <c r="DE1048" s="64"/>
      <c r="DF1048" s="64"/>
      <c r="DG1048" s="64"/>
    </row>
    <row r="1049">
      <c r="A1049" s="115" t="s">
        <v>2021</v>
      </c>
      <c r="B1049" s="41" t="s">
        <v>107</v>
      </c>
      <c r="C1049" s="41" t="s">
        <v>108</v>
      </c>
      <c r="D1049" s="340"/>
      <c r="E1049" s="1291" t="s">
        <v>6183</v>
      </c>
      <c r="F1049" s="1290" t="s">
        <v>6184</v>
      </c>
      <c r="G1049" s="1291" t="s">
        <v>6097</v>
      </c>
      <c r="H1049" s="1292">
        <v>45688.0</v>
      </c>
      <c r="I1049" s="1293">
        <v>45692.0</v>
      </c>
      <c r="J1049" s="1289" t="s">
        <v>6185</v>
      </c>
      <c r="K1049" s="1289" t="s">
        <v>6099</v>
      </c>
      <c r="L1049" s="1291" t="s">
        <v>6186</v>
      </c>
      <c r="M1049" s="1289" t="s">
        <v>6187</v>
      </c>
      <c r="N1049" s="1294">
        <v>1.0</v>
      </c>
      <c r="O1049" s="127" t="str">
        <f t="shared" si="55"/>
        <v>10.1016--j.neuroimage.2009.09.024.pdf</v>
      </c>
      <c r="P1049" s="48" t="str">
        <f t="array" ref="P1049">HYPERLINK(INDEX('File Links'!B:B, MATCH(O1049, 'File Links'!C:C, 0)))
</f>
        <v>https://drive.google.com/file/d/1X_Hzp8yt2P-QO2WO8iH4EPgoVRh7R4xM/view?usp=drivesdk</v>
      </c>
      <c r="Q1049" s="1291" t="s">
        <v>6103</v>
      </c>
      <c r="R1049" s="147" t="s">
        <v>6104</v>
      </c>
      <c r="S1049" s="134" t="s">
        <v>165</v>
      </c>
      <c r="T1049" s="134" t="s">
        <v>165</v>
      </c>
      <c r="U1049" s="1291" t="s">
        <v>6105</v>
      </c>
      <c r="V1049" s="127" t="s">
        <v>318</v>
      </c>
      <c r="W1049" s="45" t="str">
        <f t="array" ref="W1049">HYPERLINK(INDEX('File Links'!B:B, MATCH(U1049, 'File Links'!C:C, 0)))
</f>
        <v>#N/A</v>
      </c>
      <c r="X1049" s="1289"/>
      <c r="Y1049" s="1291" t="s">
        <v>139</v>
      </c>
      <c r="Z1049" s="1289" t="s">
        <v>768</v>
      </c>
      <c r="AA1049" s="1289" t="s">
        <v>6188</v>
      </c>
      <c r="AB1049" s="1291" t="s">
        <v>6189</v>
      </c>
      <c r="AC1049" s="1289" t="s">
        <v>768</v>
      </c>
      <c r="AD1049" s="1289" t="s">
        <v>768</v>
      </c>
      <c r="AE1049" s="1294">
        <v>26.0</v>
      </c>
      <c r="AF1049" s="1289" t="s">
        <v>768</v>
      </c>
      <c r="AG1049" s="1289" t="s">
        <v>768</v>
      </c>
      <c r="AH1049" s="1289" t="s">
        <v>768</v>
      </c>
      <c r="AI1049" s="1295" t="s">
        <v>768</v>
      </c>
      <c r="AJ1049" s="1296" t="s">
        <v>768</v>
      </c>
      <c r="AK1049" s="1296" t="s">
        <v>179</v>
      </c>
      <c r="AL1049" s="1289" t="s">
        <v>129</v>
      </c>
      <c r="AM1049" s="1297" t="s">
        <v>165</v>
      </c>
      <c r="AN1049" s="1294">
        <v>23.0</v>
      </c>
      <c r="AO1049" s="1289" t="s">
        <v>768</v>
      </c>
      <c r="AP1049" s="1289" t="s">
        <v>768</v>
      </c>
      <c r="AQ1049" s="1297" t="s">
        <v>6112</v>
      </c>
      <c r="AR1049" s="1289" t="s">
        <v>768</v>
      </c>
      <c r="AS1049" s="1289" t="s">
        <v>768</v>
      </c>
      <c r="AT1049" s="1289" t="s">
        <v>179</v>
      </c>
      <c r="AU1049" s="1289" t="s">
        <v>129</v>
      </c>
      <c r="AV1049" s="1298" t="s">
        <v>165</v>
      </c>
      <c r="AW1049" s="1289" t="s">
        <v>134</v>
      </c>
      <c r="AY1049" s="1297" t="s">
        <v>6113</v>
      </c>
      <c r="BA1049" s="64"/>
      <c r="BB1049" s="64"/>
      <c r="BC1049" s="64"/>
      <c r="BD1049" s="64"/>
      <c r="BE1049" s="64"/>
      <c r="BF1049" s="64"/>
      <c r="BG1049" s="64"/>
      <c r="BH1049" s="64"/>
      <c r="BI1049" s="64"/>
      <c r="BJ1049" s="64"/>
      <c r="BK1049" s="64"/>
      <c r="BL1049" s="64"/>
      <c r="BM1049" s="64"/>
      <c r="BN1049" s="64"/>
      <c r="BO1049" s="64"/>
      <c r="BP1049" s="64"/>
      <c r="BQ1049" s="64"/>
      <c r="BR1049" s="64"/>
      <c r="BS1049" s="64"/>
      <c r="BT1049" s="64"/>
      <c r="BU1049" s="64"/>
      <c r="BV1049" s="64"/>
      <c r="BW1049" s="64"/>
      <c r="BX1049" s="64"/>
      <c r="BY1049" s="64"/>
      <c r="BZ1049" s="64"/>
      <c r="CA1049" s="64"/>
      <c r="CB1049" s="64"/>
      <c r="CC1049" s="64"/>
      <c r="CD1049" s="64"/>
      <c r="CE1049" s="64"/>
      <c r="CF1049" s="64"/>
      <c r="CG1049" s="64"/>
      <c r="CH1049" s="64"/>
      <c r="CI1049" s="64"/>
      <c r="CJ1049" s="64"/>
      <c r="CK1049" s="64"/>
      <c r="CL1049" s="64"/>
      <c r="CM1049" s="64"/>
      <c r="CN1049" s="64"/>
      <c r="CO1049" s="64"/>
      <c r="CP1049" s="64"/>
      <c r="CQ1049" s="64"/>
      <c r="CR1049" s="64"/>
      <c r="CS1049" s="64"/>
      <c r="CT1049" s="64"/>
      <c r="CU1049" s="64"/>
      <c r="CV1049" s="64"/>
      <c r="CW1049" s="64"/>
      <c r="CX1049" s="64"/>
      <c r="CY1049" s="64"/>
      <c r="CZ1049" s="64"/>
      <c r="DA1049" s="64"/>
      <c r="DB1049" s="64"/>
      <c r="DC1049" s="64"/>
      <c r="DD1049" s="64"/>
      <c r="DE1049" s="64"/>
      <c r="DF1049" s="64"/>
      <c r="DG1049" s="64"/>
    </row>
    <row r="1050">
      <c r="A1050" s="60" t="s">
        <v>106</v>
      </c>
      <c r="B1050" s="41" t="s">
        <v>107</v>
      </c>
      <c r="C1050" s="41" t="s">
        <v>243</v>
      </c>
      <c r="D1050" s="340"/>
      <c r="E1050" s="112" t="s">
        <v>6183</v>
      </c>
      <c r="F1050" s="116" t="s">
        <v>6184</v>
      </c>
      <c r="G1050" s="127" t="s">
        <v>244</v>
      </c>
      <c r="H1050" s="310">
        <v>45664.0</v>
      </c>
      <c r="I1050" s="1301">
        <v>45692.0</v>
      </c>
      <c r="J1050" s="606" t="s">
        <v>6190</v>
      </c>
      <c r="K1050" s="111" t="s">
        <v>6191</v>
      </c>
      <c r="L1050" s="127" t="s">
        <v>6186</v>
      </c>
      <c r="M1050" s="127" t="s">
        <v>6187</v>
      </c>
      <c r="N1050" s="111"/>
      <c r="O1050" s="127" t="str">
        <f t="shared" si="55"/>
        <v>10.1016--j.neuroimage.2009.09.024.pdf</v>
      </c>
      <c r="P1050" s="48" t="str">
        <f t="array" ref="P1050">HYPERLINK(INDEX('File Links'!B:B, MATCH(O1050, 'File Links'!C:C, 0)))
</f>
        <v>https://drive.google.com/file/d/1X_Hzp8yt2P-QO2WO8iH4EPgoVRh7R4xM/view?usp=drivesdk</v>
      </c>
      <c r="Q1050" s="127" t="s">
        <v>6192</v>
      </c>
      <c r="R1050" s="147" t="s">
        <v>6104</v>
      </c>
      <c r="S1050" s="134" t="s">
        <v>165</v>
      </c>
      <c r="T1050" s="134" t="s">
        <v>165</v>
      </c>
      <c r="U1050" s="127" t="s">
        <v>6105</v>
      </c>
      <c r="V1050" s="127" t="s">
        <v>318</v>
      </c>
      <c r="W1050" s="45" t="str">
        <f t="array" ref="W1050">HYPERLINK(INDEX('File Links'!B:B, MATCH(U1050, 'File Links'!C:C, 0)))
</f>
        <v>#N/A</v>
      </c>
      <c r="X1050" s="111"/>
      <c r="Y1050" s="127" t="s">
        <v>139</v>
      </c>
      <c r="Z1050" s="111"/>
      <c r="AA1050" s="111"/>
      <c r="AB1050" s="111"/>
      <c r="AC1050" s="127" t="s">
        <v>165</v>
      </c>
      <c r="AD1050" s="127" t="s">
        <v>165</v>
      </c>
      <c r="AE1050" s="720">
        <v>26.0</v>
      </c>
      <c r="AF1050" s="127" t="s">
        <v>165</v>
      </c>
      <c r="AG1050" s="127" t="s">
        <v>165</v>
      </c>
      <c r="AH1050" s="127" t="s">
        <v>165</v>
      </c>
      <c r="AI1050" s="212" t="s">
        <v>165</v>
      </c>
      <c r="AJ1050" s="119"/>
      <c r="AK1050" s="112" t="s">
        <v>179</v>
      </c>
      <c r="AL1050" s="127" t="s">
        <v>821</v>
      </c>
      <c r="AM1050" s="1297" t="s">
        <v>165</v>
      </c>
      <c r="AN1050" s="720">
        <v>23.0</v>
      </c>
      <c r="AO1050" s="127" t="s">
        <v>165</v>
      </c>
      <c r="AP1050" s="111"/>
      <c r="AQ1050" s="1297" t="s">
        <v>6112</v>
      </c>
      <c r="AR1050" s="127" t="s">
        <v>165</v>
      </c>
      <c r="AS1050" s="111"/>
      <c r="AT1050" s="127" t="s">
        <v>179</v>
      </c>
      <c r="AU1050" s="127" t="s">
        <v>821</v>
      </c>
      <c r="AV1050" s="1298" t="s">
        <v>165</v>
      </c>
      <c r="AW1050" s="127" t="s">
        <v>134</v>
      </c>
      <c r="AY1050" s="1297" t="s">
        <v>6113</v>
      </c>
      <c r="BA1050" s="64"/>
      <c r="BB1050" s="64"/>
      <c r="BC1050" s="64"/>
      <c r="BD1050" s="64"/>
      <c r="BE1050" s="64"/>
      <c r="BF1050" s="64"/>
      <c r="BG1050" s="64"/>
      <c r="BH1050" s="64"/>
      <c r="BI1050" s="64"/>
      <c r="BJ1050" s="64"/>
      <c r="BK1050" s="64"/>
      <c r="BL1050" s="64"/>
      <c r="BM1050" s="64"/>
      <c r="BN1050" s="64"/>
      <c r="BO1050" s="64"/>
      <c r="BP1050" s="64"/>
      <c r="BQ1050" s="64"/>
      <c r="BR1050" s="64"/>
      <c r="BS1050" s="64"/>
      <c r="BT1050" s="64"/>
      <c r="BU1050" s="64"/>
      <c r="BV1050" s="64"/>
      <c r="BW1050" s="64"/>
      <c r="BX1050" s="64"/>
      <c r="BY1050" s="64"/>
      <c r="BZ1050" s="64"/>
      <c r="CA1050" s="64"/>
      <c r="CB1050" s="64"/>
      <c r="CC1050" s="64"/>
      <c r="CD1050" s="64"/>
      <c r="CE1050" s="64"/>
      <c r="CF1050" s="64"/>
      <c r="CG1050" s="64"/>
      <c r="CH1050" s="64"/>
      <c r="CI1050" s="64"/>
      <c r="CJ1050" s="64"/>
      <c r="CK1050" s="64"/>
      <c r="CL1050" s="64"/>
      <c r="CM1050" s="64"/>
      <c r="CN1050" s="64"/>
      <c r="CO1050" s="64"/>
      <c r="CP1050" s="64"/>
      <c r="CQ1050" s="64"/>
      <c r="CR1050" s="64"/>
      <c r="CS1050" s="64"/>
      <c r="CT1050" s="64"/>
      <c r="CU1050" s="64"/>
      <c r="CV1050" s="64"/>
      <c r="CW1050" s="64"/>
      <c r="CX1050" s="64"/>
      <c r="CY1050" s="64"/>
      <c r="CZ1050" s="64"/>
      <c r="DA1050" s="64"/>
      <c r="DB1050" s="64"/>
      <c r="DC1050" s="64"/>
      <c r="DD1050" s="64"/>
      <c r="DE1050" s="64"/>
      <c r="DF1050" s="64"/>
      <c r="DG1050" s="64"/>
    </row>
    <row r="1051">
      <c r="A1051" s="115" t="s">
        <v>143</v>
      </c>
      <c r="B1051" s="41" t="s">
        <v>107</v>
      </c>
      <c r="C1051" s="41" t="s">
        <v>108</v>
      </c>
      <c r="E1051" s="147" t="s">
        <v>6193</v>
      </c>
      <c r="F1051" s="52" t="s">
        <v>6194</v>
      </c>
      <c r="G1051" s="147" t="s">
        <v>6097</v>
      </c>
      <c r="H1051" s="140">
        <v>45688.0</v>
      </c>
      <c r="I1051" s="472">
        <v>45692.0</v>
      </c>
      <c r="J1051" s="60" t="s">
        <v>6195</v>
      </c>
      <c r="K1051" s="60" t="s">
        <v>6099</v>
      </c>
      <c r="L1051" s="147" t="s">
        <v>6196</v>
      </c>
      <c r="M1051" s="60" t="s">
        <v>6197</v>
      </c>
      <c r="N1051" s="144">
        <v>2.0</v>
      </c>
      <c r="O1051" s="147" t="str">
        <f t="shared" si="55"/>
        <v>djärv_2018.pdf</v>
      </c>
      <c r="P1051" s="48" t="str">
        <f t="array" ref="P1051">HYPERLINK(INDEX('File Links'!B:B, MATCH(O1051, 'File Links'!C:C, 0)))
</f>
        <v>https://drive.google.com/file/d/1G_aU3PGCjrrMgJwOfzq2w1nbmT82GsuJ/view?usp=drivesdk</v>
      </c>
      <c r="Q1051" s="147" t="s">
        <v>6103</v>
      </c>
      <c r="R1051" s="147" t="s">
        <v>6104</v>
      </c>
      <c r="S1051" s="134" t="s">
        <v>165</v>
      </c>
      <c r="T1051" s="134" t="s">
        <v>165</v>
      </c>
      <c r="U1051" s="147" t="s">
        <v>6105</v>
      </c>
      <c r="V1051" s="147" t="s">
        <v>318</v>
      </c>
      <c r="W1051" s="55" t="str">
        <f t="array" ref="W1051">HYPERLINK(INDEX('File Links'!B:B, MATCH(U1051, 'File Links'!C:C, 0)))
</f>
        <v>#N/A</v>
      </c>
      <c r="X1051" s="60"/>
      <c r="Y1051" s="147" t="s">
        <v>139</v>
      </c>
      <c r="Z1051" s="350" t="s">
        <v>165</v>
      </c>
      <c r="AA1051" s="147" t="s">
        <v>6198</v>
      </c>
      <c r="AB1051" s="147" t="s">
        <v>6199</v>
      </c>
      <c r="AC1051" s="60" t="s">
        <v>6200</v>
      </c>
      <c r="AD1051" s="327">
        <v>14.0</v>
      </c>
      <c r="AE1051" s="144">
        <v>62.0</v>
      </c>
      <c r="AF1051" s="60" t="s">
        <v>6201</v>
      </c>
      <c r="AG1051" s="60" t="s">
        <v>162</v>
      </c>
      <c r="AH1051" s="327">
        <v>14.0</v>
      </c>
      <c r="AI1051" s="115" t="s">
        <v>165</v>
      </c>
      <c r="AJ1051" s="1311" t="s">
        <v>165</v>
      </c>
      <c r="AK1051" s="55" t="s">
        <v>179</v>
      </c>
      <c r="AL1051" s="60" t="s">
        <v>129</v>
      </c>
      <c r="AM1051" s="1297" t="s">
        <v>165</v>
      </c>
      <c r="AN1051" s="144">
        <v>60.0</v>
      </c>
      <c r="AO1051" s="60" t="s">
        <v>6202</v>
      </c>
      <c r="AP1051" s="60" t="s">
        <v>162</v>
      </c>
      <c r="AQ1051" s="115" t="s">
        <v>6112</v>
      </c>
      <c r="AR1051" s="350" t="s">
        <v>165</v>
      </c>
      <c r="AS1051" s="128" t="s">
        <v>165</v>
      </c>
      <c r="AT1051" s="60" t="s">
        <v>179</v>
      </c>
      <c r="AU1051" s="60" t="s">
        <v>129</v>
      </c>
      <c r="AV1051" s="1312" t="s">
        <v>165</v>
      </c>
      <c r="AW1051" s="60" t="s">
        <v>134</v>
      </c>
      <c r="AY1051" s="115" t="s">
        <v>6113</v>
      </c>
      <c r="BD1051" s="64"/>
      <c r="BE1051" s="64"/>
      <c r="BF1051" s="64"/>
      <c r="BG1051" s="64"/>
      <c r="BH1051" s="64"/>
      <c r="BI1051" s="64"/>
      <c r="BJ1051" s="64"/>
      <c r="BK1051" s="64"/>
      <c r="BL1051" s="64"/>
      <c r="BM1051" s="64"/>
      <c r="BN1051" s="64"/>
      <c r="BO1051" s="64"/>
      <c r="BP1051" s="64"/>
      <c r="BQ1051" s="64"/>
      <c r="BR1051" s="64"/>
      <c r="BS1051" s="64"/>
      <c r="BT1051" s="64"/>
      <c r="BU1051" s="64"/>
      <c r="BV1051" s="64"/>
      <c r="BW1051" s="64"/>
      <c r="BX1051" s="64"/>
      <c r="BY1051" s="64"/>
      <c r="BZ1051" s="64"/>
      <c r="CA1051" s="64"/>
      <c r="CB1051" s="64"/>
      <c r="CC1051" s="64"/>
      <c r="CD1051" s="64"/>
      <c r="CE1051" s="64"/>
      <c r="CF1051" s="64"/>
      <c r="CG1051" s="64"/>
      <c r="CH1051" s="64"/>
      <c r="CI1051" s="64"/>
      <c r="CJ1051" s="64"/>
      <c r="CK1051" s="64"/>
      <c r="CL1051" s="64"/>
      <c r="CM1051" s="64"/>
      <c r="CN1051" s="64"/>
      <c r="CO1051" s="64"/>
      <c r="CP1051" s="64"/>
      <c r="CQ1051" s="64"/>
      <c r="CR1051" s="64"/>
      <c r="CS1051" s="64"/>
      <c r="CT1051" s="64"/>
      <c r="CU1051" s="64"/>
      <c r="CV1051" s="64"/>
      <c r="CW1051" s="64"/>
      <c r="CX1051" s="64"/>
      <c r="CY1051" s="64"/>
      <c r="CZ1051" s="64"/>
      <c r="DA1051" s="64"/>
      <c r="DB1051" s="64"/>
      <c r="DC1051" s="64"/>
      <c r="DD1051" s="64"/>
      <c r="DE1051" s="64"/>
      <c r="DF1051" s="64"/>
      <c r="DG1051" s="64"/>
    </row>
    <row r="1052">
      <c r="A1052" s="60" t="s">
        <v>106</v>
      </c>
      <c r="B1052" s="41" t="s">
        <v>107</v>
      </c>
      <c r="C1052" s="41" t="s">
        <v>243</v>
      </c>
      <c r="E1052" s="52" t="s">
        <v>6193</v>
      </c>
      <c r="F1052" s="139" t="s">
        <v>6194</v>
      </c>
      <c r="G1052" s="147" t="s">
        <v>244</v>
      </c>
      <c r="H1052" s="140">
        <v>45664.0</v>
      </c>
      <c r="I1052" s="472">
        <v>45692.0</v>
      </c>
      <c r="J1052" s="453" t="s">
        <v>6190</v>
      </c>
      <c r="K1052" s="60" t="s">
        <v>6099</v>
      </c>
      <c r="L1052" s="147" t="s">
        <v>6196</v>
      </c>
      <c r="M1052" s="60" t="s">
        <v>6197</v>
      </c>
      <c r="N1052" s="60"/>
      <c r="O1052" s="147" t="str">
        <f t="shared" si="55"/>
        <v>djärv_2018.pdf</v>
      </c>
      <c r="P1052" s="48" t="str">
        <f t="array" ref="P1052">HYPERLINK(INDEX('File Links'!B:B, MATCH(O1052, 'File Links'!C:C, 0)))
</f>
        <v>https://drive.google.com/file/d/1G_aU3PGCjrrMgJwOfzq2w1nbmT82GsuJ/view?usp=drivesdk</v>
      </c>
      <c r="Q1052" s="147" t="s">
        <v>6203</v>
      </c>
      <c r="R1052" s="147" t="s">
        <v>6104</v>
      </c>
      <c r="S1052" s="134" t="s">
        <v>165</v>
      </c>
      <c r="T1052" s="134" t="s">
        <v>165</v>
      </c>
      <c r="U1052" s="147" t="s">
        <v>6105</v>
      </c>
      <c r="V1052" s="147" t="s">
        <v>318</v>
      </c>
      <c r="W1052" s="55" t="str">
        <f t="array" ref="W1052">HYPERLINK(INDEX('File Links'!B:B, MATCH(U1052, 'File Links'!C:C, 0)))
</f>
        <v>#N/A</v>
      </c>
      <c r="X1052" s="60"/>
      <c r="Y1052" s="147" t="s">
        <v>139</v>
      </c>
      <c r="Z1052" s="60"/>
      <c r="AA1052" s="60"/>
      <c r="AB1052" s="60"/>
      <c r="AC1052" s="147" t="s">
        <v>165</v>
      </c>
      <c r="AD1052" s="147" t="s">
        <v>165</v>
      </c>
      <c r="AE1052" s="144">
        <v>62.0</v>
      </c>
      <c r="AF1052" s="147" t="s">
        <v>165</v>
      </c>
      <c r="AG1052" s="147" t="s">
        <v>165</v>
      </c>
      <c r="AH1052" s="147" t="s">
        <v>165</v>
      </c>
      <c r="AI1052" s="330" t="s">
        <v>165</v>
      </c>
      <c r="AJ1052" s="55"/>
      <c r="AK1052" s="52" t="s">
        <v>179</v>
      </c>
      <c r="AL1052" s="147" t="s">
        <v>821</v>
      </c>
      <c r="AM1052" s="1297" t="s">
        <v>165</v>
      </c>
      <c r="AN1052" s="144">
        <v>60.0</v>
      </c>
      <c r="AO1052" s="147" t="s">
        <v>165</v>
      </c>
      <c r="AP1052" s="60"/>
      <c r="AQ1052" s="115" t="s">
        <v>6112</v>
      </c>
      <c r="AR1052" s="1313" t="s">
        <v>165</v>
      </c>
      <c r="AS1052" s="60"/>
      <c r="AT1052" s="147" t="s">
        <v>179</v>
      </c>
      <c r="AU1052" s="147" t="s">
        <v>821</v>
      </c>
      <c r="AV1052" s="1312" t="s">
        <v>165</v>
      </c>
      <c r="AW1052" s="147" t="s">
        <v>134</v>
      </c>
      <c r="AY1052" s="115" t="s">
        <v>6113</v>
      </c>
      <c r="BD1052" s="64"/>
      <c r="BE1052" s="64"/>
      <c r="BF1052" s="64"/>
      <c r="BG1052" s="64"/>
      <c r="BH1052" s="64"/>
      <c r="BI1052" s="64"/>
      <c r="BJ1052" s="64"/>
      <c r="BK1052" s="64"/>
      <c r="BL1052" s="64"/>
      <c r="BM1052" s="64"/>
      <c r="BN1052" s="64"/>
      <c r="BO1052" s="64"/>
      <c r="BP1052" s="64"/>
      <c r="BQ1052" s="64"/>
      <c r="BR1052" s="64"/>
      <c r="BS1052" s="64"/>
      <c r="BT1052" s="64"/>
      <c r="BU1052" s="64"/>
      <c r="BV1052" s="64"/>
      <c r="BW1052" s="64"/>
      <c r="BX1052" s="64"/>
      <c r="BY1052" s="64"/>
      <c r="BZ1052" s="64"/>
      <c r="CA1052" s="64"/>
      <c r="CB1052" s="64"/>
      <c r="CC1052" s="64"/>
      <c r="CD1052" s="64"/>
      <c r="CE1052" s="64"/>
      <c r="CF1052" s="64"/>
      <c r="CG1052" s="64"/>
      <c r="CH1052" s="64"/>
      <c r="CI1052" s="64"/>
      <c r="CJ1052" s="64"/>
      <c r="CK1052" s="64"/>
      <c r="CL1052" s="64"/>
      <c r="CM1052" s="64"/>
      <c r="CN1052" s="64"/>
      <c r="CO1052" s="64"/>
      <c r="CP1052" s="64"/>
      <c r="CQ1052" s="64"/>
      <c r="CR1052" s="64"/>
      <c r="CS1052" s="64"/>
      <c r="CT1052" s="64"/>
      <c r="CU1052" s="64"/>
      <c r="CV1052" s="64"/>
      <c r="CW1052" s="64"/>
      <c r="CX1052" s="64"/>
      <c r="CY1052" s="64"/>
      <c r="CZ1052" s="64"/>
      <c r="DA1052" s="64"/>
      <c r="DB1052" s="64"/>
      <c r="DC1052" s="64"/>
      <c r="DD1052" s="64"/>
      <c r="DE1052" s="64"/>
      <c r="DF1052" s="64"/>
      <c r="DG1052" s="64"/>
    </row>
    <row r="1053">
      <c r="A1053" s="115" t="s">
        <v>2021</v>
      </c>
      <c r="B1053" s="41" t="s">
        <v>107</v>
      </c>
      <c r="C1053" s="41" t="s">
        <v>108</v>
      </c>
      <c r="D1053" s="340"/>
      <c r="E1053" s="1291" t="s">
        <v>6204</v>
      </c>
      <c r="F1053" s="1290" t="s">
        <v>6205</v>
      </c>
      <c r="G1053" s="1291" t="s">
        <v>6097</v>
      </c>
      <c r="H1053" s="1292">
        <v>45688.0</v>
      </c>
      <c r="I1053" s="1293">
        <v>45692.0</v>
      </c>
      <c r="J1053" s="1314" t="s">
        <v>6175</v>
      </c>
      <c r="K1053" s="1289" t="s">
        <v>6099</v>
      </c>
      <c r="L1053" s="1291" t="s">
        <v>6206</v>
      </c>
      <c r="M1053" s="1289" t="s">
        <v>6207</v>
      </c>
      <c r="N1053" s="1294">
        <v>1.0</v>
      </c>
      <c r="O1053" s="127" t="str">
        <f t="shared" si="55"/>
        <v>10.1037--rev0000175.pdf</v>
      </c>
      <c r="P1053" s="48" t="str">
        <f t="array" ref="P1053">HYPERLINK(INDEX('File Links'!B:B, MATCH(O1053, 'File Links'!C:C, 0)))
</f>
        <v>https://drive.google.com/file/d/1nonM8jExC1mVvcGqlH7dSp0-DAzLBLtm/view?usp=drivesdk</v>
      </c>
      <c r="Q1053" s="1291" t="s">
        <v>6103</v>
      </c>
      <c r="R1053" s="147" t="s">
        <v>6104</v>
      </c>
      <c r="S1053" s="134" t="s">
        <v>165</v>
      </c>
      <c r="T1053" s="134" t="s">
        <v>165</v>
      </c>
      <c r="U1053" s="1291" t="s">
        <v>6105</v>
      </c>
      <c r="V1053" s="127" t="s">
        <v>318</v>
      </c>
      <c r="W1053" s="45" t="str">
        <f t="array" ref="W1053">HYPERLINK(INDEX('File Links'!B:B, MATCH(U1053, 'File Links'!C:C, 0)))
</f>
        <v>#N/A</v>
      </c>
      <c r="X1053" s="1289"/>
      <c r="Y1053" s="1291" t="s">
        <v>139</v>
      </c>
      <c r="Z1053" s="1289" t="s">
        <v>768</v>
      </c>
      <c r="AA1053" s="1289" t="s">
        <v>6208</v>
      </c>
      <c r="AB1053" s="1291" t="s">
        <v>6209</v>
      </c>
      <c r="AC1053" s="1315" t="s">
        <v>768</v>
      </c>
      <c r="AD1053" s="1315" t="s">
        <v>768</v>
      </c>
      <c r="AE1053" s="1294">
        <v>253.0</v>
      </c>
      <c r="AF1053" s="1289" t="s">
        <v>768</v>
      </c>
      <c r="AG1053" s="1289" t="s">
        <v>768</v>
      </c>
      <c r="AH1053" s="1289" t="s">
        <v>768</v>
      </c>
      <c r="AI1053" s="1295" t="s">
        <v>768</v>
      </c>
      <c r="AJ1053" s="1296" t="s">
        <v>768</v>
      </c>
      <c r="AK1053" s="1296" t="s">
        <v>179</v>
      </c>
      <c r="AL1053" s="1289" t="s">
        <v>129</v>
      </c>
      <c r="AM1053" s="1297" t="s">
        <v>165</v>
      </c>
      <c r="AN1053" s="1294">
        <v>221.0</v>
      </c>
      <c r="AO1053" s="1289" t="s">
        <v>768</v>
      </c>
      <c r="AP1053" s="1289" t="s">
        <v>768</v>
      </c>
      <c r="AQ1053" s="1297" t="s">
        <v>6112</v>
      </c>
      <c r="AR1053" s="1289" t="s">
        <v>768</v>
      </c>
      <c r="AS1053" s="1289" t="s">
        <v>768</v>
      </c>
      <c r="AT1053" s="1289" t="s">
        <v>179</v>
      </c>
      <c r="AU1053" s="1289" t="s">
        <v>129</v>
      </c>
      <c r="AV1053" s="1298" t="s">
        <v>165</v>
      </c>
      <c r="AW1053" s="1289" t="s">
        <v>134</v>
      </c>
      <c r="AY1053" s="1297" t="s">
        <v>6113</v>
      </c>
      <c r="BA1053" s="64"/>
      <c r="BB1053" s="64"/>
      <c r="BC1053" s="64"/>
      <c r="BD1053" s="64"/>
      <c r="BE1053" s="64"/>
      <c r="BF1053" s="64"/>
      <c r="BG1053" s="64"/>
      <c r="BH1053" s="64"/>
      <c r="BI1053" s="64"/>
      <c r="BJ1053" s="64"/>
      <c r="BK1053" s="64"/>
      <c r="BL1053" s="64"/>
      <c r="BM1053" s="64"/>
      <c r="BN1053" s="64"/>
      <c r="BO1053" s="64"/>
      <c r="BP1053" s="64"/>
      <c r="BQ1053" s="64"/>
      <c r="BR1053" s="64"/>
      <c r="BS1053" s="64"/>
      <c r="BT1053" s="64"/>
      <c r="BU1053" s="64"/>
      <c r="BV1053" s="64"/>
      <c r="BW1053" s="64"/>
      <c r="BX1053" s="64"/>
      <c r="BY1053" s="64"/>
      <c r="BZ1053" s="64"/>
      <c r="CA1053" s="64"/>
      <c r="CB1053" s="64"/>
      <c r="CC1053" s="64"/>
      <c r="CD1053" s="64"/>
      <c r="CE1053" s="64"/>
      <c r="CF1053" s="64"/>
      <c r="CG1053" s="64"/>
      <c r="CH1053" s="64"/>
      <c r="CI1053" s="64"/>
      <c r="CJ1053" s="64"/>
      <c r="CK1053" s="64"/>
      <c r="CL1053" s="64"/>
      <c r="CM1053" s="64"/>
      <c r="CN1053" s="64"/>
      <c r="CO1053" s="64"/>
      <c r="CP1053" s="64"/>
      <c r="CQ1053" s="64"/>
      <c r="CR1053" s="64"/>
      <c r="CS1053" s="64"/>
      <c r="CT1053" s="64"/>
      <c r="CU1053" s="64"/>
      <c r="CV1053" s="64"/>
      <c r="CW1053" s="64"/>
      <c r="CX1053" s="64"/>
      <c r="CY1053" s="64"/>
      <c r="CZ1053" s="64"/>
      <c r="DA1053" s="64"/>
      <c r="DB1053" s="64"/>
      <c r="DC1053" s="64"/>
      <c r="DD1053" s="64"/>
      <c r="DE1053" s="64"/>
      <c r="DF1053" s="64"/>
      <c r="DG1053" s="64"/>
    </row>
    <row r="1054">
      <c r="A1054" s="60" t="s">
        <v>106</v>
      </c>
      <c r="B1054" s="41" t="s">
        <v>107</v>
      </c>
      <c r="C1054" s="41" t="s">
        <v>243</v>
      </c>
      <c r="D1054" s="340"/>
      <c r="E1054" s="112" t="s">
        <v>6204</v>
      </c>
      <c r="F1054" s="116" t="s">
        <v>6205</v>
      </c>
      <c r="G1054" s="127" t="s">
        <v>244</v>
      </c>
      <c r="H1054" s="310">
        <v>45664.0</v>
      </c>
      <c r="I1054" s="1301">
        <v>45692.0</v>
      </c>
      <c r="J1054" s="127" t="s">
        <v>6190</v>
      </c>
      <c r="K1054" s="111" t="s">
        <v>6210</v>
      </c>
      <c r="L1054" s="127" t="s">
        <v>6206</v>
      </c>
      <c r="M1054" s="127" t="s">
        <v>6207</v>
      </c>
      <c r="N1054" s="111"/>
      <c r="O1054" s="127" t="str">
        <f t="shared" si="55"/>
        <v>10.1037--rev0000175.pdf</v>
      </c>
      <c r="P1054" s="48" t="str">
        <f t="array" ref="P1054">HYPERLINK(INDEX('File Links'!B:B, MATCH(O1054, 'File Links'!C:C, 0)))
</f>
        <v>https://drive.google.com/file/d/1nonM8jExC1mVvcGqlH7dSp0-DAzLBLtm/view?usp=drivesdk</v>
      </c>
      <c r="Q1054" s="127" t="s">
        <v>6211</v>
      </c>
      <c r="R1054" s="147" t="s">
        <v>6104</v>
      </c>
      <c r="S1054" s="134" t="s">
        <v>165</v>
      </c>
      <c r="T1054" s="134" t="s">
        <v>165</v>
      </c>
      <c r="U1054" s="127" t="s">
        <v>6105</v>
      </c>
      <c r="V1054" s="127" t="s">
        <v>318</v>
      </c>
      <c r="W1054" s="45" t="str">
        <f t="array" ref="W1054">HYPERLINK(INDEX('File Links'!B:B, MATCH(U1054, 'File Links'!C:C, 0)))
</f>
        <v>#N/A</v>
      </c>
      <c r="X1054" s="111"/>
      <c r="Y1054" s="127" t="s">
        <v>139</v>
      </c>
      <c r="Z1054" s="111"/>
      <c r="AA1054" s="111"/>
      <c r="AB1054" s="111"/>
      <c r="AC1054" s="127" t="s">
        <v>165</v>
      </c>
      <c r="AD1054" s="127" t="s">
        <v>165</v>
      </c>
      <c r="AE1054" s="720">
        <v>253.0</v>
      </c>
      <c r="AF1054" s="127" t="s">
        <v>165</v>
      </c>
      <c r="AG1054" s="127" t="s">
        <v>165</v>
      </c>
      <c r="AH1054" s="127" t="s">
        <v>165</v>
      </c>
      <c r="AI1054" s="212" t="s">
        <v>165</v>
      </c>
      <c r="AJ1054" s="119"/>
      <c r="AK1054" s="112" t="s">
        <v>179</v>
      </c>
      <c r="AL1054" s="127" t="s">
        <v>821</v>
      </c>
      <c r="AM1054" s="1297" t="s">
        <v>165</v>
      </c>
      <c r="AN1054" s="720">
        <v>221.0</v>
      </c>
      <c r="AO1054" s="127" t="s">
        <v>165</v>
      </c>
      <c r="AP1054" s="111"/>
      <c r="AQ1054" s="1297" t="s">
        <v>6112</v>
      </c>
      <c r="AR1054" s="127" t="s">
        <v>165</v>
      </c>
      <c r="AS1054" s="111"/>
      <c r="AT1054" s="127" t="s">
        <v>179</v>
      </c>
      <c r="AU1054" s="127" t="s">
        <v>821</v>
      </c>
      <c r="AV1054" s="1298" t="s">
        <v>165</v>
      </c>
      <c r="AW1054" s="127" t="s">
        <v>134</v>
      </c>
      <c r="AY1054" s="1297" t="s">
        <v>6113</v>
      </c>
      <c r="BA1054" s="64"/>
      <c r="BB1054" s="64"/>
      <c r="BC1054" s="64"/>
      <c r="BD1054" s="64"/>
      <c r="BE1054" s="64"/>
      <c r="BF1054" s="64"/>
      <c r="BG1054" s="64"/>
      <c r="BH1054" s="64"/>
      <c r="BI1054" s="64"/>
      <c r="BJ1054" s="64"/>
      <c r="BK1054" s="64"/>
      <c r="BL1054" s="64"/>
      <c r="BM1054" s="64"/>
      <c r="BN1054" s="64"/>
      <c r="BO1054" s="64"/>
      <c r="BP1054" s="64"/>
      <c r="BQ1054" s="64"/>
      <c r="BR1054" s="64"/>
      <c r="BS1054" s="64"/>
      <c r="BT1054" s="64"/>
      <c r="BU1054" s="64"/>
      <c r="BV1054" s="64"/>
      <c r="BW1054" s="64"/>
      <c r="BX1054" s="64"/>
      <c r="BY1054" s="64"/>
      <c r="BZ1054" s="64"/>
      <c r="CA1054" s="64"/>
      <c r="CB1054" s="64"/>
      <c r="CC1054" s="64"/>
      <c r="CD1054" s="64"/>
      <c r="CE1054" s="64"/>
      <c r="CF1054" s="64"/>
      <c r="CG1054" s="64"/>
      <c r="CH1054" s="64"/>
      <c r="CI1054" s="64"/>
      <c r="CJ1054" s="64"/>
      <c r="CK1054" s="64"/>
      <c r="CL1054" s="64"/>
      <c r="CM1054" s="64"/>
      <c r="CN1054" s="64"/>
      <c r="CO1054" s="64"/>
      <c r="CP1054" s="64"/>
      <c r="CQ1054" s="64"/>
      <c r="CR1054" s="64"/>
      <c r="CS1054" s="64"/>
      <c r="CT1054" s="64"/>
      <c r="CU1054" s="64"/>
      <c r="CV1054" s="64"/>
      <c r="CW1054" s="64"/>
      <c r="CX1054" s="64"/>
      <c r="CY1054" s="64"/>
      <c r="CZ1054" s="64"/>
      <c r="DA1054" s="64"/>
      <c r="DB1054" s="64"/>
      <c r="DC1054" s="64"/>
      <c r="DD1054" s="64"/>
      <c r="DE1054" s="64"/>
      <c r="DF1054" s="64"/>
      <c r="DG1054" s="64"/>
    </row>
    <row r="1055">
      <c r="A1055" s="115" t="s">
        <v>143</v>
      </c>
      <c r="B1055" s="41" t="s">
        <v>107</v>
      </c>
      <c r="C1055" s="41" t="s">
        <v>108</v>
      </c>
      <c r="D1055" s="340"/>
      <c r="E1055" s="1289" t="s">
        <v>6212</v>
      </c>
      <c r="F1055" s="1290" t="s">
        <v>6213</v>
      </c>
      <c r="G1055" s="1291" t="s">
        <v>6097</v>
      </c>
      <c r="H1055" s="1292">
        <v>45688.0</v>
      </c>
      <c r="I1055" s="1293">
        <v>45692.0</v>
      </c>
      <c r="J1055" s="1289" t="s">
        <v>6175</v>
      </c>
      <c r="K1055" s="1289" t="s">
        <v>6099</v>
      </c>
      <c r="L1055" s="1291" t="s">
        <v>6214</v>
      </c>
      <c r="M1055" s="1291" t="s">
        <v>6215</v>
      </c>
      <c r="N1055" s="1294">
        <v>1.0</v>
      </c>
      <c r="O1055" s="1291" t="s">
        <v>6216</v>
      </c>
      <c r="P1055" s="48" t="str">
        <f t="array" ref="P1055">HYPERLINK(INDEX('File Links'!B:B, MATCH(O1055, 'File Links'!C:C, 0)))
</f>
        <v>https://drive.google.com/file/d/12p5OEsz_Kqdr2WrmlHbpY-_JFlSEkooC/view?usp=drivesdk</v>
      </c>
      <c r="Q1055" s="1291" t="s">
        <v>6103</v>
      </c>
      <c r="R1055" s="147" t="s">
        <v>6104</v>
      </c>
      <c r="S1055" s="134" t="s">
        <v>165</v>
      </c>
      <c r="T1055" s="134" t="s">
        <v>165</v>
      </c>
      <c r="U1055" s="1291" t="s">
        <v>6105</v>
      </c>
      <c r="V1055" s="127" t="s">
        <v>318</v>
      </c>
      <c r="W1055" s="45" t="str">
        <f t="array" ref="W1055">HYPERLINK(INDEX('File Links'!B:B, MATCH(U1055, 'File Links'!C:C, 0)))
</f>
        <v>#N/A</v>
      </c>
      <c r="X1055" s="1289"/>
      <c r="Y1055" s="1291" t="s">
        <v>220</v>
      </c>
      <c r="Z1055" s="350" t="s">
        <v>165</v>
      </c>
      <c r="AA1055" s="1289" t="s">
        <v>6217</v>
      </c>
      <c r="AB1055" s="1291" t="s">
        <v>6218</v>
      </c>
      <c r="AC1055" s="1289" t="s">
        <v>6219</v>
      </c>
      <c r="AD1055" s="1289" t="s">
        <v>6220</v>
      </c>
      <c r="AE1055" s="1294">
        <v>126.0</v>
      </c>
      <c r="AF1055" s="1316">
        <v>0.356</v>
      </c>
      <c r="AG1055" s="1289" t="s">
        <v>130</v>
      </c>
      <c r="AH1055" s="1289" t="s">
        <v>861</v>
      </c>
      <c r="AI1055" s="1300">
        <v>0.001</v>
      </c>
      <c r="AJ1055" s="1296" t="s">
        <v>127</v>
      </c>
      <c r="AK1055" s="1296" t="s">
        <v>179</v>
      </c>
      <c r="AL1055" s="1289" t="s">
        <v>129</v>
      </c>
      <c r="AM1055" s="1317" t="s">
        <v>6221</v>
      </c>
      <c r="AN1055" s="1294">
        <v>103.0</v>
      </c>
      <c r="AO1055" s="1297" t="s">
        <v>165</v>
      </c>
      <c r="AP1055" s="1311" t="s">
        <v>165</v>
      </c>
      <c r="AQ1055" s="1297" t="s">
        <v>6112</v>
      </c>
      <c r="AR1055" s="350" t="s">
        <v>165</v>
      </c>
      <c r="AS1055" s="128" t="s">
        <v>165</v>
      </c>
      <c r="AT1055" s="1289" t="s">
        <v>179</v>
      </c>
      <c r="AU1055" s="1289" t="s">
        <v>129</v>
      </c>
      <c r="AV1055" s="1298" t="s">
        <v>165</v>
      </c>
      <c r="AW1055" s="1289" t="s">
        <v>134</v>
      </c>
      <c r="AY1055" s="1297" t="s">
        <v>6113</v>
      </c>
      <c r="BA1055" s="64"/>
      <c r="BB1055" s="64"/>
      <c r="BC1055" s="64"/>
      <c r="BD1055" s="64"/>
      <c r="BE1055" s="64"/>
      <c r="BF1055" s="64"/>
      <c r="BG1055" s="64"/>
      <c r="BH1055" s="64"/>
      <c r="BI1055" s="64"/>
      <c r="BJ1055" s="64"/>
      <c r="BK1055" s="64"/>
      <c r="BL1055" s="64"/>
      <c r="BM1055" s="64"/>
      <c r="BN1055" s="64"/>
      <c r="BO1055" s="64"/>
      <c r="BP1055" s="64"/>
      <c r="BQ1055" s="64"/>
      <c r="BR1055" s="64"/>
      <c r="BS1055" s="64"/>
      <c r="BT1055" s="64"/>
      <c r="BU1055" s="64"/>
      <c r="BV1055" s="64"/>
      <c r="BW1055" s="64"/>
      <c r="BX1055" s="64"/>
      <c r="BY1055" s="64"/>
      <c r="BZ1055" s="64"/>
      <c r="CA1055" s="64"/>
      <c r="CB1055" s="64"/>
      <c r="CC1055" s="64"/>
      <c r="CD1055" s="64"/>
      <c r="CE1055" s="64"/>
      <c r="CF1055" s="64"/>
      <c r="CG1055" s="64"/>
      <c r="CH1055" s="64"/>
      <c r="CI1055" s="64"/>
      <c r="CJ1055" s="64"/>
      <c r="CK1055" s="64"/>
      <c r="CL1055" s="64"/>
      <c r="CM1055" s="64"/>
      <c r="CN1055" s="64"/>
      <c r="CO1055" s="64"/>
      <c r="CP1055" s="64"/>
      <c r="CQ1055" s="64"/>
      <c r="CR1055" s="64"/>
      <c r="CS1055" s="64"/>
      <c r="CT1055" s="64"/>
      <c r="CU1055" s="64"/>
      <c r="CV1055" s="64"/>
      <c r="CW1055" s="64"/>
      <c r="CX1055" s="64"/>
      <c r="CY1055" s="64"/>
      <c r="CZ1055" s="64"/>
      <c r="DA1055" s="64"/>
      <c r="DB1055" s="64"/>
      <c r="DC1055" s="64"/>
      <c r="DD1055" s="64"/>
      <c r="DE1055" s="64"/>
      <c r="DF1055" s="64"/>
      <c r="DG1055" s="64"/>
    </row>
    <row r="1056">
      <c r="A1056" s="60" t="s">
        <v>106</v>
      </c>
      <c r="B1056" s="41" t="s">
        <v>107</v>
      </c>
      <c r="C1056" s="41" t="s">
        <v>243</v>
      </c>
      <c r="D1056" s="340"/>
      <c r="E1056" s="112" t="s">
        <v>6212</v>
      </c>
      <c r="F1056" s="116" t="s">
        <v>6213</v>
      </c>
      <c r="G1056" s="127" t="s">
        <v>244</v>
      </c>
      <c r="H1056" s="310">
        <v>45664.0</v>
      </c>
      <c r="I1056" s="1301">
        <v>45692.0</v>
      </c>
      <c r="J1056" s="127" t="s">
        <v>6190</v>
      </c>
      <c r="K1056" s="111" t="s">
        <v>6099</v>
      </c>
      <c r="L1056" s="127" t="s">
        <v>6214</v>
      </c>
      <c r="M1056" s="127" t="s">
        <v>6215</v>
      </c>
      <c r="N1056" s="111"/>
      <c r="O1056" s="127" t="str">
        <f> SUBSTITUTE(lower(M1056), "/", "--") &amp;  ".pdf"</f>
        <v>10.1177--0956797616669947.pdf</v>
      </c>
      <c r="P1056" s="48" t="str">
        <f t="array" ref="P1056">HYPERLINK(INDEX('File Links'!B:B, MATCH(O1056, 'File Links'!C:C, 0)))
</f>
        <v>https://drive.google.com/file/d/12p5OEsz_Kqdr2WrmlHbpY-_JFlSEkooC/view?usp=drivesdk</v>
      </c>
      <c r="Q1056" s="127" t="s">
        <v>6222</v>
      </c>
      <c r="R1056" s="147" t="s">
        <v>6104</v>
      </c>
      <c r="S1056" s="134" t="s">
        <v>165</v>
      </c>
      <c r="T1056" s="134" t="s">
        <v>165</v>
      </c>
      <c r="U1056" s="127" t="s">
        <v>6105</v>
      </c>
      <c r="V1056" s="127" t="s">
        <v>318</v>
      </c>
      <c r="W1056" s="45" t="str">
        <f t="array" ref="W1056">HYPERLINK(INDEX('File Links'!B:B, MATCH(U1056, 'File Links'!C:C, 0)))
</f>
        <v>#N/A</v>
      </c>
      <c r="X1056" s="111"/>
      <c r="Y1056" s="127" t="s">
        <v>139</v>
      </c>
      <c r="Z1056" s="111"/>
      <c r="AA1056" s="111"/>
      <c r="AB1056" s="111"/>
      <c r="AC1056" s="127" t="s">
        <v>165</v>
      </c>
      <c r="AD1056" s="127" t="s">
        <v>165</v>
      </c>
      <c r="AE1056" s="720">
        <v>126.0</v>
      </c>
      <c r="AF1056" s="127" t="s">
        <v>165</v>
      </c>
      <c r="AG1056" s="127" t="s">
        <v>165</v>
      </c>
      <c r="AH1056" s="127" t="s">
        <v>165</v>
      </c>
      <c r="AI1056" s="212" t="s">
        <v>165</v>
      </c>
      <c r="AJ1056" s="119"/>
      <c r="AK1056" s="112" t="s">
        <v>179</v>
      </c>
      <c r="AL1056" s="127" t="s">
        <v>821</v>
      </c>
      <c r="AM1056" s="1297" t="s">
        <v>165</v>
      </c>
      <c r="AN1056" s="720">
        <v>103.0</v>
      </c>
      <c r="AO1056" s="127" t="s">
        <v>165</v>
      </c>
      <c r="AP1056" s="111"/>
      <c r="AQ1056" s="1297" t="s">
        <v>6112</v>
      </c>
      <c r="AR1056" s="127" t="s">
        <v>165</v>
      </c>
      <c r="AS1056" s="111"/>
      <c r="AT1056" s="127" t="s">
        <v>179</v>
      </c>
      <c r="AU1056" s="127" t="s">
        <v>821</v>
      </c>
      <c r="AV1056" s="1298" t="s">
        <v>165</v>
      </c>
      <c r="AW1056" s="127" t="s">
        <v>134</v>
      </c>
      <c r="AY1056" s="1297" t="s">
        <v>6113</v>
      </c>
    </row>
    <row r="1057">
      <c r="A1057" s="115" t="s">
        <v>143</v>
      </c>
      <c r="B1057" s="41" t="s">
        <v>107</v>
      </c>
      <c r="C1057" s="41" t="s">
        <v>108</v>
      </c>
      <c r="D1057" s="340"/>
      <c r="E1057" s="1289" t="s">
        <v>6223</v>
      </c>
      <c r="F1057" s="1290" t="s">
        <v>6224</v>
      </c>
      <c r="G1057" s="1291" t="s">
        <v>6097</v>
      </c>
      <c r="H1057" s="1292">
        <v>45688.0</v>
      </c>
      <c r="I1057" s="1293">
        <v>45692.0</v>
      </c>
      <c r="J1057" s="1289"/>
      <c r="K1057" s="1289" t="s">
        <v>6099</v>
      </c>
      <c r="L1057" s="1291" t="s">
        <v>6225</v>
      </c>
      <c r="M1057" s="1291" t="s">
        <v>6226</v>
      </c>
      <c r="N1057" s="1294">
        <v>1.0</v>
      </c>
      <c r="O1057" s="1291" t="s">
        <v>6227</v>
      </c>
      <c r="P1057" s="48" t="str">
        <f t="array" ref="P1057">HYPERLINK(INDEX('File Links'!B:B, MATCH(O1057, 'File Links'!C:C, 0)))
</f>
        <v>https://drive.google.com/file/d/1rj178it8sQtHMyNzyb90GXfEk1Hk5YnN/view?usp=drivesdk</v>
      </c>
      <c r="Q1057" s="1291" t="s">
        <v>6103</v>
      </c>
      <c r="R1057" s="147" t="s">
        <v>6104</v>
      </c>
      <c r="S1057" s="134" t="s">
        <v>165</v>
      </c>
      <c r="T1057" s="134" t="s">
        <v>165</v>
      </c>
      <c r="U1057" s="1291" t="s">
        <v>6105</v>
      </c>
      <c r="V1057" s="127" t="s">
        <v>6117</v>
      </c>
      <c r="W1057" s="45" t="str">
        <f t="array" ref="W1057">HYPERLINK(INDEX('File Links'!B:B, MATCH(U1057, 'File Links'!C:C, 0)))
</f>
        <v>#N/A</v>
      </c>
      <c r="X1057" s="1289"/>
      <c r="Y1057" s="1291" t="s">
        <v>139</v>
      </c>
      <c r="Z1057" s="350" t="s">
        <v>165</v>
      </c>
      <c r="AA1057" s="1289" t="s">
        <v>6228</v>
      </c>
      <c r="AB1057" s="1291" t="s">
        <v>6229</v>
      </c>
      <c r="AC1057" s="1289" t="s">
        <v>6230</v>
      </c>
      <c r="AD1057" s="1289" t="s">
        <v>6148</v>
      </c>
      <c r="AE1057" s="1294">
        <v>20.0</v>
      </c>
      <c r="AF1057" s="1289" t="s">
        <v>6231</v>
      </c>
      <c r="AG1057" s="1289" t="s">
        <v>162</v>
      </c>
      <c r="AH1057" s="1289" t="s">
        <v>6232</v>
      </c>
      <c r="AI1057" s="1300">
        <v>0.05</v>
      </c>
      <c r="AJ1057" s="1296" t="s">
        <v>329</v>
      </c>
      <c r="AK1057" s="1296" t="s">
        <v>179</v>
      </c>
      <c r="AL1057" s="1289" t="s">
        <v>129</v>
      </c>
      <c r="AM1057" s="1297" t="s">
        <v>165</v>
      </c>
      <c r="AN1057" s="1294">
        <v>80.0</v>
      </c>
      <c r="AO1057" s="1316">
        <v>-0.009090909091</v>
      </c>
      <c r="AP1057" s="1289" t="s">
        <v>166</v>
      </c>
      <c r="AQ1057" s="1297" t="s">
        <v>6112</v>
      </c>
      <c r="AR1057" s="1316">
        <v>0.935803955360774</v>
      </c>
      <c r="AS1057" s="1289" t="s">
        <v>164</v>
      </c>
      <c r="AT1057" s="1289" t="s">
        <v>179</v>
      </c>
      <c r="AU1057" s="1289" t="s">
        <v>129</v>
      </c>
      <c r="AV1057" s="1298" t="s">
        <v>165</v>
      </c>
      <c r="AW1057" s="1289" t="s">
        <v>134</v>
      </c>
      <c r="AY1057" s="1297" t="s">
        <v>6113</v>
      </c>
    </row>
    <row r="1058">
      <c r="A1058" s="115" t="s">
        <v>106</v>
      </c>
      <c r="B1058" s="41" t="s">
        <v>107</v>
      </c>
      <c r="C1058" s="41" t="s">
        <v>243</v>
      </c>
      <c r="D1058" s="340"/>
      <c r="E1058" s="112" t="s">
        <v>6223</v>
      </c>
      <c r="F1058" s="116" t="s">
        <v>6224</v>
      </c>
      <c r="G1058" s="127" t="s">
        <v>244</v>
      </c>
      <c r="H1058" s="310">
        <v>45665.0</v>
      </c>
      <c r="I1058" s="1301">
        <v>45692.0</v>
      </c>
      <c r="J1058" s="111"/>
      <c r="K1058" s="111" t="s">
        <v>6099</v>
      </c>
      <c r="L1058" s="127" t="s">
        <v>6225</v>
      </c>
      <c r="M1058" s="127" t="s">
        <v>6226</v>
      </c>
      <c r="N1058" s="111"/>
      <c r="O1058" s="127" t="str">
        <f t="shared" ref="O1058:O1060" si="56"> SUBSTITUTE(lower(M1058), "/", "--") &amp;  ".pdf"</f>
        <v>10.1073--pnas.0908963106.pdf</v>
      </c>
      <c r="P1058" s="48" t="str">
        <f t="array" ref="P1058">HYPERLINK(INDEX('File Links'!B:B, MATCH(O1058, 'File Links'!C:C, 0)))
</f>
        <v>https://drive.google.com/file/d/1rj178it8sQtHMyNzyb90GXfEk1Hk5YnN/view?usp=drivesdk</v>
      </c>
      <c r="Q1058" s="127" t="s">
        <v>6233</v>
      </c>
      <c r="R1058" s="147" t="s">
        <v>6104</v>
      </c>
      <c r="S1058" s="134" t="s">
        <v>165</v>
      </c>
      <c r="T1058" s="134" t="s">
        <v>165</v>
      </c>
      <c r="U1058" s="127" t="s">
        <v>6105</v>
      </c>
      <c r="V1058" s="127" t="s">
        <v>6117</v>
      </c>
      <c r="W1058" s="45" t="str">
        <f t="array" ref="W1058">HYPERLINK(INDEX('File Links'!B:B, MATCH(U1058, 'File Links'!C:C, 0)))
</f>
        <v>#N/A</v>
      </c>
      <c r="X1058" s="111"/>
      <c r="Y1058" s="127" t="s">
        <v>139</v>
      </c>
      <c r="Z1058" s="111"/>
      <c r="AA1058" s="111"/>
      <c r="AB1058" s="111"/>
      <c r="AC1058" s="127" t="s">
        <v>6234</v>
      </c>
      <c r="AD1058" s="720">
        <v>21101.0</v>
      </c>
      <c r="AE1058" s="720">
        <v>20.0</v>
      </c>
      <c r="AF1058" s="720">
        <v>0.28</v>
      </c>
      <c r="AG1058" s="127" t="s">
        <v>166</v>
      </c>
      <c r="AH1058" s="127" t="s">
        <v>6235</v>
      </c>
      <c r="AI1058" s="120">
        <v>0.05</v>
      </c>
      <c r="AJ1058" s="112" t="s">
        <v>329</v>
      </c>
      <c r="AK1058" s="112" t="s">
        <v>179</v>
      </c>
      <c r="AL1058" s="127" t="s">
        <v>129</v>
      </c>
      <c r="AM1058" s="1297" t="s">
        <v>165</v>
      </c>
      <c r="AN1058" s="720">
        <v>80.0</v>
      </c>
      <c r="AO1058" s="720">
        <v>-0.00909090909090922</v>
      </c>
      <c r="AP1058" s="127" t="s">
        <v>166</v>
      </c>
      <c r="AQ1058" s="1297" t="s">
        <v>6112</v>
      </c>
      <c r="AR1058" s="1318">
        <v>0.935803955360774</v>
      </c>
      <c r="AS1058" s="127" t="s">
        <v>164</v>
      </c>
      <c r="AT1058" s="127" t="s">
        <v>179</v>
      </c>
      <c r="AU1058" s="127" t="s">
        <v>129</v>
      </c>
      <c r="AV1058" s="1298" t="s">
        <v>165</v>
      </c>
      <c r="AW1058" s="111"/>
      <c r="AY1058" s="1297" t="s">
        <v>6113</v>
      </c>
    </row>
    <row r="1059">
      <c r="A1059" s="115" t="s">
        <v>143</v>
      </c>
      <c r="B1059" s="41" t="s">
        <v>107</v>
      </c>
      <c r="C1059" s="41" t="s">
        <v>108</v>
      </c>
      <c r="D1059" s="340"/>
      <c r="E1059" s="1289" t="s">
        <v>6236</v>
      </c>
      <c r="F1059" s="1290" t="s">
        <v>6237</v>
      </c>
      <c r="G1059" s="1291" t="s">
        <v>6097</v>
      </c>
      <c r="H1059" s="1292">
        <v>45688.0</v>
      </c>
      <c r="I1059" s="1293">
        <v>45692.0</v>
      </c>
      <c r="J1059" s="1289"/>
      <c r="K1059" s="1289" t="s">
        <v>6099</v>
      </c>
      <c r="L1059" s="1291" t="s">
        <v>6238</v>
      </c>
      <c r="M1059" s="1289" t="s">
        <v>6239</v>
      </c>
      <c r="N1059" s="1294">
        <v>7.0</v>
      </c>
      <c r="O1059" s="127" t="str">
        <f t="shared" si="56"/>
        <v>10.1037--0022-3514.94.3.495.pdf</v>
      </c>
      <c r="P1059" s="48" t="str">
        <f t="array" ref="P1059">HYPERLINK(INDEX('File Links'!B:B, MATCH(O1059, 'File Links'!C:C, 0)))
</f>
        <v>https://drive.google.com/file/d/1sVDcE0S8Au1V2yPyjhNJC-dbCas3mbhd/view?usp=drivesdk</v>
      </c>
      <c r="Q1059" s="1291" t="s">
        <v>6103</v>
      </c>
      <c r="R1059" s="147" t="s">
        <v>6104</v>
      </c>
      <c r="S1059" s="134" t="s">
        <v>165</v>
      </c>
      <c r="T1059" s="134" t="s">
        <v>165</v>
      </c>
      <c r="U1059" s="1291" t="s">
        <v>6105</v>
      </c>
      <c r="V1059" s="127" t="s">
        <v>6117</v>
      </c>
      <c r="W1059" s="45" t="str">
        <f t="array" ref="W1059">HYPERLINK(INDEX('File Links'!B:B, MATCH(U1059, 'File Links'!C:C, 0)))
</f>
        <v>#N/A</v>
      </c>
      <c r="X1059" s="1289"/>
      <c r="Y1059" s="1291" t="s">
        <v>220</v>
      </c>
      <c r="Z1059" s="350" t="s">
        <v>165</v>
      </c>
      <c r="AA1059" s="1289" t="s">
        <v>6240</v>
      </c>
      <c r="AB1059" s="1291" t="s">
        <v>6241</v>
      </c>
      <c r="AC1059" s="1289" t="s">
        <v>6242</v>
      </c>
      <c r="AD1059" s="1316">
        <v>17.0</v>
      </c>
      <c r="AE1059" s="1294">
        <v>155.0</v>
      </c>
      <c r="AF1059" s="1289" t="s">
        <v>6243</v>
      </c>
      <c r="AG1059" s="1289" t="s">
        <v>162</v>
      </c>
      <c r="AH1059" s="1289" t="s">
        <v>6244</v>
      </c>
      <c r="AI1059" s="1300">
        <v>0.01</v>
      </c>
      <c r="AJ1059" s="1296" t="s">
        <v>127</v>
      </c>
      <c r="AK1059" s="1296" t="s">
        <v>179</v>
      </c>
      <c r="AL1059" s="1289" t="s">
        <v>129</v>
      </c>
      <c r="AM1059" s="1297" t="s">
        <v>165</v>
      </c>
      <c r="AN1059" s="1294">
        <v>135.0</v>
      </c>
      <c r="AO1059" s="1289" t="s">
        <v>6245</v>
      </c>
      <c r="AP1059" s="1289" t="s">
        <v>162</v>
      </c>
      <c r="AQ1059" s="1297" t="s">
        <v>6112</v>
      </c>
      <c r="AR1059" s="1316">
        <v>0.8934787321</v>
      </c>
      <c r="AS1059" s="1289" t="s">
        <v>164</v>
      </c>
      <c r="AT1059" s="1289" t="s">
        <v>179</v>
      </c>
      <c r="AU1059" s="1289" t="s">
        <v>129</v>
      </c>
      <c r="AV1059" s="1298" t="s">
        <v>165</v>
      </c>
      <c r="AW1059" s="1289" t="s">
        <v>134</v>
      </c>
      <c r="AY1059" s="1297" t="s">
        <v>6113</v>
      </c>
    </row>
    <row r="1060">
      <c r="A1060" s="115" t="s">
        <v>106</v>
      </c>
      <c r="B1060" s="41" t="s">
        <v>107</v>
      </c>
      <c r="C1060" s="41" t="s">
        <v>243</v>
      </c>
      <c r="D1060" s="340"/>
      <c r="E1060" s="112" t="s">
        <v>6236</v>
      </c>
      <c r="F1060" s="116" t="s">
        <v>6237</v>
      </c>
      <c r="G1060" s="127" t="s">
        <v>244</v>
      </c>
      <c r="H1060" s="310">
        <v>45665.0</v>
      </c>
      <c r="I1060" s="1301">
        <v>45692.0</v>
      </c>
      <c r="J1060" s="111"/>
      <c r="K1060" s="111" t="s">
        <v>6099</v>
      </c>
      <c r="L1060" s="127" t="s">
        <v>6238</v>
      </c>
      <c r="M1060" s="127" t="s">
        <v>6239</v>
      </c>
      <c r="N1060" s="111"/>
      <c r="O1060" s="127" t="str">
        <f t="shared" si="56"/>
        <v>10.1037--0022-3514.94.3.495.pdf</v>
      </c>
      <c r="P1060" s="48" t="str">
        <f t="array" ref="P1060">HYPERLINK(INDEX('File Links'!B:B, MATCH(O1060, 'File Links'!C:C, 0)))
</f>
        <v>https://drive.google.com/file/d/1sVDcE0S8Au1V2yPyjhNJC-dbCas3mbhd/view?usp=drivesdk</v>
      </c>
      <c r="Q1060" s="127" t="s">
        <v>6246</v>
      </c>
      <c r="R1060" s="147" t="s">
        <v>6104</v>
      </c>
      <c r="S1060" s="134" t="s">
        <v>165</v>
      </c>
      <c r="T1060" s="134" t="s">
        <v>165</v>
      </c>
      <c r="U1060" s="127" t="s">
        <v>6105</v>
      </c>
      <c r="V1060" s="127" t="s">
        <v>6117</v>
      </c>
      <c r="W1060" s="45" t="str">
        <f t="array" ref="W1060">HYPERLINK(INDEX('File Links'!B:B, MATCH(U1060, 'File Links'!C:C, 0)))
</f>
        <v>#N/A</v>
      </c>
      <c r="X1060" s="111"/>
      <c r="Y1060" s="127" t="s">
        <v>220</v>
      </c>
      <c r="Z1060" s="127" t="s">
        <v>6247</v>
      </c>
      <c r="AA1060" s="127" t="s">
        <v>6248</v>
      </c>
      <c r="AB1060" s="127" t="s">
        <v>6249</v>
      </c>
      <c r="AC1060" s="127" t="s">
        <v>6250</v>
      </c>
      <c r="AD1060" s="720">
        <v>510.0</v>
      </c>
      <c r="AE1060" s="720">
        <v>155.0</v>
      </c>
      <c r="AF1060" s="720">
        <v>9.4</v>
      </c>
      <c r="AG1060" s="127" t="s">
        <v>1051</v>
      </c>
      <c r="AH1060" s="127" t="s">
        <v>6251</v>
      </c>
      <c r="AI1060" s="120">
        <v>0.01</v>
      </c>
      <c r="AJ1060" s="112" t="s">
        <v>127</v>
      </c>
      <c r="AK1060" s="112" t="s">
        <v>128</v>
      </c>
      <c r="AL1060" s="127" t="s">
        <v>132</v>
      </c>
      <c r="AM1060" s="1297" t="s">
        <v>165</v>
      </c>
      <c r="AN1060" s="720">
        <v>135.0</v>
      </c>
      <c r="AO1060" s="720">
        <v>0.018</v>
      </c>
      <c r="AP1060" s="127" t="s">
        <v>1051</v>
      </c>
      <c r="AQ1060" s="1297" t="s">
        <v>6112</v>
      </c>
      <c r="AR1060" s="720">
        <v>0.893478732094815</v>
      </c>
      <c r="AS1060" s="127" t="s">
        <v>164</v>
      </c>
      <c r="AT1060" s="127" t="s">
        <v>128</v>
      </c>
      <c r="AU1060" s="127" t="s">
        <v>132</v>
      </c>
      <c r="AV1060" s="1298" t="s">
        <v>165</v>
      </c>
      <c r="AW1060" s="127" t="s">
        <v>134</v>
      </c>
      <c r="AY1060" s="1297" t="s">
        <v>6113</v>
      </c>
    </row>
    <row r="1061">
      <c r="A1061" s="115" t="s">
        <v>143</v>
      </c>
      <c r="B1061" s="41" t="s">
        <v>107</v>
      </c>
      <c r="C1061" s="41" t="s">
        <v>108</v>
      </c>
      <c r="D1061" s="340"/>
      <c r="E1061" s="1289" t="s">
        <v>6252</v>
      </c>
      <c r="F1061" s="1290" t="s">
        <v>6253</v>
      </c>
      <c r="G1061" s="1291" t="s">
        <v>6097</v>
      </c>
      <c r="H1061" s="1292">
        <v>45688.0</v>
      </c>
      <c r="I1061" s="1293">
        <v>45692.0</v>
      </c>
      <c r="J1061" s="1289"/>
      <c r="K1061" s="1289" t="s">
        <v>6099</v>
      </c>
      <c r="L1061" s="1291" t="s">
        <v>6254</v>
      </c>
      <c r="M1061" s="1291" t="s">
        <v>6255</v>
      </c>
      <c r="N1061" s="1294">
        <v>3.0</v>
      </c>
      <c r="O1061" s="1291" t="s">
        <v>6256</v>
      </c>
      <c r="P1061" s="48" t="str">
        <f t="array" ref="P1061">HYPERLINK(INDEX('File Links'!B:B, MATCH(O1061, 'File Links'!C:C, 0)))
</f>
        <v>https://drive.google.com/file/d/1v5J8Cnv26X6sTt4VLBH9e2mvCWSnQGm4/view?usp=drivesdk</v>
      </c>
      <c r="Q1061" s="1291" t="s">
        <v>6103</v>
      </c>
      <c r="R1061" s="147" t="s">
        <v>6104</v>
      </c>
      <c r="S1061" s="134" t="s">
        <v>165</v>
      </c>
      <c r="T1061" s="134" t="s">
        <v>165</v>
      </c>
      <c r="U1061" s="1291" t="s">
        <v>6105</v>
      </c>
      <c r="V1061" s="127" t="s">
        <v>6117</v>
      </c>
      <c r="W1061" s="45" t="str">
        <f t="array" ref="W1061">HYPERLINK(INDEX('File Links'!B:B, MATCH(U1061, 'File Links'!C:C, 0)))
</f>
        <v>#N/A</v>
      </c>
      <c r="X1061" s="1289"/>
      <c r="Y1061" s="1291" t="s">
        <v>220</v>
      </c>
      <c r="Z1061" s="350" t="s">
        <v>165</v>
      </c>
      <c r="AA1061" s="1289" t="s">
        <v>6257</v>
      </c>
      <c r="AB1061" s="1291" t="s">
        <v>6258</v>
      </c>
      <c r="AC1061" s="1289" t="s">
        <v>6259</v>
      </c>
      <c r="AD1061" s="1289" t="s">
        <v>6260</v>
      </c>
      <c r="AE1061" s="1294">
        <v>308.0</v>
      </c>
      <c r="AF1061" s="1289" t="s">
        <v>6261</v>
      </c>
      <c r="AG1061" s="1289" t="s">
        <v>162</v>
      </c>
      <c r="AH1061" s="1289" t="s">
        <v>892</v>
      </c>
      <c r="AI1061" s="1300">
        <v>0.001</v>
      </c>
      <c r="AJ1061" s="1296" t="s">
        <v>127</v>
      </c>
      <c r="AK1061" s="1296" t="s">
        <v>179</v>
      </c>
      <c r="AL1061" s="1289" t="s">
        <v>129</v>
      </c>
      <c r="AM1061" s="1297" t="s">
        <v>165</v>
      </c>
      <c r="AN1061" s="1294">
        <v>68.0</v>
      </c>
      <c r="AO1061" s="1316">
        <v>-0.496477592646435</v>
      </c>
      <c r="AP1061" s="1289" t="s">
        <v>166</v>
      </c>
      <c r="AQ1061" s="1297" t="s">
        <v>6112</v>
      </c>
      <c r="AR1061" s="1316">
        <v>0.124705614184336</v>
      </c>
      <c r="AS1061" s="1289" t="s">
        <v>164</v>
      </c>
      <c r="AT1061" s="1289" t="s">
        <v>179</v>
      </c>
      <c r="AU1061" s="1289" t="s">
        <v>129</v>
      </c>
      <c r="AV1061" s="1298" t="s">
        <v>165</v>
      </c>
      <c r="AW1061" s="1289" t="s">
        <v>134</v>
      </c>
      <c r="AY1061" s="1297" t="s">
        <v>6113</v>
      </c>
    </row>
    <row r="1062">
      <c r="A1062" s="115" t="s">
        <v>143</v>
      </c>
      <c r="B1062" s="41" t="s">
        <v>107</v>
      </c>
      <c r="C1062" s="41" t="s">
        <v>108</v>
      </c>
      <c r="D1062" s="340"/>
      <c r="E1062" s="1289" t="s">
        <v>6252</v>
      </c>
      <c r="F1062" s="1290" t="s">
        <v>6262</v>
      </c>
      <c r="G1062" s="1291" t="s">
        <v>6097</v>
      </c>
      <c r="H1062" s="1292">
        <v>45688.0</v>
      </c>
      <c r="I1062" s="1293">
        <v>45692.0</v>
      </c>
      <c r="J1062" s="1289"/>
      <c r="K1062" s="1289" t="s">
        <v>6099</v>
      </c>
      <c r="L1062" s="1291" t="s">
        <v>6254</v>
      </c>
      <c r="M1062" s="1291" t="s">
        <v>6255</v>
      </c>
      <c r="N1062" s="1294">
        <v>3.0</v>
      </c>
      <c r="O1062" s="1291" t="s">
        <v>6256</v>
      </c>
      <c r="P1062" s="48" t="str">
        <f t="array" ref="P1062">HYPERLINK(INDEX('File Links'!B:B, MATCH(O1062, 'File Links'!C:C, 0)))
</f>
        <v>https://drive.google.com/file/d/1v5J8Cnv26X6sTt4VLBH9e2mvCWSnQGm4/view?usp=drivesdk</v>
      </c>
      <c r="Q1062" s="1291" t="s">
        <v>6103</v>
      </c>
      <c r="R1062" s="147" t="s">
        <v>6104</v>
      </c>
      <c r="S1062" s="134" t="s">
        <v>165</v>
      </c>
      <c r="T1062" s="134" t="s">
        <v>165</v>
      </c>
      <c r="U1062" s="1291" t="s">
        <v>6105</v>
      </c>
      <c r="V1062" s="127" t="s">
        <v>6117</v>
      </c>
      <c r="W1062" s="45" t="str">
        <f t="array" ref="W1062">HYPERLINK(INDEX('File Links'!B:B, MATCH(U1062, 'File Links'!C:C, 0)))
</f>
        <v>#N/A</v>
      </c>
      <c r="X1062" s="1289"/>
      <c r="Y1062" s="1291" t="s">
        <v>220</v>
      </c>
      <c r="Z1062" s="350" t="s">
        <v>165</v>
      </c>
      <c r="AA1062" s="1289" t="s">
        <v>6257</v>
      </c>
      <c r="AB1062" s="1291" t="s">
        <v>6263</v>
      </c>
      <c r="AC1062" s="1289" t="s">
        <v>6264</v>
      </c>
      <c r="AD1062" s="1289" t="s">
        <v>6260</v>
      </c>
      <c r="AE1062" s="1294">
        <v>308.0</v>
      </c>
      <c r="AF1062" s="1289" t="s">
        <v>6265</v>
      </c>
      <c r="AG1062" s="1289" t="s">
        <v>162</v>
      </c>
      <c r="AH1062" s="1289" t="s">
        <v>892</v>
      </c>
      <c r="AI1062" s="1300">
        <v>0.05</v>
      </c>
      <c r="AJ1062" s="1296" t="s">
        <v>127</v>
      </c>
      <c r="AK1062" s="1296" t="s">
        <v>179</v>
      </c>
      <c r="AL1062" s="1289" t="s">
        <v>129</v>
      </c>
      <c r="AM1062" s="1297" t="s">
        <v>165</v>
      </c>
      <c r="AN1062" s="1294">
        <v>68.0</v>
      </c>
      <c r="AO1062" s="1316">
        <v>-0.496477592646435</v>
      </c>
      <c r="AP1062" s="1289" t="s">
        <v>166</v>
      </c>
      <c r="AQ1062" s="1297" t="s">
        <v>6112</v>
      </c>
      <c r="AR1062" s="1316">
        <v>0.124705614184336</v>
      </c>
      <c r="AS1062" s="1289" t="s">
        <v>164</v>
      </c>
      <c r="AT1062" s="1289" t="s">
        <v>179</v>
      </c>
      <c r="AU1062" s="1289" t="s">
        <v>129</v>
      </c>
      <c r="AV1062" s="1298" t="s">
        <v>165</v>
      </c>
      <c r="AW1062" s="1289" t="s">
        <v>134</v>
      </c>
      <c r="AY1062" s="1297" t="s">
        <v>6113</v>
      </c>
    </row>
    <row r="1063">
      <c r="A1063" s="115" t="s">
        <v>106</v>
      </c>
      <c r="B1063" s="41" t="s">
        <v>107</v>
      </c>
      <c r="C1063" s="41" t="s">
        <v>243</v>
      </c>
      <c r="D1063" s="340"/>
      <c r="E1063" s="112" t="s">
        <v>6252</v>
      </c>
      <c r="F1063" s="116" t="s">
        <v>6253</v>
      </c>
      <c r="G1063" s="127" t="s">
        <v>244</v>
      </c>
      <c r="H1063" s="310">
        <v>45665.0</v>
      </c>
      <c r="I1063" s="1301">
        <v>45692.0</v>
      </c>
      <c r="J1063" s="111"/>
      <c r="K1063" s="111" t="s">
        <v>6099</v>
      </c>
      <c r="L1063" s="127" t="s">
        <v>6254</v>
      </c>
      <c r="M1063" s="127" t="s">
        <v>6255</v>
      </c>
      <c r="N1063" s="111"/>
      <c r="O1063" s="127" t="str">
        <f t="shared" ref="O1063:O1065" si="57"> SUBSTITUTE(lower(M1063), "/", "--") &amp;  ".pdf"</f>
        <v>10.1177--0956797612449177.pdf</v>
      </c>
      <c r="P1063" s="48" t="str">
        <f t="array" ref="P1063">HYPERLINK(INDEX('File Links'!B:B, MATCH(O1063, 'File Links'!C:C, 0)))
</f>
        <v>https://drive.google.com/file/d/1v5J8Cnv26X6sTt4VLBH9e2mvCWSnQGm4/view?usp=drivesdk</v>
      </c>
      <c r="Q1063" s="127" t="s">
        <v>6266</v>
      </c>
      <c r="R1063" s="147" t="s">
        <v>6104</v>
      </c>
      <c r="S1063" s="134" t="s">
        <v>165</v>
      </c>
      <c r="T1063" s="134" t="s">
        <v>165</v>
      </c>
      <c r="U1063" s="127" t="s">
        <v>6105</v>
      </c>
      <c r="V1063" s="127" t="s">
        <v>6117</v>
      </c>
      <c r="W1063" s="45" t="str">
        <f t="array" ref="W1063">HYPERLINK(INDEX('File Links'!B:B, MATCH(U1063, 'File Links'!C:C, 0)))
</f>
        <v>#N/A</v>
      </c>
      <c r="X1063" s="111"/>
      <c r="Y1063" s="127" t="s">
        <v>220</v>
      </c>
      <c r="Z1063" s="111"/>
      <c r="AA1063" s="127" t="s">
        <v>6267</v>
      </c>
      <c r="AB1063" s="111"/>
      <c r="AC1063" s="127" t="s">
        <v>6268</v>
      </c>
      <c r="AD1063" s="720">
        <v>62.0</v>
      </c>
      <c r="AE1063" s="720">
        <v>308.0</v>
      </c>
      <c r="AF1063" s="127" t="s">
        <v>165</v>
      </c>
      <c r="AG1063" s="127" t="s">
        <v>165</v>
      </c>
      <c r="AH1063" s="127" t="s">
        <v>6269</v>
      </c>
      <c r="AI1063" s="120">
        <v>0.05</v>
      </c>
      <c r="AJ1063" s="112" t="s">
        <v>1313</v>
      </c>
      <c r="AK1063" s="112" t="s">
        <v>179</v>
      </c>
      <c r="AL1063" s="127" t="s">
        <v>821</v>
      </c>
      <c r="AM1063" s="1297" t="s">
        <v>165</v>
      </c>
      <c r="AN1063" s="720">
        <v>68.0</v>
      </c>
      <c r="AO1063" s="720">
        <v>-0.496477592646435</v>
      </c>
      <c r="AP1063" s="127" t="s">
        <v>166</v>
      </c>
      <c r="AQ1063" s="1297" t="s">
        <v>6112</v>
      </c>
      <c r="AR1063" s="720">
        <v>0.124705614184336</v>
      </c>
      <c r="AS1063" s="127" t="s">
        <v>164</v>
      </c>
      <c r="AT1063" s="127" t="s">
        <v>179</v>
      </c>
      <c r="AU1063" s="127" t="s">
        <v>821</v>
      </c>
      <c r="AV1063" s="1298" t="s">
        <v>165</v>
      </c>
      <c r="AW1063" s="127" t="s">
        <v>134</v>
      </c>
      <c r="AY1063" s="1297" t="s">
        <v>6113</v>
      </c>
    </row>
    <row r="1064">
      <c r="A1064" s="115" t="s">
        <v>143</v>
      </c>
      <c r="B1064" s="41" t="s">
        <v>107</v>
      </c>
      <c r="C1064" s="41" t="s">
        <v>108</v>
      </c>
      <c r="D1064" s="340"/>
      <c r="E1064" s="1289" t="s">
        <v>6270</v>
      </c>
      <c r="F1064" s="1290" t="s">
        <v>6271</v>
      </c>
      <c r="G1064" s="1291" t="s">
        <v>6097</v>
      </c>
      <c r="H1064" s="1292">
        <v>45688.0</v>
      </c>
      <c r="I1064" s="1293">
        <v>45692.0</v>
      </c>
      <c r="J1064" s="1289"/>
      <c r="K1064" s="1297" t="s">
        <v>6272</v>
      </c>
      <c r="L1064" s="1291" t="s">
        <v>6273</v>
      </c>
      <c r="M1064" s="1289" t="s">
        <v>6274</v>
      </c>
      <c r="N1064" s="1294">
        <v>4.0</v>
      </c>
      <c r="O1064" s="127" t="str">
        <f t="shared" si="57"/>
        <v>10.1037--0022-3514.94.2.94.2.231.pdf</v>
      </c>
      <c r="P1064" s="48" t="str">
        <f t="array" ref="P1064">HYPERLINK(INDEX('File Links'!B:B, MATCH(O1064, 'File Links'!C:C, 0)))
</f>
        <v>https://drive.google.com/file/d/15DQQpECVr9NdJZ7O7RNWRdNwXQ6KQeXe/view?usp=drivesdk</v>
      </c>
      <c r="Q1064" s="1291" t="s">
        <v>6103</v>
      </c>
      <c r="R1064" s="1319" t="s">
        <v>6104</v>
      </c>
      <c r="S1064" s="134" t="s">
        <v>165</v>
      </c>
      <c r="T1064" s="134" t="s">
        <v>165</v>
      </c>
      <c r="U1064" s="1291" t="s">
        <v>6105</v>
      </c>
      <c r="V1064" s="127" t="s">
        <v>318</v>
      </c>
      <c r="W1064" s="45" t="str">
        <f t="array" ref="W1064">HYPERLINK(INDEX('File Links'!B:B, MATCH(U1064, 'File Links'!C:C, 0)))
</f>
        <v>#N/A</v>
      </c>
      <c r="X1064" s="1289"/>
      <c r="Y1064" s="1291" t="s">
        <v>220</v>
      </c>
      <c r="Z1064" s="350" t="s">
        <v>165</v>
      </c>
      <c r="AA1064" s="1289" t="s">
        <v>6275</v>
      </c>
      <c r="AB1064" s="1291" t="s">
        <v>6276</v>
      </c>
      <c r="AC1064" s="1289" t="s">
        <v>6277</v>
      </c>
      <c r="AD1064" s="1316">
        <v>11.0</v>
      </c>
      <c r="AE1064" s="1294">
        <v>155.0</v>
      </c>
      <c r="AF1064" s="1289" t="s">
        <v>6278</v>
      </c>
      <c r="AG1064" s="1289" t="s">
        <v>162</v>
      </c>
      <c r="AH1064" s="1289" t="s">
        <v>299</v>
      </c>
      <c r="AI1064" s="1300">
        <v>0.05</v>
      </c>
      <c r="AJ1064" s="1296" t="s">
        <v>164</v>
      </c>
      <c r="AK1064" s="1296" t="s">
        <v>179</v>
      </c>
      <c r="AL1064" s="1289" t="s">
        <v>129</v>
      </c>
      <c r="AM1064" s="1297" t="s">
        <v>165</v>
      </c>
      <c r="AN1064" s="1294">
        <v>215.0</v>
      </c>
      <c r="AO1064" s="1289" t="s">
        <v>6279</v>
      </c>
      <c r="AP1064" s="1289" t="s">
        <v>162</v>
      </c>
      <c r="AQ1064" s="1297" t="s">
        <v>6112</v>
      </c>
      <c r="AR1064" s="350" t="s">
        <v>165</v>
      </c>
      <c r="AS1064" s="128" t="s">
        <v>165</v>
      </c>
      <c r="AT1064" s="1289" t="s">
        <v>179</v>
      </c>
      <c r="AU1064" s="1289" t="s">
        <v>129</v>
      </c>
      <c r="AV1064" s="1298" t="s">
        <v>165</v>
      </c>
      <c r="AW1064" s="1289" t="s">
        <v>134</v>
      </c>
      <c r="AY1064" s="1297" t="s">
        <v>6113</v>
      </c>
    </row>
    <row r="1065">
      <c r="A1065" s="115" t="s">
        <v>106</v>
      </c>
      <c r="B1065" s="41" t="s">
        <v>107</v>
      </c>
      <c r="C1065" s="41" t="s">
        <v>243</v>
      </c>
      <c r="D1065" s="340"/>
      <c r="E1065" s="112" t="s">
        <v>6270</v>
      </c>
      <c r="F1065" s="116" t="s">
        <v>6271</v>
      </c>
      <c r="G1065" s="127" t="s">
        <v>244</v>
      </c>
      <c r="H1065" s="310">
        <v>45665.0</v>
      </c>
      <c r="I1065" s="1301">
        <v>45692.0</v>
      </c>
      <c r="J1065" s="606" t="s">
        <v>6280</v>
      </c>
      <c r="K1065" s="111" t="s">
        <v>6281</v>
      </c>
      <c r="L1065" s="127" t="s">
        <v>6273</v>
      </c>
      <c r="M1065" s="127" t="s">
        <v>6274</v>
      </c>
      <c r="N1065" s="111"/>
      <c r="O1065" s="127" t="str">
        <f t="shared" si="57"/>
        <v>10.1037--0022-3514.94.2.94.2.231.pdf</v>
      </c>
      <c r="P1065" s="48" t="str">
        <f t="array" ref="P1065">HYPERLINK(INDEX('File Links'!B:B, MATCH(O1065, 'File Links'!C:C, 0)))
</f>
        <v>https://drive.google.com/file/d/15DQQpECVr9NdJZ7O7RNWRdNwXQ6KQeXe/view?usp=drivesdk</v>
      </c>
      <c r="Q1065" s="127" t="s">
        <v>6282</v>
      </c>
      <c r="R1065" s="147" t="s">
        <v>6104</v>
      </c>
      <c r="S1065" s="134" t="s">
        <v>165</v>
      </c>
      <c r="T1065" s="134" t="s">
        <v>165</v>
      </c>
      <c r="U1065" s="127" t="s">
        <v>6105</v>
      </c>
      <c r="V1065" s="127" t="s">
        <v>318</v>
      </c>
      <c r="W1065" s="45" t="str">
        <f t="array" ref="W1065">HYPERLINK(INDEX('File Links'!B:B, MATCH(U1065, 'File Links'!C:C, 0)))
</f>
        <v>#N/A</v>
      </c>
      <c r="X1065" s="111"/>
      <c r="Y1065" s="127" t="s">
        <v>220</v>
      </c>
      <c r="Z1065" s="111"/>
      <c r="AA1065" s="127" t="s">
        <v>6283</v>
      </c>
      <c r="AB1065" s="111"/>
      <c r="AC1065" s="127" t="s">
        <v>6284</v>
      </c>
      <c r="AD1065" s="720">
        <v>241.0</v>
      </c>
      <c r="AE1065" s="720">
        <v>155.0</v>
      </c>
      <c r="AF1065" s="127" t="s">
        <v>165</v>
      </c>
      <c r="AG1065" s="127" t="s">
        <v>165</v>
      </c>
      <c r="AH1065" s="127" t="s">
        <v>165</v>
      </c>
      <c r="AI1065" s="212" t="s">
        <v>165</v>
      </c>
      <c r="AJ1065" s="112" t="s">
        <v>164</v>
      </c>
      <c r="AK1065" s="112" t="s">
        <v>179</v>
      </c>
      <c r="AL1065" s="127" t="s">
        <v>821</v>
      </c>
      <c r="AM1065" s="1297" t="s">
        <v>165</v>
      </c>
      <c r="AN1065" s="720">
        <v>215.0</v>
      </c>
      <c r="AO1065" s="127" t="s">
        <v>165</v>
      </c>
      <c r="AP1065" s="111"/>
      <c r="AQ1065" s="1297" t="s">
        <v>6112</v>
      </c>
      <c r="AR1065" s="127" t="s">
        <v>165</v>
      </c>
      <c r="AS1065" s="111"/>
      <c r="AT1065" s="127" t="s">
        <v>179</v>
      </c>
      <c r="AU1065" s="127" t="s">
        <v>821</v>
      </c>
      <c r="AV1065" s="1298" t="s">
        <v>165</v>
      </c>
      <c r="AW1065" s="127" t="s">
        <v>134</v>
      </c>
      <c r="AY1065" s="1297" t="s">
        <v>6113</v>
      </c>
    </row>
    <row r="1066">
      <c r="A1066" s="60" t="s">
        <v>106</v>
      </c>
      <c r="B1066" s="41" t="s">
        <v>107</v>
      </c>
      <c r="C1066" s="41" t="s">
        <v>108</v>
      </c>
      <c r="D1066" s="340"/>
      <c r="E1066" s="1289" t="s">
        <v>6285</v>
      </c>
      <c r="F1066" s="1290" t="s">
        <v>6286</v>
      </c>
      <c r="G1066" s="1291" t="s">
        <v>6097</v>
      </c>
      <c r="H1066" s="1292">
        <v>45688.0</v>
      </c>
      <c r="I1066" s="1293">
        <v>45692.0</v>
      </c>
      <c r="J1066" s="1289"/>
      <c r="K1066" s="1289" t="s">
        <v>6099</v>
      </c>
      <c r="L1066" s="1291" t="s">
        <v>6287</v>
      </c>
      <c r="M1066" s="1291" t="s">
        <v>6288</v>
      </c>
      <c r="N1066" s="1291" t="s">
        <v>3787</v>
      </c>
      <c r="O1066" s="1291" t="s">
        <v>6289</v>
      </c>
      <c r="P1066" s="48" t="str">
        <f t="array" ref="P1066">HYPERLINK(INDEX('File Links'!B:B, MATCH(O1066, 'File Links'!C:C, 0)))
</f>
        <v>https://drive.google.com/file/d/1tE6_KVQyfFVpIfIuz7dnWR1i8_me3TIT/view?usp=drivesdk</v>
      </c>
      <c r="Q1066" s="1291" t="s">
        <v>6103</v>
      </c>
      <c r="R1066" s="147" t="s">
        <v>6104</v>
      </c>
      <c r="S1066" s="1320" t="s">
        <v>6290</v>
      </c>
      <c r="T1066" s="134" t="s">
        <v>165</v>
      </c>
      <c r="U1066" s="1291" t="s">
        <v>6105</v>
      </c>
      <c r="V1066" s="127" t="s">
        <v>6291</v>
      </c>
      <c r="W1066" s="45" t="str">
        <f t="array" ref="W1066">HYPERLINK(INDEX('File Links'!B:B, MATCH(U1066, 'File Links'!C:C, 0)))
</f>
        <v>#N/A</v>
      </c>
      <c r="X1066" s="1289"/>
      <c r="Y1066" s="1291" t="s">
        <v>220</v>
      </c>
      <c r="Z1066" s="1289" t="s">
        <v>768</v>
      </c>
      <c r="AA1066" s="1289" t="s">
        <v>6292</v>
      </c>
      <c r="AB1066" s="1291" t="s">
        <v>6293</v>
      </c>
      <c r="AC1066" s="1289" t="s">
        <v>768</v>
      </c>
      <c r="AD1066" s="1289" t="s">
        <v>768</v>
      </c>
      <c r="AE1066" s="1294">
        <v>202.0</v>
      </c>
      <c r="AF1066" s="1294">
        <v>1.84377344</v>
      </c>
      <c r="AG1066" s="1291" t="s">
        <v>166</v>
      </c>
      <c r="AH1066" s="1289" t="s">
        <v>768</v>
      </c>
      <c r="AI1066" s="1321">
        <v>1.37237492094605E-28</v>
      </c>
      <c r="AJ1066" s="1296" t="s">
        <v>164</v>
      </c>
      <c r="AK1066" s="1296" t="s">
        <v>179</v>
      </c>
      <c r="AL1066" s="1289" t="s">
        <v>129</v>
      </c>
      <c r="AM1066" s="1297" t="s">
        <v>165</v>
      </c>
      <c r="AN1066" s="1294">
        <v>53.0</v>
      </c>
      <c r="AO1066" s="1294">
        <v>1.711971789</v>
      </c>
      <c r="AP1066" s="1291" t="s">
        <v>166</v>
      </c>
      <c r="AQ1066" s="1297" t="s">
        <v>6112</v>
      </c>
      <c r="AR1066" s="1321">
        <v>1.56719549264669E-7</v>
      </c>
      <c r="AS1066" s="1289" t="s">
        <v>164</v>
      </c>
      <c r="AT1066" s="1289" t="s">
        <v>179</v>
      </c>
      <c r="AU1066" s="1289" t="s">
        <v>129</v>
      </c>
      <c r="AV1066" s="1298" t="s">
        <v>165</v>
      </c>
      <c r="AW1066" s="1289" t="s">
        <v>134</v>
      </c>
      <c r="AY1066" s="1297" t="s">
        <v>6113</v>
      </c>
    </row>
    <row r="1067">
      <c r="A1067" s="115" t="s">
        <v>143</v>
      </c>
      <c r="B1067" s="41" t="s">
        <v>107</v>
      </c>
      <c r="C1067" s="41" t="s">
        <v>243</v>
      </c>
      <c r="D1067" s="340"/>
      <c r="E1067" s="112" t="s">
        <v>6285</v>
      </c>
      <c r="F1067" s="116" t="s">
        <v>6286</v>
      </c>
      <c r="G1067" s="127" t="s">
        <v>244</v>
      </c>
      <c r="H1067" s="310">
        <v>45663.0</v>
      </c>
      <c r="I1067" s="1301">
        <v>45692.0</v>
      </c>
      <c r="J1067" s="111"/>
      <c r="K1067" s="111" t="s">
        <v>6099</v>
      </c>
      <c r="L1067" s="127" t="s">
        <v>6287</v>
      </c>
      <c r="M1067" s="127" t="s">
        <v>6288</v>
      </c>
      <c r="N1067" s="111"/>
      <c r="O1067" s="127" t="str">
        <f t="shared" ref="O1067:O1075" si="58"> SUBSTITUTE(lower(M1067), "/", "--") &amp;  ".pdf"</f>
        <v>10.1177--0956797615588195.pdf</v>
      </c>
      <c r="P1067" s="48" t="str">
        <f t="array" ref="P1067">HYPERLINK(INDEX('File Links'!B:B, MATCH(O1067, 'File Links'!C:C, 0)))
</f>
        <v>https://drive.google.com/file/d/1tE6_KVQyfFVpIfIuz7dnWR1i8_me3TIT/view?usp=drivesdk</v>
      </c>
      <c r="Q1067" s="127" t="s">
        <v>6294</v>
      </c>
      <c r="R1067" s="1319" t="s">
        <v>6104</v>
      </c>
      <c r="S1067" s="1322" t="s">
        <v>6290</v>
      </c>
      <c r="T1067" s="134" t="s">
        <v>165</v>
      </c>
      <c r="U1067" s="127" t="s">
        <v>6105</v>
      </c>
      <c r="V1067" s="127" t="s">
        <v>6291</v>
      </c>
      <c r="W1067" s="45" t="str">
        <f t="array" ref="W1067">HYPERLINK(INDEX('File Links'!B:B, MATCH(U1067, 'File Links'!C:C, 0)))
</f>
        <v>#N/A</v>
      </c>
      <c r="X1067" s="111"/>
      <c r="Y1067" s="127" t="s">
        <v>220</v>
      </c>
      <c r="Z1067" s="111"/>
      <c r="AA1067" s="111"/>
      <c r="AB1067" s="111"/>
      <c r="AC1067" s="127" t="s">
        <v>6295</v>
      </c>
      <c r="AD1067" s="720">
        <v>3.0</v>
      </c>
      <c r="AE1067" s="214">
        <v>201.0</v>
      </c>
      <c r="AF1067" s="214" t="s">
        <v>6296</v>
      </c>
      <c r="AG1067" s="116" t="s">
        <v>162</v>
      </c>
      <c r="AH1067" s="1323" t="s">
        <v>6297</v>
      </c>
      <c r="AI1067" s="120">
        <v>0.01</v>
      </c>
      <c r="AJ1067" s="112" t="s">
        <v>127</v>
      </c>
      <c r="AK1067" s="112" t="s">
        <v>179</v>
      </c>
      <c r="AL1067" s="127" t="s">
        <v>129</v>
      </c>
      <c r="AM1067" s="1297" t="s">
        <v>165</v>
      </c>
      <c r="AN1067" s="720">
        <v>53.0</v>
      </c>
      <c r="AO1067" s="720">
        <v>1.711971788604</v>
      </c>
      <c r="AP1067" s="127" t="s">
        <v>166</v>
      </c>
      <c r="AQ1067" s="1297" t="s">
        <v>6112</v>
      </c>
      <c r="AR1067" s="1318">
        <v>1.56719549264669E-7</v>
      </c>
      <c r="AS1067" s="127" t="s">
        <v>164</v>
      </c>
      <c r="AT1067" s="127" t="s">
        <v>179</v>
      </c>
      <c r="AU1067" s="127" t="s">
        <v>129</v>
      </c>
      <c r="AV1067" s="1298" t="s">
        <v>165</v>
      </c>
      <c r="AW1067" s="127" t="s">
        <v>134</v>
      </c>
      <c r="AY1067" s="1297" t="s">
        <v>6113</v>
      </c>
    </row>
    <row r="1068">
      <c r="A1068" s="115" t="s">
        <v>143</v>
      </c>
      <c r="B1068" s="41" t="s">
        <v>107</v>
      </c>
      <c r="C1068" s="41" t="s">
        <v>108</v>
      </c>
      <c r="D1068" s="340"/>
      <c r="E1068" s="1289" t="s">
        <v>6298</v>
      </c>
      <c r="F1068" s="1290" t="s">
        <v>6299</v>
      </c>
      <c r="G1068" s="1291" t="s">
        <v>6097</v>
      </c>
      <c r="H1068" s="1292">
        <v>45688.0</v>
      </c>
      <c r="I1068" s="1293">
        <v>45692.0</v>
      </c>
      <c r="J1068" s="1289"/>
      <c r="K1068" s="1289" t="s">
        <v>6099</v>
      </c>
      <c r="L1068" s="1291" t="s">
        <v>6300</v>
      </c>
      <c r="M1068" s="1289" t="s">
        <v>6301</v>
      </c>
      <c r="N1068" s="1294">
        <v>3.0</v>
      </c>
      <c r="O1068" s="127" t="str">
        <f t="shared" si="58"/>
        <v>10.1371--journal.pone.0071475.pdf</v>
      </c>
      <c r="P1068" s="48" t="str">
        <f t="array" ref="P1068">HYPERLINK(INDEX('File Links'!B:B, MATCH(O1068, 'File Links'!C:C, 0)))
</f>
        <v>https://drive.google.com/file/d/10y7q496AX6_0sM8VYpwXFE_CfW3qWVER/view?usp=drivesdk</v>
      </c>
      <c r="Q1068" s="1291" t="s">
        <v>6103</v>
      </c>
      <c r="R1068" s="147" t="s">
        <v>6104</v>
      </c>
      <c r="S1068" s="134" t="s">
        <v>165</v>
      </c>
      <c r="T1068" s="134" t="s">
        <v>165</v>
      </c>
      <c r="U1068" s="1291" t="s">
        <v>6105</v>
      </c>
      <c r="V1068" s="127" t="s">
        <v>318</v>
      </c>
      <c r="W1068" s="45" t="str">
        <f t="array" ref="W1068">HYPERLINK(INDEX('File Links'!B:B, MATCH(U1068, 'File Links'!C:C, 0)))
</f>
        <v>#N/A</v>
      </c>
      <c r="X1068" s="1289"/>
      <c r="Y1068" s="1291" t="s">
        <v>220</v>
      </c>
      <c r="Z1068" s="1289" t="s">
        <v>6302</v>
      </c>
      <c r="AA1068" s="1289" t="s">
        <v>6303</v>
      </c>
      <c r="AB1068" s="1291" t="s">
        <v>6304</v>
      </c>
      <c r="AC1068" s="1289" t="s">
        <v>6305</v>
      </c>
      <c r="AD1068" s="1316">
        <v>7.0</v>
      </c>
      <c r="AE1068" s="1294">
        <v>430.0</v>
      </c>
      <c r="AF1068" s="1297" t="s">
        <v>6306</v>
      </c>
      <c r="AG1068" s="1297" t="s">
        <v>162</v>
      </c>
      <c r="AH1068" s="1289" t="s">
        <v>125</v>
      </c>
      <c r="AI1068" s="1300">
        <v>0.03</v>
      </c>
      <c r="AJ1068" s="1296" t="s">
        <v>164</v>
      </c>
      <c r="AK1068" s="1296" t="s">
        <v>179</v>
      </c>
      <c r="AL1068" s="1289" t="s">
        <v>129</v>
      </c>
      <c r="AM1068" s="1297" t="s">
        <v>165</v>
      </c>
      <c r="AN1068" s="1294">
        <v>36.0</v>
      </c>
      <c r="AO1068" s="1316">
        <v>0.67703646753951</v>
      </c>
      <c r="AP1068" s="1289" t="s">
        <v>166</v>
      </c>
      <c r="AQ1068" s="1297" t="s">
        <v>6112</v>
      </c>
      <c r="AR1068" s="1316">
        <v>0.0469833588964036</v>
      </c>
      <c r="AS1068" s="1289" t="s">
        <v>164</v>
      </c>
      <c r="AT1068" s="1289" t="s">
        <v>179</v>
      </c>
      <c r="AU1068" s="1289" t="s">
        <v>129</v>
      </c>
      <c r="AV1068" s="1298" t="s">
        <v>165</v>
      </c>
      <c r="AW1068" s="1289" t="s">
        <v>134</v>
      </c>
      <c r="AY1068" s="1297" t="s">
        <v>6113</v>
      </c>
    </row>
    <row r="1069">
      <c r="A1069" s="115" t="s">
        <v>106</v>
      </c>
      <c r="B1069" s="41" t="s">
        <v>107</v>
      </c>
      <c r="C1069" s="41" t="s">
        <v>108</v>
      </c>
      <c r="D1069" s="340"/>
      <c r="E1069" s="1289" t="s">
        <v>6298</v>
      </c>
      <c r="F1069" s="1290" t="s">
        <v>6307</v>
      </c>
      <c r="G1069" s="1291" t="s">
        <v>6097</v>
      </c>
      <c r="H1069" s="1292">
        <v>45688.0</v>
      </c>
      <c r="I1069" s="1293">
        <v>45692.0</v>
      </c>
      <c r="J1069" s="1289"/>
      <c r="K1069" s="1289" t="s">
        <v>6099</v>
      </c>
      <c r="L1069" s="1291" t="s">
        <v>6300</v>
      </c>
      <c r="M1069" s="1289" t="s">
        <v>6301</v>
      </c>
      <c r="N1069" s="1294">
        <v>3.0</v>
      </c>
      <c r="O1069" s="127" t="str">
        <f t="shared" si="58"/>
        <v>10.1371--journal.pone.0071475.pdf</v>
      </c>
      <c r="P1069" s="48" t="str">
        <f t="array" ref="P1069">HYPERLINK(INDEX('File Links'!B:B, MATCH(O1069, 'File Links'!C:C, 0)))
</f>
        <v>https://drive.google.com/file/d/10y7q496AX6_0sM8VYpwXFE_CfW3qWVER/view?usp=drivesdk</v>
      </c>
      <c r="Q1069" s="1291" t="s">
        <v>6103</v>
      </c>
      <c r="R1069" s="147" t="s">
        <v>6104</v>
      </c>
      <c r="S1069" s="134" t="s">
        <v>165</v>
      </c>
      <c r="T1069" s="134" t="s">
        <v>165</v>
      </c>
      <c r="U1069" s="1291" t="s">
        <v>6105</v>
      </c>
      <c r="V1069" s="127" t="s">
        <v>318</v>
      </c>
      <c r="W1069" s="45" t="str">
        <f t="array" ref="W1069">HYPERLINK(INDEX('File Links'!B:B, MATCH(U1069, 'File Links'!C:C, 0)))
</f>
        <v>#N/A</v>
      </c>
      <c r="X1069" s="1289"/>
      <c r="Y1069" s="1291" t="s">
        <v>220</v>
      </c>
      <c r="Z1069" s="1289" t="s">
        <v>6302</v>
      </c>
      <c r="AA1069" s="1289" t="s">
        <v>6303</v>
      </c>
      <c r="AB1069" s="1291" t="s">
        <v>6308</v>
      </c>
      <c r="AC1069" s="1289" t="s">
        <v>6309</v>
      </c>
      <c r="AD1069" s="1316">
        <v>7.0</v>
      </c>
      <c r="AE1069" s="1294">
        <v>430.0</v>
      </c>
      <c r="AF1069" s="1289" t="s">
        <v>6310</v>
      </c>
      <c r="AG1069" s="1289" t="s">
        <v>6311</v>
      </c>
      <c r="AH1069" s="1289" t="s">
        <v>125</v>
      </c>
      <c r="AI1069" s="1300">
        <v>0.02</v>
      </c>
      <c r="AJ1069" s="1296" t="s">
        <v>164</v>
      </c>
      <c r="AK1069" s="1296" t="s">
        <v>179</v>
      </c>
      <c r="AL1069" s="1289" t="s">
        <v>129</v>
      </c>
      <c r="AM1069" s="1297" t="s">
        <v>165</v>
      </c>
      <c r="AN1069" s="1294">
        <v>36.0</v>
      </c>
      <c r="AO1069" s="1316">
        <v>0.67703646753951</v>
      </c>
      <c r="AP1069" s="1289" t="s">
        <v>166</v>
      </c>
      <c r="AQ1069" s="1297" t="s">
        <v>6112</v>
      </c>
      <c r="AR1069" s="1316">
        <v>0.0469833588964036</v>
      </c>
      <c r="AS1069" s="1289" t="s">
        <v>164</v>
      </c>
      <c r="AT1069" s="1289" t="s">
        <v>179</v>
      </c>
      <c r="AU1069" s="1289" t="s">
        <v>129</v>
      </c>
      <c r="AV1069" s="1298" t="s">
        <v>165</v>
      </c>
      <c r="AW1069" s="1289" t="s">
        <v>134</v>
      </c>
      <c r="AY1069" s="1297" t="s">
        <v>6113</v>
      </c>
    </row>
    <row r="1070">
      <c r="A1070" s="115" t="s">
        <v>106</v>
      </c>
      <c r="B1070" s="41" t="s">
        <v>107</v>
      </c>
      <c r="C1070" s="41" t="s">
        <v>243</v>
      </c>
      <c r="D1070" s="340"/>
      <c r="E1070" s="112" t="s">
        <v>6298</v>
      </c>
      <c r="F1070" s="116" t="s">
        <v>6299</v>
      </c>
      <c r="G1070" s="127" t="s">
        <v>244</v>
      </c>
      <c r="H1070" s="310">
        <v>45665.0</v>
      </c>
      <c r="I1070" s="1301">
        <v>45692.0</v>
      </c>
      <c r="J1070" s="111"/>
      <c r="K1070" s="111" t="s">
        <v>6099</v>
      </c>
      <c r="L1070" s="127" t="s">
        <v>6300</v>
      </c>
      <c r="M1070" s="127" t="s">
        <v>6301</v>
      </c>
      <c r="N1070" s="111"/>
      <c r="O1070" s="127" t="str">
        <f t="shared" si="58"/>
        <v>10.1371--journal.pone.0071475.pdf</v>
      </c>
      <c r="P1070" s="48" t="str">
        <f t="array" ref="P1070">HYPERLINK(INDEX('File Links'!B:B, MATCH(O1070, 'File Links'!C:C, 0)))
</f>
        <v>https://drive.google.com/file/d/10y7q496AX6_0sM8VYpwXFE_CfW3qWVER/view?usp=drivesdk</v>
      </c>
      <c r="Q1070" s="127" t="s">
        <v>6312</v>
      </c>
      <c r="R1070" s="147" t="s">
        <v>6104</v>
      </c>
      <c r="S1070" s="134" t="s">
        <v>165</v>
      </c>
      <c r="T1070" s="134" t="s">
        <v>165</v>
      </c>
      <c r="U1070" s="127" t="s">
        <v>6105</v>
      </c>
      <c r="V1070" s="127" t="s">
        <v>318</v>
      </c>
      <c r="W1070" s="45" t="str">
        <f t="array" ref="W1070">HYPERLINK(INDEX('File Links'!B:B, MATCH(U1070, 'File Links'!C:C, 0)))
</f>
        <v>#N/A</v>
      </c>
      <c r="X1070" s="111"/>
      <c r="Y1070" s="127" t="s">
        <v>220</v>
      </c>
      <c r="Z1070" s="127" t="s">
        <v>6313</v>
      </c>
      <c r="AA1070" s="111"/>
      <c r="AB1070" s="127" t="s">
        <v>6314</v>
      </c>
      <c r="AC1070" s="127" t="s">
        <v>6315</v>
      </c>
      <c r="AD1070" s="720">
        <v>7.0</v>
      </c>
      <c r="AE1070" s="720">
        <v>430.0</v>
      </c>
      <c r="AF1070" s="720">
        <v>4.63</v>
      </c>
      <c r="AG1070" s="127" t="s">
        <v>1051</v>
      </c>
      <c r="AH1070" s="127" t="s">
        <v>125</v>
      </c>
      <c r="AI1070" s="120">
        <v>0.03</v>
      </c>
      <c r="AJ1070" s="112" t="s">
        <v>164</v>
      </c>
      <c r="AK1070" s="112" t="s">
        <v>179</v>
      </c>
      <c r="AL1070" s="127" t="s">
        <v>132</v>
      </c>
      <c r="AM1070" s="1297" t="s">
        <v>165</v>
      </c>
      <c r="AN1070" s="720">
        <v>36.0</v>
      </c>
      <c r="AO1070" s="720">
        <v>0.67703646753951</v>
      </c>
      <c r="AP1070" s="127" t="s">
        <v>166</v>
      </c>
      <c r="AQ1070" s="1297" t="s">
        <v>6112</v>
      </c>
      <c r="AR1070" s="720">
        <v>0.0469833588964036</v>
      </c>
      <c r="AS1070" s="127" t="s">
        <v>164</v>
      </c>
      <c r="AT1070" s="127" t="s">
        <v>179</v>
      </c>
      <c r="AU1070" s="127" t="s">
        <v>132</v>
      </c>
      <c r="AV1070" s="1298" t="s">
        <v>165</v>
      </c>
      <c r="AW1070" s="127" t="s">
        <v>134</v>
      </c>
      <c r="AY1070" s="1297" t="s">
        <v>6113</v>
      </c>
    </row>
    <row r="1071">
      <c r="A1071" s="115" t="s">
        <v>143</v>
      </c>
      <c r="B1071" s="41" t="s">
        <v>107</v>
      </c>
      <c r="C1071" s="41" t="s">
        <v>108</v>
      </c>
      <c r="D1071" s="340"/>
      <c r="E1071" s="1289" t="s">
        <v>6316</v>
      </c>
      <c r="F1071" s="1290" t="s">
        <v>6317</v>
      </c>
      <c r="G1071" s="1291" t="s">
        <v>6097</v>
      </c>
      <c r="H1071" s="1292">
        <v>45688.0</v>
      </c>
      <c r="I1071" s="1293">
        <v>45692.0</v>
      </c>
      <c r="J1071" s="1289"/>
      <c r="K1071" s="1289" t="s">
        <v>6318</v>
      </c>
      <c r="L1071" s="1291" t="s">
        <v>6319</v>
      </c>
      <c r="M1071" s="1289" t="s">
        <v>6320</v>
      </c>
      <c r="N1071" s="1294">
        <v>1.0</v>
      </c>
      <c r="O1071" s="127" t="str">
        <f t="shared" si="58"/>
        <v>10.1371--journal.pone.0154854.pdf</v>
      </c>
      <c r="P1071" s="48" t="str">
        <f t="array" ref="P1071">HYPERLINK(INDEX('File Links'!B:B, MATCH(O1071, 'File Links'!C:C, 0)))
</f>
        <v>https://drive.google.com/file/d/1-nd1hGa7j_Vwr7C63vLyw8Doq1Jw9jdo/view?usp=drivesdk</v>
      </c>
      <c r="Q1071" s="1291" t="s">
        <v>6103</v>
      </c>
      <c r="R1071" s="147" t="s">
        <v>6104</v>
      </c>
      <c r="S1071" s="134" t="s">
        <v>165</v>
      </c>
      <c r="T1071" s="134" t="s">
        <v>165</v>
      </c>
      <c r="U1071" s="1291" t="s">
        <v>6105</v>
      </c>
      <c r="V1071" s="127" t="s">
        <v>6291</v>
      </c>
      <c r="W1071" s="45" t="str">
        <f t="array" ref="W1071">HYPERLINK(INDEX('File Links'!B:B, MATCH(U1071, 'File Links'!C:C, 0)))
</f>
        <v>#N/A</v>
      </c>
      <c r="X1071" s="1289"/>
      <c r="Y1071" s="1291" t="s">
        <v>287</v>
      </c>
      <c r="Z1071" s="350" t="s">
        <v>165</v>
      </c>
      <c r="AA1071" s="1289" t="s">
        <v>6321</v>
      </c>
      <c r="AB1071" s="1291" t="s">
        <v>6322</v>
      </c>
      <c r="AC1071" s="1289" t="s">
        <v>6323</v>
      </c>
      <c r="AD1071" s="1316">
        <v>9.0</v>
      </c>
      <c r="AE1071" s="1294">
        <v>51.0</v>
      </c>
      <c r="AF1071" s="1297">
        <v>1.28</v>
      </c>
      <c r="AG1071" s="1297" t="s">
        <v>1578</v>
      </c>
      <c r="AH1071" s="1297" t="s">
        <v>6324</v>
      </c>
      <c r="AI1071" s="1321">
        <v>1.0E-4</v>
      </c>
      <c r="AJ1071" s="1296" t="s">
        <v>127</v>
      </c>
      <c r="AK1071" s="1296" t="s">
        <v>179</v>
      </c>
      <c r="AL1071" s="1289" t="s">
        <v>129</v>
      </c>
      <c r="AM1071" s="1297" t="s">
        <v>165</v>
      </c>
      <c r="AN1071" s="1294">
        <v>48.0</v>
      </c>
      <c r="AO1071" s="1297">
        <v>0.53003</v>
      </c>
      <c r="AP1071" s="1297" t="s">
        <v>1578</v>
      </c>
      <c r="AQ1071" s="1297" t="s">
        <v>6112</v>
      </c>
      <c r="AR1071" s="350" t="s">
        <v>165</v>
      </c>
      <c r="AS1071" s="128" t="s">
        <v>165</v>
      </c>
      <c r="AT1071" s="1289" t="s">
        <v>179</v>
      </c>
      <c r="AU1071" s="1289" t="s">
        <v>129</v>
      </c>
      <c r="AV1071" s="1298" t="s">
        <v>165</v>
      </c>
      <c r="AW1071" s="1289" t="s">
        <v>134</v>
      </c>
      <c r="AY1071" s="1297" t="s">
        <v>6113</v>
      </c>
    </row>
    <row r="1072">
      <c r="A1072" s="115" t="s">
        <v>143</v>
      </c>
      <c r="B1072" s="41" t="s">
        <v>107</v>
      </c>
      <c r="C1072" s="41" t="s">
        <v>108</v>
      </c>
      <c r="D1072" s="340"/>
      <c r="E1072" s="1289" t="s">
        <v>6316</v>
      </c>
      <c r="F1072" s="1290" t="s">
        <v>6325</v>
      </c>
      <c r="G1072" s="1291" t="s">
        <v>6097</v>
      </c>
      <c r="H1072" s="1292">
        <v>45688.0</v>
      </c>
      <c r="I1072" s="1293">
        <v>45692.0</v>
      </c>
      <c r="J1072" s="1289"/>
      <c r="K1072" s="1289" t="s">
        <v>6099</v>
      </c>
      <c r="L1072" s="1291" t="s">
        <v>6319</v>
      </c>
      <c r="M1072" s="1289" t="s">
        <v>6320</v>
      </c>
      <c r="N1072" s="1294">
        <v>1.0</v>
      </c>
      <c r="O1072" s="127" t="str">
        <f t="shared" si="58"/>
        <v>10.1371--journal.pone.0154854.pdf</v>
      </c>
      <c r="P1072" s="48" t="str">
        <f t="array" ref="P1072">HYPERLINK(INDEX('File Links'!B:B, MATCH(O1072, 'File Links'!C:C, 0)))
</f>
        <v>https://drive.google.com/file/d/1-nd1hGa7j_Vwr7C63vLyw8Doq1Jw9jdo/view?usp=drivesdk</v>
      </c>
      <c r="Q1072" s="1291" t="s">
        <v>6103</v>
      </c>
      <c r="R1072" s="147" t="s">
        <v>6104</v>
      </c>
      <c r="S1072" s="134" t="s">
        <v>165</v>
      </c>
      <c r="T1072" s="134" t="s">
        <v>165</v>
      </c>
      <c r="U1072" s="1291" t="s">
        <v>6105</v>
      </c>
      <c r="V1072" s="127" t="s">
        <v>6291</v>
      </c>
      <c r="W1072" s="45" t="str">
        <f t="array" ref="W1072">HYPERLINK(INDEX('File Links'!B:B, MATCH(U1072, 'File Links'!C:C, 0)))
</f>
        <v>#N/A</v>
      </c>
      <c r="X1072" s="1289"/>
      <c r="Y1072" s="1291" t="s">
        <v>287</v>
      </c>
      <c r="Z1072" s="350" t="s">
        <v>165</v>
      </c>
      <c r="AA1072" s="1289" t="s">
        <v>6321</v>
      </c>
      <c r="AB1072" s="1291" t="s">
        <v>6326</v>
      </c>
      <c r="AC1072" s="1289" t="s">
        <v>6327</v>
      </c>
      <c r="AD1072" s="1316">
        <v>9.0</v>
      </c>
      <c r="AE1072" s="1294">
        <v>51.0</v>
      </c>
      <c r="AF1072" s="1297">
        <v>0.44</v>
      </c>
      <c r="AG1072" s="1297" t="s">
        <v>1578</v>
      </c>
      <c r="AH1072" s="1297" t="s">
        <v>6328</v>
      </c>
      <c r="AI1072" s="1321">
        <v>0.001</v>
      </c>
      <c r="AJ1072" s="1296" t="s">
        <v>127</v>
      </c>
      <c r="AK1072" s="1296" t="s">
        <v>179</v>
      </c>
      <c r="AL1072" s="1289" t="s">
        <v>129</v>
      </c>
      <c r="AM1072" s="1297" t="s">
        <v>165</v>
      </c>
      <c r="AN1072" s="1294">
        <v>48.0</v>
      </c>
      <c r="AO1072" s="1297">
        <v>0.53003</v>
      </c>
      <c r="AP1072" s="1297" t="s">
        <v>1578</v>
      </c>
      <c r="AQ1072" s="1297" t="s">
        <v>6112</v>
      </c>
      <c r="AR1072" s="350" t="s">
        <v>165</v>
      </c>
      <c r="AS1072" s="128" t="s">
        <v>165</v>
      </c>
      <c r="AT1072" s="1289" t="s">
        <v>179</v>
      </c>
      <c r="AU1072" s="1289" t="s">
        <v>129</v>
      </c>
      <c r="AV1072" s="1298" t="s">
        <v>165</v>
      </c>
      <c r="AW1072" s="1289" t="s">
        <v>134</v>
      </c>
      <c r="AX1072" s="41" t="s">
        <v>6329</v>
      </c>
      <c r="AY1072" s="1297" t="s">
        <v>6113</v>
      </c>
    </row>
    <row r="1073">
      <c r="A1073" s="115" t="s">
        <v>106</v>
      </c>
      <c r="B1073" s="41" t="s">
        <v>107</v>
      </c>
      <c r="C1073" s="41" t="s">
        <v>243</v>
      </c>
      <c r="D1073" s="340"/>
      <c r="E1073" s="112" t="s">
        <v>6316</v>
      </c>
      <c r="F1073" s="116" t="s">
        <v>6317</v>
      </c>
      <c r="G1073" s="127" t="s">
        <v>244</v>
      </c>
      <c r="H1073" s="310">
        <v>45665.0</v>
      </c>
      <c r="I1073" s="1301">
        <v>45692.0</v>
      </c>
      <c r="J1073" s="111"/>
      <c r="K1073" s="111" t="s">
        <v>6330</v>
      </c>
      <c r="L1073" s="127" t="s">
        <v>6319</v>
      </c>
      <c r="M1073" s="127" t="s">
        <v>6320</v>
      </c>
      <c r="N1073" s="111"/>
      <c r="O1073" s="127" t="str">
        <f t="shared" si="58"/>
        <v>10.1371--journal.pone.0154854.pdf</v>
      </c>
      <c r="P1073" s="48" t="str">
        <f t="array" ref="P1073">HYPERLINK(INDEX('File Links'!B:B, MATCH(O1073, 'File Links'!C:C, 0)))
</f>
        <v>https://drive.google.com/file/d/1-nd1hGa7j_Vwr7C63vLyw8Doq1Jw9jdo/view?usp=drivesdk</v>
      </c>
      <c r="Q1073" s="127" t="s">
        <v>6331</v>
      </c>
      <c r="R1073" s="147" t="s">
        <v>6104</v>
      </c>
      <c r="S1073" s="134" t="s">
        <v>165</v>
      </c>
      <c r="T1073" s="134" t="s">
        <v>165</v>
      </c>
      <c r="U1073" s="127" t="s">
        <v>6105</v>
      </c>
      <c r="V1073" s="127" t="s">
        <v>6291</v>
      </c>
      <c r="W1073" s="45" t="str">
        <f t="array" ref="W1073">HYPERLINK(INDEX('File Links'!B:B, MATCH(U1073, 'File Links'!C:C, 0)))
</f>
        <v>#N/A</v>
      </c>
      <c r="X1073" s="111"/>
      <c r="Y1073" s="127" t="s">
        <v>203</v>
      </c>
      <c r="Z1073" s="111"/>
      <c r="AA1073" s="111"/>
      <c r="AB1073" s="111"/>
      <c r="AC1073" s="127" t="s">
        <v>6332</v>
      </c>
      <c r="AD1073" s="720">
        <v>9.0</v>
      </c>
      <c r="AE1073" s="720">
        <v>51.0</v>
      </c>
      <c r="AF1073" s="720">
        <v>1.28</v>
      </c>
      <c r="AG1073" s="127" t="s">
        <v>1006</v>
      </c>
      <c r="AH1073" s="127" t="s">
        <v>625</v>
      </c>
      <c r="AI1073" s="120">
        <v>1.0E-4</v>
      </c>
      <c r="AJ1073" s="112" t="s">
        <v>1313</v>
      </c>
      <c r="AK1073" s="112" t="s">
        <v>179</v>
      </c>
      <c r="AL1073" s="127" t="s">
        <v>132</v>
      </c>
      <c r="AM1073" s="1297" t="s">
        <v>165</v>
      </c>
      <c r="AN1073" s="720">
        <v>48.0</v>
      </c>
      <c r="AO1073" s="720">
        <v>0.53003</v>
      </c>
      <c r="AP1073" s="127" t="s">
        <v>1006</v>
      </c>
      <c r="AQ1073" s="1297" t="s">
        <v>6112</v>
      </c>
      <c r="AR1073" s="127" t="s">
        <v>165</v>
      </c>
      <c r="AS1073" s="111"/>
      <c r="AT1073" s="127" t="s">
        <v>179</v>
      </c>
      <c r="AU1073" s="127" t="s">
        <v>132</v>
      </c>
      <c r="AV1073" s="1298" t="s">
        <v>165</v>
      </c>
      <c r="AW1073" s="127" t="s">
        <v>134</v>
      </c>
      <c r="AY1073" s="1297" t="s">
        <v>6113</v>
      </c>
    </row>
    <row r="1074">
      <c r="A1074" s="115" t="s">
        <v>2021</v>
      </c>
      <c r="B1074" s="41" t="s">
        <v>107</v>
      </c>
      <c r="C1074" s="41" t="s">
        <v>108</v>
      </c>
      <c r="D1074" s="340"/>
      <c r="E1074" s="1289" t="s">
        <v>6333</v>
      </c>
      <c r="F1074" s="1290" t="s">
        <v>6334</v>
      </c>
      <c r="G1074" s="1291" t="s">
        <v>6097</v>
      </c>
      <c r="H1074" s="1292">
        <v>45688.0</v>
      </c>
      <c r="I1074" s="1293">
        <v>45692.0</v>
      </c>
      <c r="J1074" s="1289" t="s">
        <v>6335</v>
      </c>
      <c r="K1074" s="1289" t="s">
        <v>6099</v>
      </c>
      <c r="L1074" s="1291" t="s">
        <v>6336</v>
      </c>
      <c r="M1074" s="1289" t="s">
        <v>6337</v>
      </c>
      <c r="N1074" s="1294">
        <v>2.0</v>
      </c>
      <c r="O1074" s="127" t="str">
        <f t="shared" si="58"/>
        <v>10.1038--nn.2889.pdf</v>
      </c>
      <c r="P1074" s="48" t="str">
        <f t="array" ref="P1074">HYPERLINK(INDEX('File Links'!B:B, MATCH(O1074, 'File Links'!C:C, 0)))
</f>
        <v>https://drive.google.com/file/d/1MkAewK7ChXvXFt_yHeQBeosTp7ozsocw/view?usp=drivesdk</v>
      </c>
      <c r="Q1074" s="1291" t="s">
        <v>6103</v>
      </c>
      <c r="R1074" s="147" t="s">
        <v>6104</v>
      </c>
      <c r="S1074" s="134" t="s">
        <v>165</v>
      </c>
      <c r="T1074" s="134" t="s">
        <v>165</v>
      </c>
      <c r="U1074" s="1291" t="s">
        <v>6105</v>
      </c>
      <c r="V1074" s="127" t="s">
        <v>318</v>
      </c>
      <c r="W1074" s="45" t="str">
        <f t="array" ref="W1074">HYPERLINK(INDEX('File Links'!B:B, MATCH(U1074, 'File Links'!C:C, 0)))
</f>
        <v>#N/A</v>
      </c>
      <c r="X1074" s="1289"/>
      <c r="Y1074" s="1291" t="s">
        <v>849</v>
      </c>
      <c r="Z1074" s="1289" t="s">
        <v>768</v>
      </c>
      <c r="AA1074" s="1289" t="s">
        <v>6338</v>
      </c>
      <c r="AB1074" s="1291" t="s">
        <v>6339</v>
      </c>
      <c r="AC1074" s="1289" t="s">
        <v>768</v>
      </c>
      <c r="AD1074" s="1289" t="s">
        <v>768</v>
      </c>
      <c r="AE1074" s="1294">
        <v>5.0</v>
      </c>
      <c r="AF1074" s="1289" t="s">
        <v>768</v>
      </c>
      <c r="AG1074" s="1289" t="s">
        <v>768</v>
      </c>
      <c r="AH1074" s="1289" t="s">
        <v>768</v>
      </c>
      <c r="AI1074" s="1295" t="s">
        <v>768</v>
      </c>
      <c r="AJ1074" s="1296" t="s">
        <v>768</v>
      </c>
      <c r="AK1074" s="1296" t="s">
        <v>179</v>
      </c>
      <c r="AL1074" s="1289" t="s">
        <v>129</v>
      </c>
      <c r="AM1074" s="1297" t="s">
        <v>165</v>
      </c>
      <c r="AN1074" s="1294">
        <v>5.0</v>
      </c>
      <c r="AO1074" s="1289" t="s">
        <v>768</v>
      </c>
      <c r="AP1074" s="1289" t="s">
        <v>768</v>
      </c>
      <c r="AQ1074" s="1297" t="s">
        <v>6112</v>
      </c>
      <c r="AR1074" s="1289" t="s">
        <v>768</v>
      </c>
      <c r="AS1074" s="1289" t="s">
        <v>768</v>
      </c>
      <c r="AT1074" s="1289" t="s">
        <v>179</v>
      </c>
      <c r="AU1074" s="1289" t="s">
        <v>129</v>
      </c>
      <c r="AV1074" s="1298" t="s">
        <v>165</v>
      </c>
      <c r="AW1074" s="1289" t="s">
        <v>134</v>
      </c>
      <c r="AY1074" s="1297" t="s">
        <v>6113</v>
      </c>
    </row>
    <row r="1075">
      <c r="A1075" s="115" t="s">
        <v>106</v>
      </c>
      <c r="B1075" s="41" t="s">
        <v>107</v>
      </c>
      <c r="C1075" s="41" t="s">
        <v>243</v>
      </c>
      <c r="D1075" s="340"/>
      <c r="E1075" s="112" t="s">
        <v>6333</v>
      </c>
      <c r="F1075" s="116" t="s">
        <v>6334</v>
      </c>
      <c r="G1075" s="127" t="s">
        <v>244</v>
      </c>
      <c r="H1075" s="310">
        <v>45665.0</v>
      </c>
      <c r="I1075" s="1301">
        <v>45692.0</v>
      </c>
      <c r="J1075" s="606" t="s">
        <v>6340</v>
      </c>
      <c r="K1075" s="111" t="s">
        <v>6099</v>
      </c>
      <c r="L1075" s="127" t="s">
        <v>6336</v>
      </c>
      <c r="M1075" s="127" t="s">
        <v>6337</v>
      </c>
      <c r="N1075" s="111"/>
      <c r="O1075" s="127" t="str">
        <f t="shared" si="58"/>
        <v>10.1038--nn.2889.pdf</v>
      </c>
      <c r="P1075" s="48" t="str">
        <f t="array" ref="P1075">HYPERLINK(INDEX('File Links'!B:B, MATCH(O1075, 'File Links'!C:C, 0)))
</f>
        <v>https://drive.google.com/file/d/1MkAewK7ChXvXFt_yHeQBeosTp7ozsocw/view?usp=drivesdk</v>
      </c>
      <c r="Q1075" s="127" t="s">
        <v>6341</v>
      </c>
      <c r="R1075" s="147" t="s">
        <v>6104</v>
      </c>
      <c r="S1075" s="134" t="s">
        <v>165</v>
      </c>
      <c r="T1075" s="134" t="s">
        <v>165</v>
      </c>
      <c r="U1075" s="127" t="s">
        <v>6105</v>
      </c>
      <c r="V1075" s="127" t="s">
        <v>318</v>
      </c>
      <c r="W1075" s="45" t="str">
        <f t="array" ref="W1075">HYPERLINK(INDEX('File Links'!B:B, MATCH(U1075, 'File Links'!C:C, 0)))
</f>
        <v>#N/A</v>
      </c>
      <c r="X1075" s="111"/>
      <c r="Y1075" s="127" t="s">
        <v>849</v>
      </c>
      <c r="Z1075" s="111"/>
      <c r="AA1075" s="111"/>
      <c r="AB1075" s="111"/>
      <c r="AC1075" s="127" t="s">
        <v>165</v>
      </c>
      <c r="AD1075" s="127" t="s">
        <v>165</v>
      </c>
      <c r="AE1075" s="720">
        <v>5.0</v>
      </c>
      <c r="AF1075" s="127" t="s">
        <v>165</v>
      </c>
      <c r="AG1075" s="127" t="s">
        <v>165</v>
      </c>
      <c r="AH1075" s="127" t="s">
        <v>165</v>
      </c>
      <c r="AI1075" s="212" t="s">
        <v>165</v>
      </c>
      <c r="AJ1075" s="119"/>
      <c r="AK1075" s="112" t="s">
        <v>179</v>
      </c>
      <c r="AL1075" s="127" t="s">
        <v>821</v>
      </c>
      <c r="AM1075" s="1297" t="s">
        <v>165</v>
      </c>
      <c r="AN1075" s="720">
        <v>5.0</v>
      </c>
      <c r="AO1075" s="127" t="s">
        <v>165</v>
      </c>
      <c r="AP1075" s="111"/>
      <c r="AQ1075" s="1297" t="s">
        <v>6112</v>
      </c>
      <c r="AR1075" s="127" t="s">
        <v>165</v>
      </c>
      <c r="AS1075" s="111"/>
      <c r="AT1075" s="127" t="s">
        <v>179</v>
      </c>
      <c r="AU1075" s="127" t="s">
        <v>821</v>
      </c>
      <c r="AV1075" s="1298" t="s">
        <v>165</v>
      </c>
      <c r="AW1075" s="127" t="s">
        <v>134</v>
      </c>
      <c r="AY1075" s="1297" t="s">
        <v>6113</v>
      </c>
    </row>
    <row r="1076">
      <c r="A1076" s="115" t="s">
        <v>143</v>
      </c>
      <c r="B1076" s="41" t="s">
        <v>107</v>
      </c>
      <c r="C1076" s="41" t="s">
        <v>108</v>
      </c>
      <c r="D1076" s="340"/>
      <c r="E1076" s="1289" t="s">
        <v>6342</v>
      </c>
      <c r="F1076" s="1290" t="s">
        <v>6343</v>
      </c>
      <c r="G1076" s="1291" t="s">
        <v>6097</v>
      </c>
      <c r="H1076" s="1292">
        <v>45688.0</v>
      </c>
      <c r="I1076" s="1293">
        <v>45692.0</v>
      </c>
      <c r="J1076" s="1314" t="s">
        <v>6344</v>
      </c>
      <c r="K1076" s="1289" t="s">
        <v>6099</v>
      </c>
      <c r="L1076" s="1291" t="s">
        <v>6345</v>
      </c>
      <c r="M1076" s="1291" t="s">
        <v>6346</v>
      </c>
      <c r="N1076" s="1291" t="s">
        <v>6347</v>
      </c>
      <c r="O1076" s="1291" t="s">
        <v>6348</v>
      </c>
      <c r="P1076" s="48" t="str">
        <f t="array" ref="P1076">HYPERLINK(INDEX('File Links'!B:B, MATCH(O1076, 'File Links'!C:C, 0)))
</f>
        <v>https://drive.google.com/file/d/1oAjR8vSHaozIl7e-9ozgY9hFTpEChKb7/view?usp=drivesdk</v>
      </c>
      <c r="Q1076" s="1291" t="s">
        <v>6103</v>
      </c>
      <c r="R1076" s="147" t="s">
        <v>6104</v>
      </c>
      <c r="S1076" s="134" t="s">
        <v>165</v>
      </c>
      <c r="T1076" s="134" t="s">
        <v>165</v>
      </c>
      <c r="U1076" s="1291" t="s">
        <v>6105</v>
      </c>
      <c r="V1076" s="127" t="s">
        <v>6349</v>
      </c>
      <c r="W1076" s="45" t="str">
        <f t="array" ref="W1076">HYPERLINK(INDEX('File Links'!B:B, MATCH(U1076, 'File Links'!C:C, 0)))
</f>
        <v>#N/A</v>
      </c>
      <c r="X1076" s="1289"/>
      <c r="Y1076" s="1291" t="s">
        <v>220</v>
      </c>
      <c r="Z1076" s="350" t="s">
        <v>165</v>
      </c>
      <c r="AA1076" s="1289" t="s">
        <v>6350</v>
      </c>
      <c r="AB1076" s="1291" t="s">
        <v>6351</v>
      </c>
      <c r="AC1076" s="127" t="s">
        <v>6352</v>
      </c>
      <c r="AD1076" s="720">
        <v>744.0</v>
      </c>
      <c r="AE1076" s="1294">
        <v>117.0</v>
      </c>
      <c r="AF1076" s="1324" t="s">
        <v>6353</v>
      </c>
      <c r="AG1076" s="1297" t="s">
        <v>162</v>
      </c>
      <c r="AH1076" s="127" t="s">
        <v>6354</v>
      </c>
      <c r="AI1076" s="120">
        <v>0.01</v>
      </c>
      <c r="AJ1076" s="112" t="s">
        <v>164</v>
      </c>
      <c r="AK1076" s="112" t="s">
        <v>128</v>
      </c>
      <c r="AL1076" s="127" t="s">
        <v>132</v>
      </c>
      <c r="AM1076" s="1297" t="s">
        <v>165</v>
      </c>
      <c r="AN1076" s="1294">
        <v>20.0</v>
      </c>
      <c r="AO1076" s="1316">
        <v>-0.122474487139158</v>
      </c>
      <c r="AP1076" s="1289" t="s">
        <v>166</v>
      </c>
      <c r="AQ1076" s="1297" t="s">
        <v>6112</v>
      </c>
      <c r="AR1076" s="1316">
        <v>0.810049856157626</v>
      </c>
      <c r="AS1076" s="1289" t="s">
        <v>164</v>
      </c>
      <c r="AT1076" s="1289" t="s">
        <v>179</v>
      </c>
      <c r="AU1076" s="1289" t="s">
        <v>129</v>
      </c>
      <c r="AV1076" s="1298" t="s">
        <v>165</v>
      </c>
      <c r="AW1076" s="1289" t="s">
        <v>142</v>
      </c>
      <c r="AY1076" s="1297" t="s">
        <v>6113</v>
      </c>
    </row>
    <row r="1077">
      <c r="A1077" s="115" t="s">
        <v>106</v>
      </c>
      <c r="B1077" s="41" t="s">
        <v>107</v>
      </c>
      <c r="C1077" s="41" t="s">
        <v>243</v>
      </c>
      <c r="D1077" s="340"/>
      <c r="E1077" s="112" t="s">
        <v>6342</v>
      </c>
      <c r="F1077" s="116" t="s">
        <v>6343</v>
      </c>
      <c r="G1077" s="127" t="s">
        <v>244</v>
      </c>
      <c r="H1077" s="310">
        <v>45665.0</v>
      </c>
      <c r="I1077" s="1301">
        <v>45692.0</v>
      </c>
      <c r="J1077" s="111"/>
      <c r="K1077" s="111" t="s">
        <v>6099</v>
      </c>
      <c r="L1077" s="127" t="s">
        <v>6345</v>
      </c>
      <c r="M1077" s="127" t="s">
        <v>6346</v>
      </c>
      <c r="N1077" s="111"/>
      <c r="O1077" s="127" t="str">
        <f> SUBSTITUTE(lower(M1077), "/", "--") &amp;  ".pdf"</f>
        <v>10.1177--0146167214524992.pdf</v>
      </c>
      <c r="P1077" s="48" t="str">
        <f t="array" ref="P1077">HYPERLINK(INDEX('File Links'!B:B, MATCH(O1077, 'File Links'!C:C, 0)))
</f>
        <v>https://drive.google.com/file/d/1oAjR8vSHaozIl7e-9ozgY9hFTpEChKb7/view?usp=drivesdk</v>
      </c>
      <c r="Q1077" s="127" t="s">
        <v>6355</v>
      </c>
      <c r="R1077" s="147" t="s">
        <v>6104</v>
      </c>
      <c r="S1077" s="134" t="s">
        <v>165</v>
      </c>
      <c r="T1077" s="134" t="s">
        <v>165</v>
      </c>
      <c r="U1077" s="127" t="s">
        <v>6105</v>
      </c>
      <c r="V1077" s="127" t="s">
        <v>6349</v>
      </c>
      <c r="W1077" s="45" t="str">
        <f t="array" ref="W1077">HYPERLINK(INDEX('File Links'!B:B, MATCH(U1077, 'File Links'!C:C, 0)))
</f>
        <v>#N/A</v>
      </c>
      <c r="X1077" s="111"/>
      <c r="Y1077" s="127" t="s">
        <v>220</v>
      </c>
      <c r="Z1077" s="111"/>
      <c r="AA1077" s="111"/>
      <c r="AB1077" s="111"/>
      <c r="AC1077" s="127" t="s">
        <v>6352</v>
      </c>
      <c r="AD1077" s="720">
        <v>744.0</v>
      </c>
      <c r="AE1077" s="720">
        <v>117.0</v>
      </c>
      <c r="AF1077" s="720">
        <v>6.12</v>
      </c>
      <c r="AG1077" s="127" t="s">
        <v>1051</v>
      </c>
      <c r="AH1077" s="127" t="s">
        <v>6354</v>
      </c>
      <c r="AI1077" s="120">
        <v>0.01</v>
      </c>
      <c r="AJ1077" s="112" t="s">
        <v>164</v>
      </c>
      <c r="AK1077" s="112" t="s">
        <v>128</v>
      </c>
      <c r="AL1077" s="127" t="s">
        <v>132</v>
      </c>
      <c r="AM1077" s="1297" t="s">
        <v>165</v>
      </c>
      <c r="AN1077" s="720">
        <v>20.0</v>
      </c>
      <c r="AO1077" s="720">
        <v>-0.122474487139158</v>
      </c>
      <c r="AP1077" s="127" t="s">
        <v>166</v>
      </c>
      <c r="AQ1077" s="1297" t="s">
        <v>6112</v>
      </c>
      <c r="AR1077" s="720">
        <v>0.810049856157626</v>
      </c>
      <c r="AS1077" s="127" t="s">
        <v>164</v>
      </c>
      <c r="AT1077" s="127" t="s">
        <v>128</v>
      </c>
      <c r="AU1077" s="127" t="s">
        <v>132</v>
      </c>
      <c r="AV1077" s="1298" t="s">
        <v>165</v>
      </c>
      <c r="AW1077" s="127" t="s">
        <v>142</v>
      </c>
      <c r="AY1077" s="1297" t="s">
        <v>6113</v>
      </c>
    </row>
    <row r="1078">
      <c r="A1078" s="115" t="s">
        <v>143</v>
      </c>
      <c r="B1078" s="41" t="s">
        <v>107</v>
      </c>
      <c r="C1078" s="41" t="s">
        <v>108</v>
      </c>
      <c r="D1078" s="340"/>
      <c r="E1078" s="1289" t="s">
        <v>6356</v>
      </c>
      <c r="F1078" s="1290" t="s">
        <v>6357</v>
      </c>
      <c r="G1078" s="1291" t="s">
        <v>6097</v>
      </c>
      <c r="H1078" s="1292">
        <v>45688.0</v>
      </c>
      <c r="I1078" s="1293">
        <v>45692.0</v>
      </c>
      <c r="J1078" s="1289" t="s">
        <v>6358</v>
      </c>
      <c r="K1078" s="1297" t="s">
        <v>6359</v>
      </c>
      <c r="L1078" s="1291" t="s">
        <v>6360</v>
      </c>
      <c r="M1078" s="1291" t="s">
        <v>6361</v>
      </c>
      <c r="N1078" s="1294">
        <v>2.0</v>
      </c>
      <c r="O1078" s="1291" t="s">
        <v>6362</v>
      </c>
      <c r="P1078" s="48" t="str">
        <f t="array" ref="P1078">HYPERLINK(INDEX('File Links'!B:B, MATCH(O1078, 'File Links'!C:C, 0)))
</f>
        <v>https://drive.google.com/file/d/1gbKPV2rhuEZ5YY7sLWcOmdMsnKF1lOwO/view?usp=drivesdk</v>
      </c>
      <c r="Q1078" s="1291" t="s">
        <v>6103</v>
      </c>
      <c r="R1078" s="147" t="s">
        <v>6104</v>
      </c>
      <c r="S1078" s="134" t="s">
        <v>165</v>
      </c>
      <c r="T1078" s="134" t="s">
        <v>165</v>
      </c>
      <c r="U1078" s="1291" t="s">
        <v>6105</v>
      </c>
      <c r="V1078" s="127" t="s">
        <v>6349</v>
      </c>
      <c r="W1078" s="45" t="str">
        <f t="array" ref="W1078">HYPERLINK(INDEX('File Links'!B:B, MATCH(U1078, 'File Links'!C:C, 0)))
</f>
        <v>#N/A</v>
      </c>
      <c r="X1078" s="1289"/>
      <c r="Y1078" s="1291" t="s">
        <v>1689</v>
      </c>
      <c r="Z1078" s="350" t="s">
        <v>165</v>
      </c>
      <c r="AA1078" s="1289" t="s">
        <v>6363</v>
      </c>
      <c r="AB1078" s="1291" t="s">
        <v>6364</v>
      </c>
      <c r="AC1078" s="127" t="s">
        <v>6365</v>
      </c>
      <c r="AD1078" s="720">
        <v>16.0</v>
      </c>
      <c r="AE1078" s="1294">
        <v>212.0</v>
      </c>
      <c r="AF1078" s="1324" t="s">
        <v>6366</v>
      </c>
      <c r="AG1078" s="1289" t="s">
        <v>166</v>
      </c>
      <c r="AH1078" s="1297" t="s">
        <v>165</v>
      </c>
      <c r="AI1078" s="1325">
        <v>0.001</v>
      </c>
      <c r="AJ1078" s="1296" t="s">
        <v>164</v>
      </c>
      <c r="AK1078" s="1297" t="s">
        <v>128</v>
      </c>
      <c r="AL1078" s="1289" t="s">
        <v>129</v>
      </c>
      <c r="AM1078" s="1297" t="s">
        <v>165</v>
      </c>
      <c r="AN1078" s="1294">
        <v>137.0</v>
      </c>
      <c r="AO1078" s="1316">
        <v>-0.07914981074</v>
      </c>
      <c r="AP1078" s="1289" t="s">
        <v>166</v>
      </c>
      <c r="AQ1078" s="1297" t="s">
        <v>6112</v>
      </c>
      <c r="AR1078" s="1316">
        <v>0.357634457118059</v>
      </c>
      <c r="AS1078" s="1289" t="s">
        <v>164</v>
      </c>
      <c r="AT1078" s="1289" t="s">
        <v>179</v>
      </c>
      <c r="AU1078" s="1289" t="s">
        <v>129</v>
      </c>
      <c r="AV1078" s="1298" t="s">
        <v>165</v>
      </c>
      <c r="AW1078" s="127" t="s">
        <v>142</v>
      </c>
      <c r="AY1078" s="1297" t="s">
        <v>6113</v>
      </c>
    </row>
    <row r="1079">
      <c r="A1079" s="115" t="s">
        <v>106</v>
      </c>
      <c r="B1079" s="41" t="s">
        <v>107</v>
      </c>
      <c r="C1079" s="41" t="s">
        <v>243</v>
      </c>
      <c r="D1079" s="340"/>
      <c r="E1079" s="112" t="s">
        <v>6356</v>
      </c>
      <c r="F1079" s="116" t="s">
        <v>6357</v>
      </c>
      <c r="G1079" s="127" t="s">
        <v>244</v>
      </c>
      <c r="H1079" s="310">
        <v>45665.0</v>
      </c>
      <c r="I1079" s="1301">
        <v>45692.0</v>
      </c>
      <c r="J1079" s="606" t="s">
        <v>6367</v>
      </c>
      <c r="K1079" s="111" t="s">
        <v>6368</v>
      </c>
      <c r="L1079" s="127" t="s">
        <v>6360</v>
      </c>
      <c r="M1079" s="127" t="s">
        <v>6361</v>
      </c>
      <c r="N1079" s="111"/>
      <c r="O1079" s="127" t="str">
        <f t="shared" ref="O1079:O1082" si="59"> SUBSTITUTE(lower(M1079), "/", "--") &amp;  ".pdf"</f>
        <v>10.1177--0001839219840022.pdf</v>
      </c>
      <c r="P1079" s="48" t="str">
        <f t="array" ref="P1079">HYPERLINK(INDEX('File Links'!B:B, MATCH(O1079, 'File Links'!C:C, 0)))
</f>
        <v>https://drive.google.com/file/d/1gbKPV2rhuEZ5YY7sLWcOmdMsnKF1lOwO/view?usp=drivesdk</v>
      </c>
      <c r="Q1079" s="127" t="s">
        <v>6369</v>
      </c>
      <c r="R1079" s="147" t="s">
        <v>6104</v>
      </c>
      <c r="S1079" s="134" t="s">
        <v>165</v>
      </c>
      <c r="T1079" s="134" t="s">
        <v>165</v>
      </c>
      <c r="U1079" s="127" t="s">
        <v>6105</v>
      </c>
      <c r="V1079" s="127" t="s">
        <v>6349</v>
      </c>
      <c r="W1079" s="45" t="str">
        <f t="array" ref="W1079">HYPERLINK(INDEX('File Links'!B:B, MATCH(U1079, 'File Links'!C:C, 0)))
</f>
        <v>#N/A</v>
      </c>
      <c r="X1079" s="111"/>
      <c r="Y1079" s="127" t="s">
        <v>1820</v>
      </c>
      <c r="Z1079" s="111"/>
      <c r="AA1079" s="111"/>
      <c r="AB1079" s="111"/>
      <c r="AC1079" s="127" t="s">
        <v>6365</v>
      </c>
      <c r="AD1079" s="720">
        <v>16.0</v>
      </c>
      <c r="AE1079" s="720">
        <v>212.0</v>
      </c>
      <c r="AF1079" s="720">
        <v>0.655414885369319</v>
      </c>
      <c r="AG1079" s="127" t="s">
        <v>166</v>
      </c>
      <c r="AH1079" s="127" t="s">
        <v>175</v>
      </c>
      <c r="AI1079" s="120">
        <v>0.001</v>
      </c>
      <c r="AJ1079" s="112" t="s">
        <v>164</v>
      </c>
      <c r="AK1079" s="112" t="s">
        <v>128</v>
      </c>
      <c r="AL1079" s="127" t="s">
        <v>129</v>
      </c>
      <c r="AM1079" s="1297" t="s">
        <v>165</v>
      </c>
      <c r="AN1079" s="720">
        <v>137.0</v>
      </c>
      <c r="AO1079" s="720">
        <v>-0.0791498107444243</v>
      </c>
      <c r="AP1079" s="127" t="s">
        <v>166</v>
      </c>
      <c r="AQ1079" s="1297" t="s">
        <v>6112</v>
      </c>
      <c r="AR1079" s="720">
        <v>0.357634457118059</v>
      </c>
      <c r="AS1079" s="127" t="s">
        <v>164</v>
      </c>
      <c r="AT1079" s="127" t="s">
        <v>128</v>
      </c>
      <c r="AU1079" s="127" t="s">
        <v>129</v>
      </c>
      <c r="AV1079" s="1298" t="s">
        <v>165</v>
      </c>
      <c r="AW1079" s="127" t="s">
        <v>142</v>
      </c>
      <c r="AY1079" s="1297" t="s">
        <v>6113</v>
      </c>
    </row>
    <row r="1080">
      <c r="A1080" s="115" t="s">
        <v>143</v>
      </c>
      <c r="B1080" s="41" t="s">
        <v>107</v>
      </c>
      <c r="C1080" s="41" t="s">
        <v>108</v>
      </c>
      <c r="D1080" s="340"/>
      <c r="E1080" s="1289" t="s">
        <v>6370</v>
      </c>
      <c r="F1080" s="1290" t="s">
        <v>6371</v>
      </c>
      <c r="G1080" s="1291" t="s">
        <v>6097</v>
      </c>
      <c r="H1080" s="1292">
        <v>45688.0</v>
      </c>
      <c r="I1080" s="1293">
        <v>45692.0</v>
      </c>
      <c r="J1080" s="1289"/>
      <c r="K1080" s="1297" t="s">
        <v>6372</v>
      </c>
      <c r="L1080" s="1291" t="s">
        <v>6373</v>
      </c>
      <c r="M1080" s="1289" t="s">
        <v>6374</v>
      </c>
      <c r="N1080" s="1291" t="s">
        <v>6347</v>
      </c>
      <c r="O1080" s="127" t="str">
        <f t="shared" si="59"/>
        <v>10.1016--j.jesp.2020.104019.pdf</v>
      </c>
      <c r="P1080" s="48" t="str">
        <f t="array" ref="P1080">HYPERLINK(INDEX('File Links'!B:B, MATCH(O1080, 'File Links'!C:C, 0)))
</f>
        <v>https://drive.google.com/file/d/1HOPgbT8B7cSul5cTHeEI8GnCvj5F-kiw/view?usp=drivesdk</v>
      </c>
      <c r="Q1080" s="1291" t="s">
        <v>6103</v>
      </c>
      <c r="R1080" s="147" t="s">
        <v>6104</v>
      </c>
      <c r="S1080" s="134" t="s">
        <v>165</v>
      </c>
      <c r="T1080" s="134" t="s">
        <v>165</v>
      </c>
      <c r="U1080" s="1291" t="s">
        <v>6105</v>
      </c>
      <c r="V1080" s="127" t="s">
        <v>318</v>
      </c>
      <c r="W1080" s="45" t="str">
        <f t="array" ref="W1080">HYPERLINK(INDEX('File Links'!B:B, MATCH(U1080, 'File Links'!C:C, 0)))
</f>
        <v>#N/A</v>
      </c>
      <c r="X1080" s="1289"/>
      <c r="Y1080" s="1291" t="s">
        <v>220</v>
      </c>
      <c r="Z1080" s="350" t="s">
        <v>165</v>
      </c>
      <c r="AA1080" s="1289" t="s">
        <v>6375</v>
      </c>
      <c r="AB1080" s="1291" t="s">
        <v>6376</v>
      </c>
      <c r="AC1080" s="127" t="s">
        <v>6377</v>
      </c>
      <c r="AD1080" s="720">
        <v>5.0</v>
      </c>
      <c r="AE1080" s="720">
        <v>372.0</v>
      </c>
      <c r="AF1080" s="720">
        <v>0.24</v>
      </c>
      <c r="AG1080" s="127" t="s">
        <v>166</v>
      </c>
      <c r="AH1080" s="127" t="s">
        <v>892</v>
      </c>
      <c r="AI1080" s="120">
        <v>0.022</v>
      </c>
      <c r="AJ1080" s="112" t="s">
        <v>164</v>
      </c>
      <c r="AK1080" s="112" t="s">
        <v>128</v>
      </c>
      <c r="AL1080" s="127" t="s">
        <v>129</v>
      </c>
      <c r="AM1080" s="1317" t="s">
        <v>6378</v>
      </c>
      <c r="AN1080" s="1294">
        <v>118.0</v>
      </c>
      <c r="AO1080" s="1316">
        <v>0.0985426851581148</v>
      </c>
      <c r="AP1080" s="1289" t="s">
        <v>166</v>
      </c>
      <c r="AQ1080" s="1297" t="s">
        <v>6112</v>
      </c>
      <c r="AR1080" s="1316">
        <v>0.288681420512208</v>
      </c>
      <c r="AS1080" s="1289" t="s">
        <v>164</v>
      </c>
      <c r="AT1080" s="1289" t="s">
        <v>179</v>
      </c>
      <c r="AU1080" s="1289" t="s">
        <v>129</v>
      </c>
      <c r="AV1080" s="1298" t="s">
        <v>165</v>
      </c>
      <c r="AW1080" s="1289" t="s">
        <v>134</v>
      </c>
      <c r="AY1080" s="1297" t="s">
        <v>6113</v>
      </c>
    </row>
    <row r="1081">
      <c r="A1081" s="115" t="s">
        <v>143</v>
      </c>
      <c r="B1081" s="41" t="s">
        <v>107</v>
      </c>
      <c r="C1081" s="41" t="s">
        <v>108</v>
      </c>
      <c r="D1081" s="340"/>
      <c r="E1081" s="1289" t="s">
        <v>6370</v>
      </c>
      <c r="F1081" s="1290" t="s">
        <v>6379</v>
      </c>
      <c r="G1081" s="1291" t="s">
        <v>6097</v>
      </c>
      <c r="H1081" s="1292">
        <v>45688.0</v>
      </c>
      <c r="I1081" s="1293">
        <v>45692.0</v>
      </c>
      <c r="J1081" s="1289"/>
      <c r="K1081" s="1297" t="s">
        <v>6372</v>
      </c>
      <c r="L1081" s="1291" t="s">
        <v>6373</v>
      </c>
      <c r="M1081" s="1289" t="s">
        <v>6374</v>
      </c>
      <c r="N1081" s="1291" t="s">
        <v>6347</v>
      </c>
      <c r="O1081" s="127" t="str">
        <f t="shared" si="59"/>
        <v>10.1016--j.jesp.2020.104019.pdf</v>
      </c>
      <c r="P1081" s="48" t="str">
        <f t="array" ref="P1081">HYPERLINK(INDEX('File Links'!B:B, MATCH(O1081, 'File Links'!C:C, 0)))
</f>
        <v>https://drive.google.com/file/d/1HOPgbT8B7cSul5cTHeEI8GnCvj5F-kiw/view?usp=drivesdk</v>
      </c>
      <c r="Q1081" s="1291" t="s">
        <v>6103</v>
      </c>
      <c r="R1081" s="147" t="s">
        <v>6104</v>
      </c>
      <c r="S1081" s="134" t="s">
        <v>165</v>
      </c>
      <c r="T1081" s="134" t="s">
        <v>165</v>
      </c>
      <c r="U1081" s="1291" t="s">
        <v>6105</v>
      </c>
      <c r="V1081" s="127" t="s">
        <v>318</v>
      </c>
      <c r="W1081" s="45" t="str">
        <f t="array" ref="W1081">HYPERLINK(INDEX('File Links'!B:B, MATCH(U1081, 'File Links'!C:C, 0)))
</f>
        <v>#N/A</v>
      </c>
      <c r="X1081" s="1289"/>
      <c r="Y1081" s="1291" t="s">
        <v>220</v>
      </c>
      <c r="Z1081" s="350" t="s">
        <v>165</v>
      </c>
      <c r="AA1081" s="1289" t="s">
        <v>6375</v>
      </c>
      <c r="AB1081" s="1291" t="s">
        <v>6380</v>
      </c>
      <c r="AC1081" s="127" t="s">
        <v>6377</v>
      </c>
      <c r="AD1081" s="720">
        <v>5.0</v>
      </c>
      <c r="AE1081" s="720">
        <v>372.0</v>
      </c>
      <c r="AF1081" s="720">
        <v>0.24</v>
      </c>
      <c r="AG1081" s="127" t="s">
        <v>166</v>
      </c>
      <c r="AH1081" s="127" t="s">
        <v>892</v>
      </c>
      <c r="AI1081" s="120">
        <v>0.022</v>
      </c>
      <c r="AJ1081" s="112" t="s">
        <v>164</v>
      </c>
      <c r="AK1081" s="112" t="s">
        <v>128</v>
      </c>
      <c r="AL1081" s="127" t="s">
        <v>129</v>
      </c>
      <c r="AM1081" s="1317" t="s">
        <v>6378</v>
      </c>
      <c r="AN1081" s="1294">
        <v>118.0</v>
      </c>
      <c r="AO1081" s="1316">
        <v>0.0985426851581148</v>
      </c>
      <c r="AP1081" s="1289" t="s">
        <v>166</v>
      </c>
      <c r="AQ1081" s="1297" t="s">
        <v>6112</v>
      </c>
      <c r="AR1081" s="1316">
        <v>0.288681420512208</v>
      </c>
      <c r="AS1081" s="1289" t="s">
        <v>164</v>
      </c>
      <c r="AT1081" s="1289" t="s">
        <v>179</v>
      </c>
      <c r="AU1081" s="1289" t="s">
        <v>129</v>
      </c>
      <c r="AV1081" s="1298" t="s">
        <v>165</v>
      </c>
      <c r="AW1081" s="1289" t="s">
        <v>134</v>
      </c>
      <c r="AY1081" s="1297" t="s">
        <v>6113</v>
      </c>
    </row>
    <row r="1082">
      <c r="A1082" s="115" t="s">
        <v>106</v>
      </c>
      <c r="B1082" s="41" t="s">
        <v>107</v>
      </c>
      <c r="C1082" s="41" t="s">
        <v>243</v>
      </c>
      <c r="D1082" s="340"/>
      <c r="E1082" s="112" t="s">
        <v>6370</v>
      </c>
      <c r="F1082" s="116" t="s">
        <v>6371</v>
      </c>
      <c r="G1082" s="127" t="s">
        <v>244</v>
      </c>
      <c r="H1082" s="310">
        <v>45665.0</v>
      </c>
      <c r="I1082" s="1301">
        <v>45692.0</v>
      </c>
      <c r="J1082" s="111"/>
      <c r="K1082" s="111" t="s">
        <v>6099</v>
      </c>
      <c r="L1082" s="127" t="s">
        <v>6373</v>
      </c>
      <c r="M1082" s="127" t="s">
        <v>6374</v>
      </c>
      <c r="N1082" s="111"/>
      <c r="O1082" s="127" t="str">
        <f t="shared" si="59"/>
        <v>10.1016--j.jesp.2020.104019.pdf</v>
      </c>
      <c r="P1082" s="48" t="str">
        <f t="array" ref="P1082">HYPERLINK(INDEX('File Links'!B:B, MATCH(O1082, 'File Links'!C:C, 0)))
</f>
        <v>https://drive.google.com/file/d/1HOPgbT8B7cSul5cTHeEI8GnCvj5F-kiw/view?usp=drivesdk</v>
      </c>
      <c r="Q1082" s="127" t="s">
        <v>6381</v>
      </c>
      <c r="R1082" s="147" t="s">
        <v>6104</v>
      </c>
      <c r="S1082" s="134" t="s">
        <v>165</v>
      </c>
      <c r="T1082" s="134" t="s">
        <v>165</v>
      </c>
      <c r="U1082" s="127" t="s">
        <v>6105</v>
      </c>
      <c r="V1082" s="127" t="s">
        <v>318</v>
      </c>
      <c r="W1082" s="45" t="str">
        <f t="array" ref="W1082">HYPERLINK(INDEX('File Links'!B:B, MATCH(U1082, 'File Links'!C:C, 0)))
</f>
        <v>#N/A</v>
      </c>
      <c r="X1082" s="111"/>
      <c r="Y1082" s="127" t="s">
        <v>220</v>
      </c>
      <c r="Z1082" s="111"/>
      <c r="AA1082" s="111"/>
      <c r="AB1082" s="111"/>
      <c r="AC1082" s="127" t="s">
        <v>6377</v>
      </c>
      <c r="AD1082" s="720">
        <v>5.0</v>
      </c>
      <c r="AE1082" s="720">
        <v>372.0</v>
      </c>
      <c r="AF1082" s="720">
        <v>0.24</v>
      </c>
      <c r="AG1082" s="127" t="s">
        <v>166</v>
      </c>
      <c r="AH1082" s="127" t="s">
        <v>892</v>
      </c>
      <c r="AI1082" s="120">
        <v>0.022</v>
      </c>
      <c r="AJ1082" s="112" t="s">
        <v>164</v>
      </c>
      <c r="AK1082" s="112" t="s">
        <v>128</v>
      </c>
      <c r="AL1082" s="127" t="s">
        <v>129</v>
      </c>
      <c r="AM1082" s="1326" t="s">
        <v>6382</v>
      </c>
      <c r="AN1082" s="720">
        <v>118.0</v>
      </c>
      <c r="AO1082" s="720">
        <v>0.0985426851581148</v>
      </c>
      <c r="AP1082" s="127" t="s">
        <v>166</v>
      </c>
      <c r="AQ1082" s="1297" t="s">
        <v>6112</v>
      </c>
      <c r="AR1082" s="720">
        <v>0.288681420512208</v>
      </c>
      <c r="AS1082" s="127" t="s">
        <v>164</v>
      </c>
      <c r="AT1082" s="127" t="s">
        <v>128</v>
      </c>
      <c r="AU1082" s="127" t="s">
        <v>129</v>
      </c>
      <c r="AV1082" s="1298" t="s">
        <v>165</v>
      </c>
      <c r="AW1082" s="127" t="s">
        <v>134</v>
      </c>
      <c r="AY1082" s="1297" t="s">
        <v>6113</v>
      </c>
    </row>
    <row r="1083">
      <c r="A1083" s="60" t="s">
        <v>106</v>
      </c>
      <c r="B1083" s="41" t="s">
        <v>107</v>
      </c>
      <c r="C1083" s="41" t="s">
        <v>108</v>
      </c>
      <c r="D1083" s="340"/>
      <c r="E1083" s="1289" t="s">
        <v>6383</v>
      </c>
      <c r="F1083" s="1290" t="s">
        <v>6384</v>
      </c>
      <c r="G1083" s="1291" t="s">
        <v>6097</v>
      </c>
      <c r="H1083" s="1292">
        <v>45688.0</v>
      </c>
      <c r="I1083" s="1293">
        <v>45692.0</v>
      </c>
      <c r="J1083" s="1289" t="s">
        <v>6185</v>
      </c>
      <c r="K1083" s="1289" t="s">
        <v>6099</v>
      </c>
      <c r="L1083" s="1291" t="s">
        <v>6385</v>
      </c>
      <c r="M1083" s="1291" t="s">
        <v>6386</v>
      </c>
      <c r="N1083" s="1294">
        <v>1.0</v>
      </c>
      <c r="O1083" s="1291" t="s">
        <v>6387</v>
      </c>
      <c r="P1083" s="48" t="str">
        <f t="array" ref="P1083">HYPERLINK(INDEX('File Links'!B:B, MATCH(O1083, 'File Links'!C:C, 0)))
</f>
        <v>https://drive.google.com/file/d/1UjvynnYEPZHicucFMnLs5zd6tciLP1ET/view?usp=drivesdk</v>
      </c>
      <c r="Q1083" s="1291" t="s">
        <v>6103</v>
      </c>
      <c r="R1083" s="147" t="s">
        <v>6104</v>
      </c>
      <c r="S1083" s="134" t="s">
        <v>165</v>
      </c>
      <c r="T1083" s="134" t="s">
        <v>165</v>
      </c>
      <c r="U1083" s="1291" t="s">
        <v>6105</v>
      </c>
      <c r="V1083" s="127" t="s">
        <v>318</v>
      </c>
      <c r="W1083" s="45" t="str">
        <f t="array" ref="W1083">HYPERLINK(INDEX('File Links'!B:B, MATCH(U1083, 'File Links'!C:C, 0)))
</f>
        <v>#N/A</v>
      </c>
      <c r="X1083" s="1289"/>
      <c r="Y1083" s="1291" t="s">
        <v>139</v>
      </c>
      <c r="Z1083" s="1289" t="s">
        <v>768</v>
      </c>
      <c r="AA1083" s="1289" t="s">
        <v>6388</v>
      </c>
      <c r="AB1083" s="1291" t="s">
        <v>6389</v>
      </c>
      <c r="AC1083" s="1289" t="s">
        <v>768</v>
      </c>
      <c r="AD1083" s="1289" t="s">
        <v>768</v>
      </c>
      <c r="AE1083" s="1294">
        <v>180.0</v>
      </c>
      <c r="AF1083" s="1289" t="s">
        <v>768</v>
      </c>
      <c r="AG1083" s="1289" t="s">
        <v>768</v>
      </c>
      <c r="AH1083" s="1289" t="s">
        <v>768</v>
      </c>
      <c r="AI1083" s="1295" t="s">
        <v>768</v>
      </c>
      <c r="AJ1083" s="1296" t="s">
        <v>768</v>
      </c>
      <c r="AK1083" s="1296" t="s">
        <v>179</v>
      </c>
      <c r="AL1083" s="1289" t="s">
        <v>129</v>
      </c>
      <c r="AM1083" s="1297" t="s">
        <v>165</v>
      </c>
      <c r="AN1083" s="1294">
        <v>179.0</v>
      </c>
      <c r="AO1083" s="1297" t="s">
        <v>165</v>
      </c>
      <c r="AP1083" s="1289" t="s">
        <v>768</v>
      </c>
      <c r="AQ1083" s="1297" t="s">
        <v>6112</v>
      </c>
      <c r="AR1083" s="1289" t="s">
        <v>768</v>
      </c>
      <c r="AS1083" s="1289" t="s">
        <v>768</v>
      </c>
      <c r="AT1083" s="1289" t="s">
        <v>179</v>
      </c>
      <c r="AU1083" s="1289" t="s">
        <v>129</v>
      </c>
      <c r="AV1083" s="1298" t="s">
        <v>165</v>
      </c>
      <c r="AW1083" s="1289" t="s">
        <v>134</v>
      </c>
      <c r="AY1083" s="1297" t="s">
        <v>6113</v>
      </c>
    </row>
    <row r="1084">
      <c r="A1084" s="115" t="s">
        <v>143</v>
      </c>
      <c r="B1084" s="41" t="s">
        <v>107</v>
      </c>
      <c r="C1084" s="41" t="s">
        <v>243</v>
      </c>
      <c r="D1084" s="340"/>
      <c r="E1084" s="112" t="s">
        <v>6383</v>
      </c>
      <c r="F1084" s="116" t="s">
        <v>6384</v>
      </c>
      <c r="G1084" s="127" t="s">
        <v>244</v>
      </c>
      <c r="H1084" s="310">
        <v>45665.0</v>
      </c>
      <c r="I1084" s="1301">
        <v>45692.0</v>
      </c>
      <c r="J1084" s="111"/>
      <c r="K1084" s="111" t="s">
        <v>6099</v>
      </c>
      <c r="L1084" s="127" t="s">
        <v>6385</v>
      </c>
      <c r="M1084" s="127" t="s">
        <v>6386</v>
      </c>
      <c r="N1084" s="1294">
        <v>1.0</v>
      </c>
      <c r="O1084" s="127" t="str">
        <f t="shared" ref="O1084:O1090" si="60"> SUBSTITUTE(lower(M1084), "/", "--") &amp;  ".pdf"</f>
        <v>10.1073--pnas.1216438110.pdf</v>
      </c>
      <c r="P1084" s="48" t="str">
        <f t="array" ref="P1084">HYPERLINK(INDEX('File Links'!B:B, MATCH(O1084, 'File Links'!C:C, 0)))
</f>
        <v>https://drive.google.com/file/d/1UjvynnYEPZHicucFMnLs5zd6tciLP1ET/view?usp=drivesdk</v>
      </c>
      <c r="Q1084" s="127" t="s">
        <v>6390</v>
      </c>
      <c r="R1084" s="147" t="s">
        <v>6104</v>
      </c>
      <c r="S1084" s="134" t="s">
        <v>165</v>
      </c>
      <c r="T1084" s="134" t="s">
        <v>165</v>
      </c>
      <c r="U1084" s="127" t="s">
        <v>6105</v>
      </c>
      <c r="V1084" s="127" t="s">
        <v>318</v>
      </c>
      <c r="W1084" s="45" t="str">
        <f t="array" ref="W1084">HYPERLINK(INDEX('File Links'!B:B, MATCH(U1084, 'File Links'!C:C, 0)))
</f>
        <v>#N/A</v>
      </c>
      <c r="X1084" s="111"/>
      <c r="Y1084" s="127" t="s">
        <v>139</v>
      </c>
      <c r="Z1084" s="128" t="s">
        <v>165</v>
      </c>
      <c r="AA1084" s="1289" t="s">
        <v>6388</v>
      </c>
      <c r="AB1084" s="1291" t="s">
        <v>6389</v>
      </c>
      <c r="AC1084" s="127" t="s">
        <v>6391</v>
      </c>
      <c r="AD1084" s="720">
        <v>8054.0</v>
      </c>
      <c r="AE1084" s="720">
        <v>180.0</v>
      </c>
      <c r="AF1084" s="720">
        <v>3.37</v>
      </c>
      <c r="AG1084" s="127" t="s">
        <v>1006</v>
      </c>
      <c r="AH1084" s="127" t="s">
        <v>6392</v>
      </c>
      <c r="AI1084" s="120">
        <v>1.0E-4</v>
      </c>
      <c r="AJ1084" s="112" t="s">
        <v>127</v>
      </c>
      <c r="AK1084" s="112" t="s">
        <v>179</v>
      </c>
      <c r="AL1084" s="127" t="s">
        <v>132</v>
      </c>
      <c r="AM1084" s="1297" t="s">
        <v>165</v>
      </c>
      <c r="AN1084" s="720">
        <v>179.0</v>
      </c>
      <c r="AO1084" s="720">
        <v>-1.827</v>
      </c>
      <c r="AP1084" s="127" t="s">
        <v>1006</v>
      </c>
      <c r="AQ1084" s="1297" t="s">
        <v>6112</v>
      </c>
      <c r="AR1084" s="1318">
        <v>1.0E-4</v>
      </c>
      <c r="AS1084" s="127" t="s">
        <v>127</v>
      </c>
      <c r="AT1084" s="127" t="s">
        <v>179</v>
      </c>
      <c r="AU1084" s="127" t="s">
        <v>132</v>
      </c>
      <c r="AV1084" s="1298" t="s">
        <v>165</v>
      </c>
      <c r="AW1084" s="127" t="s">
        <v>134</v>
      </c>
      <c r="AY1084" s="1297" t="s">
        <v>6113</v>
      </c>
    </row>
    <row r="1085">
      <c r="A1085" s="115" t="s">
        <v>143</v>
      </c>
      <c r="B1085" s="41" t="s">
        <v>107</v>
      </c>
      <c r="C1085" s="41" t="s">
        <v>108</v>
      </c>
      <c r="D1085" s="340"/>
      <c r="E1085" s="1289" t="s">
        <v>6393</v>
      </c>
      <c r="F1085" s="1290" t="s">
        <v>6394</v>
      </c>
      <c r="G1085" s="1291" t="s">
        <v>6097</v>
      </c>
      <c r="H1085" s="1292">
        <v>45688.0</v>
      </c>
      <c r="I1085" s="1293">
        <v>45692.0</v>
      </c>
      <c r="J1085" s="1289"/>
      <c r="K1085" s="1289" t="s">
        <v>6099</v>
      </c>
      <c r="L1085" s="1291" t="s">
        <v>6395</v>
      </c>
      <c r="M1085" s="1289" t="s">
        <v>6396</v>
      </c>
      <c r="N1085" s="1294">
        <v>5.0</v>
      </c>
      <c r="O1085" s="127" t="str">
        <f t="shared" si="60"/>
        <v>10.1016--0010-0285(83)90002-6.pdf</v>
      </c>
      <c r="P1085" s="48" t="str">
        <f t="array" ref="P1085">HYPERLINK(INDEX('File Links'!B:B, MATCH(O1085, 'File Links'!C:C, 0)))
</f>
        <v>https://drive.google.com/file/d/1VK50exEXQ_rClong6zFoFteT2CKKkjmO/view?usp=drivesdk</v>
      </c>
      <c r="Q1085" s="1291" t="s">
        <v>6103</v>
      </c>
      <c r="R1085" s="147" t="s">
        <v>6104</v>
      </c>
      <c r="S1085" s="134" t="s">
        <v>165</v>
      </c>
      <c r="T1085" s="134" t="s">
        <v>165</v>
      </c>
      <c r="U1085" s="1291" t="s">
        <v>6105</v>
      </c>
      <c r="V1085" s="127" t="s">
        <v>6117</v>
      </c>
      <c r="W1085" s="45" t="str">
        <f t="array" ref="W1085">HYPERLINK(INDEX('File Links'!B:B, MATCH(U1085, 'File Links'!C:C, 0)))
</f>
        <v>#N/A</v>
      </c>
      <c r="X1085" s="1289"/>
      <c r="Y1085" s="1291" t="s">
        <v>139</v>
      </c>
      <c r="Z1085" s="350" t="s">
        <v>165</v>
      </c>
      <c r="AA1085" s="1289" t="s">
        <v>6397</v>
      </c>
      <c r="AB1085" s="1291" t="s">
        <v>6398</v>
      </c>
      <c r="AC1085" s="1289" t="s">
        <v>6399</v>
      </c>
      <c r="AD1085" s="1316">
        <v>26.0</v>
      </c>
      <c r="AE1085" s="1294">
        <v>143.0</v>
      </c>
      <c r="AF1085" s="1289" t="s">
        <v>6400</v>
      </c>
      <c r="AG1085" s="1289" t="s">
        <v>162</v>
      </c>
      <c r="AH1085" s="1289" t="s">
        <v>2303</v>
      </c>
      <c r="AI1085" s="1300">
        <v>0.01</v>
      </c>
      <c r="AJ1085" s="1296" t="s">
        <v>127</v>
      </c>
      <c r="AK1085" s="1296" t="s">
        <v>179</v>
      </c>
      <c r="AL1085" s="1289" t="s">
        <v>129</v>
      </c>
      <c r="AM1085" s="1297" t="s">
        <v>165</v>
      </c>
      <c r="AN1085" s="1294">
        <v>175.0</v>
      </c>
      <c r="AO1085" s="1289" t="s">
        <v>6401</v>
      </c>
      <c r="AP1085" s="350" t="s">
        <v>165</v>
      </c>
      <c r="AQ1085" s="1297" t="s">
        <v>6112</v>
      </c>
      <c r="AR1085" s="350" t="s">
        <v>165</v>
      </c>
      <c r="AS1085" s="128" t="s">
        <v>165</v>
      </c>
      <c r="AT1085" s="1289" t="s">
        <v>179</v>
      </c>
      <c r="AU1085" s="1289" t="s">
        <v>129</v>
      </c>
      <c r="AV1085" s="1298" t="s">
        <v>165</v>
      </c>
      <c r="AW1085" s="1289" t="s">
        <v>134</v>
      </c>
      <c r="AY1085" s="1297" t="s">
        <v>6113</v>
      </c>
    </row>
    <row r="1086">
      <c r="A1086" s="115" t="s">
        <v>106</v>
      </c>
      <c r="B1086" s="41" t="s">
        <v>107</v>
      </c>
      <c r="C1086" s="41" t="s">
        <v>243</v>
      </c>
      <c r="D1086" s="340"/>
      <c r="E1086" s="112" t="s">
        <v>6393</v>
      </c>
      <c r="F1086" s="116" t="s">
        <v>6394</v>
      </c>
      <c r="G1086" s="127" t="s">
        <v>244</v>
      </c>
      <c r="H1086" s="310">
        <v>45665.0</v>
      </c>
      <c r="I1086" s="1301">
        <v>45692.0</v>
      </c>
      <c r="J1086" s="127" t="s">
        <v>6402</v>
      </c>
      <c r="K1086" s="111" t="s">
        <v>6403</v>
      </c>
      <c r="L1086" s="127" t="s">
        <v>6395</v>
      </c>
      <c r="M1086" s="127" t="s">
        <v>6396</v>
      </c>
      <c r="N1086" s="1294">
        <v>5.0</v>
      </c>
      <c r="O1086" s="127" t="str">
        <f t="shared" si="60"/>
        <v>10.1016--0010-0285(83)90002-6.pdf</v>
      </c>
      <c r="P1086" s="48" t="str">
        <f t="array" ref="P1086">HYPERLINK(INDEX('File Links'!B:B, MATCH(O1086, 'File Links'!C:C, 0)))
</f>
        <v>https://drive.google.com/file/d/1VK50exEXQ_rClong6zFoFteT2CKKkjmO/view?usp=drivesdk</v>
      </c>
      <c r="Q1086" s="127" t="s">
        <v>6404</v>
      </c>
      <c r="R1086" s="147" t="s">
        <v>6104</v>
      </c>
      <c r="S1086" s="134" t="s">
        <v>165</v>
      </c>
      <c r="T1086" s="134" t="s">
        <v>165</v>
      </c>
      <c r="U1086" s="127" t="s">
        <v>6105</v>
      </c>
      <c r="V1086" s="127" t="s">
        <v>6117</v>
      </c>
      <c r="W1086" s="45" t="str">
        <f t="array" ref="W1086">HYPERLINK(INDEX('File Links'!B:B, MATCH(U1086, 'File Links'!C:C, 0)))
</f>
        <v>#N/A</v>
      </c>
      <c r="X1086" s="111"/>
      <c r="Y1086" s="127" t="s">
        <v>139</v>
      </c>
      <c r="Z1086" s="111"/>
      <c r="AA1086" s="111"/>
      <c r="AB1086" s="111"/>
      <c r="AC1086" s="127" t="s">
        <v>165</v>
      </c>
      <c r="AD1086" s="127" t="s">
        <v>165</v>
      </c>
      <c r="AE1086" s="720">
        <v>143.0</v>
      </c>
      <c r="AF1086" s="127" t="s">
        <v>165</v>
      </c>
      <c r="AG1086" s="127" t="s">
        <v>165</v>
      </c>
      <c r="AH1086" s="127" t="s">
        <v>165</v>
      </c>
      <c r="AI1086" s="212" t="s">
        <v>165</v>
      </c>
      <c r="AJ1086" s="119"/>
      <c r="AK1086" s="112" t="s">
        <v>179</v>
      </c>
      <c r="AL1086" s="127" t="s">
        <v>821</v>
      </c>
      <c r="AM1086" s="1297" t="s">
        <v>165</v>
      </c>
      <c r="AN1086" s="720">
        <v>175.0</v>
      </c>
      <c r="AO1086" s="127" t="s">
        <v>165</v>
      </c>
      <c r="AP1086" s="111"/>
      <c r="AQ1086" s="1297" t="s">
        <v>6112</v>
      </c>
      <c r="AR1086" s="1327" t="s">
        <v>165</v>
      </c>
      <c r="AS1086" s="111"/>
      <c r="AT1086" s="127" t="s">
        <v>179</v>
      </c>
      <c r="AU1086" s="127" t="s">
        <v>821</v>
      </c>
      <c r="AV1086" s="1298" t="s">
        <v>165</v>
      </c>
      <c r="AW1086" s="127" t="s">
        <v>134</v>
      </c>
      <c r="AY1086" s="1297" t="s">
        <v>6113</v>
      </c>
    </row>
    <row r="1087">
      <c r="A1087" s="115" t="s">
        <v>143</v>
      </c>
      <c r="B1087" s="41" t="s">
        <v>107</v>
      </c>
      <c r="C1087" s="41" t="s">
        <v>108</v>
      </c>
      <c r="D1087" s="340"/>
      <c r="E1087" s="1289" t="s">
        <v>6405</v>
      </c>
      <c r="F1087" s="1290" t="s">
        <v>6406</v>
      </c>
      <c r="G1087" s="1291" t="s">
        <v>6097</v>
      </c>
      <c r="H1087" s="1292">
        <v>45688.0</v>
      </c>
      <c r="I1087" s="1293">
        <v>45692.0</v>
      </c>
      <c r="J1087" s="1314" t="s">
        <v>6407</v>
      </c>
      <c r="K1087" s="1289" t="s">
        <v>6099</v>
      </c>
      <c r="L1087" s="1291" t="s">
        <v>6408</v>
      </c>
      <c r="M1087" s="1289" t="s">
        <v>6409</v>
      </c>
      <c r="N1087" s="1294">
        <v>1.0</v>
      </c>
      <c r="O1087" s="127" t="str">
        <f t="shared" si="60"/>
        <v>10.1037--a0035663.pdf</v>
      </c>
      <c r="P1087" s="48" t="str">
        <f t="array" ref="P1087">HYPERLINK(INDEX('File Links'!B:B, MATCH(O1087, 'File Links'!C:C, 0)))
</f>
        <v>https://drive.google.com/file/d/1CjT1O6wWYuXyGwX2IDXgjfNdv5kWTW3m/view?usp=drivesdk</v>
      </c>
      <c r="Q1087" s="1291" t="s">
        <v>6103</v>
      </c>
      <c r="R1087" s="147" t="s">
        <v>6104</v>
      </c>
      <c r="S1087" s="134" t="s">
        <v>165</v>
      </c>
      <c r="T1087" s="134" t="s">
        <v>165</v>
      </c>
      <c r="U1087" s="1291" t="s">
        <v>6105</v>
      </c>
      <c r="V1087" s="127" t="s">
        <v>318</v>
      </c>
      <c r="W1087" s="45" t="str">
        <f t="array" ref="W1087">HYPERLINK(INDEX('File Links'!B:B, MATCH(U1087, 'File Links'!C:C, 0)))
</f>
        <v>#N/A</v>
      </c>
      <c r="X1087" s="1289"/>
      <c r="Y1087" s="1291" t="s">
        <v>220</v>
      </c>
      <c r="Z1087" s="350" t="s">
        <v>165</v>
      </c>
      <c r="AA1087" s="1289" t="s">
        <v>6410</v>
      </c>
      <c r="AB1087" s="1291" t="s">
        <v>6411</v>
      </c>
      <c r="AC1087" s="1297" t="s">
        <v>165</v>
      </c>
      <c r="AD1087" s="1297" t="s">
        <v>165</v>
      </c>
      <c r="AE1087" s="1294">
        <v>123.0</v>
      </c>
      <c r="AF1087" s="1316">
        <v>0.727147426592434</v>
      </c>
      <c r="AG1087" s="1289" t="s">
        <v>166</v>
      </c>
      <c r="AH1087" s="1297" t="s">
        <v>165</v>
      </c>
      <c r="AI1087" s="1300">
        <v>0.00148066986056677</v>
      </c>
      <c r="AJ1087" s="1296" t="s">
        <v>164</v>
      </c>
      <c r="AK1087" s="1296" t="s">
        <v>179</v>
      </c>
      <c r="AL1087" s="1289" t="s">
        <v>129</v>
      </c>
      <c r="AM1087" s="1297" t="s">
        <v>165</v>
      </c>
      <c r="AN1087" s="1294">
        <v>50.0</v>
      </c>
      <c r="AO1087" s="1316">
        <v>-0.0689775913850995</v>
      </c>
      <c r="AP1087" s="1289" t="s">
        <v>166</v>
      </c>
      <c r="AQ1087" s="1297" t="s">
        <v>165</v>
      </c>
      <c r="AR1087" s="1316">
        <v>0.640831197761496</v>
      </c>
      <c r="AS1087" s="1289" t="s">
        <v>164</v>
      </c>
      <c r="AT1087" s="1289" t="s">
        <v>179</v>
      </c>
      <c r="AU1087" s="1289" t="s">
        <v>129</v>
      </c>
      <c r="AV1087" s="1298" t="s">
        <v>165</v>
      </c>
      <c r="AW1087" s="1289" t="s">
        <v>134</v>
      </c>
      <c r="AY1087" s="1297" t="s">
        <v>6113</v>
      </c>
    </row>
    <row r="1088">
      <c r="A1088" s="115" t="s">
        <v>106</v>
      </c>
      <c r="B1088" s="41" t="s">
        <v>107</v>
      </c>
      <c r="C1088" s="41" t="s">
        <v>243</v>
      </c>
      <c r="D1088" s="340"/>
      <c r="E1088" s="112" t="s">
        <v>6405</v>
      </c>
      <c r="F1088" s="116" t="s">
        <v>6406</v>
      </c>
      <c r="G1088" s="127" t="s">
        <v>244</v>
      </c>
      <c r="H1088" s="310">
        <v>45665.0</v>
      </c>
      <c r="I1088" s="1301">
        <v>45692.0</v>
      </c>
      <c r="J1088" s="606" t="s">
        <v>6412</v>
      </c>
      <c r="K1088" s="111" t="s">
        <v>6413</v>
      </c>
      <c r="L1088" s="127" t="s">
        <v>6408</v>
      </c>
      <c r="M1088" s="127" t="s">
        <v>6409</v>
      </c>
      <c r="N1088" s="111"/>
      <c r="O1088" s="127" t="str">
        <f t="shared" si="60"/>
        <v>10.1037--a0035663.pdf</v>
      </c>
      <c r="P1088" s="48" t="str">
        <f t="array" ref="P1088">HYPERLINK(INDEX('File Links'!B:B, MATCH(O1088, 'File Links'!C:C, 0)))
</f>
        <v>https://drive.google.com/file/d/1CjT1O6wWYuXyGwX2IDXgjfNdv5kWTW3m/view?usp=drivesdk</v>
      </c>
      <c r="Q1088" s="127" t="s">
        <v>6414</v>
      </c>
      <c r="R1088" s="147" t="s">
        <v>6104</v>
      </c>
      <c r="S1088" s="134" t="s">
        <v>165</v>
      </c>
      <c r="T1088" s="134" t="s">
        <v>165</v>
      </c>
      <c r="U1088" s="127" t="s">
        <v>6105</v>
      </c>
      <c r="V1088" s="127" t="s">
        <v>318</v>
      </c>
      <c r="W1088" s="45" t="str">
        <f t="array" ref="W1088">HYPERLINK(INDEX('File Links'!B:B, MATCH(U1088, 'File Links'!C:C, 0)))
</f>
        <v>#N/A</v>
      </c>
      <c r="X1088" s="111"/>
      <c r="Y1088" s="127" t="s">
        <v>220</v>
      </c>
      <c r="Z1088" s="111"/>
      <c r="AA1088" s="111"/>
      <c r="AB1088" s="111"/>
      <c r="AC1088" s="127" t="s">
        <v>165</v>
      </c>
      <c r="AD1088" s="127" t="s">
        <v>165</v>
      </c>
      <c r="AE1088" s="720">
        <v>123.0</v>
      </c>
      <c r="AF1088" s="720">
        <v>0.727147426592434</v>
      </c>
      <c r="AG1088" s="127" t="s">
        <v>166</v>
      </c>
      <c r="AH1088" s="127" t="s">
        <v>165</v>
      </c>
      <c r="AI1088" s="120">
        <v>0.00148066986056677</v>
      </c>
      <c r="AJ1088" s="119"/>
      <c r="AK1088" s="112" t="s">
        <v>179</v>
      </c>
      <c r="AL1088" s="127" t="s">
        <v>821</v>
      </c>
      <c r="AM1088" s="1297" t="s">
        <v>165</v>
      </c>
      <c r="AN1088" s="720">
        <v>50.0</v>
      </c>
      <c r="AO1088" s="720">
        <v>-0.0689775913850995</v>
      </c>
      <c r="AP1088" s="127" t="s">
        <v>166</v>
      </c>
      <c r="AQ1088" s="1297" t="s">
        <v>6112</v>
      </c>
      <c r="AR1088" s="720">
        <v>0.640831197761496</v>
      </c>
      <c r="AS1088" s="127" t="s">
        <v>164</v>
      </c>
      <c r="AT1088" s="127" t="s">
        <v>179</v>
      </c>
      <c r="AU1088" s="127" t="s">
        <v>821</v>
      </c>
      <c r="AV1088" s="1298" t="s">
        <v>165</v>
      </c>
      <c r="AW1088" s="127" t="s">
        <v>134</v>
      </c>
      <c r="AY1088" s="1297" t="s">
        <v>6113</v>
      </c>
    </row>
    <row r="1089">
      <c r="A1089" s="115" t="s">
        <v>143</v>
      </c>
      <c r="B1089" s="41" t="s">
        <v>107</v>
      </c>
      <c r="C1089" s="41" t="s">
        <v>108</v>
      </c>
      <c r="D1089" s="340"/>
      <c r="E1089" s="1289" t="s">
        <v>6415</v>
      </c>
      <c r="F1089" s="1290" t="s">
        <v>6416</v>
      </c>
      <c r="G1089" s="1291" t="s">
        <v>6097</v>
      </c>
      <c r="H1089" s="1292">
        <v>45688.0</v>
      </c>
      <c r="I1089" s="1293">
        <v>45692.0</v>
      </c>
      <c r="J1089" s="1289"/>
      <c r="K1089" s="1289" t="s">
        <v>6099</v>
      </c>
      <c r="L1089" s="1291" t="s">
        <v>6417</v>
      </c>
      <c r="M1089" s="1289" t="s">
        <v>6418</v>
      </c>
      <c r="N1089" s="1294">
        <v>1.0</v>
      </c>
      <c r="O1089" s="127" t="str">
        <f t="shared" si="60"/>
        <v>10.1093--geronb--gbx099.pdf</v>
      </c>
      <c r="P1089" s="48" t="str">
        <f t="array" ref="P1089">HYPERLINK(INDEX('File Links'!B:B, MATCH(O1089, 'File Links'!C:C, 0)))
</f>
        <v>https://drive.google.com/file/d/1Y64s8GHxNrRvDcvruC4sJnxL8xzdZcO-/view?usp=drivesdk</v>
      </c>
      <c r="Q1089" s="1291" t="s">
        <v>6103</v>
      </c>
      <c r="R1089" s="147" t="s">
        <v>6104</v>
      </c>
      <c r="S1089" s="134" t="s">
        <v>165</v>
      </c>
      <c r="T1089" s="134" t="s">
        <v>165</v>
      </c>
      <c r="U1089" s="1291" t="s">
        <v>6105</v>
      </c>
      <c r="V1089" s="127" t="s">
        <v>6349</v>
      </c>
      <c r="W1089" s="45" t="str">
        <f t="array" ref="W1089">HYPERLINK(INDEX('File Links'!B:B, MATCH(U1089, 'File Links'!C:C, 0)))
</f>
        <v>#N/A</v>
      </c>
      <c r="X1089" s="1289"/>
      <c r="Y1089" s="1291" t="s">
        <v>220</v>
      </c>
      <c r="Z1089" s="350" t="s">
        <v>165</v>
      </c>
      <c r="AA1089" s="1289" t="s">
        <v>6419</v>
      </c>
      <c r="AB1089" s="1291" t="s">
        <v>6420</v>
      </c>
      <c r="AC1089" s="1289" t="s">
        <v>6421</v>
      </c>
      <c r="AD1089" s="1316">
        <v>5.0</v>
      </c>
      <c r="AE1089" s="1294">
        <v>155.0</v>
      </c>
      <c r="AF1089" s="1328" t="s">
        <v>6422</v>
      </c>
      <c r="AG1089" s="1311" t="s">
        <v>6423</v>
      </c>
      <c r="AH1089" s="1329">
        <v>5.0</v>
      </c>
      <c r="AI1089" s="1330">
        <v>0.05</v>
      </c>
      <c r="AJ1089" s="306" t="s">
        <v>127</v>
      </c>
      <c r="AK1089" s="765" t="s">
        <v>179</v>
      </c>
      <c r="AL1089" s="127" t="s">
        <v>132</v>
      </c>
      <c r="AM1089" s="1297" t="s">
        <v>165</v>
      </c>
      <c r="AN1089" s="1294">
        <v>90.0</v>
      </c>
      <c r="AO1089" s="1315" t="s">
        <v>6424</v>
      </c>
      <c r="AP1089" s="1331" t="s">
        <v>162</v>
      </c>
      <c r="AQ1089" s="1297" t="s">
        <v>6112</v>
      </c>
      <c r="AR1089" s="1316">
        <v>0.807212595250987</v>
      </c>
      <c r="AS1089" s="1289" t="s">
        <v>164</v>
      </c>
      <c r="AT1089" s="1289" t="s">
        <v>179</v>
      </c>
      <c r="AU1089" s="1311" t="s">
        <v>132</v>
      </c>
      <c r="AV1089" s="1298" t="s">
        <v>165</v>
      </c>
      <c r="AW1089" s="1315" t="s">
        <v>142</v>
      </c>
      <c r="AY1089" s="1297" t="s">
        <v>6113</v>
      </c>
    </row>
    <row r="1090">
      <c r="A1090" s="115" t="s">
        <v>106</v>
      </c>
      <c r="B1090" s="41" t="s">
        <v>107</v>
      </c>
      <c r="C1090" s="41" t="s">
        <v>243</v>
      </c>
      <c r="D1090" s="340"/>
      <c r="E1090" s="112" t="s">
        <v>6415</v>
      </c>
      <c r="F1090" s="116" t="s">
        <v>6416</v>
      </c>
      <c r="G1090" s="127" t="s">
        <v>244</v>
      </c>
      <c r="H1090" s="310">
        <v>45665.0</v>
      </c>
      <c r="I1090" s="1301">
        <v>45692.0</v>
      </c>
      <c r="J1090" s="111"/>
      <c r="K1090" s="111" t="s">
        <v>6099</v>
      </c>
      <c r="L1090" s="127" t="s">
        <v>6417</v>
      </c>
      <c r="M1090" s="127" t="s">
        <v>6418</v>
      </c>
      <c r="N1090" s="111"/>
      <c r="O1090" s="127" t="str">
        <f t="shared" si="60"/>
        <v>10.1093--geronb--gbx099.pdf</v>
      </c>
      <c r="P1090" s="48" t="str">
        <f t="array" ref="P1090">HYPERLINK(INDEX('File Links'!B:B, MATCH(O1090, 'File Links'!C:C, 0)))
</f>
        <v>https://drive.google.com/file/d/1Y64s8GHxNrRvDcvruC4sJnxL8xzdZcO-/view?usp=drivesdk</v>
      </c>
      <c r="Q1090" s="127" t="s">
        <v>6425</v>
      </c>
      <c r="R1090" s="147" t="s">
        <v>6104</v>
      </c>
      <c r="S1090" s="134" t="s">
        <v>165</v>
      </c>
      <c r="T1090" s="134" t="s">
        <v>165</v>
      </c>
      <c r="U1090" s="127" t="s">
        <v>6105</v>
      </c>
      <c r="V1090" s="127" t="s">
        <v>6349</v>
      </c>
      <c r="W1090" s="45" t="str">
        <f t="array" ref="W1090">HYPERLINK(INDEX('File Links'!B:B, MATCH(U1090, 'File Links'!C:C, 0)))
</f>
        <v>#N/A</v>
      </c>
      <c r="X1090" s="111"/>
      <c r="Y1090" s="127" t="s">
        <v>220</v>
      </c>
      <c r="Z1090" s="111"/>
      <c r="AA1090" s="111"/>
      <c r="AB1090" s="111"/>
      <c r="AC1090" s="127" t="s">
        <v>6426</v>
      </c>
      <c r="AD1090" s="720">
        <v>444.0</v>
      </c>
      <c r="AE1090" s="720">
        <v>155.0</v>
      </c>
      <c r="AF1090" s="1315" t="s">
        <v>6422</v>
      </c>
      <c r="AG1090" s="127" t="s">
        <v>1051</v>
      </c>
      <c r="AH1090" s="127" t="s">
        <v>6427</v>
      </c>
      <c r="AI1090" s="120">
        <v>0.05</v>
      </c>
      <c r="AJ1090" s="112" t="s">
        <v>127</v>
      </c>
      <c r="AK1090" s="112" t="s">
        <v>211</v>
      </c>
      <c r="AL1090" s="127" t="s">
        <v>132</v>
      </c>
      <c r="AM1090" s="1297" t="s">
        <v>165</v>
      </c>
      <c r="AN1090" s="720">
        <v>90.0</v>
      </c>
      <c r="AO1090" s="1315" t="s">
        <v>6424</v>
      </c>
      <c r="AP1090" s="1331" t="s">
        <v>162</v>
      </c>
      <c r="AQ1090" s="1297" t="s">
        <v>6112</v>
      </c>
      <c r="AR1090" s="720">
        <v>0.807212595250987</v>
      </c>
      <c r="AS1090" s="127" t="s">
        <v>164</v>
      </c>
      <c r="AT1090" s="127" t="s">
        <v>211</v>
      </c>
      <c r="AU1090" s="127" t="s">
        <v>132</v>
      </c>
      <c r="AV1090" s="1298" t="s">
        <v>165</v>
      </c>
      <c r="AW1090" s="127" t="s">
        <v>142</v>
      </c>
      <c r="AY1090" s="1297" t="s">
        <v>6113</v>
      </c>
    </row>
    <row r="1091">
      <c r="A1091" s="60" t="s">
        <v>106</v>
      </c>
      <c r="B1091" s="41" t="s">
        <v>107</v>
      </c>
      <c r="C1091" s="41" t="s">
        <v>108</v>
      </c>
      <c r="D1091" s="340"/>
      <c r="E1091" s="1289" t="s">
        <v>6428</v>
      </c>
      <c r="F1091" s="1290" t="s">
        <v>6429</v>
      </c>
      <c r="G1091" s="1291" t="s">
        <v>6097</v>
      </c>
      <c r="H1091" s="1292">
        <v>45688.0</v>
      </c>
      <c r="I1091" s="1293">
        <v>45692.0</v>
      </c>
      <c r="J1091" s="1289" t="s">
        <v>6185</v>
      </c>
      <c r="K1091" s="1289" t="s">
        <v>6099</v>
      </c>
      <c r="L1091" s="1291" t="s">
        <v>6430</v>
      </c>
      <c r="M1091" s="1291" t="s">
        <v>6431</v>
      </c>
      <c r="N1091" s="1294">
        <v>4.0</v>
      </c>
      <c r="O1091" s="1291" t="s">
        <v>6432</v>
      </c>
      <c r="P1091" s="48" t="str">
        <f t="array" ref="P1091">HYPERLINK(INDEX('File Links'!B:B, MATCH(O1091, 'File Links'!C:C, 0)))
</f>
        <v>https://drive.google.com/file/d/1mu475Zzy_-pzVxpT6L8wHxxpOPeohqGN/view?usp=drivesdk</v>
      </c>
      <c r="Q1091" s="1291" t="s">
        <v>6103</v>
      </c>
      <c r="R1091" s="147" t="s">
        <v>6104</v>
      </c>
      <c r="S1091" s="1320" t="s">
        <v>6433</v>
      </c>
      <c r="T1091" s="134" t="s">
        <v>165</v>
      </c>
      <c r="U1091" s="1291" t="s">
        <v>6105</v>
      </c>
      <c r="V1091" s="127" t="s">
        <v>318</v>
      </c>
      <c r="W1091" s="45" t="str">
        <f t="array" ref="W1091">HYPERLINK(INDEX('File Links'!B:B, MATCH(U1091, 'File Links'!C:C, 0)))
</f>
        <v>#N/A</v>
      </c>
      <c r="X1091" s="1289"/>
      <c r="Y1091" s="1291" t="s">
        <v>139</v>
      </c>
      <c r="Z1091" s="1289" t="s">
        <v>768</v>
      </c>
      <c r="AA1091" s="1289" t="s">
        <v>6434</v>
      </c>
      <c r="AB1091" s="1291" t="s">
        <v>6435</v>
      </c>
      <c r="AC1091" s="1289" t="s">
        <v>768</v>
      </c>
      <c r="AD1091" s="1289" t="s">
        <v>768</v>
      </c>
      <c r="AE1091" s="1294">
        <v>25.0</v>
      </c>
      <c r="AF1091" s="1289" t="s">
        <v>768</v>
      </c>
      <c r="AG1091" s="1289" t="s">
        <v>768</v>
      </c>
      <c r="AH1091" s="1289" t="s">
        <v>768</v>
      </c>
      <c r="AI1091" s="1295" t="s">
        <v>768</v>
      </c>
      <c r="AJ1091" s="1296" t="s">
        <v>768</v>
      </c>
      <c r="AK1091" s="1296" t="s">
        <v>179</v>
      </c>
      <c r="AL1091" s="1289" t="s">
        <v>129</v>
      </c>
      <c r="AM1091" s="1297" t="s">
        <v>165</v>
      </c>
      <c r="AN1091" s="1294">
        <v>50.0</v>
      </c>
      <c r="AO1091" s="1289" t="s">
        <v>768</v>
      </c>
      <c r="AP1091" s="1289" t="s">
        <v>768</v>
      </c>
      <c r="AQ1091" s="1297" t="s">
        <v>6112</v>
      </c>
      <c r="AR1091" s="1289" t="s">
        <v>768</v>
      </c>
      <c r="AS1091" s="1289" t="s">
        <v>768</v>
      </c>
      <c r="AT1091" s="1289" t="s">
        <v>179</v>
      </c>
      <c r="AU1091" s="1289" t="s">
        <v>129</v>
      </c>
      <c r="AV1091" s="1298" t="s">
        <v>165</v>
      </c>
      <c r="AW1091" s="1314" t="s">
        <v>134</v>
      </c>
      <c r="AY1091" s="1297" t="s">
        <v>6113</v>
      </c>
    </row>
    <row r="1092">
      <c r="A1092" s="115" t="s">
        <v>143</v>
      </c>
      <c r="B1092" s="41" t="s">
        <v>107</v>
      </c>
      <c r="C1092" s="41" t="s">
        <v>243</v>
      </c>
      <c r="D1092" s="340"/>
      <c r="E1092" s="112" t="s">
        <v>6428</v>
      </c>
      <c r="F1092" s="116" t="s">
        <v>6429</v>
      </c>
      <c r="G1092" s="127" t="s">
        <v>244</v>
      </c>
      <c r="H1092" s="310">
        <v>45663.0</v>
      </c>
      <c r="I1092" s="1301">
        <v>45692.0</v>
      </c>
      <c r="J1092" s="116" t="s">
        <v>6436</v>
      </c>
      <c r="K1092" s="128" t="s">
        <v>6437</v>
      </c>
      <c r="L1092" s="127" t="s">
        <v>6430</v>
      </c>
      <c r="M1092" s="127" t="s">
        <v>6431</v>
      </c>
      <c r="N1092" s="1294">
        <v>4.0</v>
      </c>
      <c r="O1092" s="127" t="str">
        <f> SUBSTITUTE(lower(M1092), "/", "--") &amp;  ".pdf"</f>
        <v>10.1111--j.1551-6709.2010.01161.x.pdf</v>
      </c>
      <c r="P1092" s="48" t="str">
        <f t="array" ref="P1092">HYPERLINK(INDEX('File Links'!B:B, MATCH(O1092, 'File Links'!C:C, 0)))
</f>
        <v>https://drive.google.com/file/d/1mu475Zzy_-pzVxpT6L8wHxxpOPeohqGN/view?usp=drivesdk</v>
      </c>
      <c r="Q1092" s="127" t="s">
        <v>6438</v>
      </c>
      <c r="R1092" s="147" t="s">
        <v>6104</v>
      </c>
      <c r="S1092" s="1322" t="s">
        <v>6433</v>
      </c>
      <c r="T1092" s="134" t="s">
        <v>165</v>
      </c>
      <c r="U1092" s="127" t="s">
        <v>6105</v>
      </c>
      <c r="V1092" s="127" t="s">
        <v>318</v>
      </c>
      <c r="W1092" s="45" t="str">
        <f t="array" ref="W1092">HYPERLINK(INDEX('File Links'!B:B, MATCH(U1092, 'File Links'!C:C, 0)))
</f>
        <v>#N/A</v>
      </c>
      <c r="X1092" s="127"/>
      <c r="Y1092" s="127" t="s">
        <v>139</v>
      </c>
      <c r="Z1092" s="111"/>
      <c r="AA1092" s="1289" t="s">
        <v>6434</v>
      </c>
      <c r="AB1092" s="1291" t="s">
        <v>6435</v>
      </c>
      <c r="AC1092" s="116" t="s">
        <v>6439</v>
      </c>
      <c r="AD1092" s="720">
        <v>519.0</v>
      </c>
      <c r="AE1092" s="720">
        <v>29.0</v>
      </c>
      <c r="AF1092" s="214" t="s">
        <v>6440</v>
      </c>
      <c r="AG1092" s="116" t="s">
        <v>162</v>
      </c>
      <c r="AH1092" s="127" t="s">
        <v>6441</v>
      </c>
      <c r="AI1092" s="120">
        <v>0.05</v>
      </c>
      <c r="AJ1092" s="112" t="s">
        <v>127</v>
      </c>
      <c r="AK1092" s="112" t="s">
        <v>179</v>
      </c>
      <c r="AL1092" s="116" t="s">
        <v>129</v>
      </c>
      <c r="AM1092" s="1297" t="s">
        <v>165</v>
      </c>
      <c r="AN1092" s="720">
        <v>50.0</v>
      </c>
      <c r="AO1092" s="127" t="s">
        <v>165</v>
      </c>
      <c r="AP1092" s="128" t="s">
        <v>165</v>
      </c>
      <c r="AQ1092" s="1297" t="s">
        <v>6112</v>
      </c>
      <c r="AR1092" s="127" t="s">
        <v>165</v>
      </c>
      <c r="AS1092" s="128" t="s">
        <v>165</v>
      </c>
      <c r="AT1092" s="127" t="s">
        <v>179</v>
      </c>
      <c r="AU1092" s="116" t="s">
        <v>129</v>
      </c>
      <c r="AV1092" s="1298" t="s">
        <v>165</v>
      </c>
      <c r="AW1092" s="606" t="s">
        <v>134</v>
      </c>
      <c r="AY1092" s="1297" t="s">
        <v>6113</v>
      </c>
    </row>
    <row r="1093">
      <c r="A1093" s="115" t="s">
        <v>2021</v>
      </c>
      <c r="B1093" s="41" t="s">
        <v>107</v>
      </c>
      <c r="C1093" s="41" t="s">
        <v>108</v>
      </c>
      <c r="D1093" s="340"/>
      <c r="E1093" s="1289" t="s">
        <v>6442</v>
      </c>
      <c r="F1093" s="1290" t="s">
        <v>6443</v>
      </c>
      <c r="G1093" s="1291" t="s">
        <v>6097</v>
      </c>
      <c r="H1093" s="1292">
        <v>45688.0</v>
      </c>
      <c r="I1093" s="1293">
        <v>45692.0</v>
      </c>
      <c r="J1093" s="1289" t="s">
        <v>6185</v>
      </c>
      <c r="K1093" s="1289" t="s">
        <v>6099</v>
      </c>
      <c r="L1093" s="1291" t="s">
        <v>6444</v>
      </c>
      <c r="M1093" s="1291" t="s">
        <v>6445</v>
      </c>
      <c r="N1093" s="1294">
        <v>1.0</v>
      </c>
      <c r="O1093" s="1291" t="s">
        <v>6446</v>
      </c>
      <c r="P1093" s="48" t="str">
        <f t="array" ref="P1093">HYPERLINK(INDEX('File Links'!B:B, MATCH(O1093, 'File Links'!C:C, 0)))
</f>
        <v>https://drive.google.com/file/d/1JcrIIJziv9H4c66sUbolfvMwbkPdlR44/view?usp=drivesdk</v>
      </c>
      <c r="Q1093" s="1291" t="s">
        <v>6103</v>
      </c>
      <c r="R1093" s="147" t="s">
        <v>6104</v>
      </c>
      <c r="S1093" s="134" t="s">
        <v>165</v>
      </c>
      <c r="T1093" s="134" t="s">
        <v>165</v>
      </c>
      <c r="U1093" s="1291" t="s">
        <v>6105</v>
      </c>
      <c r="V1093" s="127" t="s">
        <v>318</v>
      </c>
      <c r="W1093" s="45" t="str">
        <f t="array" ref="W1093">HYPERLINK(INDEX('File Links'!B:B, MATCH(U1093, 'File Links'!C:C, 0)))
</f>
        <v>#N/A</v>
      </c>
      <c r="X1093" s="1289"/>
      <c r="Y1093" s="1291" t="s">
        <v>220</v>
      </c>
      <c r="Z1093" s="1289" t="s">
        <v>768</v>
      </c>
      <c r="AA1093" s="1289" t="s">
        <v>6447</v>
      </c>
      <c r="AB1093" s="1291" t="s">
        <v>6448</v>
      </c>
      <c r="AC1093" s="1289" t="s">
        <v>768</v>
      </c>
      <c r="AD1093" s="1289" t="s">
        <v>768</v>
      </c>
      <c r="AE1093" s="1294">
        <v>1800.0</v>
      </c>
      <c r="AF1093" s="1289" t="s">
        <v>768</v>
      </c>
      <c r="AG1093" s="1289" t="s">
        <v>768</v>
      </c>
      <c r="AH1093" s="1289" t="s">
        <v>768</v>
      </c>
      <c r="AI1093" s="1295" t="s">
        <v>768</v>
      </c>
      <c r="AJ1093" s="1296" t="s">
        <v>768</v>
      </c>
      <c r="AK1093" s="1296" t="s">
        <v>179</v>
      </c>
      <c r="AL1093" s="1289" t="s">
        <v>129</v>
      </c>
      <c r="AM1093" s="1297" t="s">
        <v>165</v>
      </c>
      <c r="AN1093" s="1294">
        <v>54.0</v>
      </c>
      <c r="AO1093" s="1289" t="s">
        <v>768</v>
      </c>
      <c r="AP1093" s="1289" t="s">
        <v>768</v>
      </c>
      <c r="AQ1093" s="1297" t="s">
        <v>6112</v>
      </c>
      <c r="AR1093" s="1289" t="s">
        <v>768</v>
      </c>
      <c r="AS1093" s="1289" t="s">
        <v>768</v>
      </c>
      <c r="AT1093" s="1289" t="s">
        <v>179</v>
      </c>
      <c r="AU1093" s="1289" t="s">
        <v>129</v>
      </c>
      <c r="AV1093" s="1298" t="s">
        <v>165</v>
      </c>
      <c r="AW1093" s="1314" t="s">
        <v>134</v>
      </c>
      <c r="AY1093" s="1297" t="s">
        <v>6113</v>
      </c>
    </row>
    <row r="1094">
      <c r="A1094" s="115" t="s">
        <v>106</v>
      </c>
      <c r="B1094" s="41" t="s">
        <v>107</v>
      </c>
      <c r="C1094" s="41" t="s">
        <v>243</v>
      </c>
      <c r="D1094" s="340"/>
      <c r="E1094" s="112" t="s">
        <v>6442</v>
      </c>
      <c r="F1094" s="116" t="s">
        <v>6443</v>
      </c>
      <c r="G1094" s="127" t="s">
        <v>244</v>
      </c>
      <c r="H1094" s="310">
        <v>45665.0</v>
      </c>
      <c r="I1094" s="1301">
        <v>45692.0</v>
      </c>
      <c r="J1094" s="127" t="s">
        <v>6449</v>
      </c>
      <c r="K1094" s="111" t="s">
        <v>6099</v>
      </c>
      <c r="L1094" s="127" t="s">
        <v>6444</v>
      </c>
      <c r="M1094" s="127" t="s">
        <v>6445</v>
      </c>
      <c r="N1094" s="111"/>
      <c r="O1094" s="127" t="str">
        <f t="shared" ref="O1094:O1096" si="61"> SUBSTITUTE(lower(M1094), "/", "--") &amp;  ".pdf"</f>
        <v>10.1126--science.1134475.pdf</v>
      </c>
      <c r="P1094" s="48" t="str">
        <f t="array" ref="P1094">HYPERLINK(INDEX('File Links'!B:B, MATCH(O1094, 'File Links'!C:C, 0)))
</f>
        <v>https://drive.google.com/file/d/1JcrIIJziv9H4c66sUbolfvMwbkPdlR44/view?usp=drivesdk</v>
      </c>
      <c r="Q1094" s="127" t="s">
        <v>6450</v>
      </c>
      <c r="R1094" s="147" t="s">
        <v>6104</v>
      </c>
      <c r="S1094" s="111"/>
      <c r="T1094" s="134" t="s">
        <v>165</v>
      </c>
      <c r="U1094" s="127" t="s">
        <v>6105</v>
      </c>
      <c r="V1094" s="127" t="s">
        <v>318</v>
      </c>
      <c r="W1094" s="45" t="str">
        <f t="array" ref="W1094">HYPERLINK(INDEX('File Links'!B:B, MATCH(U1094, 'File Links'!C:C, 0)))
</f>
        <v>#N/A</v>
      </c>
      <c r="X1094" s="111"/>
      <c r="Y1094" s="127" t="s">
        <v>220</v>
      </c>
      <c r="Z1094" s="111"/>
      <c r="AA1094" s="111"/>
      <c r="AB1094" s="111"/>
      <c r="AC1094" s="127" t="s">
        <v>165</v>
      </c>
      <c r="AD1094" s="127" t="s">
        <v>165</v>
      </c>
      <c r="AE1094" s="720">
        <v>2399.0</v>
      </c>
      <c r="AF1094" s="127" t="s">
        <v>165</v>
      </c>
      <c r="AG1094" s="111"/>
      <c r="AH1094" s="127" t="s">
        <v>165</v>
      </c>
      <c r="AI1094" s="311"/>
      <c r="AJ1094" s="119"/>
      <c r="AK1094" s="112" t="s">
        <v>179</v>
      </c>
      <c r="AL1094" s="127" t="s">
        <v>821</v>
      </c>
      <c r="AM1094" s="1297" t="s">
        <v>165</v>
      </c>
      <c r="AN1094" s="720">
        <v>54.0</v>
      </c>
      <c r="AO1094" s="127" t="s">
        <v>165</v>
      </c>
      <c r="AP1094" s="111"/>
      <c r="AQ1094" s="1297" t="s">
        <v>6112</v>
      </c>
      <c r="AR1094" s="127" t="s">
        <v>165</v>
      </c>
      <c r="AS1094" s="111"/>
      <c r="AT1094" s="127" t="s">
        <v>179</v>
      </c>
      <c r="AU1094" s="127" t="s">
        <v>821</v>
      </c>
      <c r="AV1094" s="1298" t="s">
        <v>165</v>
      </c>
      <c r="AW1094" s="127" t="s">
        <v>134</v>
      </c>
      <c r="AY1094" s="1297" t="s">
        <v>6113</v>
      </c>
    </row>
    <row r="1095">
      <c r="A1095" s="115" t="s">
        <v>5350</v>
      </c>
      <c r="B1095" s="41" t="s">
        <v>107</v>
      </c>
      <c r="C1095" s="41" t="s">
        <v>108</v>
      </c>
      <c r="D1095" s="340"/>
      <c r="E1095" s="1289" t="s">
        <v>6451</v>
      </c>
      <c r="F1095" s="1290" t="s">
        <v>6452</v>
      </c>
      <c r="G1095" s="1291" t="s">
        <v>6097</v>
      </c>
      <c r="H1095" s="1292">
        <v>45688.0</v>
      </c>
      <c r="I1095" s="1293">
        <v>45692.0</v>
      </c>
      <c r="J1095" s="1289"/>
      <c r="K1095" s="1289" t="s">
        <v>6099</v>
      </c>
      <c r="L1095" s="1291" t="s">
        <v>6453</v>
      </c>
      <c r="M1095" s="1289" t="s">
        <v>6454</v>
      </c>
      <c r="N1095" s="1291" t="s">
        <v>6455</v>
      </c>
      <c r="O1095" s="127" t="str">
        <f t="shared" si="61"/>
        <v>10.1037--a0031047.pdf</v>
      </c>
      <c r="P1095" s="48" t="str">
        <f t="array" ref="P1095">HYPERLINK(INDEX('File Links'!B:B, MATCH(O1095, 'File Links'!C:C, 0)))
</f>
        <v>https://drive.google.com/file/d/1zdQKRoaKTgqYFpQsFj5QvQQ6FD0ed3fh/view?usp=drivesdk</v>
      </c>
      <c r="Q1095" s="1332" t="s">
        <v>6103</v>
      </c>
      <c r="R1095" s="147" t="s">
        <v>6104</v>
      </c>
      <c r="S1095" s="134" t="s">
        <v>165</v>
      </c>
      <c r="T1095" s="134" t="s">
        <v>165</v>
      </c>
      <c r="U1095" s="1291" t="s">
        <v>6105</v>
      </c>
      <c r="V1095" s="127" t="s">
        <v>6291</v>
      </c>
      <c r="W1095" s="45" t="str">
        <f t="array" ref="W1095">HYPERLINK(INDEX('File Links'!B:B, MATCH(U1095, 'File Links'!C:C, 0)))
</f>
        <v>#N/A</v>
      </c>
      <c r="X1095" s="1289"/>
      <c r="Y1095" s="1291" t="s">
        <v>220</v>
      </c>
      <c r="Z1095" s="1289" t="s">
        <v>768</v>
      </c>
      <c r="AA1095" s="1289" t="s">
        <v>6456</v>
      </c>
      <c r="AB1095" s="1291" t="s">
        <v>6457</v>
      </c>
      <c r="AC1095" s="1289" t="s">
        <v>6458</v>
      </c>
      <c r="AD1095" s="1316">
        <v>6.0</v>
      </c>
      <c r="AE1095" s="1294">
        <v>165.0</v>
      </c>
      <c r="AF1095" s="1316">
        <v>0.414462472492135</v>
      </c>
      <c r="AG1095" s="1289" t="s">
        <v>166</v>
      </c>
      <c r="AH1095" s="1289" t="s">
        <v>768</v>
      </c>
      <c r="AI1095" s="1300">
        <v>0.01</v>
      </c>
      <c r="AJ1095" s="1296" t="s">
        <v>127</v>
      </c>
      <c r="AK1095" s="1296" t="s">
        <v>179</v>
      </c>
      <c r="AL1095" s="1289" t="s">
        <v>129</v>
      </c>
      <c r="AM1095" s="1297" t="s">
        <v>165</v>
      </c>
      <c r="AN1095" s="1294">
        <v>145.0</v>
      </c>
      <c r="AO1095" s="1316">
        <v>-0.0869048189253481</v>
      </c>
      <c r="AP1095" s="1289" t="s">
        <v>166</v>
      </c>
      <c r="AQ1095" s="1297" t="s">
        <v>6112</v>
      </c>
      <c r="AR1095" s="1316">
        <v>0.604146530304818</v>
      </c>
      <c r="AS1095" s="1289" t="s">
        <v>164</v>
      </c>
      <c r="AT1095" s="1289" t="s">
        <v>179</v>
      </c>
      <c r="AU1095" s="1289" t="s">
        <v>129</v>
      </c>
      <c r="AV1095" s="1298" t="s">
        <v>165</v>
      </c>
      <c r="AW1095" s="1314" t="s">
        <v>134</v>
      </c>
      <c r="AY1095" s="1297" t="s">
        <v>6113</v>
      </c>
    </row>
    <row r="1096">
      <c r="A1096" s="115" t="s">
        <v>143</v>
      </c>
      <c r="B1096" s="41" t="s">
        <v>107</v>
      </c>
      <c r="C1096" s="41" t="s">
        <v>243</v>
      </c>
      <c r="D1096" s="340"/>
      <c r="E1096" s="112" t="s">
        <v>6451</v>
      </c>
      <c r="F1096" s="116" t="s">
        <v>6452</v>
      </c>
      <c r="G1096" s="127" t="s">
        <v>244</v>
      </c>
      <c r="H1096" s="310">
        <v>45666.0</v>
      </c>
      <c r="I1096" s="1301">
        <v>45692.0</v>
      </c>
      <c r="J1096" s="111"/>
      <c r="K1096" s="111" t="s">
        <v>6459</v>
      </c>
      <c r="L1096" s="127" t="s">
        <v>6453</v>
      </c>
      <c r="M1096" s="127" t="s">
        <v>6454</v>
      </c>
      <c r="N1096" s="1291" t="s">
        <v>6455</v>
      </c>
      <c r="O1096" s="127" t="str">
        <f t="shared" si="61"/>
        <v>10.1037--a0031047.pdf</v>
      </c>
      <c r="P1096" s="48" t="str">
        <f t="array" ref="P1096">HYPERLINK(INDEX('File Links'!B:B, MATCH(O1096, 'File Links'!C:C, 0)))
</f>
        <v>https://drive.google.com/file/d/1zdQKRoaKTgqYFpQsFj5QvQQ6FD0ed3fh/view?usp=drivesdk</v>
      </c>
      <c r="Q1096" s="127" t="s">
        <v>6460</v>
      </c>
      <c r="R1096" s="147" t="s">
        <v>6104</v>
      </c>
      <c r="S1096" s="202" t="s">
        <v>165</v>
      </c>
      <c r="T1096" s="134" t="s">
        <v>165</v>
      </c>
      <c r="U1096" s="127" t="s">
        <v>6105</v>
      </c>
      <c r="V1096" s="127" t="s">
        <v>6291</v>
      </c>
      <c r="W1096" s="45" t="str">
        <f t="array" ref="W1096">HYPERLINK(INDEX('File Links'!B:B, MATCH(U1096, 'File Links'!C:C, 0)))
</f>
        <v>#N/A</v>
      </c>
      <c r="X1096" s="111"/>
      <c r="Y1096" s="127" t="s">
        <v>220</v>
      </c>
      <c r="Z1096" s="350" t="s">
        <v>165</v>
      </c>
      <c r="AA1096" s="1289" t="s">
        <v>6456</v>
      </c>
      <c r="AB1096" s="1291" t="s">
        <v>6457</v>
      </c>
      <c r="AC1096" s="1289" t="s">
        <v>6458</v>
      </c>
      <c r="AD1096" s="1316">
        <v>6.0</v>
      </c>
      <c r="AE1096" s="720">
        <v>165.0</v>
      </c>
      <c r="AF1096" s="1276" t="s">
        <v>6461</v>
      </c>
      <c r="AG1096" s="1211" t="s">
        <v>162</v>
      </c>
      <c r="AH1096" s="127" t="s">
        <v>6462</v>
      </c>
      <c r="AI1096" s="120">
        <v>0.01</v>
      </c>
      <c r="AJ1096" s="112" t="s">
        <v>127</v>
      </c>
      <c r="AK1096" s="112" t="s">
        <v>128</v>
      </c>
      <c r="AL1096" s="127" t="s">
        <v>132</v>
      </c>
      <c r="AM1096" s="1297" t="s">
        <v>165</v>
      </c>
      <c r="AN1096" s="720">
        <v>145.0</v>
      </c>
      <c r="AO1096" s="720">
        <v>-0.0869048189253481</v>
      </c>
      <c r="AP1096" s="127" t="s">
        <v>166</v>
      </c>
      <c r="AQ1096" s="1297" t="s">
        <v>6112</v>
      </c>
      <c r="AR1096" s="720">
        <v>0.604146530304818</v>
      </c>
      <c r="AS1096" s="127" t="s">
        <v>164</v>
      </c>
      <c r="AT1096" s="127" t="s">
        <v>128</v>
      </c>
      <c r="AU1096" s="127" t="s">
        <v>132</v>
      </c>
      <c r="AV1096" s="1298" t="s">
        <v>165</v>
      </c>
      <c r="AW1096" s="127" t="s">
        <v>134</v>
      </c>
      <c r="AY1096" s="1297" t="s">
        <v>6113</v>
      </c>
    </row>
    <row r="1097">
      <c r="A1097" s="115" t="s">
        <v>143</v>
      </c>
      <c r="B1097" s="41" t="s">
        <v>107</v>
      </c>
      <c r="C1097" s="41" t="s">
        <v>108</v>
      </c>
      <c r="D1097" s="340"/>
      <c r="E1097" s="1289" t="s">
        <v>6463</v>
      </c>
      <c r="F1097" s="1290" t="s">
        <v>6464</v>
      </c>
      <c r="G1097" s="1291" t="s">
        <v>6097</v>
      </c>
      <c r="H1097" s="1292">
        <v>45690.0</v>
      </c>
      <c r="I1097" s="1293">
        <v>45692.0</v>
      </c>
      <c r="J1097" s="1314" t="s">
        <v>6465</v>
      </c>
      <c r="K1097" s="1289" t="s">
        <v>6466</v>
      </c>
      <c r="L1097" s="1291" t="s">
        <v>6467</v>
      </c>
      <c r="M1097" s="1291" t="s">
        <v>6468</v>
      </c>
      <c r="N1097" s="1294">
        <v>1.0</v>
      </c>
      <c r="O1097" s="1291" t="s">
        <v>6469</v>
      </c>
      <c r="P1097" s="48" t="str">
        <f t="array" ref="P1097">HYPERLINK(INDEX('File Links'!B:B, MATCH(O1097, 'File Links'!C:C, 0)))
</f>
        <v>https://drive.google.com/file/d/1ZJao6drmlp_5iFzVLwLBVxZ7mZzQpGwX/view?usp=drivesdk</v>
      </c>
      <c r="Q1097" s="1291" t="s">
        <v>6103</v>
      </c>
      <c r="R1097" s="147" t="s">
        <v>6104</v>
      </c>
      <c r="S1097" s="134" t="s">
        <v>165</v>
      </c>
      <c r="T1097" s="134" t="s">
        <v>165</v>
      </c>
      <c r="U1097" s="1291" t="s">
        <v>6105</v>
      </c>
      <c r="V1097" s="127" t="s">
        <v>6291</v>
      </c>
      <c r="W1097" s="45" t="str">
        <f t="array" ref="W1097">HYPERLINK(INDEX('File Links'!B:B, MATCH(U1097, 'File Links'!C:C, 0)))
</f>
        <v>#N/A</v>
      </c>
      <c r="X1097" s="1289"/>
      <c r="Y1097" s="1291" t="s">
        <v>220</v>
      </c>
      <c r="Z1097" s="350" t="s">
        <v>165</v>
      </c>
      <c r="AA1097" s="1289" t="s">
        <v>6470</v>
      </c>
      <c r="AB1097" s="1291" t="s">
        <v>6471</v>
      </c>
      <c r="AC1097" s="1289" t="s">
        <v>6472</v>
      </c>
      <c r="AD1097" s="1316">
        <v>3.0</v>
      </c>
      <c r="AE1097" s="1294">
        <v>101.0</v>
      </c>
      <c r="AF1097" s="1289" t="s">
        <v>6473</v>
      </c>
      <c r="AG1097" s="1289" t="s">
        <v>162</v>
      </c>
      <c r="AH1097" s="1289" t="s">
        <v>6474</v>
      </c>
      <c r="AI1097" s="1300">
        <v>0.023</v>
      </c>
      <c r="AJ1097" s="1296" t="s">
        <v>164</v>
      </c>
      <c r="AK1097" s="1296" t="s">
        <v>179</v>
      </c>
      <c r="AL1097" s="1289" t="s">
        <v>129</v>
      </c>
      <c r="AM1097" s="1297" t="s">
        <v>165</v>
      </c>
      <c r="AN1097" s="1294">
        <v>28.0</v>
      </c>
      <c r="AO1097" s="1316">
        <v>0.8933932</v>
      </c>
      <c r="AP1097" s="1289" t="s">
        <v>166</v>
      </c>
      <c r="AQ1097" s="1297" t="s">
        <v>6112</v>
      </c>
      <c r="AR1097" s="1316">
        <v>0.0355327857460011</v>
      </c>
      <c r="AS1097" s="1289" t="s">
        <v>164</v>
      </c>
      <c r="AT1097" s="1289" t="s">
        <v>179</v>
      </c>
      <c r="AU1097" s="1289" t="s">
        <v>129</v>
      </c>
      <c r="AV1097" s="1298" t="s">
        <v>165</v>
      </c>
      <c r="AW1097" s="1314" t="s">
        <v>134</v>
      </c>
      <c r="AY1097" s="1297" t="s">
        <v>6113</v>
      </c>
    </row>
    <row r="1098">
      <c r="A1098" s="115" t="s">
        <v>106</v>
      </c>
      <c r="B1098" s="41" t="s">
        <v>107</v>
      </c>
      <c r="C1098" s="41" t="s">
        <v>243</v>
      </c>
      <c r="D1098" s="340"/>
      <c r="E1098" s="112" t="s">
        <v>6463</v>
      </c>
      <c r="F1098" s="116" t="s">
        <v>6464</v>
      </c>
      <c r="G1098" s="127" t="s">
        <v>244</v>
      </c>
      <c r="H1098" s="310">
        <v>45666.0</v>
      </c>
      <c r="I1098" s="1301">
        <v>45692.0</v>
      </c>
      <c r="J1098" s="111"/>
      <c r="K1098" s="111" t="s">
        <v>6466</v>
      </c>
      <c r="L1098" s="127" t="s">
        <v>6467</v>
      </c>
      <c r="M1098" s="127" t="s">
        <v>6468</v>
      </c>
      <c r="N1098" s="111"/>
      <c r="O1098" s="127" t="str">
        <f t="shared" ref="O1098:O1100" si="62"> SUBSTITUTE(lower(M1098), "/", "--") &amp;  ".pdf"</f>
        <v>10.1177--0956797615608267.pdf</v>
      </c>
      <c r="P1098" s="48" t="str">
        <f t="array" ref="P1098">HYPERLINK(INDEX('File Links'!B:B, MATCH(O1098, 'File Links'!C:C, 0)))
</f>
        <v>https://drive.google.com/file/d/1ZJao6drmlp_5iFzVLwLBVxZ7mZzQpGwX/view?usp=drivesdk</v>
      </c>
      <c r="Q1098" s="127" t="s">
        <v>6475</v>
      </c>
      <c r="R1098" s="147" t="s">
        <v>6104</v>
      </c>
      <c r="S1098" s="134" t="s">
        <v>165</v>
      </c>
      <c r="T1098" s="134" t="s">
        <v>165</v>
      </c>
      <c r="U1098" s="127" t="s">
        <v>6105</v>
      </c>
      <c r="V1098" s="127" t="s">
        <v>6291</v>
      </c>
      <c r="W1098" s="45" t="str">
        <f t="array" ref="W1098">HYPERLINK(INDEX('File Links'!B:B, MATCH(U1098, 'File Links'!C:C, 0)))
</f>
        <v>#N/A</v>
      </c>
      <c r="X1098" s="111"/>
      <c r="Y1098" s="127" t="s">
        <v>203</v>
      </c>
      <c r="Z1098" s="111"/>
      <c r="AA1098" s="111"/>
      <c r="AB1098" s="111"/>
      <c r="AC1098" s="127" t="s">
        <v>6476</v>
      </c>
      <c r="AD1098" s="720">
        <v>106.0</v>
      </c>
      <c r="AE1098" s="720">
        <v>101.0</v>
      </c>
      <c r="AF1098" s="720">
        <v>1.011</v>
      </c>
      <c r="AG1098" s="127" t="s">
        <v>1006</v>
      </c>
      <c r="AH1098" s="127" t="s">
        <v>6477</v>
      </c>
      <c r="AI1098" s="120">
        <v>0.23</v>
      </c>
      <c r="AJ1098" s="112" t="s">
        <v>164</v>
      </c>
      <c r="AK1098" s="112" t="s">
        <v>128</v>
      </c>
      <c r="AL1098" s="127" t="s">
        <v>821</v>
      </c>
      <c r="AM1098" s="1297" t="s">
        <v>165</v>
      </c>
      <c r="AN1098" s="720">
        <v>28.0</v>
      </c>
      <c r="AO1098" s="720">
        <v>0.8933932</v>
      </c>
      <c r="AP1098" s="127" t="s">
        <v>166</v>
      </c>
      <c r="AQ1098" s="1297" t="s">
        <v>6112</v>
      </c>
      <c r="AR1098" s="720">
        <v>0.0355327857460011</v>
      </c>
      <c r="AS1098" s="127" t="s">
        <v>164</v>
      </c>
      <c r="AT1098" s="127" t="s">
        <v>179</v>
      </c>
      <c r="AU1098" s="127" t="s">
        <v>821</v>
      </c>
      <c r="AV1098" s="1298" t="s">
        <v>165</v>
      </c>
      <c r="AW1098" s="127" t="s">
        <v>134</v>
      </c>
      <c r="AY1098" s="1297" t="s">
        <v>6113</v>
      </c>
    </row>
    <row r="1099">
      <c r="A1099" s="115" t="s">
        <v>2021</v>
      </c>
      <c r="B1099" s="41" t="s">
        <v>107</v>
      </c>
      <c r="C1099" s="41" t="s">
        <v>108</v>
      </c>
      <c r="D1099" s="340"/>
      <c r="E1099" s="1289" t="s">
        <v>6478</v>
      </c>
      <c r="F1099" s="1290" t="s">
        <v>6479</v>
      </c>
      <c r="G1099" s="1291" t="s">
        <v>6097</v>
      </c>
      <c r="H1099" s="1292">
        <v>45690.0</v>
      </c>
      <c r="I1099" s="1293">
        <v>45692.0</v>
      </c>
      <c r="J1099" s="1289" t="s">
        <v>6195</v>
      </c>
      <c r="K1099" s="1289" t="s">
        <v>6099</v>
      </c>
      <c r="L1099" s="1291" t="s">
        <v>5459</v>
      </c>
      <c r="M1099" s="1289" t="s">
        <v>5460</v>
      </c>
      <c r="N1099" s="1294">
        <v>1.0</v>
      </c>
      <c r="O1099" s="127" t="str">
        <f t="shared" si="62"/>
        <v>10.1016--j.cognition.2007.11.004.pdf</v>
      </c>
      <c r="P1099" s="48" t="str">
        <f t="array" ref="P1099">HYPERLINK(INDEX('File Links'!B:B, MATCH(O1099, 'File Links'!C:C, 0)))
</f>
        <v>https://drive.google.com/file/d/15WVNsHu4qw18Mufo3UCjKv6cq2gXORb0/view?usp=drivesdk</v>
      </c>
      <c r="Q1099" s="1291" t="s">
        <v>6103</v>
      </c>
      <c r="R1099" s="147" t="s">
        <v>6104</v>
      </c>
      <c r="S1099" s="134" t="s">
        <v>165</v>
      </c>
      <c r="T1099" s="134" t="s">
        <v>165</v>
      </c>
      <c r="U1099" s="1291" t="s">
        <v>6105</v>
      </c>
      <c r="V1099" s="127" t="s">
        <v>6117</v>
      </c>
      <c r="W1099" s="45" t="str">
        <f t="array" ref="W1099">HYPERLINK(INDEX('File Links'!B:B, MATCH(U1099, 'File Links'!C:C, 0)))
</f>
        <v>#N/A</v>
      </c>
      <c r="X1099" s="1289"/>
      <c r="Y1099" s="1291" t="s">
        <v>139</v>
      </c>
      <c r="Z1099" s="1289" t="s">
        <v>768</v>
      </c>
      <c r="AA1099" s="1289" t="s">
        <v>6480</v>
      </c>
      <c r="AB1099" s="1291" t="s">
        <v>6481</v>
      </c>
      <c r="AC1099" s="1289" t="s">
        <v>6482</v>
      </c>
      <c r="AD1099" s="1289" t="s">
        <v>6483</v>
      </c>
      <c r="AE1099" s="1294">
        <v>82.0</v>
      </c>
      <c r="AF1099" s="1289" t="s">
        <v>6484</v>
      </c>
      <c r="AG1099" s="1289" t="s">
        <v>162</v>
      </c>
      <c r="AH1099" s="1289" t="s">
        <v>131</v>
      </c>
      <c r="AI1099" s="1300">
        <v>0.005</v>
      </c>
      <c r="AJ1099" s="1296" t="s">
        <v>164</v>
      </c>
      <c r="AK1099" s="1296" t="s">
        <v>179</v>
      </c>
      <c r="AL1099" s="1289" t="s">
        <v>129</v>
      </c>
      <c r="AM1099" s="1297" t="s">
        <v>165</v>
      </c>
      <c r="AN1099" s="1294">
        <v>25.0</v>
      </c>
      <c r="AO1099" s="1289" t="s">
        <v>768</v>
      </c>
      <c r="AP1099" s="1289" t="s">
        <v>768</v>
      </c>
      <c r="AQ1099" s="1297" t="s">
        <v>6112</v>
      </c>
      <c r="AR1099" s="1289" t="s">
        <v>768</v>
      </c>
      <c r="AS1099" s="1289" t="s">
        <v>768</v>
      </c>
      <c r="AT1099" s="1289" t="s">
        <v>179</v>
      </c>
      <c r="AU1099" s="1289" t="s">
        <v>129</v>
      </c>
      <c r="AV1099" s="1298" t="s">
        <v>165</v>
      </c>
      <c r="AW1099" s="1314" t="s">
        <v>134</v>
      </c>
      <c r="AY1099" s="1297" t="s">
        <v>6113</v>
      </c>
    </row>
    <row r="1100">
      <c r="A1100" s="115" t="s">
        <v>106</v>
      </c>
      <c r="B1100" s="41" t="s">
        <v>107</v>
      </c>
      <c r="C1100" s="41" t="s">
        <v>243</v>
      </c>
      <c r="D1100" s="340"/>
      <c r="E1100" s="112" t="s">
        <v>6478</v>
      </c>
      <c r="F1100" s="116" t="s">
        <v>6479</v>
      </c>
      <c r="G1100" s="127" t="s">
        <v>244</v>
      </c>
      <c r="H1100" s="310">
        <v>45666.0</v>
      </c>
      <c r="I1100" s="1301">
        <v>45692.0</v>
      </c>
      <c r="J1100" s="127" t="s">
        <v>6485</v>
      </c>
      <c r="K1100" s="111" t="s">
        <v>6099</v>
      </c>
      <c r="L1100" s="127" t="s">
        <v>5459</v>
      </c>
      <c r="M1100" s="127" t="s">
        <v>5460</v>
      </c>
      <c r="N1100" s="111"/>
      <c r="O1100" s="127" t="str">
        <f t="shared" si="62"/>
        <v>10.1016--j.cognition.2007.11.004.pdf</v>
      </c>
      <c r="P1100" s="48" t="str">
        <f t="array" ref="P1100">HYPERLINK(INDEX('File Links'!B:B, MATCH(O1100, 'File Links'!C:C, 0)))
</f>
        <v>https://drive.google.com/file/d/15WVNsHu4qw18Mufo3UCjKv6cq2gXORb0/view?usp=drivesdk</v>
      </c>
      <c r="Q1100" s="127" t="s">
        <v>6486</v>
      </c>
      <c r="R1100" s="147" t="s">
        <v>6104</v>
      </c>
      <c r="S1100" s="134" t="s">
        <v>165</v>
      </c>
      <c r="T1100" s="134" t="s">
        <v>165</v>
      </c>
      <c r="U1100" s="127" t="s">
        <v>6105</v>
      </c>
      <c r="V1100" s="127" t="s">
        <v>6117</v>
      </c>
      <c r="W1100" s="45" t="str">
        <f t="array" ref="W1100">HYPERLINK(INDEX('File Links'!B:B, MATCH(U1100, 'File Links'!C:C, 0)))
</f>
        <v>#N/A</v>
      </c>
      <c r="X1100" s="111"/>
      <c r="Y1100" s="127" t="s">
        <v>139</v>
      </c>
      <c r="Z1100" s="111"/>
      <c r="AA1100" s="111"/>
      <c r="AB1100" s="111"/>
      <c r="AC1100" s="127" t="s">
        <v>6487</v>
      </c>
      <c r="AD1100" s="720">
        <v>1149.0</v>
      </c>
      <c r="AE1100" s="720">
        <v>82.0</v>
      </c>
      <c r="AF1100" s="720">
        <v>8.5</v>
      </c>
      <c r="AG1100" s="127" t="s">
        <v>1051</v>
      </c>
      <c r="AH1100" s="127" t="s">
        <v>6488</v>
      </c>
      <c r="AI1100" s="120">
        <v>0.005</v>
      </c>
      <c r="AJ1100" s="112" t="s">
        <v>164</v>
      </c>
      <c r="AK1100" s="112" t="s">
        <v>211</v>
      </c>
      <c r="AL1100" s="127" t="s">
        <v>132</v>
      </c>
      <c r="AM1100" s="1297" t="s">
        <v>165</v>
      </c>
      <c r="AN1100" s="720">
        <v>25.0</v>
      </c>
      <c r="AO1100" s="127" t="s">
        <v>165</v>
      </c>
      <c r="AP1100" s="111"/>
      <c r="AQ1100" s="1297" t="s">
        <v>6112</v>
      </c>
      <c r="AR1100" s="111"/>
      <c r="AS1100" s="111"/>
      <c r="AT1100" s="127" t="s">
        <v>211</v>
      </c>
      <c r="AU1100" s="127" t="s">
        <v>132</v>
      </c>
      <c r="AV1100" s="1298" t="s">
        <v>165</v>
      </c>
      <c r="AW1100" s="606" t="s">
        <v>134</v>
      </c>
      <c r="AY1100" s="1297" t="s">
        <v>6113</v>
      </c>
    </row>
    <row r="1101">
      <c r="A1101" s="115" t="s">
        <v>2021</v>
      </c>
      <c r="B1101" s="41" t="s">
        <v>107</v>
      </c>
      <c r="C1101" s="41" t="s">
        <v>108</v>
      </c>
      <c r="D1101" s="340"/>
      <c r="E1101" s="1289" t="s">
        <v>6489</v>
      </c>
      <c r="F1101" s="1290" t="s">
        <v>6490</v>
      </c>
      <c r="G1101" s="1291" t="s">
        <v>6097</v>
      </c>
      <c r="H1101" s="1292">
        <v>45690.0</v>
      </c>
      <c r="I1101" s="1293">
        <v>45692.0</v>
      </c>
      <c r="J1101" s="127" t="s">
        <v>6491</v>
      </c>
      <c r="K1101" s="1289" t="s">
        <v>6099</v>
      </c>
      <c r="L1101" s="1291" t="s">
        <v>6492</v>
      </c>
      <c r="M1101" s="1291" t="s">
        <v>6493</v>
      </c>
      <c r="N1101" s="1294">
        <v>1.0</v>
      </c>
      <c r="O1101" s="1291" t="s">
        <v>6494</v>
      </c>
      <c r="P1101" s="48" t="str">
        <f t="array" ref="P1101">HYPERLINK(INDEX('File Links'!B:B, MATCH(O1101, 'File Links'!C:C, 0)))
</f>
        <v>https://drive.google.com/file/d/1OF9OzNZ0RezTr91hWpWHMHWrXH9SCFAS/view?usp=drivesdk</v>
      </c>
      <c r="Q1101" s="1291" t="s">
        <v>6103</v>
      </c>
      <c r="R1101" s="147" t="s">
        <v>6104</v>
      </c>
      <c r="S1101" s="134" t="s">
        <v>165</v>
      </c>
      <c r="T1101" s="134" t="s">
        <v>165</v>
      </c>
      <c r="U1101" s="1291" t="s">
        <v>6105</v>
      </c>
      <c r="V1101" s="127" t="s">
        <v>6117</v>
      </c>
      <c r="W1101" s="45" t="str">
        <f t="array" ref="W1101">HYPERLINK(INDEX('File Links'!B:B, MATCH(U1101, 'File Links'!C:C, 0)))
</f>
        <v>#N/A</v>
      </c>
      <c r="X1101" s="1289"/>
      <c r="Y1101" s="1291" t="s">
        <v>139</v>
      </c>
      <c r="Z1101" s="1289" t="s">
        <v>768</v>
      </c>
      <c r="AA1101" s="1289" t="s">
        <v>6495</v>
      </c>
      <c r="AB1101" s="1291" t="s">
        <v>6496</v>
      </c>
      <c r="AC1101" s="1289" t="s">
        <v>768</v>
      </c>
      <c r="AD1101" s="1289" t="s">
        <v>768</v>
      </c>
      <c r="AE1101" s="1294">
        <v>350.0</v>
      </c>
      <c r="AF1101" s="1289" t="s">
        <v>768</v>
      </c>
      <c r="AG1101" s="1289" t="s">
        <v>768</v>
      </c>
      <c r="AH1101" s="1289" t="s">
        <v>768</v>
      </c>
      <c r="AI1101" s="1295" t="s">
        <v>768</v>
      </c>
      <c r="AJ1101" s="1296" t="s">
        <v>768</v>
      </c>
      <c r="AK1101" s="1296" t="s">
        <v>179</v>
      </c>
      <c r="AL1101" s="1289" t="s">
        <v>129</v>
      </c>
      <c r="AM1101" s="1297" t="s">
        <v>165</v>
      </c>
      <c r="AN1101" s="1294">
        <v>349.0</v>
      </c>
      <c r="AO1101" s="1289" t="s">
        <v>768</v>
      </c>
      <c r="AP1101" s="1289" t="s">
        <v>768</v>
      </c>
      <c r="AQ1101" s="1297" t="s">
        <v>6112</v>
      </c>
      <c r="AR1101" s="1289" t="s">
        <v>768</v>
      </c>
      <c r="AS1101" s="1289" t="s">
        <v>768</v>
      </c>
      <c r="AT1101" s="1289" t="s">
        <v>179</v>
      </c>
      <c r="AU1101" s="1289" t="s">
        <v>129</v>
      </c>
      <c r="AV1101" s="1298" t="s">
        <v>165</v>
      </c>
      <c r="AW1101" s="1314" t="s">
        <v>134</v>
      </c>
      <c r="AY1101" s="1297" t="s">
        <v>6113</v>
      </c>
    </row>
    <row r="1102">
      <c r="A1102" s="115" t="s">
        <v>106</v>
      </c>
      <c r="B1102" s="41" t="s">
        <v>107</v>
      </c>
      <c r="C1102" s="41" t="s">
        <v>243</v>
      </c>
      <c r="D1102" s="340"/>
      <c r="E1102" s="112" t="s">
        <v>6489</v>
      </c>
      <c r="F1102" s="116" t="s">
        <v>6490</v>
      </c>
      <c r="G1102" s="127" t="s">
        <v>244</v>
      </c>
      <c r="H1102" s="310">
        <v>45666.0</v>
      </c>
      <c r="I1102" s="1301">
        <v>45692.0</v>
      </c>
      <c r="J1102" s="127" t="s">
        <v>6491</v>
      </c>
      <c r="K1102" s="111" t="s">
        <v>6099</v>
      </c>
      <c r="L1102" s="127" t="s">
        <v>6492</v>
      </c>
      <c r="M1102" s="127" t="s">
        <v>6493</v>
      </c>
      <c r="N1102" s="111"/>
      <c r="O1102" s="127" t="str">
        <f t="shared" ref="O1102:O1108" si="63"> SUBSTITUTE(lower(M1102), "/", "--") &amp;  ".pdf"</f>
        <v>10.1111--j.1467-9280.2006.01780.x.pdf</v>
      </c>
      <c r="P1102" s="48" t="str">
        <f t="array" ref="P1102">HYPERLINK(INDEX('File Links'!B:B, MATCH(O1102, 'File Links'!C:C, 0)))
</f>
        <v>https://drive.google.com/file/d/1OF9OzNZ0RezTr91hWpWHMHWrXH9SCFAS/view?usp=drivesdk</v>
      </c>
      <c r="Q1102" s="127" t="s">
        <v>6497</v>
      </c>
      <c r="R1102" s="147" t="s">
        <v>6104</v>
      </c>
      <c r="S1102" s="134" t="s">
        <v>165</v>
      </c>
      <c r="T1102" s="134" t="s">
        <v>165</v>
      </c>
      <c r="U1102" s="127" t="s">
        <v>6105</v>
      </c>
      <c r="V1102" s="127" t="s">
        <v>6117</v>
      </c>
      <c r="W1102" s="45" t="str">
        <f t="array" ref="W1102">HYPERLINK(INDEX('File Links'!B:B, MATCH(U1102, 'File Links'!C:C, 0)))
</f>
        <v>#N/A</v>
      </c>
      <c r="X1102" s="111"/>
      <c r="Y1102" s="127" t="s">
        <v>139</v>
      </c>
      <c r="Z1102" s="111"/>
      <c r="AA1102" s="111"/>
      <c r="AB1102" s="111"/>
      <c r="AC1102" s="127" t="s">
        <v>165</v>
      </c>
      <c r="AD1102" s="127" t="s">
        <v>165</v>
      </c>
      <c r="AE1102" s="720">
        <v>350.0</v>
      </c>
      <c r="AF1102" s="127" t="s">
        <v>165</v>
      </c>
      <c r="AG1102" s="111"/>
      <c r="AH1102" s="127" t="s">
        <v>165</v>
      </c>
      <c r="AI1102" s="311"/>
      <c r="AJ1102" s="119"/>
      <c r="AK1102" s="112" t="s">
        <v>179</v>
      </c>
      <c r="AL1102" s="127" t="s">
        <v>821</v>
      </c>
      <c r="AM1102" s="1297" t="s">
        <v>165</v>
      </c>
      <c r="AN1102" s="720">
        <v>349.0</v>
      </c>
      <c r="AO1102" s="127" t="s">
        <v>165</v>
      </c>
      <c r="AP1102" s="111"/>
      <c r="AQ1102" s="1297" t="s">
        <v>6112</v>
      </c>
      <c r="AR1102" s="111"/>
      <c r="AS1102" s="111"/>
      <c r="AT1102" s="127" t="s">
        <v>179</v>
      </c>
      <c r="AU1102" s="127" t="s">
        <v>821</v>
      </c>
      <c r="AV1102" s="1298" t="s">
        <v>165</v>
      </c>
      <c r="AW1102" s="606" t="s">
        <v>134</v>
      </c>
      <c r="AY1102" s="1297" t="s">
        <v>6113</v>
      </c>
    </row>
    <row r="1103">
      <c r="A1103" s="115" t="s">
        <v>143</v>
      </c>
      <c r="B1103" s="41" t="s">
        <v>107</v>
      </c>
      <c r="C1103" s="41" t="s">
        <v>108</v>
      </c>
      <c r="D1103" s="340"/>
      <c r="E1103" s="1289" t="s">
        <v>6498</v>
      </c>
      <c r="F1103" s="1290" t="s">
        <v>6499</v>
      </c>
      <c r="G1103" s="1291" t="s">
        <v>6097</v>
      </c>
      <c r="H1103" s="1292">
        <v>45690.0</v>
      </c>
      <c r="I1103" s="1293">
        <v>45692.0</v>
      </c>
      <c r="J1103" s="1289"/>
      <c r="K1103" s="1289" t="s">
        <v>6099</v>
      </c>
      <c r="L1103" s="1291" t="s">
        <v>6500</v>
      </c>
      <c r="M1103" s="1289" t="s">
        <v>6501</v>
      </c>
      <c r="N1103" s="1294">
        <v>4.0</v>
      </c>
      <c r="O1103" s="127" t="str">
        <f t="shared" si="63"/>
        <v>10.1177--0956797616639727.pdf</v>
      </c>
      <c r="P1103" s="48" t="str">
        <f t="array" ref="P1103">HYPERLINK(INDEX('File Links'!B:B, MATCH(O1103, 'File Links'!C:C, 0)))
</f>
        <v>https://drive.google.com/file/d/1_UEC3DvYLPby3ewaxAHguC5Mm0ainire/view?usp=drivesdk</v>
      </c>
      <c r="Q1103" s="1291" t="s">
        <v>6103</v>
      </c>
      <c r="R1103" s="147" t="s">
        <v>6104</v>
      </c>
      <c r="S1103" s="134" t="s">
        <v>165</v>
      </c>
      <c r="T1103" s="134" t="s">
        <v>165</v>
      </c>
      <c r="U1103" s="1291" t="s">
        <v>6105</v>
      </c>
      <c r="V1103" s="127" t="s">
        <v>6291</v>
      </c>
      <c r="W1103" s="45" t="str">
        <f t="array" ref="W1103">HYPERLINK(INDEX('File Links'!B:B, MATCH(U1103, 'File Links'!C:C, 0)))
</f>
        <v>#N/A</v>
      </c>
      <c r="X1103" s="1289"/>
      <c r="Y1103" s="1291" t="s">
        <v>220</v>
      </c>
      <c r="Z1103" s="350" t="s">
        <v>165</v>
      </c>
      <c r="AA1103" s="1289" t="s">
        <v>6502</v>
      </c>
      <c r="AB1103" s="1291" t="s">
        <v>6503</v>
      </c>
      <c r="AC1103" s="1289" t="s">
        <v>6504</v>
      </c>
      <c r="AD1103" s="1289" t="s">
        <v>6505</v>
      </c>
      <c r="AE1103" s="1294">
        <v>132.0</v>
      </c>
      <c r="AF1103" s="1333" t="s">
        <v>6506</v>
      </c>
      <c r="AG1103" s="1311" t="s">
        <v>162</v>
      </c>
      <c r="AH1103" s="1289" t="s">
        <v>125</v>
      </c>
      <c r="AI1103" s="1300">
        <v>0.001</v>
      </c>
      <c r="AJ1103" s="1296" t="s">
        <v>127</v>
      </c>
      <c r="AK1103" s="1296" t="s">
        <v>179</v>
      </c>
      <c r="AL1103" s="1289" t="s">
        <v>129</v>
      </c>
      <c r="AM1103" s="1297" t="s">
        <v>165</v>
      </c>
      <c r="AN1103" s="1294">
        <v>97.0</v>
      </c>
      <c r="AO1103" s="1316">
        <v>-0.396027643904869</v>
      </c>
      <c r="AP1103" s="1289" t="s">
        <v>166</v>
      </c>
      <c r="AQ1103" s="1297" t="s">
        <v>6507</v>
      </c>
      <c r="AR1103" s="1321">
        <v>0.0566541751146468</v>
      </c>
      <c r="AS1103" s="1289" t="s">
        <v>164</v>
      </c>
      <c r="AT1103" s="1289" t="s">
        <v>179</v>
      </c>
      <c r="AU1103" s="1334" t="s">
        <v>132</v>
      </c>
      <c r="AV1103" s="1298" t="s">
        <v>165</v>
      </c>
      <c r="AW1103" s="1314" t="s">
        <v>134</v>
      </c>
      <c r="AY1103" s="1297" t="s">
        <v>6113</v>
      </c>
    </row>
    <row r="1104">
      <c r="A1104" s="115" t="s">
        <v>106</v>
      </c>
      <c r="B1104" s="41" t="s">
        <v>107</v>
      </c>
      <c r="C1104" s="41" t="s">
        <v>243</v>
      </c>
      <c r="D1104" s="340"/>
      <c r="E1104" s="112" t="s">
        <v>6498</v>
      </c>
      <c r="F1104" s="116" t="s">
        <v>6499</v>
      </c>
      <c r="G1104" s="127" t="s">
        <v>244</v>
      </c>
      <c r="H1104" s="310">
        <v>45666.0</v>
      </c>
      <c r="I1104" s="1301">
        <v>45692.0</v>
      </c>
      <c r="J1104" s="111"/>
      <c r="K1104" s="128" t="s">
        <v>6508</v>
      </c>
      <c r="L1104" s="127" t="s">
        <v>6500</v>
      </c>
      <c r="M1104" s="127" t="s">
        <v>6501</v>
      </c>
      <c r="N1104" s="111"/>
      <c r="O1104" s="127" t="str">
        <f t="shared" si="63"/>
        <v>10.1177--0956797616639727.pdf</v>
      </c>
      <c r="P1104" s="48" t="str">
        <f t="array" ref="P1104">HYPERLINK(INDEX('File Links'!B:B, MATCH(O1104, 'File Links'!C:C, 0)))
</f>
        <v>https://drive.google.com/file/d/1_UEC3DvYLPby3ewaxAHguC5Mm0ainire/view?usp=drivesdk</v>
      </c>
      <c r="Q1104" s="127" t="s">
        <v>6509</v>
      </c>
      <c r="R1104" s="147" t="s">
        <v>6104</v>
      </c>
      <c r="S1104" s="134" t="s">
        <v>165</v>
      </c>
      <c r="T1104" s="134" t="s">
        <v>165</v>
      </c>
      <c r="U1104" s="127" t="s">
        <v>6105</v>
      </c>
      <c r="V1104" s="127" t="s">
        <v>6291</v>
      </c>
      <c r="W1104" s="45" t="str">
        <f t="array" ref="W1104">HYPERLINK(INDEX('File Links'!B:B, MATCH(U1104, 'File Links'!C:C, 0)))
</f>
        <v>#N/A</v>
      </c>
      <c r="X1104" s="111"/>
      <c r="Y1104" s="127" t="s">
        <v>220</v>
      </c>
      <c r="Z1104" s="111"/>
      <c r="AA1104" s="127" t="s">
        <v>6510</v>
      </c>
      <c r="AB1104" s="111"/>
      <c r="AC1104" s="1289" t="s">
        <v>6504</v>
      </c>
      <c r="AD1104" s="1289" t="s">
        <v>6505</v>
      </c>
      <c r="AE1104" s="720">
        <v>132.0</v>
      </c>
      <c r="AF1104" s="1333" t="s">
        <v>6506</v>
      </c>
      <c r="AG1104" s="1311" t="s">
        <v>162</v>
      </c>
      <c r="AH1104" s="1289" t="s">
        <v>125</v>
      </c>
      <c r="AI1104" s="120">
        <v>0.001</v>
      </c>
      <c r="AJ1104" s="112" t="s">
        <v>127</v>
      </c>
      <c r="AK1104" s="112" t="s">
        <v>179</v>
      </c>
      <c r="AL1104" s="127" t="s">
        <v>132</v>
      </c>
      <c r="AM1104" s="1297" t="s">
        <v>165</v>
      </c>
      <c r="AN1104" s="720">
        <v>97.0</v>
      </c>
      <c r="AO1104" s="720">
        <v>-0.396027643904869</v>
      </c>
      <c r="AP1104" s="127" t="s">
        <v>166</v>
      </c>
      <c r="AQ1104" s="1297" t="s">
        <v>6112</v>
      </c>
      <c r="AR1104" s="720">
        <v>0.0566541751146468</v>
      </c>
      <c r="AS1104" s="127" t="s">
        <v>164</v>
      </c>
      <c r="AT1104" s="127" t="s">
        <v>179</v>
      </c>
      <c r="AU1104" s="127" t="s">
        <v>132</v>
      </c>
      <c r="AV1104" s="1298" t="s">
        <v>165</v>
      </c>
      <c r="AW1104" s="606" t="s">
        <v>134</v>
      </c>
      <c r="AY1104" s="1297" t="s">
        <v>6113</v>
      </c>
    </row>
    <row r="1105">
      <c r="A1105" s="115" t="s">
        <v>143</v>
      </c>
      <c r="B1105" s="41" t="s">
        <v>107</v>
      </c>
      <c r="C1105" s="41" t="s">
        <v>243</v>
      </c>
      <c r="D1105" s="340"/>
      <c r="E1105" s="112" t="s">
        <v>6498</v>
      </c>
      <c r="F1105" s="116" t="s">
        <v>6511</v>
      </c>
      <c r="G1105" s="127" t="s">
        <v>244</v>
      </c>
      <c r="H1105" s="310">
        <v>45666.0</v>
      </c>
      <c r="I1105" s="1301">
        <v>45692.0</v>
      </c>
      <c r="J1105" s="111"/>
      <c r="K1105" s="111" t="s">
        <v>6099</v>
      </c>
      <c r="L1105" s="127" t="s">
        <v>6500</v>
      </c>
      <c r="M1105" s="127" t="s">
        <v>6501</v>
      </c>
      <c r="N1105" s="111"/>
      <c r="O1105" s="127" t="str">
        <f t="shared" si="63"/>
        <v>10.1177--0956797616639727.pdf</v>
      </c>
      <c r="P1105" s="48" t="str">
        <f t="array" ref="P1105">HYPERLINK(INDEX('File Links'!B:B, MATCH(O1105, 'File Links'!C:C, 0)))
</f>
        <v>https://drive.google.com/file/d/1_UEC3DvYLPby3ewaxAHguC5Mm0ainire/view?usp=drivesdk</v>
      </c>
      <c r="Q1105" s="127" t="s">
        <v>6512</v>
      </c>
      <c r="R1105" s="147" t="s">
        <v>6104</v>
      </c>
      <c r="S1105" s="134" t="s">
        <v>165</v>
      </c>
      <c r="T1105" s="134" t="s">
        <v>165</v>
      </c>
      <c r="U1105" s="127" t="s">
        <v>6105</v>
      </c>
      <c r="V1105" s="127" t="s">
        <v>6117</v>
      </c>
      <c r="W1105" s="45" t="str">
        <f t="array" ref="W1105">HYPERLINK(INDEX('File Links'!B:B, MATCH(U1105, 'File Links'!C:C, 0)))
</f>
        <v>#N/A</v>
      </c>
      <c r="X1105" s="111"/>
      <c r="Y1105" s="127" t="s">
        <v>220</v>
      </c>
      <c r="Z1105" s="111"/>
      <c r="AA1105" s="1335" t="s">
        <v>6513</v>
      </c>
      <c r="AB1105" s="111"/>
      <c r="AC1105" s="1289" t="s">
        <v>6504</v>
      </c>
      <c r="AD1105" s="1289" t="s">
        <v>6505</v>
      </c>
      <c r="AE1105" s="720">
        <v>132.0</v>
      </c>
      <c r="AF1105" s="1333" t="s">
        <v>6506</v>
      </c>
      <c r="AG1105" s="1311" t="s">
        <v>162</v>
      </c>
      <c r="AH1105" s="1289" t="s">
        <v>125</v>
      </c>
      <c r="AI1105" s="120">
        <v>0.001</v>
      </c>
      <c r="AJ1105" s="112" t="s">
        <v>127</v>
      </c>
      <c r="AK1105" s="112" t="s">
        <v>179</v>
      </c>
      <c r="AL1105" s="127" t="s">
        <v>132</v>
      </c>
      <c r="AM1105" s="1297" t="s">
        <v>165</v>
      </c>
      <c r="AN1105" s="720">
        <v>115.0</v>
      </c>
      <c r="AO1105" s="720">
        <v>0.359779005115277</v>
      </c>
      <c r="AP1105" s="127" t="s">
        <v>166</v>
      </c>
      <c r="AQ1105" s="1297" t="s">
        <v>6514</v>
      </c>
      <c r="AR1105" s="720">
        <v>0.0562263367816061</v>
      </c>
      <c r="AS1105" s="127" t="s">
        <v>164</v>
      </c>
      <c r="AT1105" s="127" t="s">
        <v>179</v>
      </c>
      <c r="AU1105" s="127" t="s">
        <v>132</v>
      </c>
      <c r="AV1105" s="1298" t="s">
        <v>165</v>
      </c>
      <c r="AW1105" s="606" t="s">
        <v>134</v>
      </c>
      <c r="AY1105" s="1297" t="s">
        <v>6113</v>
      </c>
    </row>
    <row r="1106">
      <c r="A1106" s="60" t="s">
        <v>586</v>
      </c>
      <c r="B1106" s="41" t="s">
        <v>107</v>
      </c>
      <c r="C1106" s="41" t="s">
        <v>108</v>
      </c>
      <c r="D1106" s="340"/>
      <c r="E1106" s="1289" t="s">
        <v>6515</v>
      </c>
      <c r="F1106" s="1290" t="s">
        <v>6516</v>
      </c>
      <c r="G1106" s="1291" t="s">
        <v>6097</v>
      </c>
      <c r="H1106" s="1292">
        <v>45690.0</v>
      </c>
      <c r="I1106" s="1293">
        <v>45692.0</v>
      </c>
      <c r="J1106" s="1289"/>
      <c r="K1106" s="1289" t="s">
        <v>6099</v>
      </c>
      <c r="L1106" s="1291" t="s">
        <v>6500</v>
      </c>
      <c r="M1106" s="1289" t="s">
        <v>6501</v>
      </c>
      <c r="N1106" s="1294">
        <v>4.0</v>
      </c>
      <c r="O1106" s="127" t="str">
        <f t="shared" si="63"/>
        <v>10.1177--0956797616639727.pdf</v>
      </c>
      <c r="P1106" s="48" t="str">
        <f t="array" ref="P1106">HYPERLINK(INDEX('File Links'!B:B, MATCH(O1106, 'File Links'!C:C, 0)))
</f>
        <v>https://drive.google.com/file/d/1_UEC3DvYLPby3ewaxAHguC5Mm0ainire/view?usp=drivesdk</v>
      </c>
      <c r="Q1106" s="1291" t="s">
        <v>6103</v>
      </c>
      <c r="R1106" s="147" t="s">
        <v>6104</v>
      </c>
      <c r="S1106" s="134" t="s">
        <v>165</v>
      </c>
      <c r="T1106" s="134" t="s">
        <v>165</v>
      </c>
      <c r="U1106" s="1291" t="s">
        <v>6105</v>
      </c>
      <c r="V1106" s="127" t="s">
        <v>318</v>
      </c>
      <c r="W1106" s="45" t="str">
        <f t="array" ref="W1106">HYPERLINK(INDEX('File Links'!B:B, MATCH(U1106, 'File Links'!C:C, 0)))
</f>
        <v>#N/A</v>
      </c>
      <c r="X1106" s="1289"/>
      <c r="Y1106" s="1291" t="s">
        <v>220</v>
      </c>
      <c r="Z1106" s="1289" t="s">
        <v>768</v>
      </c>
      <c r="AA1106" s="1289" t="s">
        <v>6502</v>
      </c>
      <c r="AB1106" s="1291" t="s">
        <v>6503</v>
      </c>
      <c r="AC1106" s="1289" t="s">
        <v>6504</v>
      </c>
      <c r="AD1106" s="1289" t="s">
        <v>6505</v>
      </c>
      <c r="AE1106" s="1294">
        <v>132.0</v>
      </c>
      <c r="AF1106" s="1316">
        <v>0.075</v>
      </c>
      <c r="AG1106" s="1289" t="s">
        <v>130</v>
      </c>
      <c r="AH1106" s="1289" t="s">
        <v>125</v>
      </c>
      <c r="AI1106" s="1300">
        <v>0.001</v>
      </c>
      <c r="AJ1106" s="1296" t="s">
        <v>127</v>
      </c>
      <c r="AK1106" s="1296" t="s">
        <v>179</v>
      </c>
      <c r="AL1106" s="1289" t="s">
        <v>129</v>
      </c>
      <c r="AM1106" s="1297" t="s">
        <v>165</v>
      </c>
      <c r="AN1106" s="1294">
        <v>115.0</v>
      </c>
      <c r="AO1106" s="1316">
        <v>0.359779005115277</v>
      </c>
      <c r="AP1106" s="1289" t="s">
        <v>166</v>
      </c>
      <c r="AQ1106" s="1297" t="s">
        <v>6112</v>
      </c>
      <c r="AR1106" s="1316">
        <v>0.0562263367816061</v>
      </c>
      <c r="AS1106" s="1289" t="s">
        <v>164</v>
      </c>
      <c r="AT1106" s="1289" t="s">
        <v>179</v>
      </c>
      <c r="AU1106" s="1315" t="s">
        <v>821</v>
      </c>
      <c r="AV1106" s="1298" t="s">
        <v>165</v>
      </c>
      <c r="AW1106" s="1314" t="s">
        <v>134</v>
      </c>
      <c r="AY1106" s="1297" t="s">
        <v>6113</v>
      </c>
    </row>
    <row r="1107">
      <c r="A1107" s="115" t="s">
        <v>106</v>
      </c>
      <c r="B1107" s="41" t="s">
        <v>107</v>
      </c>
      <c r="C1107" s="41" t="s">
        <v>108</v>
      </c>
      <c r="D1107" s="340"/>
      <c r="E1107" s="1289" t="s">
        <v>6517</v>
      </c>
      <c r="F1107" s="1290" t="s">
        <v>6518</v>
      </c>
      <c r="G1107" s="1291" t="s">
        <v>6097</v>
      </c>
      <c r="H1107" s="1292">
        <v>45690.0</v>
      </c>
      <c r="I1107" s="1293">
        <v>45692.0</v>
      </c>
      <c r="J1107" s="1289" t="s">
        <v>6519</v>
      </c>
      <c r="K1107" s="1289" t="s">
        <v>6099</v>
      </c>
      <c r="L1107" s="1291" t="s">
        <v>6520</v>
      </c>
      <c r="M1107" s="1289" t="s">
        <v>6521</v>
      </c>
      <c r="N1107" s="1294">
        <v>2.0</v>
      </c>
      <c r="O1107" s="127" t="str">
        <f t="shared" si="63"/>
        <v>10.1038--s41598-018-30314-y.pdf</v>
      </c>
      <c r="P1107" s="48" t="str">
        <f t="array" ref="P1107">HYPERLINK(INDEX('File Links'!B:B, MATCH(O1107, 'File Links'!C:C, 0)))
</f>
        <v>https://drive.google.com/file/d/1RLxYB-xp9gCuylzG8fMEpa5rGt6OdoMh/view?usp=drivesdk</v>
      </c>
      <c r="Q1107" s="1291" t="s">
        <v>6103</v>
      </c>
      <c r="R1107" s="147" t="s">
        <v>6104</v>
      </c>
      <c r="S1107" s="134" t="s">
        <v>165</v>
      </c>
      <c r="T1107" s="134" t="s">
        <v>165</v>
      </c>
      <c r="U1107" s="1291" t="s">
        <v>6105</v>
      </c>
      <c r="V1107" s="127" t="s">
        <v>318</v>
      </c>
      <c r="W1107" s="45" t="str">
        <f t="array" ref="W1107">HYPERLINK(INDEX('File Links'!B:B, MATCH(U1107, 'File Links'!C:C, 0)))
</f>
        <v>#N/A</v>
      </c>
      <c r="X1107" s="1289"/>
      <c r="Y1107" s="1291" t="s">
        <v>139</v>
      </c>
      <c r="Z1107" s="1289" t="s">
        <v>768</v>
      </c>
      <c r="AA1107" s="1289" t="s">
        <v>6522</v>
      </c>
      <c r="AB1107" s="1291" t="s">
        <v>6523</v>
      </c>
      <c r="AC1107" s="1289" t="s">
        <v>768</v>
      </c>
      <c r="AD1107" s="1289" t="s">
        <v>768</v>
      </c>
      <c r="AE1107" s="1294">
        <v>100.0</v>
      </c>
      <c r="AF1107" s="1289" t="s">
        <v>6524</v>
      </c>
      <c r="AG1107" s="1289" t="s">
        <v>162</v>
      </c>
      <c r="AH1107" s="1289" t="s">
        <v>768</v>
      </c>
      <c r="AI1107" s="1295" t="s">
        <v>768</v>
      </c>
      <c r="AJ1107" s="1296" t="s">
        <v>768</v>
      </c>
      <c r="AK1107" s="1296" t="s">
        <v>179</v>
      </c>
      <c r="AL1107" s="1289" t="s">
        <v>129</v>
      </c>
      <c r="AM1107" s="1297" t="s">
        <v>165</v>
      </c>
      <c r="AN1107" s="1294">
        <v>37.0</v>
      </c>
      <c r="AO1107" s="1316">
        <v>1.06038990801828</v>
      </c>
      <c r="AP1107" s="1289" t="s">
        <v>166</v>
      </c>
      <c r="AQ1107" s="1297" t="s">
        <v>6112</v>
      </c>
      <c r="AR1107" s="1321">
        <v>1.74700225281248E-7</v>
      </c>
      <c r="AS1107" s="1289" t="s">
        <v>164</v>
      </c>
      <c r="AT1107" s="1289" t="s">
        <v>179</v>
      </c>
      <c r="AU1107" s="1289" t="s">
        <v>129</v>
      </c>
      <c r="AV1107" s="1298" t="s">
        <v>165</v>
      </c>
      <c r="AW1107" s="1314" t="s">
        <v>134</v>
      </c>
      <c r="AY1107" s="1297" t="s">
        <v>6113</v>
      </c>
    </row>
    <row r="1108">
      <c r="A1108" s="115" t="s">
        <v>143</v>
      </c>
      <c r="B1108" s="41" t="s">
        <v>107</v>
      </c>
      <c r="C1108" s="41" t="s">
        <v>243</v>
      </c>
      <c r="D1108" s="340"/>
      <c r="E1108" s="112" t="s">
        <v>6517</v>
      </c>
      <c r="F1108" s="116" t="s">
        <v>6518</v>
      </c>
      <c r="G1108" s="127" t="s">
        <v>244</v>
      </c>
      <c r="H1108" s="310">
        <v>45666.0</v>
      </c>
      <c r="I1108" s="1301">
        <v>45692.0</v>
      </c>
      <c r="J1108" s="127" t="s">
        <v>6525</v>
      </c>
      <c r="K1108" s="128" t="s">
        <v>6526</v>
      </c>
      <c r="L1108" s="127" t="s">
        <v>6520</v>
      </c>
      <c r="M1108" s="127" t="s">
        <v>6521</v>
      </c>
      <c r="N1108" s="1294">
        <v>2.0</v>
      </c>
      <c r="O1108" s="127" t="str">
        <f t="shared" si="63"/>
        <v>10.1038--s41598-018-30314-y.pdf</v>
      </c>
      <c r="P1108" s="48" t="str">
        <f t="array" ref="P1108">HYPERLINK(INDEX('File Links'!B:B, MATCH(O1108, 'File Links'!C:C, 0)))
</f>
        <v>https://drive.google.com/file/d/1RLxYB-xp9gCuylzG8fMEpa5rGt6OdoMh/view?usp=drivesdk</v>
      </c>
      <c r="Q1108" s="127" t="s">
        <v>6527</v>
      </c>
      <c r="R1108" s="147" t="s">
        <v>6104</v>
      </c>
      <c r="S1108" s="134" t="s">
        <v>165</v>
      </c>
      <c r="T1108" s="134" t="s">
        <v>165</v>
      </c>
      <c r="U1108" s="127" t="s">
        <v>6105</v>
      </c>
      <c r="V1108" s="127" t="s">
        <v>318</v>
      </c>
      <c r="W1108" s="45" t="str">
        <f t="array" ref="W1108">HYPERLINK(INDEX('File Links'!B:B, MATCH(U1108, 'File Links'!C:C, 0)))
</f>
        <v>#N/A</v>
      </c>
      <c r="X1108" s="111"/>
      <c r="Y1108" s="127" t="s">
        <v>139</v>
      </c>
      <c r="Z1108" s="350" t="s">
        <v>165</v>
      </c>
      <c r="AA1108" s="1289" t="s">
        <v>6522</v>
      </c>
      <c r="AB1108" s="1291" t="s">
        <v>6523</v>
      </c>
      <c r="AC1108" s="116" t="s">
        <v>165</v>
      </c>
      <c r="AD1108" s="128" t="s">
        <v>165</v>
      </c>
      <c r="AE1108" s="720">
        <v>100.0</v>
      </c>
      <c r="AF1108" s="720">
        <v>0.6354</v>
      </c>
      <c r="AG1108" s="127" t="s">
        <v>166</v>
      </c>
      <c r="AH1108" s="127" t="s">
        <v>165</v>
      </c>
      <c r="AI1108" s="1318">
        <v>6.44373736390437E-9</v>
      </c>
      <c r="AJ1108" s="112" t="s">
        <v>164</v>
      </c>
      <c r="AK1108" s="112" t="s">
        <v>179</v>
      </c>
      <c r="AL1108" s="116" t="s">
        <v>132</v>
      </c>
      <c r="AM1108" s="1297" t="s">
        <v>165</v>
      </c>
      <c r="AN1108" s="720">
        <v>37.0</v>
      </c>
      <c r="AO1108" s="720">
        <v>1.06038990801828</v>
      </c>
      <c r="AP1108" s="127" t="s">
        <v>166</v>
      </c>
      <c r="AQ1108" s="1297" t="s">
        <v>6112</v>
      </c>
      <c r="AR1108" s="1318">
        <v>1.74700225281248E-7</v>
      </c>
      <c r="AS1108" s="127" t="s">
        <v>164</v>
      </c>
      <c r="AT1108" s="127" t="s">
        <v>179</v>
      </c>
      <c r="AU1108" s="116" t="s">
        <v>129</v>
      </c>
      <c r="AV1108" s="1298" t="s">
        <v>165</v>
      </c>
      <c r="AW1108" s="606" t="s">
        <v>134</v>
      </c>
      <c r="AY1108" s="1297" t="s">
        <v>6113</v>
      </c>
    </row>
    <row r="1109">
      <c r="A1109" s="115" t="s">
        <v>143</v>
      </c>
      <c r="B1109" s="41" t="s">
        <v>107</v>
      </c>
      <c r="C1109" s="41" t="s">
        <v>108</v>
      </c>
      <c r="D1109" s="340"/>
      <c r="E1109" s="1289" t="s">
        <v>6528</v>
      </c>
      <c r="F1109" s="1290" t="s">
        <v>6529</v>
      </c>
      <c r="G1109" s="1291" t="s">
        <v>6097</v>
      </c>
      <c r="H1109" s="1292">
        <v>45690.0</v>
      </c>
      <c r="I1109" s="1293">
        <v>45692.0</v>
      </c>
      <c r="J1109" s="1289"/>
      <c r="K1109" s="1297" t="s">
        <v>6530</v>
      </c>
      <c r="L1109" s="1291" t="s">
        <v>6531</v>
      </c>
      <c r="M1109" s="1291" t="s">
        <v>6532</v>
      </c>
      <c r="N1109" s="1294">
        <v>2.0</v>
      </c>
      <c r="O1109" s="1291" t="s">
        <v>6533</v>
      </c>
      <c r="P1109" s="48" t="str">
        <f t="array" ref="P1109">HYPERLINK(INDEX('File Links'!B:B, MATCH(O1109, 'File Links'!C:C, 0)))
</f>
        <v>https://drive.google.com/file/d/133wAd9ADUXthw033LGhcEhvxSj0cXryx/view?usp=drivesdk</v>
      </c>
      <c r="Q1109" s="1291" t="s">
        <v>6103</v>
      </c>
      <c r="R1109" s="147" t="s">
        <v>6104</v>
      </c>
      <c r="S1109" s="134" t="s">
        <v>165</v>
      </c>
      <c r="T1109" s="134" t="s">
        <v>165</v>
      </c>
      <c r="U1109" s="1291" t="s">
        <v>6105</v>
      </c>
      <c r="V1109" s="127" t="s">
        <v>6291</v>
      </c>
      <c r="W1109" s="45" t="str">
        <f t="array" ref="W1109">HYPERLINK(INDEX('File Links'!B:B, MATCH(U1109, 'File Links'!C:C, 0)))
</f>
        <v>#N/A</v>
      </c>
      <c r="X1109" s="1289"/>
      <c r="Y1109" s="1291" t="s">
        <v>156</v>
      </c>
      <c r="Z1109" s="1289" t="s">
        <v>6534</v>
      </c>
      <c r="AA1109" s="1289" t="s">
        <v>6535</v>
      </c>
      <c r="AB1109" s="1291" t="s">
        <v>6536</v>
      </c>
      <c r="AC1109" s="127" t="s">
        <v>6537</v>
      </c>
      <c r="AD1109" s="720">
        <v>1.0</v>
      </c>
      <c r="AE1109" s="1294">
        <v>301.0</v>
      </c>
      <c r="AF1109" s="720">
        <v>0.39</v>
      </c>
      <c r="AG1109" s="127" t="s">
        <v>166</v>
      </c>
      <c r="AH1109" s="127" t="s">
        <v>210</v>
      </c>
      <c r="AI1109" s="1300">
        <v>0.001</v>
      </c>
      <c r="AJ1109" s="1296" t="s">
        <v>127</v>
      </c>
      <c r="AK1109" s="1296" t="s">
        <v>128</v>
      </c>
      <c r="AL1109" s="1297" t="s">
        <v>132</v>
      </c>
      <c r="AM1109" s="1317" t="s">
        <v>6538</v>
      </c>
      <c r="AN1109" s="1294">
        <v>104.0</v>
      </c>
      <c r="AO1109" s="1316">
        <v>0.0632160750004422</v>
      </c>
      <c r="AP1109" s="1289" t="s">
        <v>166</v>
      </c>
      <c r="AQ1109" s="1297" t="s">
        <v>6112</v>
      </c>
      <c r="AR1109" s="1316">
        <v>0.520567835597779</v>
      </c>
      <c r="AS1109" s="1289" t="s">
        <v>164</v>
      </c>
      <c r="AT1109" s="1289" t="s">
        <v>179</v>
      </c>
      <c r="AU1109" s="1297" t="s">
        <v>132</v>
      </c>
      <c r="AV1109" s="1298" t="s">
        <v>165</v>
      </c>
      <c r="AW1109" s="1314" t="s">
        <v>134</v>
      </c>
      <c r="AY1109" s="1297" t="s">
        <v>6113</v>
      </c>
    </row>
    <row r="1110">
      <c r="A1110" s="115" t="s">
        <v>106</v>
      </c>
      <c r="B1110" s="41" t="s">
        <v>107</v>
      </c>
      <c r="C1110" s="41" t="s">
        <v>243</v>
      </c>
      <c r="D1110" s="340"/>
      <c r="E1110" s="112" t="s">
        <v>6528</v>
      </c>
      <c r="F1110" s="116" t="s">
        <v>6529</v>
      </c>
      <c r="G1110" s="127" t="s">
        <v>244</v>
      </c>
      <c r="H1110" s="310">
        <v>45666.0</v>
      </c>
      <c r="I1110" s="1301">
        <v>45692.0</v>
      </c>
      <c r="J1110" s="111"/>
      <c r="K1110" s="1289" t="s">
        <v>6539</v>
      </c>
      <c r="L1110" s="127" t="s">
        <v>6531</v>
      </c>
      <c r="M1110" s="127" t="s">
        <v>6532</v>
      </c>
      <c r="N1110" s="111"/>
      <c r="O1110" s="127" t="str">
        <f t="shared" ref="O1110:O1112" si="64"> SUBSTITUTE(lower(M1110), "/", "--") &amp;  ".pdf"</f>
        <v>10.1073--pnas.2009030117.pdf</v>
      </c>
      <c r="P1110" s="48" t="str">
        <f t="array" ref="P1110">HYPERLINK(INDEX('File Links'!B:B, MATCH(O1110, 'File Links'!C:C, 0)))
</f>
        <v>https://drive.google.com/file/d/133wAd9ADUXthw033LGhcEhvxSj0cXryx/view?usp=drivesdk</v>
      </c>
      <c r="Q1110" s="127" t="s">
        <v>6540</v>
      </c>
      <c r="R1110" s="147" t="s">
        <v>6104</v>
      </c>
      <c r="S1110" s="134" t="s">
        <v>165</v>
      </c>
      <c r="T1110" s="134" t="s">
        <v>165</v>
      </c>
      <c r="U1110" s="127" t="s">
        <v>6105</v>
      </c>
      <c r="V1110" s="127" t="s">
        <v>6291</v>
      </c>
      <c r="W1110" s="45" t="str">
        <f t="array" ref="W1110">HYPERLINK(INDEX('File Links'!B:B, MATCH(U1110, 'File Links'!C:C, 0)))
</f>
        <v>#N/A</v>
      </c>
      <c r="X1110" s="111"/>
      <c r="Y1110" s="127" t="s">
        <v>156</v>
      </c>
      <c r="Z1110" s="111"/>
      <c r="AA1110" s="111"/>
      <c r="AB1110" s="111"/>
      <c r="AC1110" s="127" t="s">
        <v>6537</v>
      </c>
      <c r="AD1110" s="720">
        <v>1.0</v>
      </c>
      <c r="AE1110" s="720">
        <v>301.0</v>
      </c>
      <c r="AF1110" s="720">
        <v>0.39</v>
      </c>
      <c r="AG1110" s="127" t="s">
        <v>166</v>
      </c>
      <c r="AH1110" s="127" t="s">
        <v>210</v>
      </c>
      <c r="AI1110" s="120">
        <v>0.001</v>
      </c>
      <c r="AJ1110" s="112" t="s">
        <v>127</v>
      </c>
      <c r="AK1110" s="112" t="s">
        <v>128</v>
      </c>
      <c r="AL1110" s="127" t="s">
        <v>132</v>
      </c>
      <c r="AM1110" s="1326" t="s">
        <v>6538</v>
      </c>
      <c r="AN1110" s="720">
        <v>104.0</v>
      </c>
      <c r="AO1110" s="720">
        <v>0.0632160750004422</v>
      </c>
      <c r="AP1110" s="127" t="s">
        <v>166</v>
      </c>
      <c r="AQ1110" s="1297" t="s">
        <v>6112</v>
      </c>
      <c r="AR1110" s="1336">
        <v>0.520567835597779</v>
      </c>
      <c r="AS1110" s="127" t="s">
        <v>164</v>
      </c>
      <c r="AT1110" s="127" t="s">
        <v>128</v>
      </c>
      <c r="AU1110" s="127" t="s">
        <v>132</v>
      </c>
      <c r="AV1110" s="1298" t="s">
        <v>165</v>
      </c>
      <c r="AW1110" s="606" t="s">
        <v>134</v>
      </c>
      <c r="AY1110" s="1297" t="s">
        <v>6113</v>
      </c>
    </row>
    <row r="1111">
      <c r="A1111" s="115" t="s">
        <v>143</v>
      </c>
      <c r="B1111" s="41" t="s">
        <v>107</v>
      </c>
      <c r="C1111" s="41" t="s">
        <v>108</v>
      </c>
      <c r="D1111" s="340"/>
      <c r="E1111" s="1289" t="s">
        <v>6541</v>
      </c>
      <c r="F1111" s="1290" t="s">
        <v>6542</v>
      </c>
      <c r="G1111" s="1291" t="s">
        <v>6097</v>
      </c>
      <c r="H1111" s="1292">
        <v>45690.0</v>
      </c>
      <c r="I1111" s="1293">
        <v>45692.0</v>
      </c>
      <c r="J1111" s="1289"/>
      <c r="K1111" s="1297" t="s">
        <v>6543</v>
      </c>
      <c r="L1111" s="1291" t="s">
        <v>6544</v>
      </c>
      <c r="M1111" s="1289" t="s">
        <v>6545</v>
      </c>
      <c r="N1111" s="1294">
        <v>2.0</v>
      </c>
      <c r="O1111" s="127" t="str">
        <f t="shared" si="64"/>
        <v>10.1037--0022-3514.94.3.396 (1).pdf</v>
      </c>
      <c r="P1111" s="48" t="str">
        <f t="array" ref="P1111">HYPERLINK(INDEX('File Links'!B:B, MATCH(O1111, 'File Links'!C:C, 0)))
</f>
        <v>https://drive.google.com/file/d/1mWjj8mxrG8UD8YXr2nZ-cGzIZBtUwLal/view?usp=drivesdk</v>
      </c>
      <c r="Q1111" s="1291" t="s">
        <v>6103</v>
      </c>
      <c r="R1111" s="147" t="s">
        <v>6104</v>
      </c>
      <c r="S1111" s="134" t="s">
        <v>165</v>
      </c>
      <c r="T1111" s="134" t="s">
        <v>165</v>
      </c>
      <c r="U1111" s="1291" t="s">
        <v>6105</v>
      </c>
      <c r="V1111" s="127" t="s">
        <v>6117</v>
      </c>
      <c r="W1111" s="45" t="str">
        <f t="array" ref="W1111">HYPERLINK(INDEX('File Links'!B:B, MATCH(U1111, 'File Links'!C:C, 0)))
</f>
        <v>#N/A</v>
      </c>
      <c r="X1111" s="1289"/>
      <c r="Y1111" s="1291" t="s">
        <v>220</v>
      </c>
      <c r="Z1111" s="350" t="s">
        <v>165</v>
      </c>
      <c r="AA1111" s="1289" t="s">
        <v>6546</v>
      </c>
      <c r="AB1111" s="1291" t="s">
        <v>6547</v>
      </c>
      <c r="AC1111" s="1337" t="s">
        <v>6548</v>
      </c>
      <c r="AD1111" s="1338">
        <v>401.0</v>
      </c>
      <c r="AE1111" s="1338">
        <v>123.0</v>
      </c>
      <c r="AF1111" s="1338">
        <v>0.45</v>
      </c>
      <c r="AG1111" s="127" t="s">
        <v>166</v>
      </c>
      <c r="AH1111" s="127" t="s">
        <v>6549</v>
      </c>
      <c r="AI1111" s="120">
        <v>0.05</v>
      </c>
      <c r="AJ1111" s="1296" t="s">
        <v>127</v>
      </c>
      <c r="AK1111" s="1296" t="s">
        <v>179</v>
      </c>
      <c r="AL1111" s="1289" t="s">
        <v>129</v>
      </c>
      <c r="AM1111" s="1297" t="s">
        <v>165</v>
      </c>
      <c r="AN1111" s="1294">
        <v>23.0</v>
      </c>
      <c r="AO1111" s="1316">
        <v>-0.638230402761701</v>
      </c>
      <c r="AP1111" s="1289" t="s">
        <v>166</v>
      </c>
      <c r="AQ1111" s="1297" t="s">
        <v>6112</v>
      </c>
      <c r="AR1111" s="1316">
        <v>0.00692284686075806</v>
      </c>
      <c r="AS1111" s="1289" t="s">
        <v>164</v>
      </c>
      <c r="AT1111" s="1289" t="s">
        <v>179</v>
      </c>
      <c r="AU1111" s="1289" t="s">
        <v>129</v>
      </c>
      <c r="AV1111" s="1298" t="s">
        <v>165</v>
      </c>
      <c r="AW1111" s="1314" t="s">
        <v>134</v>
      </c>
      <c r="AY1111" s="1297" t="s">
        <v>6113</v>
      </c>
    </row>
    <row r="1112">
      <c r="A1112" s="115" t="s">
        <v>106</v>
      </c>
      <c r="B1112" s="41" t="s">
        <v>107</v>
      </c>
      <c r="C1112" s="41" t="s">
        <v>243</v>
      </c>
      <c r="D1112" s="340"/>
      <c r="E1112" s="112" t="s">
        <v>6541</v>
      </c>
      <c r="F1112" s="116" t="s">
        <v>6542</v>
      </c>
      <c r="G1112" s="127" t="s">
        <v>244</v>
      </c>
      <c r="H1112" s="310">
        <v>45671.0</v>
      </c>
      <c r="I1112" s="1301">
        <v>45692.0</v>
      </c>
      <c r="J1112" s="111"/>
      <c r="K1112" s="111" t="s">
        <v>6539</v>
      </c>
      <c r="L1112" s="127" t="s">
        <v>6544</v>
      </c>
      <c r="M1112" s="127" t="s">
        <v>6550</v>
      </c>
      <c r="N1112" s="111"/>
      <c r="O1112" s="127" t="str">
        <f t="shared" si="64"/>
        <v>10.1037--0022-3514.94.3.396.pdf</v>
      </c>
      <c r="P1112" s="48" t="str">
        <f t="array" ref="P1112">HYPERLINK(INDEX('File Links'!B:B, MATCH(O1112, 'File Links'!C:C, 0)))
</f>
        <v>https://drive.google.com/file/d/11YlCMyN4uuL8Bm15aAIWE8inJeqhHaiW/view?usp=drivesdk</v>
      </c>
      <c r="Q1112" s="127" t="s">
        <v>6551</v>
      </c>
      <c r="R1112" s="147" t="s">
        <v>6104</v>
      </c>
      <c r="S1112" s="134" t="s">
        <v>165</v>
      </c>
      <c r="T1112" s="134" t="s">
        <v>165</v>
      </c>
      <c r="U1112" s="127" t="s">
        <v>6105</v>
      </c>
      <c r="V1112" s="127" t="s">
        <v>6117</v>
      </c>
      <c r="W1112" s="45" t="str">
        <f t="array" ref="W1112">HYPERLINK(INDEX('File Links'!B:B, MATCH(U1112, 'File Links'!C:C, 0)))
</f>
        <v>#N/A</v>
      </c>
      <c r="X1112" s="111"/>
      <c r="Y1112" s="127" t="s">
        <v>220</v>
      </c>
      <c r="Z1112" s="111"/>
      <c r="AA1112" s="127" t="s">
        <v>6552</v>
      </c>
      <c r="AB1112" s="111"/>
      <c r="AC1112" s="127" t="s">
        <v>6548</v>
      </c>
      <c r="AD1112" s="720">
        <v>401.0</v>
      </c>
      <c r="AE1112" s="720">
        <v>123.0</v>
      </c>
      <c r="AF1112" s="720">
        <v>0.45</v>
      </c>
      <c r="AG1112" s="127" t="s">
        <v>166</v>
      </c>
      <c r="AH1112" s="127" t="s">
        <v>6549</v>
      </c>
      <c r="AI1112" s="120">
        <v>0.05</v>
      </c>
      <c r="AJ1112" s="112" t="s">
        <v>127</v>
      </c>
      <c r="AK1112" s="112" t="s">
        <v>179</v>
      </c>
      <c r="AL1112" s="765" t="s">
        <v>129</v>
      </c>
      <c r="AM1112" s="1297" t="s">
        <v>165</v>
      </c>
      <c r="AN1112" s="720">
        <v>23.0</v>
      </c>
      <c r="AO1112" s="720">
        <v>-0.638230402761701</v>
      </c>
      <c r="AP1112" s="127" t="s">
        <v>166</v>
      </c>
      <c r="AQ1112" s="1297" t="s">
        <v>6112</v>
      </c>
      <c r="AR1112" s="720">
        <v>0.00692284686075806</v>
      </c>
      <c r="AS1112" s="127" t="s">
        <v>164</v>
      </c>
      <c r="AT1112" s="127" t="s">
        <v>179</v>
      </c>
      <c r="AU1112" s="127" t="s">
        <v>821</v>
      </c>
      <c r="AV1112" s="1298" t="s">
        <v>165</v>
      </c>
      <c r="AW1112" s="127" t="s">
        <v>134</v>
      </c>
      <c r="AY1112" s="1297" t="s">
        <v>6113</v>
      </c>
    </row>
    <row r="1113">
      <c r="A1113" s="115" t="s">
        <v>2021</v>
      </c>
      <c r="B1113" s="41" t="s">
        <v>107</v>
      </c>
      <c r="C1113" s="41" t="s">
        <v>108</v>
      </c>
      <c r="D1113" s="340"/>
      <c r="E1113" s="1289" t="s">
        <v>6553</v>
      </c>
      <c r="F1113" s="1290" t="s">
        <v>6554</v>
      </c>
      <c r="G1113" s="1291" t="s">
        <v>6097</v>
      </c>
      <c r="H1113" s="1292">
        <v>45690.0</v>
      </c>
      <c r="I1113" s="1293">
        <v>45692.0</v>
      </c>
      <c r="J1113" s="1289" t="s">
        <v>6185</v>
      </c>
      <c r="K1113" s="1289" t="s">
        <v>6555</v>
      </c>
      <c r="L1113" s="1291" t="s">
        <v>6556</v>
      </c>
      <c r="M1113" s="1291" t="s">
        <v>6557</v>
      </c>
      <c r="N1113" s="1294">
        <v>1.0</v>
      </c>
      <c r="O1113" s="1291" t="s">
        <v>6558</v>
      </c>
      <c r="P1113" s="48" t="str">
        <f t="array" ref="P1113">HYPERLINK(INDEX('File Links'!B:B, MATCH(O1113, 'File Links'!C:C, 0)))
</f>
        <v>https://drive.google.com/file/d/1tL5SefgazspPrHDE7uspX1rbNInieF1Y/view?usp=drivesdk</v>
      </c>
      <c r="Q1113" s="1291" t="s">
        <v>6103</v>
      </c>
      <c r="R1113" s="147" t="s">
        <v>6104</v>
      </c>
      <c r="S1113" s="134" t="s">
        <v>165</v>
      </c>
      <c r="T1113" s="134" t="s">
        <v>165</v>
      </c>
      <c r="U1113" s="1291" t="s">
        <v>6105</v>
      </c>
      <c r="V1113" s="127" t="s">
        <v>318</v>
      </c>
      <c r="W1113" s="45" t="str">
        <f t="array" ref="W1113">HYPERLINK(INDEX('File Links'!B:B, MATCH(U1113, 'File Links'!C:C, 0)))
</f>
        <v>#N/A</v>
      </c>
      <c r="X1113" s="1289"/>
      <c r="Y1113" s="1291" t="s">
        <v>139</v>
      </c>
      <c r="Z1113" s="1289" t="s">
        <v>768</v>
      </c>
      <c r="AA1113" s="1289" t="s">
        <v>6559</v>
      </c>
      <c r="AB1113" s="1291" t="s">
        <v>6560</v>
      </c>
      <c r="AC1113" s="1289" t="s">
        <v>768</v>
      </c>
      <c r="AD1113" s="1289" t="s">
        <v>768</v>
      </c>
      <c r="AE1113" s="1294">
        <v>8.0</v>
      </c>
      <c r="AF1113" s="1289" t="s">
        <v>768</v>
      </c>
      <c r="AG1113" s="1289" t="s">
        <v>768</v>
      </c>
      <c r="AH1113" s="1289" t="s">
        <v>768</v>
      </c>
      <c r="AI1113" s="1295" t="s">
        <v>768</v>
      </c>
      <c r="AJ1113" s="1296" t="s">
        <v>768</v>
      </c>
      <c r="AK1113" s="1296" t="s">
        <v>179</v>
      </c>
      <c r="AL1113" s="1289" t="s">
        <v>132</v>
      </c>
      <c r="AM1113" s="1297" t="s">
        <v>165</v>
      </c>
      <c r="AN1113" s="1294">
        <v>315.0</v>
      </c>
      <c r="AO1113" s="1289" t="s">
        <v>768</v>
      </c>
      <c r="AP1113" s="1289" t="s">
        <v>768</v>
      </c>
      <c r="AQ1113" s="1297" t="s">
        <v>6112</v>
      </c>
      <c r="AR1113" s="1289" t="s">
        <v>768</v>
      </c>
      <c r="AS1113" s="1289" t="s">
        <v>768</v>
      </c>
      <c r="AT1113" s="1289" t="s">
        <v>179</v>
      </c>
      <c r="AU1113" s="1289" t="s">
        <v>129</v>
      </c>
      <c r="AV1113" s="1298" t="s">
        <v>165</v>
      </c>
      <c r="AW1113" s="1314" t="s">
        <v>134</v>
      </c>
      <c r="AY1113" s="1297" t="s">
        <v>6113</v>
      </c>
    </row>
    <row r="1114">
      <c r="A1114" s="115" t="s">
        <v>106</v>
      </c>
      <c r="B1114" s="41" t="s">
        <v>107</v>
      </c>
      <c r="C1114" s="41" t="s">
        <v>243</v>
      </c>
      <c r="D1114" s="340"/>
      <c r="E1114" s="112" t="s">
        <v>6553</v>
      </c>
      <c r="F1114" s="116" t="s">
        <v>6554</v>
      </c>
      <c r="G1114" s="127" t="s">
        <v>244</v>
      </c>
      <c r="H1114" s="310">
        <v>45663.0</v>
      </c>
      <c r="I1114" s="1301">
        <v>45692.0</v>
      </c>
      <c r="J1114" s="127" t="s">
        <v>6190</v>
      </c>
      <c r="K1114" s="111" t="s">
        <v>6555</v>
      </c>
      <c r="L1114" s="127" t="s">
        <v>6556</v>
      </c>
      <c r="M1114" s="127" t="s">
        <v>6557</v>
      </c>
      <c r="N1114" s="111"/>
      <c r="O1114" s="127" t="str">
        <f t="shared" ref="O1114:O1118" si="65"> SUBSTITUTE(lower(M1114), "/", "--") &amp;  ".pdf"</f>
        <v>10.1016--j.visres.2005.04.013.pdf</v>
      </c>
      <c r="P1114" s="48" t="str">
        <f t="array" ref="P1114">HYPERLINK(INDEX('File Links'!B:B, MATCH(O1114, 'File Links'!C:C, 0)))
</f>
        <v>https://drive.google.com/file/d/1tL5SefgazspPrHDE7uspX1rbNInieF1Y/view?usp=drivesdk</v>
      </c>
      <c r="Q1114" s="127" t="s">
        <v>6561</v>
      </c>
      <c r="R1114" s="147" t="s">
        <v>6104</v>
      </c>
      <c r="S1114" s="134" t="s">
        <v>165</v>
      </c>
      <c r="T1114" s="134" t="s">
        <v>165</v>
      </c>
      <c r="U1114" s="127" t="s">
        <v>6105</v>
      </c>
      <c r="V1114" s="127" t="s">
        <v>318</v>
      </c>
      <c r="W1114" s="45" t="str">
        <f t="array" ref="W1114">HYPERLINK(INDEX('File Links'!B:B, MATCH(U1114, 'File Links'!C:C, 0)))
</f>
        <v>#N/A</v>
      </c>
      <c r="X1114" s="111"/>
      <c r="Y1114" s="127" t="s">
        <v>139</v>
      </c>
      <c r="Z1114" s="111"/>
      <c r="AA1114" s="111"/>
      <c r="AB1114" s="111"/>
      <c r="AC1114" s="127" t="s">
        <v>165</v>
      </c>
      <c r="AD1114" s="127" t="s">
        <v>165</v>
      </c>
      <c r="AE1114" s="720">
        <v>8.0</v>
      </c>
      <c r="AF1114" s="127" t="s">
        <v>165</v>
      </c>
      <c r="AG1114" s="111"/>
      <c r="AH1114" s="127" t="s">
        <v>165</v>
      </c>
      <c r="AI1114" s="212" t="s">
        <v>165</v>
      </c>
      <c r="AJ1114" s="119"/>
      <c r="AK1114" s="112" t="s">
        <v>179</v>
      </c>
      <c r="AL1114" s="127" t="s">
        <v>129</v>
      </c>
      <c r="AM1114" s="1297" t="s">
        <v>165</v>
      </c>
      <c r="AN1114" s="720">
        <v>315.0</v>
      </c>
      <c r="AO1114" s="127" t="s">
        <v>165</v>
      </c>
      <c r="AP1114" s="111"/>
      <c r="AQ1114" s="1297" t="s">
        <v>6112</v>
      </c>
      <c r="AR1114" s="127" t="s">
        <v>165</v>
      </c>
      <c r="AS1114" s="111"/>
      <c r="AT1114" s="127" t="s">
        <v>179</v>
      </c>
      <c r="AU1114" s="127" t="s">
        <v>129</v>
      </c>
      <c r="AV1114" s="1298" t="s">
        <v>165</v>
      </c>
      <c r="AW1114" s="606" t="s">
        <v>134</v>
      </c>
      <c r="AY1114" s="1297" t="s">
        <v>6113</v>
      </c>
    </row>
    <row r="1115">
      <c r="A1115" s="115" t="s">
        <v>143</v>
      </c>
      <c r="B1115" s="41" t="s">
        <v>107</v>
      </c>
      <c r="C1115" s="41" t="s">
        <v>108</v>
      </c>
      <c r="D1115" s="340"/>
      <c r="E1115" s="1289" t="s">
        <v>6562</v>
      </c>
      <c r="F1115" s="1290" t="s">
        <v>6563</v>
      </c>
      <c r="G1115" s="1291" t="s">
        <v>6097</v>
      </c>
      <c r="H1115" s="1292">
        <v>45690.0</v>
      </c>
      <c r="I1115" s="1293">
        <v>45692.0</v>
      </c>
      <c r="J1115" s="1289"/>
      <c r="K1115" s="1289" t="s">
        <v>6099</v>
      </c>
      <c r="L1115" s="1291" t="s">
        <v>6564</v>
      </c>
      <c r="M1115" s="1289" t="s">
        <v>6565</v>
      </c>
      <c r="N1115" s="1294">
        <v>1.0</v>
      </c>
      <c r="O1115" s="127" t="str">
        <f t="shared" si="65"/>
        <v>10.1016--j.jesp.2020.104080.pdf</v>
      </c>
      <c r="P1115" s="48" t="str">
        <f t="array" ref="P1115">HYPERLINK(INDEX('File Links'!B:B, MATCH(O1115, 'File Links'!C:C, 0)))
</f>
        <v>https://drive.google.com/file/d/18nULESXZN8TdVjSkyh5ultgqH2EvBSm0/view?usp=drivesdk</v>
      </c>
      <c r="Q1115" s="1291" t="s">
        <v>6103</v>
      </c>
      <c r="R1115" s="147" t="s">
        <v>6104</v>
      </c>
      <c r="S1115" s="134" t="s">
        <v>165</v>
      </c>
      <c r="T1115" s="134" t="s">
        <v>165</v>
      </c>
      <c r="U1115" s="1291" t="s">
        <v>6105</v>
      </c>
      <c r="V1115" s="127" t="s">
        <v>6291</v>
      </c>
      <c r="W1115" s="45" t="str">
        <f t="array" ref="W1115">HYPERLINK(INDEX('File Links'!B:B, MATCH(U1115, 'File Links'!C:C, 0)))
</f>
        <v>#N/A</v>
      </c>
      <c r="X1115" s="1289"/>
      <c r="Y1115" s="1291" t="s">
        <v>220</v>
      </c>
      <c r="Z1115" s="350" t="s">
        <v>165</v>
      </c>
      <c r="AA1115" s="1289" t="s">
        <v>6566</v>
      </c>
      <c r="AB1115" s="1291" t="s">
        <v>6567</v>
      </c>
      <c r="AC1115" s="1289" t="s">
        <v>6568</v>
      </c>
      <c r="AD1115" s="1316">
        <v>3.0</v>
      </c>
      <c r="AE1115" s="1294">
        <v>199.0</v>
      </c>
      <c r="AF1115" s="1297">
        <v>0.32</v>
      </c>
      <c r="AG1115" s="1297" t="s">
        <v>357</v>
      </c>
      <c r="AH1115" s="1289" t="s">
        <v>505</v>
      </c>
      <c r="AI1115" s="1300">
        <v>0.001</v>
      </c>
      <c r="AJ1115" s="1296" t="s">
        <v>127</v>
      </c>
      <c r="AK1115" s="1296" t="s">
        <v>179</v>
      </c>
      <c r="AL1115" s="1289" t="s">
        <v>129</v>
      </c>
      <c r="AM1115" s="1317" t="s">
        <v>6569</v>
      </c>
      <c r="AN1115" s="1294">
        <v>136.0</v>
      </c>
      <c r="AO1115" s="1297">
        <v>0.457207</v>
      </c>
      <c r="AP1115" s="1297" t="s">
        <v>357</v>
      </c>
      <c r="AQ1115" s="1297" t="s">
        <v>6112</v>
      </c>
      <c r="AR1115" s="1297" t="s">
        <v>165</v>
      </c>
      <c r="AS1115" s="128" t="s">
        <v>165</v>
      </c>
      <c r="AT1115" s="1289" t="s">
        <v>179</v>
      </c>
      <c r="AU1115" s="1289" t="s">
        <v>129</v>
      </c>
      <c r="AV1115" s="1298" t="s">
        <v>165</v>
      </c>
      <c r="AW1115" s="1314" t="s">
        <v>134</v>
      </c>
      <c r="AY1115" s="1297" t="s">
        <v>6113</v>
      </c>
    </row>
    <row r="1116">
      <c r="A1116" s="115" t="s">
        <v>106</v>
      </c>
      <c r="B1116" s="41" t="s">
        <v>107</v>
      </c>
      <c r="C1116" s="41" t="s">
        <v>243</v>
      </c>
      <c r="D1116" s="340"/>
      <c r="E1116" s="112" t="s">
        <v>6562</v>
      </c>
      <c r="F1116" s="116" t="s">
        <v>6563</v>
      </c>
      <c r="G1116" s="127" t="s">
        <v>244</v>
      </c>
      <c r="H1116" s="310">
        <v>45666.0</v>
      </c>
      <c r="I1116" s="1301">
        <v>45692.0</v>
      </c>
      <c r="J1116" s="111"/>
      <c r="K1116" s="111" t="s">
        <v>6099</v>
      </c>
      <c r="L1116" s="127" t="s">
        <v>6564</v>
      </c>
      <c r="M1116" s="127" t="s">
        <v>6565</v>
      </c>
      <c r="N1116" s="111"/>
      <c r="O1116" s="127" t="str">
        <f t="shared" si="65"/>
        <v>10.1016--j.jesp.2020.104080.pdf</v>
      </c>
      <c r="P1116" s="48" t="str">
        <f t="array" ref="P1116">HYPERLINK(INDEX('File Links'!B:B, MATCH(O1116, 'File Links'!C:C, 0)))
</f>
        <v>https://drive.google.com/file/d/18nULESXZN8TdVjSkyh5ultgqH2EvBSm0/view?usp=drivesdk</v>
      </c>
      <c r="Q1116" s="127" t="s">
        <v>6570</v>
      </c>
      <c r="R1116" s="147" t="s">
        <v>6104</v>
      </c>
      <c r="S1116" s="134" t="s">
        <v>165</v>
      </c>
      <c r="T1116" s="134" t="s">
        <v>165</v>
      </c>
      <c r="U1116" s="127" t="s">
        <v>6105</v>
      </c>
      <c r="V1116" s="127" t="s">
        <v>6291</v>
      </c>
      <c r="W1116" s="45" t="str">
        <f t="array" ref="W1116">HYPERLINK(INDEX('File Links'!B:B, MATCH(U1116, 'File Links'!C:C, 0)))
</f>
        <v>#N/A</v>
      </c>
      <c r="X1116" s="111"/>
      <c r="Y1116" s="127" t="s">
        <v>220</v>
      </c>
      <c r="Z1116" s="111"/>
      <c r="AA1116" s="111"/>
      <c r="AB1116" s="111"/>
      <c r="AC1116" s="127" t="s">
        <v>6571</v>
      </c>
      <c r="AD1116" s="720">
        <v>3.0</v>
      </c>
      <c r="AE1116" s="720">
        <v>199.0</v>
      </c>
      <c r="AF1116" s="720">
        <v>0.32</v>
      </c>
      <c r="AG1116" s="698" t="s">
        <v>1006</v>
      </c>
      <c r="AH1116" s="127" t="s">
        <v>210</v>
      </c>
      <c r="AI1116" s="120">
        <v>0.001</v>
      </c>
      <c r="AJ1116" s="112" t="s">
        <v>127</v>
      </c>
      <c r="AK1116" s="112" t="s">
        <v>179</v>
      </c>
      <c r="AL1116" s="127" t="s">
        <v>821</v>
      </c>
      <c r="AM1116" s="1326" t="s">
        <v>6569</v>
      </c>
      <c r="AN1116" s="720">
        <v>136.0</v>
      </c>
      <c r="AO1116" s="720">
        <v>0.457207</v>
      </c>
      <c r="AP1116" s="127" t="s">
        <v>1006</v>
      </c>
      <c r="AQ1116" s="1297" t="s">
        <v>6112</v>
      </c>
      <c r="AR1116" s="127" t="s">
        <v>165</v>
      </c>
      <c r="AS1116" s="111"/>
      <c r="AT1116" s="127" t="s">
        <v>179</v>
      </c>
      <c r="AU1116" s="127" t="s">
        <v>821</v>
      </c>
      <c r="AV1116" s="1298" t="s">
        <v>165</v>
      </c>
      <c r="AW1116" s="606" t="s">
        <v>134</v>
      </c>
      <c r="AY1116" s="1297" t="s">
        <v>6113</v>
      </c>
    </row>
    <row r="1117">
      <c r="A1117" s="115" t="s">
        <v>143</v>
      </c>
      <c r="B1117" s="41" t="s">
        <v>107</v>
      </c>
      <c r="C1117" s="41" t="s">
        <v>108</v>
      </c>
      <c r="D1117" s="340"/>
      <c r="E1117" s="1289" t="s">
        <v>6572</v>
      </c>
      <c r="F1117" s="1290" t="s">
        <v>6573</v>
      </c>
      <c r="G1117" s="1291" t="s">
        <v>6097</v>
      </c>
      <c r="H1117" s="1292">
        <v>45690.0</v>
      </c>
      <c r="I1117" s="1293">
        <v>45692.0</v>
      </c>
      <c r="J1117" s="1289" t="s">
        <v>6195</v>
      </c>
      <c r="K1117" s="1297" t="s">
        <v>6574</v>
      </c>
      <c r="L1117" s="1291" t="s">
        <v>6575</v>
      </c>
      <c r="M1117" s="1289" t="s">
        <v>6576</v>
      </c>
      <c r="N1117" s="1294">
        <v>1.0</v>
      </c>
      <c r="O1117" s="127" t="str">
        <f t="shared" si="65"/>
        <v>10.1016--j.cognition.2016.06.011.pdf</v>
      </c>
      <c r="P1117" s="48" t="str">
        <f t="array" ref="P1117">HYPERLINK(INDEX('File Links'!B:B, MATCH(O1117, 'File Links'!C:C, 0)))
</f>
        <v>https://drive.google.com/file/d/117IKlIHBXRWO7KM1helymQPvsGoEIXdX/view?usp=drivesdk</v>
      </c>
      <c r="Q1117" s="1291" t="s">
        <v>6103</v>
      </c>
      <c r="R1117" s="147" t="s">
        <v>6104</v>
      </c>
      <c r="S1117" s="134" t="s">
        <v>165</v>
      </c>
      <c r="T1117" s="134" t="s">
        <v>165</v>
      </c>
      <c r="U1117" s="1291" t="s">
        <v>6105</v>
      </c>
      <c r="V1117" s="127" t="s">
        <v>6117</v>
      </c>
      <c r="W1117" s="45" t="str">
        <f t="array" ref="W1117">HYPERLINK(INDEX('File Links'!B:B, MATCH(U1117, 'File Links'!C:C, 0)))
</f>
        <v>#N/A</v>
      </c>
      <c r="X1117" s="1289"/>
      <c r="Y1117" s="1291" t="s">
        <v>139</v>
      </c>
      <c r="Z1117" s="1289" t="s">
        <v>6577</v>
      </c>
      <c r="AA1117" s="1289" t="s">
        <v>6578</v>
      </c>
      <c r="AB1117" s="1291" t="s">
        <v>6579</v>
      </c>
      <c r="AC1117" s="1297" t="s">
        <v>6580</v>
      </c>
      <c r="AD1117" s="1289" t="s">
        <v>6260</v>
      </c>
      <c r="AE1117" s="1294">
        <v>147.0</v>
      </c>
      <c r="AF1117" s="1297">
        <v>0.21</v>
      </c>
      <c r="AG1117" s="1297" t="s">
        <v>1006</v>
      </c>
      <c r="AH1117" s="1289" t="s">
        <v>6581</v>
      </c>
      <c r="AI1117" s="1300">
        <v>0.05</v>
      </c>
      <c r="AJ1117" s="1296" t="s">
        <v>127</v>
      </c>
      <c r="AK1117" s="1296" t="s">
        <v>179</v>
      </c>
      <c r="AL1117" s="127" t="s">
        <v>132</v>
      </c>
      <c r="AM1117" s="1297" t="s">
        <v>165</v>
      </c>
      <c r="AN1117" s="1294">
        <v>93.0</v>
      </c>
      <c r="AO1117" s="1297">
        <v>0.14</v>
      </c>
      <c r="AP1117" s="1297" t="s">
        <v>1006</v>
      </c>
      <c r="AQ1117" s="1297" t="s">
        <v>6112</v>
      </c>
      <c r="AR1117" s="1297" t="s">
        <v>165</v>
      </c>
      <c r="AS1117" s="128" t="s">
        <v>165</v>
      </c>
      <c r="AT1117" s="1289" t="s">
        <v>179</v>
      </c>
      <c r="AU1117" s="127" t="s">
        <v>132</v>
      </c>
      <c r="AV1117" s="1298" t="s">
        <v>165</v>
      </c>
      <c r="AW1117" s="1314" t="s">
        <v>134</v>
      </c>
      <c r="AY1117" s="1297" t="s">
        <v>6113</v>
      </c>
    </row>
    <row r="1118">
      <c r="A1118" s="115" t="s">
        <v>106</v>
      </c>
      <c r="B1118" s="41" t="s">
        <v>107</v>
      </c>
      <c r="C1118" s="41" t="s">
        <v>243</v>
      </c>
      <c r="D1118" s="340"/>
      <c r="E1118" s="112" t="s">
        <v>6572</v>
      </c>
      <c r="F1118" s="116" t="s">
        <v>6573</v>
      </c>
      <c r="G1118" s="127" t="s">
        <v>244</v>
      </c>
      <c r="H1118" s="310">
        <v>45666.0</v>
      </c>
      <c r="I1118" s="1301">
        <v>45692.0</v>
      </c>
      <c r="J1118" s="111"/>
      <c r="K1118" s="128" t="s">
        <v>6582</v>
      </c>
      <c r="L1118" s="127" t="s">
        <v>6575</v>
      </c>
      <c r="M1118" s="127" t="s">
        <v>6576</v>
      </c>
      <c r="N1118" s="111"/>
      <c r="O1118" s="127" t="str">
        <f t="shared" si="65"/>
        <v>10.1016--j.cognition.2016.06.011.pdf</v>
      </c>
      <c r="P1118" s="48" t="str">
        <f t="array" ref="P1118">HYPERLINK(INDEX('File Links'!B:B, MATCH(O1118, 'File Links'!C:C, 0)))
</f>
        <v>https://drive.google.com/file/d/117IKlIHBXRWO7KM1helymQPvsGoEIXdX/view?usp=drivesdk</v>
      </c>
      <c r="Q1118" s="127" t="s">
        <v>6583</v>
      </c>
      <c r="R1118" s="147" t="s">
        <v>6104</v>
      </c>
      <c r="S1118" s="134" t="s">
        <v>165</v>
      </c>
      <c r="T1118" s="134" t="s">
        <v>165</v>
      </c>
      <c r="U1118" s="127" t="s">
        <v>6105</v>
      </c>
      <c r="V1118" s="127" t="s">
        <v>6117</v>
      </c>
      <c r="W1118" s="45" t="str">
        <f t="array" ref="W1118">HYPERLINK(INDEX('File Links'!B:B, MATCH(U1118, 'File Links'!C:C, 0)))
</f>
        <v>#N/A</v>
      </c>
      <c r="X1118" s="111"/>
      <c r="Y1118" s="127" t="s">
        <v>139</v>
      </c>
      <c r="Z1118" s="111"/>
      <c r="AA1118" s="127" t="s">
        <v>6584</v>
      </c>
      <c r="AB1118" s="111"/>
      <c r="AC1118" s="127" t="s">
        <v>6585</v>
      </c>
      <c r="AD1118" s="720">
        <v>71.0</v>
      </c>
      <c r="AE1118" s="720">
        <v>147.0</v>
      </c>
      <c r="AF1118" s="720">
        <v>0.21</v>
      </c>
      <c r="AG1118" s="127" t="s">
        <v>1006</v>
      </c>
      <c r="AH1118" s="127" t="s">
        <v>6586</v>
      </c>
      <c r="AI1118" s="120">
        <v>0.05</v>
      </c>
      <c r="AJ1118" s="112" t="s">
        <v>127</v>
      </c>
      <c r="AK1118" s="112" t="s">
        <v>128</v>
      </c>
      <c r="AL1118" s="127" t="s">
        <v>132</v>
      </c>
      <c r="AM1118" s="1297" t="s">
        <v>165</v>
      </c>
      <c r="AN1118" s="720">
        <v>93.0</v>
      </c>
      <c r="AO1118" s="720">
        <v>0.14</v>
      </c>
      <c r="AP1118" s="127" t="s">
        <v>1006</v>
      </c>
      <c r="AQ1118" s="1297" t="s">
        <v>6112</v>
      </c>
      <c r="AR1118" s="127" t="s">
        <v>165</v>
      </c>
      <c r="AS1118" s="111"/>
      <c r="AT1118" s="127" t="s">
        <v>128</v>
      </c>
      <c r="AU1118" s="127" t="s">
        <v>132</v>
      </c>
      <c r="AV1118" s="1298" t="s">
        <v>165</v>
      </c>
      <c r="AW1118" s="606" t="s">
        <v>134</v>
      </c>
      <c r="AY1118" s="1297" t="s">
        <v>6113</v>
      </c>
    </row>
    <row r="1119">
      <c r="A1119" s="115" t="s">
        <v>106</v>
      </c>
      <c r="B1119" s="41" t="s">
        <v>107</v>
      </c>
      <c r="C1119" s="41" t="s">
        <v>108</v>
      </c>
      <c r="D1119" s="340"/>
      <c r="E1119" s="1289" t="s">
        <v>6587</v>
      </c>
      <c r="F1119" s="1290" t="s">
        <v>6588</v>
      </c>
      <c r="G1119" s="1291" t="s">
        <v>6097</v>
      </c>
      <c r="H1119" s="1292">
        <v>45690.0</v>
      </c>
      <c r="I1119" s="1293">
        <v>45692.0</v>
      </c>
      <c r="J1119" s="1289" t="s">
        <v>6465</v>
      </c>
      <c r="K1119" s="1289" t="s">
        <v>6099</v>
      </c>
      <c r="L1119" s="1291" t="s">
        <v>6589</v>
      </c>
      <c r="M1119" s="1291" t="s">
        <v>6590</v>
      </c>
      <c r="N1119" s="1294">
        <v>3.0</v>
      </c>
      <c r="O1119" s="1291" t="s">
        <v>6591</v>
      </c>
      <c r="P1119" s="48" t="str">
        <f t="array" ref="P1119">HYPERLINK(INDEX('File Links'!B:B, MATCH(O1119, 'File Links'!C:C, 0)))
</f>
        <v>https://drive.google.com/file/d/1W2aCwE3Z8jN-Xdqb3awaTWO-3SquFMRh/view?usp=drivesdk</v>
      </c>
      <c r="Q1119" s="1291" t="s">
        <v>6103</v>
      </c>
      <c r="R1119" s="147" t="s">
        <v>6104</v>
      </c>
      <c r="S1119" s="134" t="s">
        <v>165</v>
      </c>
      <c r="T1119" s="134" t="s">
        <v>165</v>
      </c>
      <c r="U1119" s="1291" t="s">
        <v>6105</v>
      </c>
      <c r="V1119" s="127" t="s">
        <v>6117</v>
      </c>
      <c r="W1119" s="45" t="str">
        <f t="array" ref="W1119">HYPERLINK(INDEX('File Links'!B:B, MATCH(U1119, 'File Links'!C:C, 0)))
</f>
        <v>#N/A</v>
      </c>
      <c r="X1119" s="1289"/>
      <c r="Y1119" s="1291" t="s">
        <v>220</v>
      </c>
      <c r="Z1119" s="1289" t="s">
        <v>6592</v>
      </c>
      <c r="AA1119" s="1289" t="s">
        <v>6593</v>
      </c>
      <c r="AB1119" s="1291" t="s">
        <v>6594</v>
      </c>
      <c r="AC1119" s="1289" t="s">
        <v>6595</v>
      </c>
      <c r="AD1119" s="1316">
        <v>6.0</v>
      </c>
      <c r="AE1119" s="1294">
        <v>57.0</v>
      </c>
      <c r="AF1119" s="1316">
        <v>0.76</v>
      </c>
      <c r="AG1119" s="1289" t="s">
        <v>166</v>
      </c>
      <c r="AH1119" s="1289" t="s">
        <v>131</v>
      </c>
      <c r="AI1119" s="1300">
        <v>0.05</v>
      </c>
      <c r="AJ1119" s="1296" t="s">
        <v>127</v>
      </c>
      <c r="AK1119" s="1296" t="s">
        <v>179</v>
      </c>
      <c r="AL1119" s="1315" t="s">
        <v>821</v>
      </c>
      <c r="AM1119" s="1297" t="s">
        <v>165</v>
      </c>
      <c r="AN1119" s="1294">
        <v>60.0</v>
      </c>
      <c r="AO1119" s="1316">
        <v>1.19038369164456</v>
      </c>
      <c r="AP1119" s="1289" t="s">
        <v>166</v>
      </c>
      <c r="AQ1119" s="1297" t="s">
        <v>6112</v>
      </c>
      <c r="AR1119" s="1316">
        <v>0.00292409499639768</v>
      </c>
      <c r="AS1119" s="1289" t="s">
        <v>164</v>
      </c>
      <c r="AT1119" s="1289" t="s">
        <v>179</v>
      </c>
      <c r="AU1119" s="1315" t="s">
        <v>821</v>
      </c>
      <c r="AV1119" s="1298" t="s">
        <v>165</v>
      </c>
      <c r="AW1119" s="1314" t="s">
        <v>134</v>
      </c>
      <c r="AY1119" s="1297" t="s">
        <v>6113</v>
      </c>
    </row>
    <row r="1120">
      <c r="A1120" s="115" t="s">
        <v>143</v>
      </c>
      <c r="B1120" s="41" t="s">
        <v>107</v>
      </c>
      <c r="C1120" s="41" t="s">
        <v>243</v>
      </c>
      <c r="D1120" s="340"/>
      <c r="E1120" s="112" t="s">
        <v>6587</v>
      </c>
      <c r="F1120" s="116" t="s">
        <v>6588</v>
      </c>
      <c r="G1120" s="127" t="s">
        <v>244</v>
      </c>
      <c r="H1120" s="310">
        <v>45666.0</v>
      </c>
      <c r="I1120" s="1301">
        <v>45692.0</v>
      </c>
      <c r="J1120" s="116" t="s">
        <v>6596</v>
      </c>
      <c r="K1120" s="128" t="s">
        <v>6597</v>
      </c>
      <c r="L1120" s="127" t="s">
        <v>6589</v>
      </c>
      <c r="M1120" s="127" t="s">
        <v>6590</v>
      </c>
      <c r="N1120" s="128">
        <v>3.0</v>
      </c>
      <c r="O1120" s="127" t="str">
        <f> SUBSTITUTE(lower(M1120), "/", "--") &amp;  ".pdf"</f>
        <v>10.1177--0956797613494853.pdf</v>
      </c>
      <c r="P1120" s="48" t="str">
        <f t="array" ref="P1120">HYPERLINK(INDEX('File Links'!B:B, MATCH(O1120, 'File Links'!C:C, 0)))
</f>
        <v>https://drive.google.com/file/d/1W2aCwE3Z8jN-Xdqb3awaTWO-3SquFMRh/view?usp=drivesdk</v>
      </c>
      <c r="Q1120" s="127" t="s">
        <v>6598</v>
      </c>
      <c r="R1120" s="147" t="s">
        <v>6104</v>
      </c>
      <c r="S1120" s="134" t="s">
        <v>165</v>
      </c>
      <c r="T1120" s="134" t="s">
        <v>165</v>
      </c>
      <c r="U1120" s="127" t="s">
        <v>6105</v>
      </c>
      <c r="V1120" s="127" t="s">
        <v>6117</v>
      </c>
      <c r="W1120" s="45" t="str">
        <f t="array" ref="W1120">HYPERLINK(INDEX('File Links'!B:B, MATCH(U1120, 'File Links'!C:C, 0)))
</f>
        <v>#N/A</v>
      </c>
      <c r="X1120" s="111"/>
      <c r="Y1120" s="116" t="s">
        <v>139</v>
      </c>
      <c r="Z1120" s="111"/>
      <c r="AA1120" s="127" t="s">
        <v>6267</v>
      </c>
      <c r="AB1120" s="111"/>
      <c r="AC1120" s="127" t="s">
        <v>6599</v>
      </c>
      <c r="AD1120" s="720">
        <v>5.0</v>
      </c>
      <c r="AE1120" s="1276">
        <v>29.0</v>
      </c>
      <c r="AF1120" s="720">
        <v>0.76</v>
      </c>
      <c r="AG1120" s="127" t="s">
        <v>166</v>
      </c>
      <c r="AH1120" s="127" t="s">
        <v>894</v>
      </c>
      <c r="AI1120" s="1333" t="s">
        <v>165</v>
      </c>
      <c r="AJ1120" s="1311" t="s">
        <v>165</v>
      </c>
      <c r="AK1120" s="1339" t="s">
        <v>179</v>
      </c>
      <c r="AL1120" s="127" t="s">
        <v>132</v>
      </c>
      <c r="AM1120" s="1297" t="s">
        <v>165</v>
      </c>
      <c r="AN1120" s="720">
        <v>60.0</v>
      </c>
      <c r="AO1120" s="720">
        <v>1.19038369164456</v>
      </c>
      <c r="AP1120" s="127" t="s">
        <v>166</v>
      </c>
      <c r="AQ1120" s="1297" t="s">
        <v>6112</v>
      </c>
      <c r="AR1120" s="720">
        <v>0.00292409499639768</v>
      </c>
      <c r="AS1120" s="127" t="s">
        <v>164</v>
      </c>
      <c r="AT1120" s="127" t="s">
        <v>179</v>
      </c>
      <c r="AU1120" s="127" t="s">
        <v>132</v>
      </c>
      <c r="AV1120" s="1298" t="s">
        <v>165</v>
      </c>
      <c r="AW1120" s="606" t="s">
        <v>134</v>
      </c>
      <c r="AY1120" s="1297" t="s">
        <v>6113</v>
      </c>
    </row>
    <row r="1121">
      <c r="A1121" s="115" t="s">
        <v>143</v>
      </c>
      <c r="B1121" s="41" t="s">
        <v>107</v>
      </c>
      <c r="C1121" s="41" t="s">
        <v>108</v>
      </c>
      <c r="D1121" s="340"/>
      <c r="E1121" s="1289" t="s">
        <v>6600</v>
      </c>
      <c r="F1121" s="1290" t="s">
        <v>6601</v>
      </c>
      <c r="G1121" s="1291" t="s">
        <v>6097</v>
      </c>
      <c r="H1121" s="1292">
        <v>45690.0</v>
      </c>
      <c r="I1121" s="1293">
        <v>45692.0</v>
      </c>
      <c r="J1121" s="1289" t="s">
        <v>6465</v>
      </c>
      <c r="K1121" s="1297" t="s">
        <v>6602</v>
      </c>
      <c r="L1121" s="1291" t="s">
        <v>6603</v>
      </c>
      <c r="M1121" s="1291" t="s">
        <v>6604</v>
      </c>
      <c r="N1121" s="1294">
        <v>1.0</v>
      </c>
      <c r="O1121" s="1291" t="s">
        <v>6605</v>
      </c>
      <c r="P1121" s="48" t="str">
        <f t="array" ref="P1121">HYPERLINK(INDEX('File Links'!B:B, MATCH(O1121, 'File Links'!C:C, 0)))
</f>
        <v>https://drive.google.com/file/d/1lHQosDuo6gaE1kApTnMYX-PdVa7g5c2f/view?usp=drivesdk</v>
      </c>
      <c r="Q1121" s="1291" t="s">
        <v>6103</v>
      </c>
      <c r="R1121" s="147" t="s">
        <v>6104</v>
      </c>
      <c r="S1121" s="134" t="s">
        <v>165</v>
      </c>
      <c r="T1121" s="134" t="s">
        <v>165</v>
      </c>
      <c r="U1121" s="1291" t="s">
        <v>6105</v>
      </c>
      <c r="V1121" s="127" t="s">
        <v>6291</v>
      </c>
      <c r="W1121" s="45" t="str">
        <f t="array" ref="W1121">HYPERLINK(INDEX('File Links'!B:B, MATCH(U1121, 'File Links'!C:C, 0)))
</f>
        <v>#N/A</v>
      </c>
      <c r="X1121" s="1289"/>
      <c r="Y1121" s="1291" t="s">
        <v>220</v>
      </c>
      <c r="Z1121" s="1289" t="s">
        <v>6606</v>
      </c>
      <c r="AA1121" s="1289" t="s">
        <v>6607</v>
      </c>
      <c r="AB1121" s="1291" t="s">
        <v>6608</v>
      </c>
      <c r="AC1121" s="1289" t="s">
        <v>6609</v>
      </c>
      <c r="AD1121" s="1289" t="s">
        <v>6610</v>
      </c>
      <c r="AE1121" s="1294">
        <v>101.0</v>
      </c>
      <c r="AF1121" s="1316">
        <v>0.724143923</v>
      </c>
      <c r="AG1121" s="1289" t="s">
        <v>166</v>
      </c>
      <c r="AH1121" s="1297" t="s">
        <v>165</v>
      </c>
      <c r="AI1121" s="1300">
        <v>0.001</v>
      </c>
      <c r="AJ1121" s="1296" t="s">
        <v>127</v>
      </c>
      <c r="AK1121" s="1296" t="s">
        <v>179</v>
      </c>
      <c r="AL1121" s="1311" t="s">
        <v>132</v>
      </c>
      <c r="AM1121" s="1297" t="s">
        <v>165</v>
      </c>
      <c r="AN1121" s="1294">
        <v>55.0</v>
      </c>
      <c r="AO1121" s="1316">
        <v>0.889133895505657</v>
      </c>
      <c r="AP1121" s="1289" t="s">
        <v>166</v>
      </c>
      <c r="AQ1121" s="1297" t="s">
        <v>6112</v>
      </c>
      <c r="AR1121" s="1321">
        <v>2.35092757182492E-8</v>
      </c>
      <c r="AS1121" s="1289" t="s">
        <v>164</v>
      </c>
      <c r="AT1121" s="1289" t="s">
        <v>179</v>
      </c>
      <c r="AU1121" s="1337" t="s">
        <v>132</v>
      </c>
      <c r="AV1121" s="1298" t="s">
        <v>165</v>
      </c>
      <c r="AW1121" s="1314" t="s">
        <v>134</v>
      </c>
      <c r="AY1121" s="1297" t="s">
        <v>6113</v>
      </c>
    </row>
    <row r="1122">
      <c r="A1122" s="115" t="s">
        <v>106</v>
      </c>
      <c r="B1122" s="41" t="s">
        <v>107</v>
      </c>
      <c r="C1122" s="41" t="s">
        <v>243</v>
      </c>
      <c r="D1122" s="340"/>
      <c r="E1122" s="112" t="s">
        <v>6600</v>
      </c>
      <c r="F1122" s="116" t="s">
        <v>6601</v>
      </c>
      <c r="G1122" s="127" t="s">
        <v>244</v>
      </c>
      <c r="H1122" s="310">
        <v>45666.0</v>
      </c>
      <c r="I1122" s="1301">
        <v>45692.0</v>
      </c>
      <c r="J1122" s="111"/>
      <c r="K1122" s="111" t="s">
        <v>6099</v>
      </c>
      <c r="L1122" s="127" t="s">
        <v>6603</v>
      </c>
      <c r="M1122" s="127" t="s">
        <v>6604</v>
      </c>
      <c r="N1122" s="111"/>
      <c r="O1122" s="127" t="str">
        <f> SUBSTITUTE(lower(M1122), "/", "--") &amp;  ".pdf"</f>
        <v>10.1177--0956797616640705.pdf</v>
      </c>
      <c r="P1122" s="48" t="str">
        <f t="array" ref="P1122">HYPERLINK(INDEX('File Links'!B:B, MATCH(O1122, 'File Links'!C:C, 0)))
</f>
        <v>https://drive.google.com/file/d/1lHQosDuo6gaE1kApTnMYX-PdVa7g5c2f/view?usp=drivesdk</v>
      </c>
      <c r="Q1122" s="127" t="s">
        <v>6611</v>
      </c>
      <c r="R1122" s="147" t="s">
        <v>6104</v>
      </c>
      <c r="S1122" s="134" t="s">
        <v>165</v>
      </c>
      <c r="T1122" s="134" t="s">
        <v>165</v>
      </c>
      <c r="U1122" s="127" t="s">
        <v>6105</v>
      </c>
      <c r="V1122" s="127" t="s">
        <v>6291</v>
      </c>
      <c r="W1122" s="45" t="str">
        <f t="array" ref="W1122">HYPERLINK(INDEX('File Links'!B:B, MATCH(U1122, 'File Links'!C:C, 0)))
</f>
        <v>#N/A</v>
      </c>
      <c r="X1122" s="111"/>
      <c r="Y1122" s="127" t="s">
        <v>203</v>
      </c>
      <c r="Z1122" s="111"/>
      <c r="AA1122" s="111"/>
      <c r="AB1122" s="111"/>
      <c r="AC1122" s="127" t="s">
        <v>6612</v>
      </c>
      <c r="AD1122" s="720">
        <v>3.0</v>
      </c>
      <c r="AE1122" s="720">
        <v>101.0</v>
      </c>
      <c r="AF1122" s="720">
        <v>0.724143923024744</v>
      </c>
      <c r="AG1122" s="127" t="s">
        <v>166</v>
      </c>
      <c r="AH1122" s="127" t="s">
        <v>505</v>
      </c>
      <c r="AI1122" s="120">
        <v>0.001</v>
      </c>
      <c r="AJ1122" s="112" t="s">
        <v>127</v>
      </c>
      <c r="AK1122" s="112" t="s">
        <v>179</v>
      </c>
      <c r="AL1122" s="127" t="s">
        <v>132</v>
      </c>
      <c r="AM1122" s="1297" t="s">
        <v>165</v>
      </c>
      <c r="AN1122" s="720">
        <v>55.0</v>
      </c>
      <c r="AO1122" s="720">
        <v>0.889133895505657</v>
      </c>
      <c r="AP1122" s="127" t="s">
        <v>166</v>
      </c>
      <c r="AQ1122" s="1297" t="s">
        <v>6112</v>
      </c>
      <c r="AR1122" s="1318">
        <v>2.35092757182492E-8</v>
      </c>
      <c r="AS1122" s="127" t="s">
        <v>164</v>
      </c>
      <c r="AT1122" s="127" t="s">
        <v>179</v>
      </c>
      <c r="AU1122" s="127" t="s">
        <v>132</v>
      </c>
      <c r="AV1122" s="1298" t="s">
        <v>165</v>
      </c>
      <c r="AW1122" s="127" t="s">
        <v>134</v>
      </c>
      <c r="AY1122" s="1297" t="s">
        <v>6113</v>
      </c>
    </row>
    <row r="1123">
      <c r="A1123" s="115" t="s">
        <v>143</v>
      </c>
      <c r="B1123" s="41" t="s">
        <v>107</v>
      </c>
      <c r="C1123" s="41" t="s">
        <v>108</v>
      </c>
      <c r="D1123" s="340"/>
      <c r="E1123" s="1289" t="s">
        <v>6613</v>
      </c>
      <c r="F1123" s="1290" t="s">
        <v>6614</v>
      </c>
      <c r="G1123" s="1291" t="s">
        <v>6097</v>
      </c>
      <c r="H1123" s="1292">
        <v>45690.0</v>
      </c>
      <c r="I1123" s="1293">
        <v>45692.0</v>
      </c>
      <c r="J1123" s="1289" t="s">
        <v>6615</v>
      </c>
      <c r="K1123" s="1289" t="s">
        <v>6616</v>
      </c>
      <c r="L1123" s="1291" t="s">
        <v>6617</v>
      </c>
      <c r="M1123" s="1291" t="s">
        <v>6618</v>
      </c>
      <c r="N1123" s="1294">
        <v>1.0</v>
      </c>
      <c r="O1123" s="1291" t="s">
        <v>6619</v>
      </c>
      <c r="P1123" s="48" t="str">
        <f t="array" ref="P1123">HYPERLINK(INDEX('File Links'!B:B, MATCH(O1123, 'File Links'!C:C, 0)))
</f>
        <v>https://drive.google.com/file/d/1_3kOREsSMo-zmS04srVes69SaYsErPmR/view?usp=drivesdk</v>
      </c>
      <c r="Q1123" s="1291" t="s">
        <v>6103</v>
      </c>
      <c r="R1123" s="147" t="s">
        <v>6104</v>
      </c>
      <c r="S1123" s="134" t="s">
        <v>165</v>
      </c>
      <c r="T1123" s="134" t="s">
        <v>165</v>
      </c>
      <c r="U1123" s="1291" t="s">
        <v>6105</v>
      </c>
      <c r="V1123" s="127" t="s">
        <v>6349</v>
      </c>
      <c r="W1123" s="45" t="str">
        <f t="array" ref="W1123">HYPERLINK(INDEX('File Links'!B:B, MATCH(U1123, 'File Links'!C:C, 0)))
</f>
        <v>#N/A</v>
      </c>
      <c r="X1123" s="1289"/>
      <c r="Y1123" s="1331" t="s">
        <v>203</v>
      </c>
      <c r="Z1123" s="1289" t="s">
        <v>6620</v>
      </c>
      <c r="AA1123" s="1289" t="s">
        <v>6621</v>
      </c>
      <c r="AB1123" s="1291" t="s">
        <v>6622</v>
      </c>
      <c r="AC1123" s="127" t="s">
        <v>6623</v>
      </c>
      <c r="AD1123" s="720">
        <v>1210.0</v>
      </c>
      <c r="AE1123" s="720">
        <v>484.0</v>
      </c>
      <c r="AF1123" s="214">
        <v>0.07</v>
      </c>
      <c r="AG1123" s="116" t="s">
        <v>1006</v>
      </c>
      <c r="AH1123" s="116" t="s">
        <v>6624</v>
      </c>
      <c r="AI1123" s="214">
        <v>0.01</v>
      </c>
      <c r="AJ1123" s="112" t="s">
        <v>127</v>
      </c>
      <c r="AK1123" s="112" t="s">
        <v>179</v>
      </c>
      <c r="AL1123" s="127" t="s">
        <v>129</v>
      </c>
      <c r="AM1123" s="1297" t="s">
        <v>165</v>
      </c>
      <c r="AN1123" s="1294">
        <v>102.0</v>
      </c>
      <c r="AO1123" s="1297" t="s">
        <v>6625</v>
      </c>
      <c r="AP1123" s="1297" t="s">
        <v>1006</v>
      </c>
      <c r="AQ1123" s="1297" t="s">
        <v>6112</v>
      </c>
      <c r="AR1123" s="1297" t="s">
        <v>165</v>
      </c>
      <c r="AS1123" s="128" t="s">
        <v>165</v>
      </c>
      <c r="AT1123" s="1289" t="s">
        <v>179</v>
      </c>
      <c r="AU1123" s="1289" t="s">
        <v>129</v>
      </c>
      <c r="AV1123" s="1298" t="s">
        <v>165</v>
      </c>
      <c r="AW1123" s="1314" t="s">
        <v>142</v>
      </c>
      <c r="AY1123" s="1297" t="s">
        <v>6113</v>
      </c>
    </row>
    <row r="1124">
      <c r="A1124" s="115" t="s">
        <v>106</v>
      </c>
      <c r="B1124" s="41" t="s">
        <v>107</v>
      </c>
      <c r="C1124" s="41" t="s">
        <v>243</v>
      </c>
      <c r="D1124" s="340"/>
      <c r="E1124" s="112" t="s">
        <v>6613</v>
      </c>
      <c r="F1124" s="116" t="s">
        <v>6614</v>
      </c>
      <c r="G1124" s="127" t="s">
        <v>244</v>
      </c>
      <c r="H1124" s="310">
        <v>45666.0</v>
      </c>
      <c r="I1124" s="1301">
        <v>45692.0</v>
      </c>
      <c r="J1124" s="127" t="s">
        <v>6626</v>
      </c>
      <c r="K1124" s="111" t="s">
        <v>6627</v>
      </c>
      <c r="L1124" s="127" t="s">
        <v>6617</v>
      </c>
      <c r="M1124" s="127" t="s">
        <v>6618</v>
      </c>
      <c r="N1124" s="111"/>
      <c r="O1124" s="127" t="str">
        <f> SUBSTITUTE(lower(M1124), "/", "--") &amp;  ".pdf"</f>
        <v>10.1111--ecin.12470.pdf</v>
      </c>
      <c r="P1124" s="48" t="str">
        <f t="array" ref="P1124">HYPERLINK(INDEX('File Links'!B:B, MATCH(O1124, 'File Links'!C:C, 0)))
</f>
        <v>https://drive.google.com/file/d/1_3kOREsSMo-zmS04srVes69SaYsErPmR/view?usp=drivesdk</v>
      </c>
      <c r="Q1124" s="127" t="s">
        <v>6628</v>
      </c>
      <c r="R1124" s="147" t="s">
        <v>6104</v>
      </c>
      <c r="S1124" s="134" t="s">
        <v>165</v>
      </c>
      <c r="T1124" s="134" t="s">
        <v>165</v>
      </c>
      <c r="U1124" s="127" t="s">
        <v>6105</v>
      </c>
      <c r="V1124" s="127" t="s">
        <v>6349</v>
      </c>
      <c r="W1124" s="45" t="str">
        <f t="array" ref="W1124">HYPERLINK(INDEX('File Links'!B:B, MATCH(U1124, 'File Links'!C:C, 0)))
</f>
        <v>#N/A</v>
      </c>
      <c r="X1124" s="111"/>
      <c r="Y1124" s="127" t="s">
        <v>203</v>
      </c>
      <c r="Z1124" s="111"/>
      <c r="AA1124" s="111"/>
      <c r="AB1124" s="111"/>
      <c r="AC1124" s="127" t="s">
        <v>6623</v>
      </c>
      <c r="AD1124" s="720">
        <v>1210.0</v>
      </c>
      <c r="AE1124" s="720">
        <v>484.0</v>
      </c>
      <c r="AF1124" s="720">
        <v>0.618</v>
      </c>
      <c r="AG1124" s="127" t="s">
        <v>166</v>
      </c>
      <c r="AH1124" s="127" t="s">
        <v>6629</v>
      </c>
      <c r="AI1124" s="120">
        <v>0.001</v>
      </c>
      <c r="AJ1124" s="112" t="s">
        <v>127</v>
      </c>
      <c r="AK1124" s="112" t="s">
        <v>179</v>
      </c>
      <c r="AL1124" s="127" t="s">
        <v>129</v>
      </c>
      <c r="AM1124" s="1297" t="s">
        <v>165</v>
      </c>
      <c r="AN1124" s="720">
        <v>102.0</v>
      </c>
      <c r="AO1124" s="127" t="s">
        <v>165</v>
      </c>
      <c r="AP1124" s="111"/>
      <c r="AQ1124" s="1297" t="s">
        <v>6112</v>
      </c>
      <c r="AR1124" s="127" t="s">
        <v>165</v>
      </c>
      <c r="AS1124" s="111"/>
      <c r="AT1124" s="127" t="s">
        <v>179</v>
      </c>
      <c r="AU1124" s="127" t="s">
        <v>129</v>
      </c>
      <c r="AV1124" s="1298" t="s">
        <v>165</v>
      </c>
      <c r="AW1124" s="606" t="s">
        <v>134</v>
      </c>
      <c r="AY1124" s="1297" t="s">
        <v>6113</v>
      </c>
    </row>
    <row r="1125">
      <c r="A1125" s="60" t="s">
        <v>586</v>
      </c>
      <c r="B1125" s="41" t="s">
        <v>107</v>
      </c>
      <c r="C1125" s="41" t="s">
        <v>108</v>
      </c>
      <c r="D1125" s="340"/>
      <c r="E1125" s="1289" t="s">
        <v>6630</v>
      </c>
      <c r="F1125" s="1290" t="s">
        <v>6631</v>
      </c>
      <c r="G1125" s="1291" t="s">
        <v>6097</v>
      </c>
      <c r="H1125" s="1292">
        <v>45690.0</v>
      </c>
      <c r="I1125" s="1293">
        <v>45692.0</v>
      </c>
      <c r="J1125" s="1289" t="s">
        <v>6632</v>
      </c>
      <c r="K1125" s="1289" t="s">
        <v>6633</v>
      </c>
      <c r="L1125" s="1291" t="s">
        <v>6634</v>
      </c>
      <c r="M1125" s="1291" t="s">
        <v>6635</v>
      </c>
      <c r="N1125" s="1294">
        <v>3.0</v>
      </c>
      <c r="O1125" s="1291" t="s">
        <v>6636</v>
      </c>
      <c r="P1125" s="48" t="str">
        <f t="array" ref="P1125">HYPERLINK(INDEX('File Links'!B:B, MATCH(O1125, 'File Links'!C:C, 0)))
</f>
        <v>https://drive.google.com/file/d/1lOqUFhZvkowPd-Ne3aczCZ30vQ08jqm-/view?usp=drivesdk</v>
      </c>
      <c r="Q1125" s="1291" t="s">
        <v>6103</v>
      </c>
      <c r="R1125" s="147" t="s">
        <v>6104</v>
      </c>
      <c r="S1125" s="134" t="s">
        <v>165</v>
      </c>
      <c r="T1125" s="134" t="s">
        <v>165</v>
      </c>
      <c r="U1125" s="1291" t="s">
        <v>6105</v>
      </c>
      <c r="V1125" s="127" t="s">
        <v>6291</v>
      </c>
      <c r="W1125" s="45" t="str">
        <f t="array" ref="W1125">HYPERLINK(INDEX('File Links'!B:B, MATCH(U1125, 'File Links'!C:C, 0)))
</f>
        <v>#N/A</v>
      </c>
      <c r="X1125" s="1289"/>
      <c r="Y1125" s="1331" t="s">
        <v>203</v>
      </c>
      <c r="Z1125" s="1289" t="s">
        <v>6637</v>
      </c>
      <c r="AA1125" s="1289" t="s">
        <v>6638</v>
      </c>
      <c r="AB1125" s="1291" t="s">
        <v>6639</v>
      </c>
      <c r="AC1125" s="1289" t="s">
        <v>6640</v>
      </c>
      <c r="AD1125" s="1316">
        <v>8.0</v>
      </c>
      <c r="AE1125" s="1294">
        <v>108.0</v>
      </c>
      <c r="AF1125" s="1289" t="s">
        <v>6641</v>
      </c>
      <c r="AG1125" s="1289" t="s">
        <v>162</v>
      </c>
      <c r="AH1125" s="1289" t="s">
        <v>6244</v>
      </c>
      <c r="AI1125" s="1300">
        <v>0.05</v>
      </c>
      <c r="AJ1125" s="1296" t="s">
        <v>127</v>
      </c>
      <c r="AK1125" s="1296" t="s">
        <v>179</v>
      </c>
      <c r="AL1125" s="1289" t="s">
        <v>129</v>
      </c>
      <c r="AM1125" s="1340" t="s">
        <v>6642</v>
      </c>
      <c r="AN1125" s="1294">
        <v>110.0</v>
      </c>
      <c r="AO1125" s="1289" t="s">
        <v>6643</v>
      </c>
      <c r="AP1125" s="1289" t="s">
        <v>162</v>
      </c>
      <c r="AQ1125" s="1297" t="s">
        <v>6112</v>
      </c>
      <c r="AR1125" s="1289" t="s">
        <v>768</v>
      </c>
      <c r="AS1125" s="1289" t="s">
        <v>768</v>
      </c>
      <c r="AT1125" s="1289" t="s">
        <v>179</v>
      </c>
      <c r="AU1125" s="1289" t="s">
        <v>129</v>
      </c>
      <c r="AV1125" s="1298" t="s">
        <v>165</v>
      </c>
      <c r="AW1125" s="1314" t="s">
        <v>134</v>
      </c>
      <c r="AY1125" s="1297" t="s">
        <v>6113</v>
      </c>
    </row>
    <row r="1126">
      <c r="A1126" s="60" t="s">
        <v>586</v>
      </c>
      <c r="B1126" s="41" t="s">
        <v>107</v>
      </c>
      <c r="C1126" s="41" t="s">
        <v>108</v>
      </c>
      <c r="D1126" s="340"/>
      <c r="E1126" s="1289" t="s">
        <v>6630</v>
      </c>
      <c r="F1126" s="1290" t="s">
        <v>6644</v>
      </c>
      <c r="G1126" s="1291" t="s">
        <v>6097</v>
      </c>
      <c r="H1126" s="1292">
        <v>45690.0</v>
      </c>
      <c r="I1126" s="1293">
        <v>45692.0</v>
      </c>
      <c r="J1126" s="1289" t="s">
        <v>6632</v>
      </c>
      <c r="K1126" s="1289" t="s">
        <v>6633</v>
      </c>
      <c r="L1126" s="1291" t="s">
        <v>6634</v>
      </c>
      <c r="M1126" s="1291" t="s">
        <v>6635</v>
      </c>
      <c r="N1126" s="1294">
        <v>3.0</v>
      </c>
      <c r="O1126" s="1291" t="s">
        <v>6636</v>
      </c>
      <c r="P1126" s="48" t="str">
        <f t="array" ref="P1126">HYPERLINK(INDEX('File Links'!B:B, MATCH(O1126, 'File Links'!C:C, 0)))
</f>
        <v>https://drive.google.com/file/d/1lOqUFhZvkowPd-Ne3aczCZ30vQ08jqm-/view?usp=drivesdk</v>
      </c>
      <c r="Q1126" s="1291" t="s">
        <v>6103</v>
      </c>
      <c r="R1126" s="147" t="s">
        <v>6104</v>
      </c>
      <c r="S1126" s="134" t="s">
        <v>165</v>
      </c>
      <c r="T1126" s="134" t="s">
        <v>165</v>
      </c>
      <c r="U1126" s="1291" t="s">
        <v>6105</v>
      </c>
      <c r="V1126" s="127" t="s">
        <v>6291</v>
      </c>
      <c r="W1126" s="45" t="str">
        <f t="array" ref="W1126">HYPERLINK(INDEX('File Links'!B:B, MATCH(U1126, 'File Links'!C:C, 0)))
</f>
        <v>#N/A</v>
      </c>
      <c r="X1126" s="1289"/>
      <c r="Y1126" s="1331" t="s">
        <v>203</v>
      </c>
      <c r="Z1126" s="1289" t="s">
        <v>6637</v>
      </c>
      <c r="AA1126" s="1289" t="s">
        <v>6638</v>
      </c>
      <c r="AB1126" s="1291" t="s">
        <v>6645</v>
      </c>
      <c r="AC1126" s="1289" t="s">
        <v>6640</v>
      </c>
      <c r="AD1126" s="1316">
        <v>8.0</v>
      </c>
      <c r="AE1126" s="1294">
        <v>108.0</v>
      </c>
      <c r="AF1126" s="1289" t="s">
        <v>6646</v>
      </c>
      <c r="AG1126" s="1289" t="s">
        <v>162</v>
      </c>
      <c r="AH1126" s="1289" t="s">
        <v>6244</v>
      </c>
      <c r="AI1126" s="1300">
        <v>0.05</v>
      </c>
      <c r="AJ1126" s="1296" t="s">
        <v>127</v>
      </c>
      <c r="AK1126" s="1296" t="s">
        <v>179</v>
      </c>
      <c r="AL1126" s="1289" t="s">
        <v>129</v>
      </c>
      <c r="AM1126" s="1340" t="s">
        <v>6642</v>
      </c>
      <c r="AN1126" s="1294">
        <v>110.0</v>
      </c>
      <c r="AO1126" s="1289" t="s">
        <v>6643</v>
      </c>
      <c r="AP1126" s="1289" t="s">
        <v>162</v>
      </c>
      <c r="AQ1126" s="1297" t="s">
        <v>6112</v>
      </c>
      <c r="AR1126" s="1289" t="s">
        <v>768</v>
      </c>
      <c r="AS1126" s="1289" t="s">
        <v>768</v>
      </c>
      <c r="AT1126" s="1289" t="s">
        <v>179</v>
      </c>
      <c r="AU1126" s="1289" t="s">
        <v>129</v>
      </c>
      <c r="AV1126" s="1298" t="s">
        <v>165</v>
      </c>
      <c r="AW1126" s="1289" t="s">
        <v>134</v>
      </c>
      <c r="AY1126" s="1297" t="s">
        <v>6113</v>
      </c>
    </row>
    <row r="1127">
      <c r="A1127" s="60" t="s">
        <v>586</v>
      </c>
      <c r="B1127" s="41" t="s">
        <v>107</v>
      </c>
      <c r="C1127" s="41" t="s">
        <v>108</v>
      </c>
      <c r="D1127" s="340"/>
      <c r="E1127" s="1289" t="s">
        <v>6630</v>
      </c>
      <c r="F1127" s="1290" t="s">
        <v>6647</v>
      </c>
      <c r="G1127" s="1291" t="s">
        <v>6097</v>
      </c>
      <c r="H1127" s="1292">
        <v>45690.0</v>
      </c>
      <c r="I1127" s="1293">
        <v>45692.0</v>
      </c>
      <c r="J1127" s="1289" t="s">
        <v>6632</v>
      </c>
      <c r="K1127" s="1289" t="s">
        <v>6633</v>
      </c>
      <c r="L1127" s="1291" t="s">
        <v>6634</v>
      </c>
      <c r="M1127" s="1291" t="s">
        <v>6635</v>
      </c>
      <c r="N1127" s="1294">
        <v>3.0</v>
      </c>
      <c r="O1127" s="1291" t="s">
        <v>6636</v>
      </c>
      <c r="P1127" s="48" t="str">
        <f t="array" ref="P1127">HYPERLINK(INDEX('File Links'!B:B, MATCH(O1127, 'File Links'!C:C, 0)))
</f>
        <v>https://drive.google.com/file/d/1lOqUFhZvkowPd-Ne3aczCZ30vQ08jqm-/view?usp=drivesdk</v>
      </c>
      <c r="Q1127" s="1291" t="s">
        <v>6103</v>
      </c>
      <c r="R1127" s="147" t="s">
        <v>6104</v>
      </c>
      <c r="S1127" s="134" t="s">
        <v>165</v>
      </c>
      <c r="T1127" s="134" t="s">
        <v>165</v>
      </c>
      <c r="U1127" s="1291" t="s">
        <v>6105</v>
      </c>
      <c r="V1127" s="127" t="s">
        <v>6291</v>
      </c>
      <c r="W1127" s="45" t="str">
        <f t="array" ref="W1127">HYPERLINK(INDEX('File Links'!B:B, MATCH(U1127, 'File Links'!C:C, 0)))
</f>
        <v>#N/A</v>
      </c>
      <c r="X1127" s="1289"/>
      <c r="Y1127" s="1331" t="s">
        <v>203</v>
      </c>
      <c r="Z1127" s="1289" t="s">
        <v>6637</v>
      </c>
      <c r="AA1127" s="1289" t="s">
        <v>6638</v>
      </c>
      <c r="AB1127" s="1291" t="s">
        <v>6648</v>
      </c>
      <c r="AC1127" s="1289" t="s">
        <v>6640</v>
      </c>
      <c r="AD1127" s="1316">
        <v>8.0</v>
      </c>
      <c r="AE1127" s="1294">
        <v>108.0</v>
      </c>
      <c r="AF1127" s="1289" t="s">
        <v>6649</v>
      </c>
      <c r="AG1127" s="1289" t="s">
        <v>162</v>
      </c>
      <c r="AH1127" s="1289" t="s">
        <v>6244</v>
      </c>
      <c r="AI1127" s="1300">
        <v>0.05</v>
      </c>
      <c r="AJ1127" s="1296" t="s">
        <v>127</v>
      </c>
      <c r="AK1127" s="1296" t="s">
        <v>179</v>
      </c>
      <c r="AL1127" s="1289" t="s">
        <v>129</v>
      </c>
      <c r="AM1127" s="1340" t="s">
        <v>6642</v>
      </c>
      <c r="AN1127" s="1294">
        <v>110.0</v>
      </c>
      <c r="AO1127" s="1289" t="s">
        <v>6643</v>
      </c>
      <c r="AP1127" s="1289" t="s">
        <v>162</v>
      </c>
      <c r="AQ1127" s="1297" t="s">
        <v>6112</v>
      </c>
      <c r="AR1127" s="1289" t="s">
        <v>768</v>
      </c>
      <c r="AS1127" s="1289" t="s">
        <v>768</v>
      </c>
      <c r="AT1127" s="1289" t="s">
        <v>179</v>
      </c>
      <c r="AU1127" s="1289" t="s">
        <v>129</v>
      </c>
      <c r="AV1127" s="1298" t="s">
        <v>165</v>
      </c>
      <c r="AW1127" s="1314" t="s">
        <v>134</v>
      </c>
      <c r="AY1127" s="1297" t="s">
        <v>6113</v>
      </c>
    </row>
    <row r="1128">
      <c r="A1128" s="60" t="s">
        <v>586</v>
      </c>
      <c r="B1128" s="41" t="s">
        <v>107</v>
      </c>
      <c r="C1128" s="41" t="s">
        <v>108</v>
      </c>
      <c r="D1128" s="340"/>
      <c r="E1128" s="1289" t="s">
        <v>6630</v>
      </c>
      <c r="F1128" s="1290" t="s">
        <v>6650</v>
      </c>
      <c r="G1128" s="1291" t="s">
        <v>6097</v>
      </c>
      <c r="H1128" s="1292">
        <v>45690.0</v>
      </c>
      <c r="I1128" s="1293">
        <v>45692.0</v>
      </c>
      <c r="J1128" s="1289" t="s">
        <v>6632</v>
      </c>
      <c r="K1128" s="1289" t="s">
        <v>6633</v>
      </c>
      <c r="L1128" s="1291" t="s">
        <v>6634</v>
      </c>
      <c r="M1128" s="1291" t="s">
        <v>6635</v>
      </c>
      <c r="N1128" s="1294">
        <v>3.0</v>
      </c>
      <c r="O1128" s="1291" t="s">
        <v>6636</v>
      </c>
      <c r="P1128" s="48" t="str">
        <f t="array" ref="P1128">HYPERLINK(INDEX('File Links'!B:B, MATCH(O1128, 'File Links'!C:C, 0)))
</f>
        <v>https://drive.google.com/file/d/1lOqUFhZvkowPd-Ne3aczCZ30vQ08jqm-/view?usp=drivesdk</v>
      </c>
      <c r="Q1128" s="1291" t="s">
        <v>6103</v>
      </c>
      <c r="R1128" s="147" t="s">
        <v>6104</v>
      </c>
      <c r="S1128" s="134" t="s">
        <v>165</v>
      </c>
      <c r="T1128" s="134" t="s">
        <v>165</v>
      </c>
      <c r="U1128" s="1291" t="s">
        <v>6105</v>
      </c>
      <c r="V1128" s="127" t="s">
        <v>6291</v>
      </c>
      <c r="W1128" s="45" t="str">
        <f t="array" ref="W1128">HYPERLINK(INDEX('File Links'!B:B, MATCH(U1128, 'File Links'!C:C, 0)))
</f>
        <v>#N/A</v>
      </c>
      <c r="X1128" s="1289"/>
      <c r="Y1128" s="1331" t="s">
        <v>203</v>
      </c>
      <c r="Z1128" s="1289" t="s">
        <v>6637</v>
      </c>
      <c r="AA1128" s="1289" t="s">
        <v>6638</v>
      </c>
      <c r="AB1128" s="1291" t="s">
        <v>6651</v>
      </c>
      <c r="AC1128" s="1289" t="s">
        <v>6640</v>
      </c>
      <c r="AD1128" s="1316">
        <v>8.0</v>
      </c>
      <c r="AE1128" s="1294">
        <v>108.0</v>
      </c>
      <c r="AF1128" s="1289" t="s">
        <v>6652</v>
      </c>
      <c r="AG1128" s="1289" t="s">
        <v>162</v>
      </c>
      <c r="AH1128" s="1289" t="s">
        <v>6244</v>
      </c>
      <c r="AI1128" s="1300">
        <v>0.05</v>
      </c>
      <c r="AJ1128" s="1296" t="s">
        <v>127</v>
      </c>
      <c r="AK1128" s="1296" t="s">
        <v>179</v>
      </c>
      <c r="AL1128" s="1289" t="s">
        <v>129</v>
      </c>
      <c r="AM1128" s="1340" t="s">
        <v>6642</v>
      </c>
      <c r="AN1128" s="1294">
        <v>110.0</v>
      </c>
      <c r="AO1128" s="1289" t="s">
        <v>6643</v>
      </c>
      <c r="AP1128" s="1289" t="s">
        <v>162</v>
      </c>
      <c r="AQ1128" s="1297" t="s">
        <v>6112</v>
      </c>
      <c r="AR1128" s="1289" t="s">
        <v>768</v>
      </c>
      <c r="AS1128" s="1289" t="s">
        <v>768</v>
      </c>
      <c r="AT1128" s="1289" t="s">
        <v>179</v>
      </c>
      <c r="AU1128" s="1289" t="s">
        <v>129</v>
      </c>
      <c r="AV1128" s="1298" t="s">
        <v>165</v>
      </c>
      <c r="AW1128" s="1289" t="s">
        <v>134</v>
      </c>
      <c r="AY1128" s="1297" t="s">
        <v>6113</v>
      </c>
    </row>
    <row r="1129">
      <c r="A1129" s="60" t="s">
        <v>586</v>
      </c>
      <c r="B1129" s="41" t="s">
        <v>107</v>
      </c>
      <c r="C1129" s="41" t="s">
        <v>243</v>
      </c>
      <c r="D1129" s="340"/>
      <c r="E1129" s="112" t="s">
        <v>6630</v>
      </c>
      <c r="F1129" s="116" t="s">
        <v>6631</v>
      </c>
      <c r="G1129" s="127" t="s">
        <v>244</v>
      </c>
      <c r="H1129" s="310">
        <v>45666.0</v>
      </c>
      <c r="I1129" s="1301">
        <v>45692.0</v>
      </c>
      <c r="J1129" s="127" t="s">
        <v>6653</v>
      </c>
      <c r="K1129" s="111" t="s">
        <v>6633</v>
      </c>
      <c r="L1129" s="127" t="s">
        <v>6634</v>
      </c>
      <c r="M1129" s="127" t="s">
        <v>6635</v>
      </c>
      <c r="N1129" s="111"/>
      <c r="O1129" s="127" t="str">
        <f t="shared" ref="O1129:O1133" si="66"> SUBSTITUTE(lower(M1129), "/", "--") &amp;  ".pdf"</f>
        <v>10.1145--3290605.3300469.pdf</v>
      </c>
      <c r="P1129" s="48" t="str">
        <f t="array" ref="P1129">HYPERLINK(INDEX('File Links'!B:B, MATCH(O1129, 'File Links'!C:C, 0)))
</f>
        <v>https://drive.google.com/file/d/1lOqUFhZvkowPd-Ne3aczCZ30vQ08jqm-/view?usp=drivesdk</v>
      </c>
      <c r="Q1129" s="127" t="s">
        <v>6654</v>
      </c>
      <c r="R1129" s="147" t="s">
        <v>6104</v>
      </c>
      <c r="S1129" s="134" t="s">
        <v>165</v>
      </c>
      <c r="T1129" s="134" t="s">
        <v>165</v>
      </c>
      <c r="U1129" s="127" t="s">
        <v>6105</v>
      </c>
      <c r="V1129" s="127" t="s">
        <v>6291</v>
      </c>
      <c r="W1129" s="45" t="str">
        <f t="array" ref="W1129">HYPERLINK(INDEX('File Links'!B:B, MATCH(U1129, 'File Links'!C:C, 0)))
</f>
        <v>#N/A</v>
      </c>
      <c r="X1129" s="111"/>
      <c r="Y1129" s="127" t="s">
        <v>203</v>
      </c>
      <c r="Z1129" s="111"/>
      <c r="AA1129" s="111"/>
      <c r="AB1129" s="111"/>
      <c r="AC1129" s="127" t="s">
        <v>6655</v>
      </c>
      <c r="AD1129" s="720">
        <v>8.0</v>
      </c>
      <c r="AE1129" s="709">
        <v>208.0</v>
      </c>
      <c r="AF1129" s="127" t="s">
        <v>165</v>
      </c>
      <c r="AG1129" s="111"/>
      <c r="AH1129" s="127" t="s">
        <v>601</v>
      </c>
      <c r="AI1129" s="120">
        <v>0.001</v>
      </c>
      <c r="AJ1129" s="112" t="s">
        <v>127</v>
      </c>
      <c r="AK1129" s="112" t="s">
        <v>179</v>
      </c>
      <c r="AL1129" s="127" t="s">
        <v>132</v>
      </c>
      <c r="AM1129" s="1326" t="s">
        <v>6656</v>
      </c>
      <c r="AN1129" s="720">
        <v>110.0</v>
      </c>
      <c r="AO1129" s="127" t="s">
        <v>165</v>
      </c>
      <c r="AP1129" s="111"/>
      <c r="AQ1129" s="1297" t="s">
        <v>6112</v>
      </c>
      <c r="AR1129" s="127" t="s">
        <v>165</v>
      </c>
      <c r="AS1129" s="111"/>
      <c r="AT1129" s="127" t="s">
        <v>179</v>
      </c>
      <c r="AU1129" s="127" t="s">
        <v>132</v>
      </c>
      <c r="AV1129" s="1298" t="s">
        <v>165</v>
      </c>
      <c r="AW1129" s="606" t="s">
        <v>134</v>
      </c>
      <c r="AY1129" s="1297" t="s">
        <v>6113</v>
      </c>
    </row>
    <row r="1130">
      <c r="A1130" s="115" t="s">
        <v>143</v>
      </c>
      <c r="B1130" s="41" t="s">
        <v>107</v>
      </c>
      <c r="C1130" s="41" t="s">
        <v>108</v>
      </c>
      <c r="D1130" s="340"/>
      <c r="E1130" s="1289" t="s">
        <v>6657</v>
      </c>
      <c r="F1130" s="1290" t="s">
        <v>6658</v>
      </c>
      <c r="G1130" s="1291" t="s">
        <v>6097</v>
      </c>
      <c r="H1130" s="1292">
        <v>45690.0</v>
      </c>
      <c r="I1130" s="1293">
        <v>45692.0</v>
      </c>
      <c r="J1130" s="1289"/>
      <c r="K1130" s="1289" t="s">
        <v>6099</v>
      </c>
      <c r="L1130" s="1291" t="s">
        <v>6659</v>
      </c>
      <c r="M1130" s="1289" t="s">
        <v>6660</v>
      </c>
      <c r="N1130" s="1294">
        <v>5.0</v>
      </c>
      <c r="O1130" s="127" t="str">
        <f t="shared" si="66"/>
        <v>10.1037--xge0001195.pdf</v>
      </c>
      <c r="P1130" s="48" t="str">
        <f t="array" ref="P1130">HYPERLINK(INDEX('File Links'!B:B, MATCH(O1130, 'File Links'!C:C, 0)))
</f>
        <v>https://drive.google.com/file/d/1v6kgKeSqXz-kIHf5HXexB2cCnGBup8pu/view?usp=drivesdk</v>
      </c>
      <c r="Q1130" s="1291" t="s">
        <v>6103</v>
      </c>
      <c r="R1130" s="147" t="s">
        <v>6104</v>
      </c>
      <c r="S1130" s="134" t="s">
        <v>165</v>
      </c>
      <c r="T1130" s="134" t="s">
        <v>165</v>
      </c>
      <c r="U1130" s="1291" t="s">
        <v>6105</v>
      </c>
      <c r="V1130" s="127" t="s">
        <v>6291</v>
      </c>
      <c r="W1130" s="45" t="str">
        <f t="array" ref="W1130">HYPERLINK(INDEX('File Links'!B:B, MATCH(U1130, 'File Links'!C:C, 0)))
</f>
        <v>#N/A</v>
      </c>
      <c r="X1130" s="1289"/>
      <c r="Y1130" s="1291" t="s">
        <v>139</v>
      </c>
      <c r="Z1130" s="350" t="s">
        <v>165</v>
      </c>
      <c r="AA1130" s="1289" t="s">
        <v>6661</v>
      </c>
      <c r="AB1130" s="1291" t="s">
        <v>6662</v>
      </c>
      <c r="AC1130" s="1289" t="s">
        <v>6663</v>
      </c>
      <c r="AD1130" s="1289" t="s">
        <v>6664</v>
      </c>
      <c r="AE1130" s="1294">
        <v>144.0</v>
      </c>
      <c r="AF1130" s="1297" t="s">
        <v>6665</v>
      </c>
      <c r="AG1130" s="1289" t="s">
        <v>162</v>
      </c>
      <c r="AH1130" s="1289" t="s">
        <v>131</v>
      </c>
      <c r="AI1130" s="1297" t="s">
        <v>165</v>
      </c>
      <c r="AJ1130" s="1311" t="s">
        <v>165</v>
      </c>
      <c r="AK1130" s="1296" t="s">
        <v>179</v>
      </c>
      <c r="AL1130" s="1289" t="s">
        <v>129</v>
      </c>
      <c r="AM1130" s="1340" t="s">
        <v>6666</v>
      </c>
      <c r="AN1130" s="1294">
        <v>147.0</v>
      </c>
      <c r="AO1130" s="1297" t="s">
        <v>6667</v>
      </c>
      <c r="AP1130" s="1289" t="s">
        <v>162</v>
      </c>
      <c r="AQ1130" s="1297" t="s">
        <v>6112</v>
      </c>
      <c r="AR1130" s="1297" t="s">
        <v>165</v>
      </c>
      <c r="AS1130" s="128" t="s">
        <v>165</v>
      </c>
      <c r="AT1130" s="1289" t="s">
        <v>179</v>
      </c>
      <c r="AU1130" s="1289" t="s">
        <v>129</v>
      </c>
      <c r="AV1130" s="1298" t="s">
        <v>165</v>
      </c>
      <c r="AW1130" s="1314" t="s">
        <v>134</v>
      </c>
      <c r="AY1130" s="1297" t="s">
        <v>6113</v>
      </c>
    </row>
    <row r="1131">
      <c r="A1131" s="60" t="s">
        <v>106</v>
      </c>
      <c r="B1131" s="41" t="s">
        <v>107</v>
      </c>
      <c r="C1131" s="41" t="s">
        <v>243</v>
      </c>
      <c r="D1131" s="340"/>
      <c r="E1131" s="112" t="s">
        <v>6657</v>
      </c>
      <c r="F1131" s="116" t="s">
        <v>6658</v>
      </c>
      <c r="G1131" s="127" t="s">
        <v>244</v>
      </c>
      <c r="H1131" s="310">
        <v>45666.0</v>
      </c>
      <c r="I1131" s="1301">
        <v>45692.0</v>
      </c>
      <c r="J1131" s="127" t="s">
        <v>6190</v>
      </c>
      <c r="K1131" s="111" t="s">
        <v>6099</v>
      </c>
      <c r="L1131" s="127" t="s">
        <v>6659</v>
      </c>
      <c r="M1131" s="127" t="s">
        <v>6660</v>
      </c>
      <c r="N1131" s="111"/>
      <c r="O1131" s="127" t="str">
        <f t="shared" si="66"/>
        <v>10.1037--xge0001195.pdf</v>
      </c>
      <c r="P1131" s="48" t="str">
        <f t="array" ref="P1131">HYPERLINK(INDEX('File Links'!B:B, MATCH(O1131, 'File Links'!C:C, 0)))
</f>
        <v>https://drive.google.com/file/d/1v6kgKeSqXz-kIHf5HXexB2cCnGBup8pu/view?usp=drivesdk</v>
      </c>
      <c r="Q1131" s="127" t="s">
        <v>6668</v>
      </c>
      <c r="R1131" s="147" t="s">
        <v>6104</v>
      </c>
      <c r="S1131" s="134" t="s">
        <v>165</v>
      </c>
      <c r="T1131" s="134" t="s">
        <v>165</v>
      </c>
      <c r="U1131" s="127" t="s">
        <v>6105</v>
      </c>
      <c r="V1131" s="127" t="s">
        <v>6291</v>
      </c>
      <c r="W1131" s="45" t="str">
        <f t="array" ref="W1131">HYPERLINK(INDEX('File Links'!B:B, MATCH(U1131, 'File Links'!C:C, 0)))
</f>
        <v>#N/A</v>
      </c>
      <c r="X1131" s="111"/>
      <c r="Y1131" s="127" t="s">
        <v>139</v>
      </c>
      <c r="Z1131" s="111"/>
      <c r="AA1131" s="111"/>
      <c r="AB1131" s="111"/>
      <c r="AC1131" s="127" t="s">
        <v>165</v>
      </c>
      <c r="AD1131" s="127" t="s">
        <v>165</v>
      </c>
      <c r="AE1131" s="720">
        <v>144.0</v>
      </c>
      <c r="AF1131" s="111"/>
      <c r="AG1131" s="111"/>
      <c r="AH1131" s="127" t="s">
        <v>165</v>
      </c>
      <c r="AI1131" s="311"/>
      <c r="AJ1131" s="119"/>
      <c r="AK1131" s="112" t="s">
        <v>179</v>
      </c>
      <c r="AL1131" s="127" t="s">
        <v>821</v>
      </c>
      <c r="AM1131" s="1326" t="s">
        <v>6669</v>
      </c>
      <c r="AN1131" s="720">
        <v>147.0</v>
      </c>
      <c r="AO1131" s="127" t="s">
        <v>165</v>
      </c>
      <c r="AP1131" s="111"/>
      <c r="AQ1131" s="1297" t="s">
        <v>6112</v>
      </c>
      <c r="AR1131" s="127" t="s">
        <v>165</v>
      </c>
      <c r="AS1131" s="111"/>
      <c r="AT1131" s="127" t="s">
        <v>179</v>
      </c>
      <c r="AU1131" s="127" t="s">
        <v>821</v>
      </c>
      <c r="AV1131" s="1298" t="s">
        <v>165</v>
      </c>
      <c r="AW1131" s="606" t="s">
        <v>134</v>
      </c>
      <c r="AY1131" s="1297" t="s">
        <v>6113</v>
      </c>
    </row>
    <row r="1132">
      <c r="A1132" s="115" t="s">
        <v>143</v>
      </c>
      <c r="B1132" s="41" t="s">
        <v>107</v>
      </c>
      <c r="C1132" s="41" t="s">
        <v>108</v>
      </c>
      <c r="D1132" s="340"/>
      <c r="E1132" s="1289" t="s">
        <v>6670</v>
      </c>
      <c r="F1132" s="1290" t="s">
        <v>6671</v>
      </c>
      <c r="G1132" s="1291" t="s">
        <v>6097</v>
      </c>
      <c r="H1132" s="1292">
        <v>45690.0</v>
      </c>
      <c r="I1132" s="1293">
        <v>45692.0</v>
      </c>
      <c r="J1132" s="1289"/>
      <c r="K1132" s="1297" t="s">
        <v>6672</v>
      </c>
      <c r="L1132" s="1291" t="s">
        <v>6673</v>
      </c>
      <c r="M1132" s="1289" t="s">
        <v>6674</v>
      </c>
      <c r="N1132" s="1294">
        <v>2.0</v>
      </c>
      <c r="O1132" s="127" t="str">
        <f t="shared" si="66"/>
        <v>10.1016--j.jml.2006.02.004.pdf</v>
      </c>
      <c r="P1132" s="48" t="str">
        <f t="array" ref="P1132">HYPERLINK(INDEX('File Links'!B:B, MATCH(O1132, 'File Links'!C:C, 0)))
</f>
        <v>https://drive.google.com/file/d/1e5Wm6ChazDKUJftaKFfLoaBKNbaofYfP/view?usp=drivesdk</v>
      </c>
      <c r="Q1132" s="1291" t="s">
        <v>6103</v>
      </c>
      <c r="R1132" s="147" t="s">
        <v>6104</v>
      </c>
      <c r="S1132" s="134" t="s">
        <v>165</v>
      </c>
      <c r="T1132" s="134" t="s">
        <v>165</v>
      </c>
      <c r="U1132" s="1291" t="s">
        <v>6105</v>
      </c>
      <c r="V1132" s="127" t="s">
        <v>318</v>
      </c>
      <c r="W1132" s="45" t="str">
        <f t="array" ref="W1132">HYPERLINK(INDEX('File Links'!B:B, MATCH(U1132, 'File Links'!C:C, 0)))
</f>
        <v>#N/A</v>
      </c>
      <c r="X1132" s="1289"/>
      <c r="Y1132" s="1291" t="s">
        <v>139</v>
      </c>
      <c r="Z1132" s="350" t="s">
        <v>165</v>
      </c>
      <c r="AA1132" s="1289" t="s">
        <v>6675</v>
      </c>
      <c r="AB1132" s="1291" t="s">
        <v>6676</v>
      </c>
      <c r="AC1132" s="1289" t="s">
        <v>6677</v>
      </c>
      <c r="AD1132" s="1289" t="s">
        <v>6505</v>
      </c>
      <c r="AE1132" s="1294">
        <v>60.0</v>
      </c>
      <c r="AF1132" s="1333" t="s">
        <v>6678</v>
      </c>
      <c r="AG1132" s="1311" t="s">
        <v>162</v>
      </c>
      <c r="AH1132" s="127" t="s">
        <v>1896</v>
      </c>
      <c r="AI1132" s="120">
        <v>0.001</v>
      </c>
      <c r="AJ1132" s="112" t="s">
        <v>127</v>
      </c>
      <c r="AK1132" s="112" t="s">
        <v>179</v>
      </c>
      <c r="AL1132" s="127" t="s">
        <v>132</v>
      </c>
      <c r="AM1132" s="1297" t="s">
        <v>165</v>
      </c>
      <c r="AN1132" s="1294">
        <v>39.0</v>
      </c>
      <c r="AO1132" s="1316">
        <v>0.256674071435679</v>
      </c>
      <c r="AP1132" s="1289" t="s">
        <v>166</v>
      </c>
      <c r="AQ1132" s="1297" t="s">
        <v>6112</v>
      </c>
      <c r="AR1132" s="1316">
        <v>0.0281747341040883</v>
      </c>
      <c r="AS1132" s="1289" t="s">
        <v>164</v>
      </c>
      <c r="AT1132" s="1289" t="s">
        <v>179</v>
      </c>
      <c r="AU1132" s="127" t="s">
        <v>132</v>
      </c>
      <c r="AV1132" s="1298" t="s">
        <v>165</v>
      </c>
      <c r="AW1132" s="1314" t="s">
        <v>134</v>
      </c>
      <c r="AY1132" s="1297" t="s">
        <v>6113</v>
      </c>
    </row>
    <row r="1133">
      <c r="A1133" s="115" t="s">
        <v>106</v>
      </c>
      <c r="B1133" s="41" t="s">
        <v>107</v>
      </c>
      <c r="C1133" s="41" t="s">
        <v>243</v>
      </c>
      <c r="D1133" s="340"/>
      <c r="E1133" s="112" t="s">
        <v>6670</v>
      </c>
      <c r="F1133" s="116" t="s">
        <v>6671</v>
      </c>
      <c r="G1133" s="127" t="s">
        <v>244</v>
      </c>
      <c r="H1133" s="310">
        <v>45666.0</v>
      </c>
      <c r="I1133" s="1301">
        <v>45692.0</v>
      </c>
      <c r="J1133" s="111"/>
      <c r="K1133" s="111" t="s">
        <v>6099</v>
      </c>
      <c r="L1133" s="127" t="s">
        <v>6673</v>
      </c>
      <c r="M1133" s="127" t="s">
        <v>6674</v>
      </c>
      <c r="N1133" s="111"/>
      <c r="O1133" s="127" t="str">
        <f t="shared" si="66"/>
        <v>10.1016--j.jml.2006.02.004.pdf</v>
      </c>
      <c r="P1133" s="48" t="str">
        <f t="array" ref="P1133">HYPERLINK(INDEX('File Links'!B:B, MATCH(O1133, 'File Links'!C:C, 0)))
</f>
        <v>https://drive.google.com/file/d/1e5Wm6ChazDKUJftaKFfLoaBKNbaofYfP/view?usp=drivesdk</v>
      </c>
      <c r="Q1133" s="127" t="s">
        <v>6679</v>
      </c>
      <c r="R1133" s="147" t="s">
        <v>6104</v>
      </c>
      <c r="S1133" s="134" t="s">
        <v>165</v>
      </c>
      <c r="T1133" s="134" t="s">
        <v>165</v>
      </c>
      <c r="U1133" s="127" t="s">
        <v>6105</v>
      </c>
      <c r="V1133" s="127" t="s">
        <v>318</v>
      </c>
      <c r="W1133" s="45" t="str">
        <f t="array" ref="W1133">HYPERLINK(INDEX('File Links'!B:B, MATCH(U1133, 'File Links'!C:C, 0)))
</f>
        <v>#N/A</v>
      </c>
      <c r="X1133" s="111"/>
      <c r="Y1133" s="127" t="s">
        <v>139</v>
      </c>
      <c r="Z1133" s="111"/>
      <c r="AA1133" s="127" t="s">
        <v>6680</v>
      </c>
      <c r="AB1133" s="111"/>
      <c r="AC1133" s="127" t="s">
        <v>6681</v>
      </c>
      <c r="AD1133" s="127" t="s">
        <v>6682</v>
      </c>
      <c r="AE1133" s="720">
        <v>60.0</v>
      </c>
      <c r="AF1133" s="709">
        <v>77.05</v>
      </c>
      <c r="AG1133" s="127" t="s">
        <v>1051</v>
      </c>
      <c r="AH1133" s="127" t="s">
        <v>1896</v>
      </c>
      <c r="AI1133" s="120">
        <v>0.001</v>
      </c>
      <c r="AJ1133" s="112" t="s">
        <v>127</v>
      </c>
      <c r="AK1133" s="112" t="s">
        <v>179</v>
      </c>
      <c r="AL1133" s="127" t="s">
        <v>132</v>
      </c>
      <c r="AM1133" s="1297" t="s">
        <v>165</v>
      </c>
      <c r="AN1133" s="720">
        <v>39.0</v>
      </c>
      <c r="AO1133" s="720">
        <v>0.256674071435679</v>
      </c>
      <c r="AP1133" s="127" t="s">
        <v>166</v>
      </c>
      <c r="AQ1133" s="1297" t="s">
        <v>6112</v>
      </c>
      <c r="AR1133" s="720">
        <v>0.0281747341040883</v>
      </c>
      <c r="AS1133" s="127" t="s">
        <v>164</v>
      </c>
      <c r="AT1133" s="127" t="s">
        <v>179</v>
      </c>
      <c r="AU1133" s="127" t="s">
        <v>132</v>
      </c>
      <c r="AV1133" s="1298" t="s">
        <v>165</v>
      </c>
      <c r="AW1133" s="606" t="s">
        <v>134</v>
      </c>
      <c r="AY1133" s="1297" t="s">
        <v>6113</v>
      </c>
    </row>
    <row r="1134">
      <c r="A1134" s="115" t="s">
        <v>106</v>
      </c>
      <c r="B1134" s="41" t="s">
        <v>107</v>
      </c>
      <c r="C1134" s="41" t="s">
        <v>108</v>
      </c>
      <c r="D1134" s="340"/>
      <c r="E1134" s="1289" t="s">
        <v>6683</v>
      </c>
      <c r="F1134" s="1290" t="s">
        <v>6684</v>
      </c>
      <c r="G1134" s="1291" t="s">
        <v>6097</v>
      </c>
      <c r="H1134" s="1292">
        <v>45690.0</v>
      </c>
      <c r="I1134" s="1293">
        <v>45692.0</v>
      </c>
      <c r="J1134" s="1289" t="s">
        <v>6465</v>
      </c>
      <c r="K1134" s="1289" t="s">
        <v>6099</v>
      </c>
      <c r="L1134" s="1291" t="s">
        <v>6685</v>
      </c>
      <c r="M1134" s="1291" t="s">
        <v>6686</v>
      </c>
      <c r="N1134" s="1294">
        <v>3.0</v>
      </c>
      <c r="O1134" s="1291" t="s">
        <v>6687</v>
      </c>
      <c r="P1134" s="48" t="str">
        <f t="array" ref="P1134">HYPERLINK(INDEX('File Links'!B:B, MATCH(O1134, 'File Links'!C:C, 0)))
</f>
        <v>https://drive.google.com/file/d/14l2Iyllp2BRKK4GUgjOnaxtE-5V5_oxZ/view?usp=drivesdk</v>
      </c>
      <c r="Q1134" s="1291" t="s">
        <v>6103</v>
      </c>
      <c r="R1134" s="147" t="s">
        <v>6104</v>
      </c>
      <c r="S1134" s="134" t="s">
        <v>165</v>
      </c>
      <c r="T1134" s="134" t="s">
        <v>165</v>
      </c>
      <c r="U1134" s="1291" t="s">
        <v>6105</v>
      </c>
      <c r="V1134" s="127" t="s">
        <v>6291</v>
      </c>
      <c r="W1134" s="45" t="str">
        <f t="array" ref="W1134">HYPERLINK(INDEX('File Links'!B:B, MATCH(U1134, 'File Links'!C:C, 0)))
</f>
        <v>#N/A</v>
      </c>
      <c r="X1134" s="1289"/>
      <c r="Y1134" s="1291" t="s">
        <v>220</v>
      </c>
      <c r="Z1134" s="1289" t="s">
        <v>768</v>
      </c>
      <c r="AA1134" s="1289" t="s">
        <v>6688</v>
      </c>
      <c r="AB1134" s="1291" t="s">
        <v>6689</v>
      </c>
      <c r="AC1134" s="1289" t="s">
        <v>6690</v>
      </c>
      <c r="AD1134" s="1289" t="s">
        <v>6153</v>
      </c>
      <c r="AE1134" s="1294">
        <v>451.0</v>
      </c>
      <c r="AF1134" s="1316">
        <v>0.106</v>
      </c>
      <c r="AG1134" s="1289" t="s">
        <v>130</v>
      </c>
      <c r="AH1134" s="1289" t="s">
        <v>125</v>
      </c>
      <c r="AI1134" s="1321">
        <v>0.001</v>
      </c>
      <c r="AJ1134" s="1296" t="s">
        <v>127</v>
      </c>
      <c r="AK1134" s="1296" t="s">
        <v>179</v>
      </c>
      <c r="AL1134" s="1289" t="s">
        <v>129</v>
      </c>
      <c r="AM1134" s="1297" t="s">
        <v>165</v>
      </c>
      <c r="AN1134" s="1294">
        <v>338.0</v>
      </c>
      <c r="AO1134" s="1316">
        <v>0.0817102066054265</v>
      </c>
      <c r="AP1134" s="1289" t="s">
        <v>166</v>
      </c>
      <c r="AQ1134" s="1297" t="s">
        <v>6112</v>
      </c>
      <c r="AR1134" s="1316">
        <v>0.134553425569185</v>
      </c>
      <c r="AS1134" s="1289" t="s">
        <v>164</v>
      </c>
      <c r="AT1134" s="1289" t="s">
        <v>179</v>
      </c>
      <c r="AU1134" s="1289" t="s">
        <v>129</v>
      </c>
      <c r="AV1134" s="1298" t="s">
        <v>165</v>
      </c>
      <c r="AW1134" s="1314" t="s">
        <v>134</v>
      </c>
      <c r="AY1134" s="1297" t="s">
        <v>6113</v>
      </c>
    </row>
    <row r="1135">
      <c r="A1135" s="115" t="s">
        <v>143</v>
      </c>
      <c r="B1135" s="41" t="s">
        <v>107</v>
      </c>
      <c r="C1135" s="41" t="s">
        <v>243</v>
      </c>
      <c r="D1135" s="340"/>
      <c r="E1135" s="112" t="s">
        <v>6683</v>
      </c>
      <c r="F1135" s="116" t="s">
        <v>6684</v>
      </c>
      <c r="G1135" s="127" t="s">
        <v>244</v>
      </c>
      <c r="H1135" s="310">
        <v>45666.0</v>
      </c>
      <c r="I1135" s="1301">
        <v>45692.0</v>
      </c>
      <c r="J1135" s="111"/>
      <c r="K1135" s="128" t="s">
        <v>6691</v>
      </c>
      <c r="L1135" s="127" t="s">
        <v>6685</v>
      </c>
      <c r="M1135" s="127" t="s">
        <v>6686</v>
      </c>
      <c r="N1135" s="111"/>
      <c r="O1135" s="127" t="str">
        <f t="shared" ref="O1135:O1136" si="67"> SUBSTITUTE(lower(M1135), "/", "--") &amp;  ".pdf"</f>
        <v>10.1177--0956797616685771.pdf</v>
      </c>
      <c r="P1135" s="48" t="str">
        <f t="array" ref="P1135">HYPERLINK(INDEX('File Links'!B:B, MATCH(O1135, 'File Links'!C:C, 0)))
</f>
        <v>https://drive.google.com/file/d/14l2Iyllp2BRKK4GUgjOnaxtE-5V5_oxZ/view?usp=drivesdk</v>
      </c>
      <c r="Q1135" s="127" t="s">
        <v>6692</v>
      </c>
      <c r="R1135" s="147" t="s">
        <v>6104</v>
      </c>
      <c r="S1135" s="134" t="s">
        <v>165</v>
      </c>
      <c r="T1135" s="134" t="s">
        <v>165</v>
      </c>
      <c r="U1135" s="127" t="s">
        <v>6105</v>
      </c>
      <c r="V1135" s="127" t="s">
        <v>6291</v>
      </c>
      <c r="W1135" s="45" t="str">
        <f t="array" ref="W1135">HYPERLINK(INDEX('File Links'!B:B, MATCH(U1135, 'File Links'!C:C, 0)))
</f>
        <v>#N/A</v>
      </c>
      <c r="X1135" s="111"/>
      <c r="Y1135" s="127" t="s">
        <v>220</v>
      </c>
      <c r="Z1135" s="111"/>
      <c r="AA1135" s="111"/>
      <c r="AB1135" s="111"/>
      <c r="AC1135" s="116" t="s">
        <v>6693</v>
      </c>
      <c r="AD1135" s="1289" t="s">
        <v>6153</v>
      </c>
      <c r="AE1135" s="720">
        <v>451.0</v>
      </c>
      <c r="AF1135" s="695">
        <v>-0.26</v>
      </c>
      <c r="AG1135" s="127" t="s">
        <v>166</v>
      </c>
      <c r="AH1135" s="116" t="s">
        <v>6694</v>
      </c>
      <c r="AI1135" s="120">
        <v>0.025</v>
      </c>
      <c r="AJ1135" s="112" t="s">
        <v>164</v>
      </c>
      <c r="AK1135" s="112" t="s">
        <v>179</v>
      </c>
      <c r="AL1135" s="127" t="s">
        <v>129</v>
      </c>
      <c r="AM1135" s="1297" t="s">
        <v>165</v>
      </c>
      <c r="AN1135" s="720">
        <v>338.0</v>
      </c>
      <c r="AO1135" s="720">
        <v>0.0817102066054265</v>
      </c>
      <c r="AP1135" s="127" t="s">
        <v>166</v>
      </c>
      <c r="AQ1135" s="1297" t="s">
        <v>6112</v>
      </c>
      <c r="AR1135" s="1341">
        <v>0.134553425569185</v>
      </c>
      <c r="AS1135" s="127" t="s">
        <v>164</v>
      </c>
      <c r="AT1135" s="127" t="s">
        <v>179</v>
      </c>
      <c r="AU1135" s="127" t="s">
        <v>129</v>
      </c>
      <c r="AV1135" s="1298" t="s">
        <v>165</v>
      </c>
      <c r="AW1135" s="606" t="s">
        <v>134</v>
      </c>
      <c r="AY1135" s="1297" t="s">
        <v>6113</v>
      </c>
    </row>
    <row r="1136">
      <c r="A1136" s="115" t="s">
        <v>143</v>
      </c>
      <c r="B1136" s="41" t="s">
        <v>107</v>
      </c>
      <c r="C1136" s="41" t="s">
        <v>243</v>
      </c>
      <c r="D1136" s="340"/>
      <c r="E1136" s="112" t="s">
        <v>6683</v>
      </c>
      <c r="F1136" s="116" t="s">
        <v>6695</v>
      </c>
      <c r="G1136" s="127" t="s">
        <v>244</v>
      </c>
      <c r="H1136" s="310">
        <v>45666.0</v>
      </c>
      <c r="I1136" s="1301">
        <v>45692.0</v>
      </c>
      <c r="J1136" s="111"/>
      <c r="K1136" s="128" t="s">
        <v>6691</v>
      </c>
      <c r="L1136" s="127" t="s">
        <v>6685</v>
      </c>
      <c r="M1136" s="127" t="s">
        <v>6686</v>
      </c>
      <c r="N1136" s="111"/>
      <c r="O1136" s="127" t="str">
        <f t="shared" si="67"/>
        <v>10.1177--0956797616685771.pdf</v>
      </c>
      <c r="P1136" s="48" t="str">
        <f t="array" ref="P1136">HYPERLINK(INDEX('File Links'!B:B, MATCH(O1136, 'File Links'!C:C, 0)))
</f>
        <v>https://drive.google.com/file/d/14l2Iyllp2BRKK4GUgjOnaxtE-5V5_oxZ/view?usp=drivesdk</v>
      </c>
      <c r="Q1136" s="127" t="s">
        <v>6696</v>
      </c>
      <c r="R1136" s="147" t="s">
        <v>6104</v>
      </c>
      <c r="S1136" s="134" t="s">
        <v>165</v>
      </c>
      <c r="T1136" s="134" t="s">
        <v>165</v>
      </c>
      <c r="U1136" s="127" t="s">
        <v>6105</v>
      </c>
      <c r="V1136" s="127" t="s">
        <v>6291</v>
      </c>
      <c r="W1136" s="45" t="str">
        <f t="array" ref="W1136">HYPERLINK(INDEX('File Links'!B:B, MATCH(U1136, 'File Links'!C:C, 0)))
</f>
        <v>#N/A</v>
      </c>
      <c r="X1136" s="111"/>
      <c r="Y1136" s="127" t="s">
        <v>220</v>
      </c>
      <c r="Z1136" s="111"/>
      <c r="AA1136" s="111"/>
      <c r="AB1136" s="111"/>
      <c r="AC1136" s="116" t="s">
        <v>6697</v>
      </c>
      <c r="AD1136" s="1289" t="s">
        <v>6153</v>
      </c>
      <c r="AE1136" s="720">
        <v>457.0</v>
      </c>
      <c r="AF1136" s="695">
        <v>-0.88</v>
      </c>
      <c r="AG1136" s="127" t="s">
        <v>166</v>
      </c>
      <c r="AH1136" s="127" t="s">
        <v>621</v>
      </c>
      <c r="AI1136" s="120">
        <v>0.001</v>
      </c>
      <c r="AJ1136" s="112" t="s">
        <v>127</v>
      </c>
      <c r="AK1136" s="112" t="s">
        <v>179</v>
      </c>
      <c r="AL1136" s="127" t="s">
        <v>132</v>
      </c>
      <c r="AM1136" s="1297" t="s">
        <v>165</v>
      </c>
      <c r="AN1136" s="720">
        <v>300.0</v>
      </c>
      <c r="AO1136" s="720">
        <v>0.909813508242608</v>
      </c>
      <c r="AP1136" s="127" t="s">
        <v>166</v>
      </c>
      <c r="AQ1136" s="1297" t="s">
        <v>6112</v>
      </c>
      <c r="AR1136" s="1341">
        <v>5.12986065631356E-41</v>
      </c>
      <c r="AS1136" s="127" t="s">
        <v>164</v>
      </c>
      <c r="AT1136" s="127" t="s">
        <v>179</v>
      </c>
      <c r="AU1136" s="127" t="s">
        <v>132</v>
      </c>
      <c r="AV1136" s="1298" t="s">
        <v>165</v>
      </c>
      <c r="AW1136" s="606" t="s">
        <v>134</v>
      </c>
      <c r="AY1136" s="1297" t="s">
        <v>6113</v>
      </c>
    </row>
    <row r="1137">
      <c r="A1137" s="115" t="s">
        <v>5350</v>
      </c>
      <c r="B1137" s="41" t="s">
        <v>107</v>
      </c>
      <c r="C1137" s="41" t="s">
        <v>108</v>
      </c>
      <c r="D1137" s="340"/>
      <c r="E1137" s="1289" t="s">
        <v>6698</v>
      </c>
      <c r="F1137" s="1290" t="s">
        <v>6699</v>
      </c>
      <c r="G1137" s="1291" t="s">
        <v>6097</v>
      </c>
      <c r="H1137" s="1292">
        <v>45690.0</v>
      </c>
      <c r="I1137" s="1293">
        <v>45692.0</v>
      </c>
      <c r="J1137" s="1289" t="s">
        <v>6465</v>
      </c>
      <c r="K1137" s="1289" t="s">
        <v>6099</v>
      </c>
      <c r="L1137" s="1291" t="s">
        <v>6685</v>
      </c>
      <c r="M1137" s="1291" t="s">
        <v>6686</v>
      </c>
      <c r="N1137" s="1294">
        <v>4.0</v>
      </c>
      <c r="O1137" s="1291" t="s">
        <v>6687</v>
      </c>
      <c r="P1137" s="48" t="str">
        <f t="array" ref="P1137">HYPERLINK(INDEX('File Links'!B:B, MATCH(O1137, 'File Links'!C:C, 0)))
</f>
        <v>https://drive.google.com/file/d/14l2Iyllp2BRKK4GUgjOnaxtE-5V5_oxZ/view?usp=drivesdk</v>
      </c>
      <c r="Q1137" s="1291" t="s">
        <v>6103</v>
      </c>
      <c r="R1137" s="147" t="s">
        <v>6104</v>
      </c>
      <c r="S1137" s="134" t="s">
        <v>165</v>
      </c>
      <c r="T1137" s="134" t="s">
        <v>165</v>
      </c>
      <c r="U1137" s="1291" t="s">
        <v>6105</v>
      </c>
      <c r="V1137" s="127" t="s">
        <v>6291</v>
      </c>
      <c r="W1137" s="45" t="str">
        <f t="array" ref="W1137">HYPERLINK(INDEX('File Links'!B:B, MATCH(U1137, 'File Links'!C:C, 0)))
</f>
        <v>#N/A</v>
      </c>
      <c r="X1137" s="1289"/>
      <c r="Y1137" s="1291" t="s">
        <v>220</v>
      </c>
      <c r="Z1137" s="1289" t="s">
        <v>768</v>
      </c>
      <c r="AA1137" s="1289" t="s">
        <v>6688</v>
      </c>
      <c r="AB1137" s="1291" t="s">
        <v>6689</v>
      </c>
      <c r="AC1137" s="1289" t="s">
        <v>6700</v>
      </c>
      <c r="AD1137" s="1316">
        <v>9.0</v>
      </c>
      <c r="AE1137" s="1294">
        <v>457.0</v>
      </c>
      <c r="AF1137" s="1316">
        <v>0.137</v>
      </c>
      <c r="AG1137" s="1289" t="s">
        <v>130</v>
      </c>
      <c r="AH1137" s="1289" t="s">
        <v>625</v>
      </c>
      <c r="AI1137" s="1321">
        <v>0.001</v>
      </c>
      <c r="AJ1137" s="1296" t="s">
        <v>127</v>
      </c>
      <c r="AK1137" s="1296" t="s">
        <v>179</v>
      </c>
      <c r="AL1137" s="1289" t="s">
        <v>129</v>
      </c>
      <c r="AM1137" s="1297" t="s">
        <v>165</v>
      </c>
      <c r="AN1137" s="1294">
        <v>300.0</v>
      </c>
      <c r="AO1137" s="1316">
        <v>0.909813508242608</v>
      </c>
      <c r="AP1137" s="1289" t="s">
        <v>166</v>
      </c>
      <c r="AQ1137" s="1297" t="s">
        <v>6112</v>
      </c>
      <c r="AR1137" s="1321">
        <v>5.12986065631356E-41</v>
      </c>
      <c r="AS1137" s="1289" t="s">
        <v>164</v>
      </c>
      <c r="AT1137" s="1289" t="s">
        <v>179</v>
      </c>
      <c r="AU1137" s="1289" t="s">
        <v>129</v>
      </c>
      <c r="AV1137" s="1298" t="s">
        <v>165</v>
      </c>
      <c r="AW1137" s="1314" t="s">
        <v>134</v>
      </c>
      <c r="AY1137" s="1297" t="s">
        <v>6113</v>
      </c>
    </row>
    <row r="1138">
      <c r="A1138" s="115" t="s">
        <v>143</v>
      </c>
      <c r="B1138" s="41" t="s">
        <v>107</v>
      </c>
      <c r="C1138" s="41" t="s">
        <v>108</v>
      </c>
      <c r="D1138" s="340"/>
      <c r="E1138" s="1289" t="s">
        <v>6701</v>
      </c>
      <c r="F1138" s="1290" t="s">
        <v>6702</v>
      </c>
      <c r="G1138" s="1291" t="s">
        <v>6097</v>
      </c>
      <c r="H1138" s="1292">
        <v>45690.0</v>
      </c>
      <c r="I1138" s="1293">
        <v>45692.0</v>
      </c>
      <c r="J1138" s="1289"/>
      <c r="K1138" s="1289" t="s">
        <v>6703</v>
      </c>
      <c r="L1138" s="1291" t="s">
        <v>6704</v>
      </c>
      <c r="M1138" s="1291" t="s">
        <v>6705</v>
      </c>
      <c r="N1138" s="1291" t="s">
        <v>6706</v>
      </c>
      <c r="O1138" s="1291" t="s">
        <v>6707</v>
      </c>
      <c r="P1138" s="48" t="str">
        <f t="array" ref="P1138">HYPERLINK(INDEX('File Links'!B:B, MATCH(O1138, 'File Links'!C:C, 0)))
</f>
        <v>https://drive.google.com/file/d/1sQ8SgRlBMbqW6PR-9YQps9sVh-rL9tXw/view?usp=drivesdk</v>
      </c>
      <c r="Q1138" s="1291" t="s">
        <v>6103</v>
      </c>
      <c r="R1138" s="147" t="s">
        <v>6104</v>
      </c>
      <c r="S1138" s="134" t="s">
        <v>165</v>
      </c>
      <c r="T1138" s="134" t="s">
        <v>165</v>
      </c>
      <c r="U1138" s="1291" t="s">
        <v>6105</v>
      </c>
      <c r="V1138" s="127" t="s">
        <v>6291</v>
      </c>
      <c r="W1138" s="45" t="str">
        <f t="array" ref="W1138">HYPERLINK(INDEX('File Links'!B:B, MATCH(U1138, 'File Links'!C:C, 0)))
</f>
        <v>#N/A</v>
      </c>
      <c r="X1138" s="1289"/>
      <c r="Y1138" s="1291" t="s">
        <v>220</v>
      </c>
      <c r="Z1138" s="350" t="s">
        <v>165</v>
      </c>
      <c r="AA1138" s="1289" t="s">
        <v>6708</v>
      </c>
      <c r="AB1138" s="1291" t="s">
        <v>6709</v>
      </c>
      <c r="AC1138" s="1289" t="s">
        <v>6710</v>
      </c>
      <c r="AD1138" s="1289" t="s">
        <v>6711</v>
      </c>
      <c r="AE1138" s="1294">
        <v>327.0</v>
      </c>
      <c r="AF1138" s="1316">
        <v>0.44</v>
      </c>
      <c r="AG1138" s="1289" t="s">
        <v>166</v>
      </c>
      <c r="AH1138" s="1289" t="s">
        <v>610</v>
      </c>
      <c r="AI1138" s="1321">
        <v>0.006</v>
      </c>
      <c r="AJ1138" s="1296" t="s">
        <v>164</v>
      </c>
      <c r="AK1138" s="1296" t="s">
        <v>179</v>
      </c>
      <c r="AL1138" s="1289" t="s">
        <v>129</v>
      </c>
      <c r="AM1138" s="1297" t="s">
        <v>165</v>
      </c>
      <c r="AN1138" s="1294">
        <v>292.0</v>
      </c>
      <c r="AO1138" s="1316">
        <v>0.0550913677484325</v>
      </c>
      <c r="AP1138" s="1289" t="s">
        <v>166</v>
      </c>
      <c r="AQ1138" s="1297" t="s">
        <v>6112</v>
      </c>
      <c r="AR1138" s="1316">
        <v>0.348108250387705</v>
      </c>
      <c r="AS1138" s="1289" t="s">
        <v>164</v>
      </c>
      <c r="AT1138" s="1289" t="s">
        <v>179</v>
      </c>
      <c r="AU1138" s="1289" t="s">
        <v>129</v>
      </c>
      <c r="AV1138" s="1298" t="s">
        <v>165</v>
      </c>
      <c r="AW1138" s="1314" t="s">
        <v>134</v>
      </c>
      <c r="AY1138" s="1297" t="s">
        <v>6113</v>
      </c>
    </row>
    <row r="1139">
      <c r="A1139" s="115" t="s">
        <v>106</v>
      </c>
      <c r="B1139" s="41" t="s">
        <v>107</v>
      </c>
      <c r="C1139" s="41" t="s">
        <v>243</v>
      </c>
      <c r="D1139" s="340"/>
      <c r="E1139" s="112" t="s">
        <v>6701</v>
      </c>
      <c r="F1139" s="116" t="s">
        <v>6702</v>
      </c>
      <c r="G1139" s="127" t="s">
        <v>244</v>
      </c>
      <c r="H1139" s="310">
        <v>45663.0</v>
      </c>
      <c r="I1139" s="1301">
        <v>45692.0</v>
      </c>
      <c r="J1139" s="111"/>
      <c r="K1139" s="111" t="s">
        <v>6703</v>
      </c>
      <c r="L1139" s="127" t="s">
        <v>6704</v>
      </c>
      <c r="M1139" s="1342" t="s">
        <v>6705</v>
      </c>
      <c r="N1139" s="111"/>
      <c r="O1139" s="127" t="str">
        <f> SUBSTITUTE(lower(M1139), "/", "--") &amp;  ".pdf"</f>
        <v>10.1177--0146167215580776.pdf</v>
      </c>
      <c r="P1139" s="48" t="str">
        <f t="array" ref="P1139">HYPERLINK(INDEX('File Links'!B:B, MATCH(O1139, 'File Links'!C:C, 0)))
</f>
        <v>https://drive.google.com/file/d/1sQ8SgRlBMbqW6PR-9YQps9sVh-rL9tXw/view?usp=drivesdk</v>
      </c>
      <c r="Q1139" s="127" t="s">
        <v>6712</v>
      </c>
      <c r="R1139" s="147" t="s">
        <v>6104</v>
      </c>
      <c r="S1139" s="134" t="s">
        <v>165</v>
      </c>
      <c r="T1139" s="134" t="s">
        <v>165</v>
      </c>
      <c r="U1139" s="127" t="s">
        <v>6105</v>
      </c>
      <c r="V1139" s="127" t="s">
        <v>6291</v>
      </c>
      <c r="W1139" s="45" t="str">
        <f t="array" ref="W1139">HYPERLINK(INDEX('File Links'!B:B, MATCH(U1139, 'File Links'!C:C, 0)))
</f>
        <v>#N/A</v>
      </c>
      <c r="X1139" s="111"/>
      <c r="Y1139" s="127" t="s">
        <v>220</v>
      </c>
      <c r="Z1139" s="111"/>
      <c r="AA1139" s="111"/>
      <c r="AB1139" s="111"/>
      <c r="AC1139" s="127" t="s">
        <v>6713</v>
      </c>
      <c r="AD1139" s="720">
        <v>829.0</v>
      </c>
      <c r="AE1139" s="720">
        <v>327.0</v>
      </c>
      <c r="AF1139" s="720">
        <v>0.44</v>
      </c>
      <c r="AG1139" s="127" t="s">
        <v>166</v>
      </c>
      <c r="AH1139" s="127" t="s">
        <v>6714</v>
      </c>
      <c r="AI1139" s="120">
        <v>0.006</v>
      </c>
      <c r="AJ1139" s="112" t="s">
        <v>164</v>
      </c>
      <c r="AK1139" s="112" t="s">
        <v>179</v>
      </c>
      <c r="AL1139" s="127" t="s">
        <v>132</v>
      </c>
      <c r="AM1139" s="1297" t="s">
        <v>165</v>
      </c>
      <c r="AN1139" s="720">
        <v>292.0</v>
      </c>
      <c r="AO1139" s="720">
        <v>0.0550913677484325</v>
      </c>
      <c r="AP1139" s="127" t="s">
        <v>166</v>
      </c>
      <c r="AQ1139" s="1297" t="s">
        <v>6112</v>
      </c>
      <c r="AR1139" s="720">
        <v>0.348108250387705</v>
      </c>
      <c r="AS1139" s="127" t="s">
        <v>164</v>
      </c>
      <c r="AT1139" s="127" t="s">
        <v>179</v>
      </c>
      <c r="AU1139" s="127" t="s">
        <v>132</v>
      </c>
      <c r="AV1139" s="1298" t="s">
        <v>165</v>
      </c>
      <c r="AW1139" s="606" t="s">
        <v>134</v>
      </c>
      <c r="AY1139" s="1297" t="s">
        <v>6113</v>
      </c>
    </row>
    <row r="1140">
      <c r="A1140" s="115" t="s">
        <v>143</v>
      </c>
      <c r="B1140" s="41" t="s">
        <v>107</v>
      </c>
      <c r="C1140" s="41" t="s">
        <v>1471</v>
      </c>
      <c r="D1140" s="340"/>
      <c r="E1140" s="1289" t="s">
        <v>6715</v>
      </c>
      <c r="F1140" s="1290" t="s">
        <v>6716</v>
      </c>
      <c r="G1140" s="1291" t="s">
        <v>6097</v>
      </c>
      <c r="H1140" s="1292">
        <v>45690.0</v>
      </c>
      <c r="I1140" s="1293">
        <v>45692.0</v>
      </c>
      <c r="J1140" s="1289" t="s">
        <v>6717</v>
      </c>
      <c r="K1140" s="1297" t="s">
        <v>6718</v>
      </c>
      <c r="L1140" s="1291" t="s">
        <v>6719</v>
      </c>
      <c r="M1140" s="1291" t="s">
        <v>6720</v>
      </c>
      <c r="N1140" s="1294">
        <v>2.0</v>
      </c>
      <c r="O1140" s="1291" t="s">
        <v>6721</v>
      </c>
      <c r="P1140" s="48" t="str">
        <f t="array" ref="P1140">HYPERLINK(INDEX('File Links'!B:B, MATCH(O1140, 'File Links'!C:C, 0)))
</f>
        <v>https://drive.google.com/file/d/1AFvmNMhSk-QV-2cVhQI1IIbAhqjPhXWN/view?usp=drivesdk</v>
      </c>
      <c r="Q1140" s="1291" t="s">
        <v>6103</v>
      </c>
      <c r="R1140" s="147" t="s">
        <v>6104</v>
      </c>
      <c r="S1140" s="134" t="s">
        <v>165</v>
      </c>
      <c r="T1140" s="134" t="s">
        <v>165</v>
      </c>
      <c r="U1140" s="1291" t="s">
        <v>6105</v>
      </c>
      <c r="V1140" s="127" t="s">
        <v>6349</v>
      </c>
      <c r="W1140" s="45" t="str">
        <f t="array" ref="W1140">HYPERLINK(INDEX('File Links'!B:B, MATCH(U1140, 'File Links'!C:C, 0)))
</f>
        <v>#N/A</v>
      </c>
      <c r="X1140" s="1289"/>
      <c r="Y1140" s="1331" t="s">
        <v>1820</v>
      </c>
      <c r="Z1140" s="350" t="s">
        <v>165</v>
      </c>
      <c r="AA1140" s="1289" t="s">
        <v>6722</v>
      </c>
      <c r="AB1140" s="1291" t="s">
        <v>6723</v>
      </c>
      <c r="AC1140" s="1289" t="s">
        <v>6724</v>
      </c>
      <c r="AD1140" s="1289" t="s">
        <v>6725</v>
      </c>
      <c r="AE1140" s="1294">
        <v>413.0</v>
      </c>
      <c r="AF1140" s="1316">
        <v>0.2017478108</v>
      </c>
      <c r="AG1140" s="1289" t="s">
        <v>166</v>
      </c>
      <c r="AH1140" s="1297" t="s">
        <v>165</v>
      </c>
      <c r="AI1140" s="1300">
        <v>0.0409984059452884</v>
      </c>
      <c r="AJ1140" s="1296" t="s">
        <v>164</v>
      </c>
      <c r="AK1140" s="1296" t="s">
        <v>179</v>
      </c>
      <c r="AL1140" s="1289" t="s">
        <v>129</v>
      </c>
      <c r="AM1140" s="1297" t="s">
        <v>165</v>
      </c>
      <c r="AN1140" s="1294">
        <v>188.0</v>
      </c>
      <c r="AO1140" s="1316">
        <v>-0.12765697549428</v>
      </c>
      <c r="AP1140" s="1289" t="s">
        <v>166</v>
      </c>
      <c r="AQ1140" s="1297" t="s">
        <v>6112</v>
      </c>
      <c r="AR1140" s="1316">
        <v>0.424197305150009</v>
      </c>
      <c r="AS1140" s="1289" t="s">
        <v>164</v>
      </c>
      <c r="AT1140" s="1289" t="s">
        <v>179</v>
      </c>
      <c r="AU1140" s="1289" t="s">
        <v>129</v>
      </c>
      <c r="AV1140" s="1298" t="s">
        <v>165</v>
      </c>
      <c r="AW1140" s="1343" t="s">
        <v>142</v>
      </c>
      <c r="AY1140" s="1297" t="s">
        <v>6113</v>
      </c>
    </row>
    <row r="1141">
      <c r="A1141" s="115" t="s">
        <v>106</v>
      </c>
      <c r="B1141" s="41" t="s">
        <v>107</v>
      </c>
      <c r="C1141" s="41" t="s">
        <v>6726</v>
      </c>
      <c r="D1141" s="340"/>
      <c r="E1141" s="112" t="s">
        <v>6715</v>
      </c>
      <c r="F1141" s="116" t="s">
        <v>6716</v>
      </c>
      <c r="G1141" s="127" t="s">
        <v>244</v>
      </c>
      <c r="H1141" s="310">
        <v>45666.0</v>
      </c>
      <c r="I1141" s="1301">
        <v>45692.0</v>
      </c>
      <c r="J1141" s="111"/>
      <c r="K1141" s="111" t="s">
        <v>6099</v>
      </c>
      <c r="L1141" s="127" t="s">
        <v>6719</v>
      </c>
      <c r="M1141" s="127" t="s">
        <v>6720</v>
      </c>
      <c r="N1141" s="111"/>
      <c r="O1141" s="127" t="str">
        <f> SUBSTITUTE(lower(M1141), "/", "--") &amp;  ".pdf"</f>
        <v>10.1287--orsc.2021.1456.pdf</v>
      </c>
      <c r="P1141" s="48" t="str">
        <f t="array" ref="P1141">HYPERLINK(INDEX('File Links'!B:B, MATCH(O1141, 'File Links'!C:C, 0)))
</f>
        <v>https://drive.google.com/file/d/1AFvmNMhSk-QV-2cVhQI1IIbAhqjPhXWN/view?usp=drivesdk</v>
      </c>
      <c r="Q1141" s="127" t="s">
        <v>6727</v>
      </c>
      <c r="R1141" s="147" t="s">
        <v>6104</v>
      </c>
      <c r="S1141" s="134" t="s">
        <v>165</v>
      </c>
      <c r="T1141" s="134" t="s">
        <v>165</v>
      </c>
      <c r="U1141" s="127" t="s">
        <v>6105</v>
      </c>
      <c r="V1141" s="127" t="s">
        <v>6349</v>
      </c>
      <c r="W1141" s="45" t="str">
        <f t="array" ref="W1141">HYPERLINK(INDEX('File Links'!B:B, MATCH(U1141, 'File Links'!C:C, 0)))
</f>
        <v>#N/A</v>
      </c>
      <c r="X1141" s="111"/>
      <c r="Y1141" s="127" t="s">
        <v>1820</v>
      </c>
      <c r="Z1141" s="111"/>
      <c r="AA1141" s="111"/>
      <c r="AB1141" s="111"/>
      <c r="AC1141" s="127" t="s">
        <v>6728</v>
      </c>
      <c r="AD1141" s="720">
        <v>730.0</v>
      </c>
      <c r="AE1141" s="720">
        <v>413.0</v>
      </c>
      <c r="AF1141" s="720">
        <v>0.2017478108351</v>
      </c>
      <c r="AG1141" s="127" t="s">
        <v>166</v>
      </c>
      <c r="AH1141" s="127" t="s">
        <v>6729</v>
      </c>
      <c r="AI1141" s="120">
        <v>0.04</v>
      </c>
      <c r="AJ1141" s="112" t="s">
        <v>164</v>
      </c>
      <c r="AK1141" s="112" t="s">
        <v>179</v>
      </c>
      <c r="AL1141" s="127" t="s">
        <v>129</v>
      </c>
      <c r="AM1141" s="1297" t="s">
        <v>165</v>
      </c>
      <c r="AN1141" s="720">
        <v>188.0</v>
      </c>
      <c r="AO1141" s="720">
        <v>-0.12765697549428</v>
      </c>
      <c r="AP1141" s="127" t="s">
        <v>166</v>
      </c>
      <c r="AQ1141" s="1297" t="s">
        <v>6112</v>
      </c>
      <c r="AR1141" s="720">
        <v>0.424197305150009</v>
      </c>
      <c r="AS1141" s="127" t="s">
        <v>164</v>
      </c>
      <c r="AT1141" s="127" t="s">
        <v>179</v>
      </c>
      <c r="AU1141" s="127" t="s">
        <v>129</v>
      </c>
      <c r="AV1141" s="1298" t="s">
        <v>165</v>
      </c>
      <c r="AW1141" s="606" t="s">
        <v>142</v>
      </c>
      <c r="AY1141" s="1297" t="s">
        <v>6113</v>
      </c>
    </row>
    <row r="1142">
      <c r="A1142" s="115" t="s">
        <v>5350</v>
      </c>
      <c r="B1142" s="41" t="s">
        <v>107</v>
      </c>
      <c r="C1142" s="41" t="s">
        <v>108</v>
      </c>
      <c r="D1142" s="340"/>
      <c r="E1142" s="1289" t="s">
        <v>6730</v>
      </c>
      <c r="F1142" s="1290" t="s">
        <v>6731</v>
      </c>
      <c r="G1142" s="1291" t="s">
        <v>6097</v>
      </c>
      <c r="H1142" s="1292">
        <v>45690.0</v>
      </c>
      <c r="I1142" s="1293">
        <v>45692.0</v>
      </c>
      <c r="J1142" s="1289" t="s">
        <v>6195</v>
      </c>
      <c r="K1142" s="1289" t="s">
        <v>6099</v>
      </c>
      <c r="L1142" s="1291" t="s">
        <v>6732</v>
      </c>
      <c r="M1142" s="1291" t="s">
        <v>6733</v>
      </c>
      <c r="N1142" s="1294">
        <v>1.0</v>
      </c>
      <c r="O1142" s="1291" t="s">
        <v>6734</v>
      </c>
      <c r="P1142" s="48" t="str">
        <f t="array" ref="P1142">HYPERLINK(INDEX('File Links'!B:B, MATCH(O1142, 'File Links'!C:C, 0)))
</f>
        <v>https://drive.google.com/file/d/1eermV6x-0NkuxwsqnprduFouBUdTshGn/view?usp=drivesdk</v>
      </c>
      <c r="Q1142" s="1291" t="s">
        <v>6103</v>
      </c>
      <c r="R1142" s="147" t="s">
        <v>6104</v>
      </c>
      <c r="S1142" s="134" t="s">
        <v>165</v>
      </c>
      <c r="T1142" s="134" t="s">
        <v>165</v>
      </c>
      <c r="U1142" s="1291" t="s">
        <v>6105</v>
      </c>
      <c r="V1142" s="127" t="s">
        <v>318</v>
      </c>
      <c r="W1142" s="45" t="str">
        <f t="array" ref="W1142">HYPERLINK(INDEX('File Links'!B:B, MATCH(U1142, 'File Links'!C:C, 0)))
</f>
        <v>#N/A</v>
      </c>
      <c r="X1142" s="1289"/>
      <c r="Y1142" s="1291" t="s">
        <v>139</v>
      </c>
      <c r="Z1142" s="1289" t="s">
        <v>768</v>
      </c>
      <c r="AA1142" s="1289" t="s">
        <v>6735</v>
      </c>
      <c r="AB1142" s="1291" t="s">
        <v>6736</v>
      </c>
      <c r="AC1142" s="1289" t="s">
        <v>6737</v>
      </c>
      <c r="AD1142" s="1316">
        <v>9.0</v>
      </c>
      <c r="AE1142" s="1294">
        <v>38.0</v>
      </c>
      <c r="AF1142" s="1289" t="s">
        <v>6738</v>
      </c>
      <c r="AG1142" s="1289" t="s">
        <v>162</v>
      </c>
      <c r="AH1142" s="1289" t="s">
        <v>625</v>
      </c>
      <c r="AI1142" s="1295" t="s">
        <v>768</v>
      </c>
      <c r="AJ1142" s="1296" t="s">
        <v>768</v>
      </c>
      <c r="AK1142" s="1296" t="s">
        <v>179</v>
      </c>
      <c r="AL1142" s="1289" t="s">
        <v>129</v>
      </c>
      <c r="AM1142" s="1297" t="s">
        <v>165</v>
      </c>
      <c r="AN1142" s="1294">
        <v>14.0</v>
      </c>
      <c r="AO1142" s="1289" t="s">
        <v>6739</v>
      </c>
      <c r="AP1142" s="1289" t="s">
        <v>162</v>
      </c>
      <c r="AQ1142" s="1297" t="s">
        <v>6112</v>
      </c>
      <c r="AR1142" s="1289" t="s">
        <v>768</v>
      </c>
      <c r="AS1142" s="1289" t="s">
        <v>768</v>
      </c>
      <c r="AT1142" s="1289" t="s">
        <v>179</v>
      </c>
      <c r="AU1142" s="1289" t="s">
        <v>129</v>
      </c>
      <c r="AV1142" s="1298" t="s">
        <v>165</v>
      </c>
      <c r="AW1142" s="1314" t="s">
        <v>134</v>
      </c>
      <c r="AY1142" s="1297" t="s">
        <v>6113</v>
      </c>
    </row>
    <row r="1143">
      <c r="A1143" s="60" t="s">
        <v>106</v>
      </c>
      <c r="B1143" s="41" t="s">
        <v>107</v>
      </c>
      <c r="C1143" s="41" t="s">
        <v>243</v>
      </c>
      <c r="D1143" s="340"/>
      <c r="E1143" s="112" t="s">
        <v>6730</v>
      </c>
      <c r="F1143" s="116" t="s">
        <v>6731</v>
      </c>
      <c r="G1143" s="127" t="s">
        <v>244</v>
      </c>
      <c r="H1143" s="310">
        <v>45666.0</v>
      </c>
      <c r="I1143" s="1301">
        <v>45692.0</v>
      </c>
      <c r="J1143" s="127" t="s">
        <v>6190</v>
      </c>
      <c r="K1143" s="111" t="s">
        <v>6099</v>
      </c>
      <c r="L1143" s="127" t="s">
        <v>6732</v>
      </c>
      <c r="M1143" s="127" t="s">
        <v>6733</v>
      </c>
      <c r="N1143" s="111"/>
      <c r="O1143" s="127" t="str">
        <f t="shared" ref="O1143:O1145" si="68"> SUBSTITUTE(lower(M1143), "/", "--") &amp;  ".pdf"</f>
        <v>10.1016--s0010-0277(03)00064-7.pdf</v>
      </c>
      <c r="P1143" s="48" t="str">
        <f t="array" ref="P1143">HYPERLINK(INDEX('File Links'!B:B, MATCH(O1143, 'File Links'!C:C, 0)))
</f>
        <v>https://drive.google.com/file/d/1eermV6x-0NkuxwsqnprduFouBUdTshGn/view?usp=drivesdk</v>
      </c>
      <c r="Q1143" s="127" t="s">
        <v>6740</v>
      </c>
      <c r="R1143" s="147" t="s">
        <v>6104</v>
      </c>
      <c r="S1143" s="134" t="s">
        <v>165</v>
      </c>
      <c r="T1143" s="134" t="s">
        <v>165</v>
      </c>
      <c r="U1143" s="127" t="s">
        <v>6105</v>
      </c>
      <c r="V1143" s="127" t="s">
        <v>318</v>
      </c>
      <c r="W1143" s="45" t="str">
        <f t="array" ref="W1143">HYPERLINK(INDEX('File Links'!B:B, MATCH(U1143, 'File Links'!C:C, 0)))
</f>
        <v>#N/A</v>
      </c>
      <c r="X1143" s="111"/>
      <c r="Y1143" s="127" t="s">
        <v>139</v>
      </c>
      <c r="Z1143" s="111"/>
      <c r="AA1143" s="111"/>
      <c r="AB1143" s="111"/>
      <c r="AC1143" s="127" t="s">
        <v>165</v>
      </c>
      <c r="AD1143" s="127" t="s">
        <v>165</v>
      </c>
      <c r="AE1143" s="720">
        <v>38.0</v>
      </c>
      <c r="AF1143" s="127" t="s">
        <v>165</v>
      </c>
      <c r="AG1143" s="111"/>
      <c r="AH1143" s="127" t="s">
        <v>165</v>
      </c>
      <c r="AI1143" s="311"/>
      <c r="AJ1143" s="119"/>
      <c r="AK1143" s="112" t="s">
        <v>179</v>
      </c>
      <c r="AL1143" s="127" t="s">
        <v>821</v>
      </c>
      <c r="AM1143" s="1297" t="s">
        <v>165</v>
      </c>
      <c r="AN1143" s="720">
        <v>14.0</v>
      </c>
      <c r="AO1143" s="127" t="s">
        <v>165</v>
      </c>
      <c r="AP1143" s="111"/>
      <c r="AQ1143" s="1297" t="s">
        <v>6112</v>
      </c>
      <c r="AR1143" s="127" t="s">
        <v>165</v>
      </c>
      <c r="AS1143" s="111"/>
      <c r="AT1143" s="127" t="s">
        <v>179</v>
      </c>
      <c r="AU1143" s="127" t="s">
        <v>821</v>
      </c>
      <c r="AV1143" s="1298" t="s">
        <v>165</v>
      </c>
      <c r="AW1143" s="606" t="s">
        <v>134</v>
      </c>
      <c r="AY1143" s="1297" t="s">
        <v>6113</v>
      </c>
    </row>
    <row r="1144">
      <c r="A1144" s="115" t="s">
        <v>5350</v>
      </c>
      <c r="B1144" s="41" t="s">
        <v>107</v>
      </c>
      <c r="C1144" s="41" t="s">
        <v>108</v>
      </c>
      <c r="D1144" s="340"/>
      <c r="E1144" s="1289" t="s">
        <v>6741</v>
      </c>
      <c r="F1144" s="1290" t="s">
        <v>6742</v>
      </c>
      <c r="G1144" s="1291" t="s">
        <v>6097</v>
      </c>
      <c r="H1144" s="1292">
        <v>45690.0</v>
      </c>
      <c r="I1144" s="1293">
        <v>45692.0</v>
      </c>
      <c r="J1144" s="1289"/>
      <c r="K1144" s="1289" t="s">
        <v>6099</v>
      </c>
      <c r="L1144" s="1291" t="s">
        <v>6743</v>
      </c>
      <c r="M1144" s="1289" t="s">
        <v>6744</v>
      </c>
      <c r="N1144" s="1294">
        <v>2.0</v>
      </c>
      <c r="O1144" s="127" t="str">
        <f t="shared" si="68"/>
        <v>10.1037--0022-3514.77.4.785.pdf</v>
      </c>
      <c r="P1144" s="48" t="str">
        <f t="array" ref="P1144">HYPERLINK(INDEX('File Links'!B:B, MATCH(O1144, 'File Links'!C:C, 0)))
</f>
        <v>https://drive.google.com/file/d/19BYjzsMkYCiipD-HEqq4sHumZDCTO5SQ/view?usp=drivesdk</v>
      </c>
      <c r="Q1144" s="1291" t="s">
        <v>6103</v>
      </c>
      <c r="R1144" s="147" t="s">
        <v>6104</v>
      </c>
      <c r="S1144" s="134" t="s">
        <v>165</v>
      </c>
      <c r="T1144" s="134" t="s">
        <v>165</v>
      </c>
      <c r="U1144" s="1291" t="s">
        <v>6105</v>
      </c>
      <c r="V1144" s="127" t="s">
        <v>318</v>
      </c>
      <c r="W1144" s="45" t="str">
        <f t="array" ref="W1144">HYPERLINK(INDEX('File Links'!B:B, MATCH(U1144, 'File Links'!C:C, 0)))
</f>
        <v>#N/A</v>
      </c>
      <c r="X1144" s="1289"/>
      <c r="Y1144" s="1291" t="s">
        <v>220</v>
      </c>
      <c r="Z1144" s="1289" t="s">
        <v>768</v>
      </c>
      <c r="AA1144" s="1291" t="s">
        <v>6745</v>
      </c>
      <c r="AB1144" s="1291" t="s">
        <v>6746</v>
      </c>
      <c r="AC1144" s="1289" t="s">
        <v>6747</v>
      </c>
      <c r="AD1144" s="1316">
        <v>5.0</v>
      </c>
      <c r="AE1144" s="1294">
        <v>76.0</v>
      </c>
      <c r="AF1144" s="1316">
        <v>0.4365620244</v>
      </c>
      <c r="AG1144" s="1289" t="s">
        <v>166</v>
      </c>
      <c r="AH1144" s="1289" t="s">
        <v>768</v>
      </c>
      <c r="AI1144" s="1321">
        <v>0.01</v>
      </c>
      <c r="AJ1144" s="1296" t="s">
        <v>127</v>
      </c>
      <c r="AK1144" s="1296" t="s">
        <v>179</v>
      </c>
      <c r="AL1144" s="1289" t="s">
        <v>129</v>
      </c>
      <c r="AM1144" s="1297" t="s">
        <v>165</v>
      </c>
      <c r="AN1144" s="1294">
        <v>31.0</v>
      </c>
      <c r="AO1144" s="1316">
        <v>0.0281000730772987</v>
      </c>
      <c r="AP1144" s="1289" t="s">
        <v>166</v>
      </c>
      <c r="AQ1144" s="1297" t="s">
        <v>6112</v>
      </c>
      <c r="AR1144" s="1316">
        <v>0.878746428689911</v>
      </c>
      <c r="AS1144" s="1289" t="s">
        <v>164</v>
      </c>
      <c r="AT1144" s="1289" t="s">
        <v>179</v>
      </c>
      <c r="AU1144" s="1289" t="s">
        <v>129</v>
      </c>
      <c r="AV1144" s="1298" t="s">
        <v>165</v>
      </c>
      <c r="AW1144" s="1314" t="s">
        <v>134</v>
      </c>
      <c r="AY1144" s="1297" t="s">
        <v>6113</v>
      </c>
    </row>
    <row r="1145">
      <c r="A1145" s="115" t="s">
        <v>5350</v>
      </c>
      <c r="B1145" s="41" t="s">
        <v>107</v>
      </c>
      <c r="C1145" s="41" t="s">
        <v>243</v>
      </c>
      <c r="D1145" s="340"/>
      <c r="E1145" s="112" t="s">
        <v>6741</v>
      </c>
      <c r="F1145" s="116" t="s">
        <v>6742</v>
      </c>
      <c r="G1145" s="127" t="s">
        <v>244</v>
      </c>
      <c r="H1145" s="310">
        <v>45666.0</v>
      </c>
      <c r="I1145" s="1301">
        <v>45692.0</v>
      </c>
      <c r="J1145" s="127" t="s">
        <v>6748</v>
      </c>
      <c r="K1145" s="111" t="s">
        <v>6749</v>
      </c>
      <c r="L1145" s="127" t="s">
        <v>6743</v>
      </c>
      <c r="M1145" s="127" t="s">
        <v>6744</v>
      </c>
      <c r="N1145" s="111"/>
      <c r="O1145" s="127" t="str">
        <f t="shared" si="68"/>
        <v>10.1037--0022-3514.77.4.785.pdf</v>
      </c>
      <c r="P1145" s="48" t="str">
        <f t="array" ref="P1145">HYPERLINK(INDEX('File Links'!B:B, MATCH(O1145, 'File Links'!C:C, 0)))
</f>
        <v>https://drive.google.com/file/d/19BYjzsMkYCiipD-HEqq4sHumZDCTO5SQ/view?usp=drivesdk</v>
      </c>
      <c r="Q1145" s="127" t="s">
        <v>6750</v>
      </c>
      <c r="R1145" s="147" t="s">
        <v>6104</v>
      </c>
      <c r="S1145" s="134" t="s">
        <v>165</v>
      </c>
      <c r="T1145" s="134" t="s">
        <v>165</v>
      </c>
      <c r="U1145" s="127" t="s">
        <v>6105</v>
      </c>
      <c r="V1145" s="127" t="s">
        <v>318</v>
      </c>
      <c r="W1145" s="45" t="str">
        <f t="array" ref="W1145">HYPERLINK(INDEX('File Links'!B:B, MATCH(U1145, 'File Links'!C:C, 0)))
</f>
        <v>#N/A</v>
      </c>
      <c r="X1145" s="111"/>
      <c r="Y1145" s="127" t="s">
        <v>220</v>
      </c>
      <c r="Z1145" s="111"/>
      <c r="AA1145" s="111"/>
      <c r="AB1145" s="111"/>
      <c r="AC1145" s="127" t="s">
        <v>6751</v>
      </c>
      <c r="AD1145" s="720">
        <v>789.0</v>
      </c>
      <c r="AE1145" s="720">
        <v>76.0</v>
      </c>
      <c r="AF1145" s="720">
        <v>0.436562024402928</v>
      </c>
      <c r="AG1145" s="127" t="s">
        <v>166</v>
      </c>
      <c r="AH1145" s="127" t="s">
        <v>6752</v>
      </c>
      <c r="AI1145" s="120">
        <v>0.01</v>
      </c>
      <c r="AJ1145" s="112" t="s">
        <v>127</v>
      </c>
      <c r="AK1145" s="112" t="s">
        <v>179</v>
      </c>
      <c r="AL1145" s="127" t="s">
        <v>132</v>
      </c>
      <c r="AM1145" s="1297" t="s">
        <v>165</v>
      </c>
      <c r="AN1145" s="720">
        <v>31.0</v>
      </c>
      <c r="AO1145" s="720">
        <v>0.0281000730772987</v>
      </c>
      <c r="AP1145" s="127" t="s">
        <v>166</v>
      </c>
      <c r="AQ1145" s="1297" t="s">
        <v>6112</v>
      </c>
      <c r="AR1145" s="720">
        <v>0.878746428689911</v>
      </c>
      <c r="AS1145" s="127" t="s">
        <v>164</v>
      </c>
      <c r="AT1145" s="127" t="s">
        <v>179</v>
      </c>
      <c r="AU1145" s="127" t="s">
        <v>132</v>
      </c>
      <c r="AV1145" s="1298" t="s">
        <v>165</v>
      </c>
      <c r="AW1145" s="606" t="s">
        <v>134</v>
      </c>
      <c r="AY1145" s="1297" t="s">
        <v>6113</v>
      </c>
    </row>
    <row r="1146">
      <c r="A1146" s="115" t="s">
        <v>5350</v>
      </c>
      <c r="B1146" s="41" t="s">
        <v>107</v>
      </c>
      <c r="C1146" s="41" t="s">
        <v>108</v>
      </c>
      <c r="D1146" s="340"/>
      <c r="E1146" s="1289" t="s">
        <v>6753</v>
      </c>
      <c r="F1146" s="1290" t="s">
        <v>6754</v>
      </c>
      <c r="G1146" s="1291" t="s">
        <v>6097</v>
      </c>
      <c r="H1146" s="1292">
        <v>45690.0</v>
      </c>
      <c r="I1146" s="1293">
        <v>45692.0</v>
      </c>
      <c r="J1146" s="1289"/>
      <c r="K1146" s="1289" t="s">
        <v>6755</v>
      </c>
      <c r="L1146" s="1291" t="s">
        <v>6756</v>
      </c>
      <c r="M1146" s="1291" t="s">
        <v>6757</v>
      </c>
      <c r="N1146" s="1294">
        <v>1.0</v>
      </c>
      <c r="O1146" s="1291" t="s">
        <v>6758</v>
      </c>
      <c r="P1146" s="48" t="str">
        <f t="array" ref="P1146">HYPERLINK(INDEX('File Links'!B:B, MATCH(O1146, 'File Links'!C:C, 0)))
</f>
        <v>https://drive.google.com/file/d/1c-T-gBsf13rctIADi3rUqpv_LDEac7l1/view?usp=drivesdk</v>
      </c>
      <c r="Q1146" s="1291" t="s">
        <v>6103</v>
      </c>
      <c r="R1146" s="147" t="s">
        <v>6104</v>
      </c>
      <c r="S1146" s="134" t="s">
        <v>165</v>
      </c>
      <c r="T1146" s="134" t="s">
        <v>165</v>
      </c>
      <c r="U1146" s="1291" t="s">
        <v>6105</v>
      </c>
      <c r="V1146" s="127" t="s">
        <v>318</v>
      </c>
      <c r="W1146" s="45" t="str">
        <f t="array" ref="W1146">HYPERLINK(INDEX('File Links'!B:B, MATCH(U1146, 'File Links'!C:C, 0)))
</f>
        <v>#N/A</v>
      </c>
      <c r="X1146" s="1289"/>
      <c r="Y1146" s="1291" t="s">
        <v>139</v>
      </c>
      <c r="Z1146" s="1289" t="s">
        <v>4113</v>
      </c>
      <c r="AA1146" s="1289" t="s">
        <v>6759</v>
      </c>
      <c r="AB1146" s="1291" t="s">
        <v>6760</v>
      </c>
      <c r="AC1146" s="1289" t="s">
        <v>6761</v>
      </c>
      <c r="AD1146" s="1289" t="s">
        <v>6260</v>
      </c>
      <c r="AE1146" s="1294">
        <v>35.0</v>
      </c>
      <c r="AF1146" s="1316">
        <v>0.69</v>
      </c>
      <c r="AG1146" s="1289" t="s">
        <v>130</v>
      </c>
      <c r="AH1146" s="1289" t="s">
        <v>894</v>
      </c>
      <c r="AI1146" s="1300">
        <v>0.001</v>
      </c>
      <c r="AJ1146" s="1296" t="s">
        <v>127</v>
      </c>
      <c r="AK1146" s="1296" t="s">
        <v>179</v>
      </c>
      <c r="AL1146" s="1289" t="s">
        <v>129</v>
      </c>
      <c r="AM1146" s="1297" t="s">
        <v>165</v>
      </c>
      <c r="AN1146" s="1294">
        <v>32.0</v>
      </c>
      <c r="AO1146" s="1316">
        <v>0.827178432058932</v>
      </c>
      <c r="AP1146" s="1289" t="s">
        <v>166</v>
      </c>
      <c r="AQ1146" s="1297" t="s">
        <v>6112</v>
      </c>
      <c r="AR1146" s="1321">
        <v>6.63139204670043E-5</v>
      </c>
      <c r="AS1146" s="1289" t="s">
        <v>164</v>
      </c>
      <c r="AT1146" s="1289" t="s">
        <v>179</v>
      </c>
      <c r="AU1146" s="1289" t="s">
        <v>129</v>
      </c>
      <c r="AV1146" s="1298" t="s">
        <v>165</v>
      </c>
      <c r="AW1146" s="1314" t="s">
        <v>134</v>
      </c>
      <c r="AY1146" s="1297" t="s">
        <v>6113</v>
      </c>
    </row>
    <row r="1147">
      <c r="A1147" s="115" t="s">
        <v>5350</v>
      </c>
      <c r="B1147" s="41" t="s">
        <v>107</v>
      </c>
      <c r="C1147" s="41" t="s">
        <v>243</v>
      </c>
      <c r="D1147" s="340"/>
      <c r="E1147" s="112" t="s">
        <v>6753</v>
      </c>
      <c r="F1147" s="116" t="s">
        <v>6754</v>
      </c>
      <c r="G1147" s="127" t="s">
        <v>244</v>
      </c>
      <c r="H1147" s="310">
        <v>45666.0</v>
      </c>
      <c r="I1147" s="1301">
        <v>45692.0</v>
      </c>
      <c r="J1147" s="111"/>
      <c r="K1147" s="111" t="s">
        <v>6755</v>
      </c>
      <c r="L1147" s="127" t="s">
        <v>6756</v>
      </c>
      <c r="M1147" s="127" t="s">
        <v>6757</v>
      </c>
      <c r="N1147" s="111"/>
      <c r="O1147" s="127" t="str">
        <f> SUBSTITUTE(lower(M1147), "/", "--") &amp;  ".pdf"</f>
        <v>10.1177--0956797614536739.pdf</v>
      </c>
      <c r="P1147" s="48" t="str">
        <f t="array" ref="P1147">HYPERLINK(INDEX('File Links'!B:B, MATCH(O1147, 'File Links'!C:C, 0)))
</f>
        <v>https://drive.google.com/file/d/1c-T-gBsf13rctIADi3rUqpv_LDEac7l1/view?usp=drivesdk</v>
      </c>
      <c r="Q1147" s="127" t="s">
        <v>6762</v>
      </c>
      <c r="R1147" s="147" t="s">
        <v>6104</v>
      </c>
      <c r="S1147" s="134" t="s">
        <v>165</v>
      </c>
      <c r="T1147" s="134" t="s">
        <v>165</v>
      </c>
      <c r="U1147" s="127" t="s">
        <v>6105</v>
      </c>
      <c r="V1147" s="127" t="s">
        <v>318</v>
      </c>
      <c r="W1147" s="45" t="str">
        <f t="array" ref="W1147">HYPERLINK(INDEX('File Links'!B:B, MATCH(U1147, 'File Links'!C:C, 0)))
</f>
        <v>#N/A</v>
      </c>
      <c r="X1147" s="111"/>
      <c r="Y1147" s="127" t="s">
        <v>139</v>
      </c>
      <c r="Z1147" s="111"/>
      <c r="AA1147" s="127" t="s">
        <v>6763</v>
      </c>
      <c r="AB1147" s="111"/>
      <c r="AC1147" s="127" t="s">
        <v>6764</v>
      </c>
      <c r="AD1147" s="720">
        <v>1622.0</v>
      </c>
      <c r="AE1147" s="720">
        <v>35.0</v>
      </c>
      <c r="AF1147" s="720">
        <v>0.69</v>
      </c>
      <c r="AG1147" s="127" t="s">
        <v>130</v>
      </c>
      <c r="AH1147" s="127" t="s">
        <v>6765</v>
      </c>
      <c r="AI1147" s="120">
        <v>0.001</v>
      </c>
      <c r="AJ1147" s="112" t="s">
        <v>127</v>
      </c>
      <c r="AK1147" s="112" t="s">
        <v>128</v>
      </c>
      <c r="AL1147" s="127" t="s">
        <v>132</v>
      </c>
      <c r="AM1147" s="1297" t="s">
        <v>165</v>
      </c>
      <c r="AN1147" s="720">
        <v>32.0</v>
      </c>
      <c r="AO1147" s="720">
        <v>0.827178432058932</v>
      </c>
      <c r="AP1147" s="127" t="s">
        <v>166</v>
      </c>
      <c r="AQ1147" s="1297" t="s">
        <v>6112</v>
      </c>
      <c r="AR1147" s="1318">
        <v>6.63139204670043E-5</v>
      </c>
      <c r="AS1147" s="127" t="s">
        <v>164</v>
      </c>
      <c r="AT1147" s="127" t="s">
        <v>128</v>
      </c>
      <c r="AU1147" s="127" t="s">
        <v>132</v>
      </c>
      <c r="AV1147" s="1298" t="s">
        <v>165</v>
      </c>
      <c r="AW1147" s="606" t="s">
        <v>134</v>
      </c>
      <c r="AY1147" s="1297" t="s">
        <v>6113</v>
      </c>
    </row>
    <row r="1148">
      <c r="A1148" s="115" t="s">
        <v>5350</v>
      </c>
      <c r="B1148" s="41" t="s">
        <v>107</v>
      </c>
      <c r="C1148" s="41" t="s">
        <v>108</v>
      </c>
      <c r="D1148" s="340"/>
      <c r="E1148" s="1289" t="s">
        <v>6766</v>
      </c>
      <c r="F1148" s="1290" t="s">
        <v>6767</v>
      </c>
      <c r="G1148" s="1291" t="s">
        <v>6097</v>
      </c>
      <c r="H1148" s="1292">
        <v>45690.0</v>
      </c>
      <c r="I1148" s="1293">
        <v>45692.0</v>
      </c>
      <c r="J1148" s="1289"/>
      <c r="K1148" s="1289" t="s">
        <v>6099</v>
      </c>
      <c r="L1148" s="1291" t="s">
        <v>6768</v>
      </c>
      <c r="M1148" s="1291" t="s">
        <v>6769</v>
      </c>
      <c r="N1148" s="1294">
        <v>2.0</v>
      </c>
      <c r="O1148" s="1291" t="s">
        <v>6770</v>
      </c>
      <c r="P1148" s="48" t="str">
        <f t="array" ref="P1148">HYPERLINK(INDEX('File Links'!B:B, MATCH(O1148, 'File Links'!C:C, 0)))
</f>
        <v>https://drive.google.com/file/d/1ZRJcq-rd4pEQb0DmJ1HQenA2-OH5dbEb/view?usp=drivesdk</v>
      </c>
      <c r="Q1148" s="1291" t="s">
        <v>6103</v>
      </c>
      <c r="R1148" s="147" t="s">
        <v>6104</v>
      </c>
      <c r="S1148" s="134" t="s">
        <v>165</v>
      </c>
      <c r="T1148" s="134" t="s">
        <v>165</v>
      </c>
      <c r="U1148" s="1291" t="s">
        <v>6105</v>
      </c>
      <c r="V1148" s="127" t="s">
        <v>318</v>
      </c>
      <c r="W1148" s="45" t="str">
        <f t="array" ref="W1148">HYPERLINK(INDEX('File Links'!B:B, MATCH(U1148, 'File Links'!C:C, 0)))
</f>
        <v>#N/A</v>
      </c>
      <c r="X1148" s="1289"/>
      <c r="Y1148" s="1291" t="s">
        <v>220</v>
      </c>
      <c r="Z1148" s="1289" t="s">
        <v>768</v>
      </c>
      <c r="AA1148" s="1289" t="s">
        <v>6771</v>
      </c>
      <c r="AB1148" s="1291" t="s">
        <v>6772</v>
      </c>
      <c r="AC1148" s="1289" t="s">
        <v>6773</v>
      </c>
      <c r="AD1148" s="1316">
        <v>8.0</v>
      </c>
      <c r="AE1148" s="1294">
        <v>40.0</v>
      </c>
      <c r="AF1148" s="1316">
        <v>1.233398852</v>
      </c>
      <c r="AG1148" s="1289" t="s">
        <v>166</v>
      </c>
      <c r="AH1148" s="1289" t="s">
        <v>768</v>
      </c>
      <c r="AI1148" s="1321">
        <v>0.001</v>
      </c>
      <c r="AJ1148" s="1296" t="s">
        <v>127</v>
      </c>
      <c r="AK1148" s="1296" t="s">
        <v>179</v>
      </c>
      <c r="AL1148" s="1315" t="s">
        <v>821</v>
      </c>
      <c r="AM1148" s="1297" t="s">
        <v>165</v>
      </c>
      <c r="AN1148" s="1294">
        <v>39.0</v>
      </c>
      <c r="AO1148" s="1316">
        <v>1.24362373730964</v>
      </c>
      <c r="AP1148" s="1289" t="s">
        <v>166</v>
      </c>
      <c r="AQ1148" s="1297" t="s">
        <v>6112</v>
      </c>
      <c r="AR1148" s="1321">
        <v>1.91723363847369E-5</v>
      </c>
      <c r="AS1148" s="1289" t="s">
        <v>164</v>
      </c>
      <c r="AT1148" s="1289" t="s">
        <v>179</v>
      </c>
      <c r="AU1148" s="1289" t="s">
        <v>129</v>
      </c>
      <c r="AV1148" s="1298" t="s">
        <v>165</v>
      </c>
      <c r="AW1148" s="1314" t="s">
        <v>134</v>
      </c>
      <c r="AY1148" s="1297" t="s">
        <v>6113</v>
      </c>
    </row>
    <row r="1149">
      <c r="A1149" s="115" t="s">
        <v>5350</v>
      </c>
      <c r="B1149" s="41" t="s">
        <v>107</v>
      </c>
      <c r="C1149" s="41" t="s">
        <v>243</v>
      </c>
      <c r="D1149" s="340"/>
      <c r="E1149" s="112" t="s">
        <v>6766</v>
      </c>
      <c r="F1149" s="116" t="s">
        <v>6767</v>
      </c>
      <c r="G1149" s="127" t="s">
        <v>244</v>
      </c>
      <c r="H1149" s="310">
        <v>45666.0</v>
      </c>
      <c r="I1149" s="1301">
        <v>45692.0</v>
      </c>
      <c r="J1149" s="111"/>
      <c r="K1149" s="111" t="s">
        <v>6099</v>
      </c>
      <c r="L1149" s="127" t="s">
        <v>6768</v>
      </c>
      <c r="M1149" s="127" t="s">
        <v>6769</v>
      </c>
      <c r="N1149" s="111"/>
      <c r="O1149" s="127" t="str">
        <f t="shared" ref="O1149:O1155" si="69"> SUBSTITUTE(lower(M1149), "/", "--") &amp;  ".pdf"</f>
        <v>10.1177--0956797614553009.pdf</v>
      </c>
      <c r="P1149" s="48" t="str">
        <f t="array" ref="P1149">HYPERLINK(INDEX('File Links'!B:B, MATCH(O1149, 'File Links'!C:C, 0)))
</f>
        <v>https://drive.google.com/file/d/1ZRJcq-rd4pEQb0DmJ1HQenA2-OH5dbEb/view?usp=drivesdk</v>
      </c>
      <c r="Q1149" s="127" t="s">
        <v>6774</v>
      </c>
      <c r="R1149" s="147" t="s">
        <v>6104</v>
      </c>
      <c r="S1149" s="134" t="s">
        <v>165</v>
      </c>
      <c r="T1149" s="134" t="s">
        <v>165</v>
      </c>
      <c r="U1149" s="127" t="s">
        <v>6105</v>
      </c>
      <c r="V1149" s="127" t="s">
        <v>318</v>
      </c>
      <c r="W1149" s="45" t="str">
        <f t="array" ref="W1149">HYPERLINK(INDEX('File Links'!B:B, MATCH(U1149, 'File Links'!C:C, 0)))
</f>
        <v>#N/A</v>
      </c>
      <c r="X1149" s="111"/>
      <c r="Y1149" s="127" t="s">
        <v>220</v>
      </c>
      <c r="Z1149" s="111"/>
      <c r="AA1149" s="111"/>
      <c r="AB1149" s="111"/>
      <c r="AC1149" s="127" t="s">
        <v>6775</v>
      </c>
      <c r="AD1149" s="720">
        <v>7.0</v>
      </c>
      <c r="AE1149" s="720">
        <v>40.0</v>
      </c>
      <c r="AF1149" s="709">
        <v>83.67</v>
      </c>
      <c r="AG1149" s="127" t="s">
        <v>1051</v>
      </c>
      <c r="AH1149" s="127" t="s">
        <v>4365</v>
      </c>
      <c r="AI1149" s="120">
        <v>0.001</v>
      </c>
      <c r="AJ1149" s="112" t="s">
        <v>127</v>
      </c>
      <c r="AK1149" s="112" t="s">
        <v>128</v>
      </c>
      <c r="AL1149" s="127" t="s">
        <v>132</v>
      </c>
      <c r="AM1149" s="1297" t="s">
        <v>165</v>
      </c>
      <c r="AN1149" s="720">
        <v>39.0</v>
      </c>
      <c r="AO1149" s="720">
        <v>30.932</v>
      </c>
      <c r="AP1149" s="127" t="s">
        <v>1051</v>
      </c>
      <c r="AQ1149" s="1297" t="s">
        <v>6112</v>
      </c>
      <c r="AR1149" s="1318">
        <v>1.91723363847369E-5</v>
      </c>
      <c r="AS1149" s="127" t="s">
        <v>164</v>
      </c>
      <c r="AT1149" s="127" t="s">
        <v>128</v>
      </c>
      <c r="AU1149" s="127" t="s">
        <v>132</v>
      </c>
      <c r="AV1149" s="1298" t="s">
        <v>165</v>
      </c>
      <c r="AW1149" s="606" t="s">
        <v>134</v>
      </c>
      <c r="AY1149" s="1297" t="s">
        <v>6113</v>
      </c>
    </row>
    <row r="1150">
      <c r="A1150" s="60" t="s">
        <v>586</v>
      </c>
      <c r="B1150" s="41" t="s">
        <v>107</v>
      </c>
      <c r="C1150" s="41" t="s">
        <v>108</v>
      </c>
      <c r="D1150" s="340"/>
      <c r="E1150" s="1289" t="s">
        <v>6776</v>
      </c>
      <c r="F1150" s="1290" t="s">
        <v>6777</v>
      </c>
      <c r="G1150" s="1291" t="s">
        <v>6097</v>
      </c>
      <c r="H1150" s="1292">
        <v>45690.0</v>
      </c>
      <c r="I1150" s="1293">
        <v>45692.0</v>
      </c>
      <c r="J1150" s="1289"/>
      <c r="K1150" s="1289" t="s">
        <v>6778</v>
      </c>
      <c r="L1150" s="1291" t="s">
        <v>6779</v>
      </c>
      <c r="M1150" s="1289" t="s">
        <v>6780</v>
      </c>
      <c r="N1150" s="1294">
        <v>1.0</v>
      </c>
      <c r="O1150" s="127" t="str">
        <f t="shared" si="69"/>
        <v>10.1037--a0020413.pdf</v>
      </c>
      <c r="P1150" s="48" t="str">
        <f t="array" ref="P1150">HYPERLINK(INDEX('File Links'!B:B, MATCH(O1150, 'File Links'!C:C, 0)))
</f>
        <v>https://drive.google.com/file/d/1s3htODPJ-fx2SsrGMPuuPnrS-QkOjVmW/view?usp=drivesdk</v>
      </c>
      <c r="Q1150" s="1291" t="s">
        <v>6103</v>
      </c>
      <c r="R1150" s="147" t="s">
        <v>6104</v>
      </c>
      <c r="S1150" s="134" t="s">
        <v>165</v>
      </c>
      <c r="T1150" s="134" t="s">
        <v>165</v>
      </c>
      <c r="U1150" s="1291" t="s">
        <v>6105</v>
      </c>
      <c r="V1150" s="127" t="s">
        <v>6117</v>
      </c>
      <c r="W1150" s="45" t="str">
        <f t="array" ref="W1150">HYPERLINK(INDEX('File Links'!B:B, MATCH(U1150, 'File Links'!C:C, 0)))
</f>
        <v>#N/A</v>
      </c>
      <c r="X1150" s="1289"/>
      <c r="Y1150" s="1291" t="s">
        <v>139</v>
      </c>
      <c r="Z1150" s="1289" t="s">
        <v>768</v>
      </c>
      <c r="AA1150" s="1289" t="s">
        <v>6781</v>
      </c>
      <c r="AB1150" s="1291" t="s">
        <v>6782</v>
      </c>
      <c r="AC1150" s="1289" t="s">
        <v>6783</v>
      </c>
      <c r="AD1150" s="1316">
        <v>4.0</v>
      </c>
      <c r="AE1150" s="1294">
        <v>22.0</v>
      </c>
      <c r="AF1150" s="1316">
        <v>0.35</v>
      </c>
      <c r="AG1150" s="1289" t="s">
        <v>130</v>
      </c>
      <c r="AH1150" s="1289" t="s">
        <v>861</v>
      </c>
      <c r="AI1150" s="1300">
        <v>0.001</v>
      </c>
      <c r="AJ1150" s="1296" t="s">
        <v>127</v>
      </c>
      <c r="AK1150" s="1296" t="s">
        <v>179</v>
      </c>
      <c r="AL1150" s="1289" t="s">
        <v>129</v>
      </c>
      <c r="AM1150" s="1297" t="s">
        <v>165</v>
      </c>
      <c r="AN1150" s="1294">
        <v>22.0</v>
      </c>
      <c r="AO1150" s="1316">
        <v>0.298469090943318</v>
      </c>
      <c r="AP1150" s="1289" t="s">
        <v>166</v>
      </c>
      <c r="AQ1150" s="1297" t="s">
        <v>6112</v>
      </c>
      <c r="AR1150" s="1316">
        <v>0.00539563199687963</v>
      </c>
      <c r="AS1150" s="1289" t="s">
        <v>164</v>
      </c>
      <c r="AT1150" s="1289" t="s">
        <v>179</v>
      </c>
      <c r="AU1150" s="1289" t="s">
        <v>129</v>
      </c>
      <c r="AV1150" s="1298" t="s">
        <v>165</v>
      </c>
      <c r="AW1150" s="1314" t="s">
        <v>134</v>
      </c>
      <c r="AY1150" s="1297" t="s">
        <v>6113</v>
      </c>
    </row>
    <row r="1151">
      <c r="A1151" s="60" t="s">
        <v>586</v>
      </c>
      <c r="B1151" s="41" t="s">
        <v>107</v>
      </c>
      <c r="C1151" s="41" t="s">
        <v>108</v>
      </c>
      <c r="D1151" s="340"/>
      <c r="E1151" s="1289" t="s">
        <v>6776</v>
      </c>
      <c r="F1151" s="1290" t="s">
        <v>6784</v>
      </c>
      <c r="G1151" s="1291" t="s">
        <v>6097</v>
      </c>
      <c r="H1151" s="1292">
        <v>45690.0</v>
      </c>
      <c r="I1151" s="1293">
        <v>45692.0</v>
      </c>
      <c r="J1151" s="1289"/>
      <c r="K1151" s="1289" t="s">
        <v>6778</v>
      </c>
      <c r="L1151" s="1291" t="s">
        <v>6779</v>
      </c>
      <c r="M1151" s="1289" t="s">
        <v>6780</v>
      </c>
      <c r="N1151" s="1294">
        <v>1.0</v>
      </c>
      <c r="O1151" s="127" t="str">
        <f t="shared" si="69"/>
        <v>10.1037--a0020413.pdf</v>
      </c>
      <c r="P1151" s="48" t="str">
        <f t="array" ref="P1151">HYPERLINK(INDEX('File Links'!B:B, MATCH(O1151, 'File Links'!C:C, 0)))
</f>
        <v>https://drive.google.com/file/d/1s3htODPJ-fx2SsrGMPuuPnrS-QkOjVmW/view?usp=drivesdk</v>
      </c>
      <c r="Q1151" s="1291" t="s">
        <v>6103</v>
      </c>
      <c r="R1151" s="147" t="s">
        <v>6104</v>
      </c>
      <c r="S1151" s="134" t="s">
        <v>165</v>
      </c>
      <c r="T1151" s="134" t="s">
        <v>165</v>
      </c>
      <c r="U1151" s="1291" t="s">
        <v>6105</v>
      </c>
      <c r="V1151" s="127" t="s">
        <v>6117</v>
      </c>
      <c r="W1151" s="45" t="str">
        <f t="array" ref="W1151">HYPERLINK(INDEX('File Links'!B:B, MATCH(U1151, 'File Links'!C:C, 0)))
</f>
        <v>#N/A</v>
      </c>
      <c r="X1151" s="1289"/>
      <c r="Y1151" s="1291" t="s">
        <v>139</v>
      </c>
      <c r="Z1151" s="1289" t="s">
        <v>768</v>
      </c>
      <c r="AA1151" s="1289" t="s">
        <v>6781</v>
      </c>
      <c r="AB1151" s="1291" t="s">
        <v>6785</v>
      </c>
      <c r="AC1151" s="1289" t="s">
        <v>6786</v>
      </c>
      <c r="AD1151" s="1316">
        <v>4.0</v>
      </c>
      <c r="AE1151" s="1294">
        <v>22.0</v>
      </c>
      <c r="AF1151" s="1316">
        <v>0.78</v>
      </c>
      <c r="AG1151" s="1289" t="s">
        <v>130</v>
      </c>
      <c r="AH1151" s="1289" t="s">
        <v>861</v>
      </c>
      <c r="AI1151" s="1300">
        <v>0.001</v>
      </c>
      <c r="AJ1151" s="1296" t="s">
        <v>127</v>
      </c>
      <c r="AK1151" s="1296" t="s">
        <v>179</v>
      </c>
      <c r="AL1151" s="1289" t="s">
        <v>129</v>
      </c>
      <c r="AM1151" s="1297" t="s">
        <v>165</v>
      </c>
      <c r="AN1151" s="1294">
        <v>22.0</v>
      </c>
      <c r="AO1151" s="1316">
        <v>0.298469090943318</v>
      </c>
      <c r="AP1151" s="1289" t="s">
        <v>166</v>
      </c>
      <c r="AQ1151" s="1297" t="s">
        <v>6112</v>
      </c>
      <c r="AR1151" s="1316">
        <v>0.00539563199687963</v>
      </c>
      <c r="AS1151" s="1289" t="s">
        <v>164</v>
      </c>
      <c r="AT1151" s="1289" t="s">
        <v>179</v>
      </c>
      <c r="AU1151" s="1289" t="s">
        <v>129</v>
      </c>
      <c r="AV1151" s="1298" t="s">
        <v>165</v>
      </c>
      <c r="AW1151" s="1314" t="s">
        <v>134</v>
      </c>
      <c r="AY1151" s="1297" t="s">
        <v>6113</v>
      </c>
    </row>
    <row r="1152">
      <c r="A1152" s="60" t="s">
        <v>586</v>
      </c>
      <c r="B1152" s="41" t="s">
        <v>107</v>
      </c>
      <c r="C1152" s="41" t="s">
        <v>108</v>
      </c>
      <c r="D1152" s="340"/>
      <c r="E1152" s="1289" t="s">
        <v>6776</v>
      </c>
      <c r="F1152" s="1290" t="s">
        <v>6787</v>
      </c>
      <c r="G1152" s="1291" t="s">
        <v>6097</v>
      </c>
      <c r="H1152" s="1292">
        <v>45690.0</v>
      </c>
      <c r="I1152" s="1293">
        <v>45692.0</v>
      </c>
      <c r="J1152" s="1289"/>
      <c r="K1152" s="1289" t="s">
        <v>6778</v>
      </c>
      <c r="L1152" s="1291" t="s">
        <v>6779</v>
      </c>
      <c r="M1152" s="1289" t="s">
        <v>6780</v>
      </c>
      <c r="N1152" s="1294">
        <v>1.0</v>
      </c>
      <c r="O1152" s="127" t="str">
        <f t="shared" si="69"/>
        <v>10.1037--a0020413.pdf</v>
      </c>
      <c r="P1152" s="48" t="str">
        <f t="array" ref="P1152">HYPERLINK(INDEX('File Links'!B:B, MATCH(O1152, 'File Links'!C:C, 0)))
</f>
        <v>https://drive.google.com/file/d/1s3htODPJ-fx2SsrGMPuuPnrS-QkOjVmW/view?usp=drivesdk</v>
      </c>
      <c r="Q1152" s="1291" t="s">
        <v>6103</v>
      </c>
      <c r="R1152" s="147" t="s">
        <v>6104</v>
      </c>
      <c r="S1152" s="134" t="s">
        <v>165</v>
      </c>
      <c r="T1152" s="134" t="s">
        <v>165</v>
      </c>
      <c r="U1152" s="1291" t="s">
        <v>6105</v>
      </c>
      <c r="V1152" s="127" t="s">
        <v>6117</v>
      </c>
      <c r="W1152" s="45" t="str">
        <f t="array" ref="W1152">HYPERLINK(INDEX('File Links'!B:B, MATCH(U1152, 'File Links'!C:C, 0)))
</f>
        <v>#N/A</v>
      </c>
      <c r="X1152" s="1289"/>
      <c r="Y1152" s="1291" t="s">
        <v>139</v>
      </c>
      <c r="Z1152" s="1289" t="s">
        <v>768</v>
      </c>
      <c r="AA1152" s="1289" t="s">
        <v>6781</v>
      </c>
      <c r="AB1152" s="1291" t="s">
        <v>6788</v>
      </c>
      <c r="AC1152" s="1289" t="s">
        <v>6789</v>
      </c>
      <c r="AD1152" s="1316">
        <v>4.0</v>
      </c>
      <c r="AE1152" s="1294">
        <v>22.0</v>
      </c>
      <c r="AF1152" s="1316">
        <v>0.13</v>
      </c>
      <c r="AG1152" s="1289" t="s">
        <v>130</v>
      </c>
      <c r="AH1152" s="1289" t="s">
        <v>861</v>
      </c>
      <c r="AI1152" s="1300">
        <v>0.001</v>
      </c>
      <c r="AJ1152" s="1296" t="s">
        <v>127</v>
      </c>
      <c r="AK1152" s="1296" t="s">
        <v>179</v>
      </c>
      <c r="AL1152" s="1289" t="s">
        <v>129</v>
      </c>
      <c r="AM1152" s="1297" t="s">
        <v>165</v>
      </c>
      <c r="AN1152" s="1294">
        <v>22.0</v>
      </c>
      <c r="AO1152" s="1316">
        <v>0.298469090943318</v>
      </c>
      <c r="AP1152" s="1289" t="s">
        <v>166</v>
      </c>
      <c r="AQ1152" s="1297" t="s">
        <v>6112</v>
      </c>
      <c r="AR1152" s="1316">
        <v>0.00539563199687963</v>
      </c>
      <c r="AS1152" s="1289" t="s">
        <v>164</v>
      </c>
      <c r="AT1152" s="1289" t="s">
        <v>179</v>
      </c>
      <c r="AU1152" s="1289" t="s">
        <v>129</v>
      </c>
      <c r="AV1152" s="1298" t="s">
        <v>165</v>
      </c>
      <c r="AW1152" s="1314" t="s">
        <v>134</v>
      </c>
      <c r="AY1152" s="1297" t="s">
        <v>6113</v>
      </c>
    </row>
    <row r="1153">
      <c r="A1153" s="60" t="s">
        <v>586</v>
      </c>
      <c r="B1153" s="41" t="s">
        <v>107</v>
      </c>
      <c r="C1153" s="41" t="s">
        <v>243</v>
      </c>
      <c r="D1153" s="340"/>
      <c r="E1153" s="112" t="s">
        <v>6776</v>
      </c>
      <c r="F1153" s="116" t="s">
        <v>6777</v>
      </c>
      <c r="G1153" s="127" t="s">
        <v>244</v>
      </c>
      <c r="H1153" s="310">
        <v>45666.0</v>
      </c>
      <c r="I1153" s="1301">
        <v>45692.0</v>
      </c>
      <c r="J1153" s="127" t="s">
        <v>6790</v>
      </c>
      <c r="K1153" s="111" t="s">
        <v>6778</v>
      </c>
      <c r="L1153" s="127" t="s">
        <v>6779</v>
      </c>
      <c r="M1153" s="127" t="s">
        <v>6780</v>
      </c>
      <c r="N1153" s="111"/>
      <c r="O1153" s="127" t="str">
        <f t="shared" si="69"/>
        <v>10.1037--a0020413.pdf</v>
      </c>
      <c r="P1153" s="48" t="str">
        <f t="array" ref="P1153">HYPERLINK(INDEX('File Links'!B:B, MATCH(O1153, 'File Links'!C:C, 0)))
</f>
        <v>https://drive.google.com/file/d/1s3htODPJ-fx2SsrGMPuuPnrS-QkOjVmW/view?usp=drivesdk</v>
      </c>
      <c r="Q1153" s="127" t="s">
        <v>6791</v>
      </c>
      <c r="R1153" s="147" t="s">
        <v>6104</v>
      </c>
      <c r="S1153" s="134" t="s">
        <v>165</v>
      </c>
      <c r="T1153" s="134" t="s">
        <v>165</v>
      </c>
      <c r="U1153" s="127" t="s">
        <v>6105</v>
      </c>
      <c r="V1153" s="127" t="s">
        <v>6117</v>
      </c>
      <c r="W1153" s="45" t="str">
        <f t="array" ref="W1153">HYPERLINK(INDEX('File Links'!B:B, MATCH(U1153, 'File Links'!C:C, 0)))
</f>
        <v>#N/A</v>
      </c>
      <c r="X1153" s="111"/>
      <c r="Y1153" s="127" t="s">
        <v>139</v>
      </c>
      <c r="Z1153" s="111"/>
      <c r="AA1153" s="111"/>
      <c r="AB1153" s="111"/>
      <c r="AC1153" s="127" t="s">
        <v>165</v>
      </c>
      <c r="AD1153" s="127" t="s">
        <v>165</v>
      </c>
      <c r="AE1153" s="720">
        <v>22.0</v>
      </c>
      <c r="AF1153" s="720">
        <v>5.41602791419206</v>
      </c>
      <c r="AG1153" s="127" t="s">
        <v>166</v>
      </c>
      <c r="AH1153" s="127" t="s">
        <v>165</v>
      </c>
      <c r="AI1153" s="212" t="s">
        <v>165</v>
      </c>
      <c r="AJ1153" s="119"/>
      <c r="AK1153" s="112" t="s">
        <v>179</v>
      </c>
      <c r="AL1153" s="127" t="s">
        <v>821</v>
      </c>
      <c r="AM1153" s="1297" t="s">
        <v>165</v>
      </c>
      <c r="AN1153" s="720">
        <v>22.0</v>
      </c>
      <c r="AO1153" s="720">
        <v>0.298469090943318</v>
      </c>
      <c r="AP1153" s="127" t="s">
        <v>166</v>
      </c>
      <c r="AQ1153" s="1297" t="s">
        <v>6112</v>
      </c>
      <c r="AR1153" s="720">
        <v>0.00539563199687963</v>
      </c>
      <c r="AS1153" s="127" t="s">
        <v>164</v>
      </c>
      <c r="AT1153" s="127" t="s">
        <v>179</v>
      </c>
      <c r="AU1153" s="127" t="s">
        <v>821</v>
      </c>
      <c r="AV1153" s="1298" t="s">
        <v>165</v>
      </c>
      <c r="AW1153" s="606" t="s">
        <v>134</v>
      </c>
      <c r="AY1153" s="1297" t="s">
        <v>6113</v>
      </c>
    </row>
    <row r="1154">
      <c r="A1154" s="115" t="s">
        <v>2021</v>
      </c>
      <c r="B1154" s="41" t="s">
        <v>107</v>
      </c>
      <c r="C1154" s="41" t="s">
        <v>108</v>
      </c>
      <c r="D1154" s="340"/>
      <c r="E1154" s="1289" t="s">
        <v>6792</v>
      </c>
      <c r="F1154" s="1290" t="s">
        <v>6793</v>
      </c>
      <c r="G1154" s="1291" t="s">
        <v>6097</v>
      </c>
      <c r="H1154" s="1292">
        <v>45690.0</v>
      </c>
      <c r="I1154" s="1293">
        <v>45692.0</v>
      </c>
      <c r="J1154" s="1289" t="s">
        <v>6185</v>
      </c>
      <c r="K1154" s="1289" t="s">
        <v>6794</v>
      </c>
      <c r="L1154" s="1291" t="s">
        <v>6795</v>
      </c>
      <c r="M1154" s="1289" t="s">
        <v>6796</v>
      </c>
      <c r="N1154" s="1294">
        <v>1.0</v>
      </c>
      <c r="O1154" s="127" t="str">
        <f t="shared" si="69"/>
        <v>10.1016--j.cognition.2019.104157.pdf</v>
      </c>
      <c r="P1154" s="48" t="str">
        <f t="array" ref="P1154">HYPERLINK(INDEX('File Links'!B:B, MATCH(O1154, 'File Links'!C:C, 0)))
</f>
        <v>https://drive.google.com/file/d/1vD03nf0a0BC3Ui7dZPBwsHBn8uBFVmTS/view?usp=drivesdk</v>
      </c>
      <c r="Q1154" s="1291" t="s">
        <v>6103</v>
      </c>
      <c r="R1154" s="147" t="s">
        <v>6104</v>
      </c>
      <c r="S1154" s="134" t="s">
        <v>165</v>
      </c>
      <c r="T1154" s="134" t="s">
        <v>165</v>
      </c>
      <c r="U1154" s="1291" t="s">
        <v>6105</v>
      </c>
      <c r="V1154" s="127" t="s">
        <v>6117</v>
      </c>
      <c r="W1154" s="45" t="str">
        <f t="array" ref="W1154">HYPERLINK(INDEX('File Links'!B:B, MATCH(U1154, 'File Links'!C:C, 0)))
</f>
        <v>#N/A</v>
      </c>
      <c r="X1154" s="1289"/>
      <c r="Y1154" s="1291" t="s">
        <v>139</v>
      </c>
      <c r="Z1154" s="1289" t="s">
        <v>768</v>
      </c>
      <c r="AA1154" s="1289" t="s">
        <v>6797</v>
      </c>
      <c r="AB1154" s="1291" t="s">
        <v>6798</v>
      </c>
      <c r="AC1154" s="1289" t="s">
        <v>768</v>
      </c>
      <c r="AD1154" s="1289" t="s">
        <v>768</v>
      </c>
      <c r="AE1154" s="1294">
        <v>51.0</v>
      </c>
      <c r="AF1154" s="1289" t="s">
        <v>768</v>
      </c>
      <c r="AG1154" s="1289" t="s">
        <v>768</v>
      </c>
      <c r="AH1154" s="1289" t="s">
        <v>768</v>
      </c>
      <c r="AI1154" s="1295" t="s">
        <v>768</v>
      </c>
      <c r="AJ1154" s="1296" t="s">
        <v>768</v>
      </c>
      <c r="AK1154" s="1296" t="s">
        <v>179</v>
      </c>
      <c r="AL1154" s="1289" t="s">
        <v>129</v>
      </c>
      <c r="AM1154" s="1317" t="s">
        <v>6799</v>
      </c>
      <c r="AN1154" s="1294">
        <v>24.0</v>
      </c>
      <c r="AO1154" s="1289" t="s">
        <v>768</v>
      </c>
      <c r="AP1154" s="1289" t="s">
        <v>768</v>
      </c>
      <c r="AQ1154" s="1297" t="s">
        <v>6112</v>
      </c>
      <c r="AR1154" s="1289" t="s">
        <v>768</v>
      </c>
      <c r="AS1154" s="1289" t="s">
        <v>768</v>
      </c>
      <c r="AT1154" s="1289" t="s">
        <v>179</v>
      </c>
      <c r="AU1154" s="1289" t="s">
        <v>129</v>
      </c>
      <c r="AV1154" s="1298" t="s">
        <v>165</v>
      </c>
      <c r="AW1154" s="1314" t="s">
        <v>134</v>
      </c>
      <c r="AY1154" s="1297" t="s">
        <v>6113</v>
      </c>
    </row>
    <row r="1155">
      <c r="A1155" s="115" t="s">
        <v>2021</v>
      </c>
      <c r="B1155" s="41" t="s">
        <v>107</v>
      </c>
      <c r="C1155" s="41" t="s">
        <v>243</v>
      </c>
      <c r="D1155" s="340"/>
      <c r="E1155" s="112" t="s">
        <v>6792</v>
      </c>
      <c r="F1155" s="116" t="s">
        <v>6793</v>
      </c>
      <c r="G1155" s="127" t="s">
        <v>244</v>
      </c>
      <c r="H1155" s="310">
        <v>45666.0</v>
      </c>
      <c r="I1155" s="1301">
        <v>45692.0</v>
      </c>
      <c r="J1155" s="127" t="s">
        <v>6190</v>
      </c>
      <c r="K1155" s="111" t="s">
        <v>6794</v>
      </c>
      <c r="L1155" s="127" t="s">
        <v>6795</v>
      </c>
      <c r="M1155" s="127" t="s">
        <v>6796</v>
      </c>
      <c r="N1155" s="111"/>
      <c r="O1155" s="127" t="str">
        <f t="shared" si="69"/>
        <v>10.1016--j.cognition.2019.104157.pdf</v>
      </c>
      <c r="P1155" s="48" t="str">
        <f t="array" ref="P1155">HYPERLINK(INDEX('File Links'!B:B, MATCH(O1155, 'File Links'!C:C, 0)))
</f>
        <v>https://drive.google.com/file/d/1vD03nf0a0BC3Ui7dZPBwsHBn8uBFVmTS/view?usp=drivesdk</v>
      </c>
      <c r="Q1155" s="127" t="s">
        <v>6800</v>
      </c>
      <c r="R1155" s="147" t="s">
        <v>6104</v>
      </c>
      <c r="S1155" s="134" t="s">
        <v>165</v>
      </c>
      <c r="T1155" s="134" t="s">
        <v>165</v>
      </c>
      <c r="U1155" s="127" t="s">
        <v>6105</v>
      </c>
      <c r="V1155" s="127" t="s">
        <v>6117</v>
      </c>
      <c r="W1155" s="45" t="str">
        <f t="array" ref="W1155">HYPERLINK(INDEX('File Links'!B:B, MATCH(U1155, 'File Links'!C:C, 0)))
</f>
        <v>#N/A</v>
      </c>
      <c r="X1155" s="111"/>
      <c r="Y1155" s="127" t="s">
        <v>139</v>
      </c>
      <c r="Z1155" s="111"/>
      <c r="AA1155" s="111"/>
      <c r="AB1155" s="111"/>
      <c r="AC1155" s="127" t="s">
        <v>165</v>
      </c>
      <c r="AD1155" s="127" t="s">
        <v>165</v>
      </c>
      <c r="AE1155" s="720">
        <v>51.0</v>
      </c>
      <c r="AF1155" s="127" t="s">
        <v>165</v>
      </c>
      <c r="AG1155" s="111"/>
      <c r="AH1155" s="127" t="s">
        <v>165</v>
      </c>
      <c r="AI1155" s="212" t="s">
        <v>165</v>
      </c>
      <c r="AJ1155" s="119"/>
      <c r="AK1155" s="112" t="s">
        <v>179</v>
      </c>
      <c r="AL1155" s="127" t="s">
        <v>821</v>
      </c>
      <c r="AM1155" s="1326" t="s">
        <v>6801</v>
      </c>
      <c r="AN1155" s="720">
        <v>24.0</v>
      </c>
      <c r="AO1155" s="127" t="s">
        <v>165</v>
      </c>
      <c r="AP1155" s="111"/>
      <c r="AQ1155" s="1297" t="s">
        <v>6112</v>
      </c>
      <c r="AR1155" s="127" t="s">
        <v>165</v>
      </c>
      <c r="AS1155" s="111"/>
      <c r="AT1155" s="127" t="s">
        <v>179</v>
      </c>
      <c r="AU1155" s="127" t="s">
        <v>821</v>
      </c>
      <c r="AV1155" s="1298" t="s">
        <v>165</v>
      </c>
      <c r="AW1155" s="606" t="s">
        <v>134</v>
      </c>
      <c r="AY1155" s="1297" t="s">
        <v>6113</v>
      </c>
    </row>
    <row r="1156">
      <c r="A1156" s="60" t="s">
        <v>143</v>
      </c>
      <c r="B1156" s="41" t="s">
        <v>107</v>
      </c>
      <c r="C1156" s="41" t="s">
        <v>108</v>
      </c>
      <c r="D1156" s="340"/>
      <c r="E1156" s="1289" t="s">
        <v>6802</v>
      </c>
      <c r="F1156" s="1290" t="s">
        <v>6803</v>
      </c>
      <c r="G1156" s="1291" t="s">
        <v>6097</v>
      </c>
      <c r="H1156" s="1292">
        <v>45690.0</v>
      </c>
      <c r="I1156" s="1293">
        <v>45692.0</v>
      </c>
      <c r="J1156" s="1289"/>
      <c r="K1156" s="1289" t="s">
        <v>6099</v>
      </c>
      <c r="L1156" s="1291" t="s">
        <v>6804</v>
      </c>
      <c r="M1156" s="1291" t="s">
        <v>6805</v>
      </c>
      <c r="N1156" s="1291" t="s">
        <v>3771</v>
      </c>
      <c r="O1156" s="1291" t="s">
        <v>6806</v>
      </c>
      <c r="P1156" s="48" t="str">
        <f t="array" ref="P1156">HYPERLINK(INDEX('File Links'!B:B, MATCH(O1156, 'File Links'!C:C, 0)))
</f>
        <v>https://drive.google.com/file/d/17x3I7jUwdIldQm5GP-fj0zgsKCgIUoRP/view?usp=drivesdk</v>
      </c>
      <c r="Q1156" s="1291" t="s">
        <v>6103</v>
      </c>
      <c r="R1156" s="147" t="s">
        <v>6104</v>
      </c>
      <c r="S1156" s="134" t="s">
        <v>165</v>
      </c>
      <c r="T1156" s="134" t="s">
        <v>165</v>
      </c>
      <c r="U1156" s="1291" t="s">
        <v>6105</v>
      </c>
      <c r="V1156" s="127" t="s">
        <v>6291</v>
      </c>
      <c r="W1156" s="45" t="str">
        <f t="array" ref="W1156">HYPERLINK(INDEX('File Links'!B:B, MATCH(U1156, 'File Links'!C:C, 0)))
</f>
        <v>#N/A</v>
      </c>
      <c r="X1156" s="1289"/>
      <c r="Y1156" s="1291" t="s">
        <v>220</v>
      </c>
      <c r="Z1156" s="350" t="s">
        <v>165</v>
      </c>
      <c r="AA1156" s="1289" t="s">
        <v>6807</v>
      </c>
      <c r="AB1156" s="1291" t="s">
        <v>6808</v>
      </c>
      <c r="AC1156" s="1289" t="s">
        <v>6809</v>
      </c>
      <c r="AD1156" s="1316">
        <v>3.0</v>
      </c>
      <c r="AE1156" s="1294">
        <v>156.0</v>
      </c>
      <c r="AF1156" s="1316">
        <v>0.04</v>
      </c>
      <c r="AG1156" s="1289" t="s">
        <v>130</v>
      </c>
      <c r="AH1156" s="1289" t="s">
        <v>505</v>
      </c>
      <c r="AI1156" s="1321">
        <v>0.033</v>
      </c>
      <c r="AJ1156" s="1296" t="s">
        <v>164</v>
      </c>
      <c r="AK1156" s="1296" t="s">
        <v>179</v>
      </c>
      <c r="AL1156" s="1289" t="s">
        <v>129</v>
      </c>
      <c r="AM1156" s="1297" t="s">
        <v>165</v>
      </c>
      <c r="AN1156" s="1294">
        <v>119.0</v>
      </c>
      <c r="AO1156" s="1316">
        <v>1.23747033259459</v>
      </c>
      <c r="AP1156" s="1289" t="s">
        <v>166</v>
      </c>
      <c r="AQ1156" s="1297" t="s">
        <v>6112</v>
      </c>
      <c r="AR1156" s="1321">
        <v>5.74940043546499E-4</v>
      </c>
      <c r="AS1156" s="1289" t="s">
        <v>164</v>
      </c>
      <c r="AT1156" s="1289" t="s">
        <v>179</v>
      </c>
      <c r="AU1156" s="1289" t="s">
        <v>129</v>
      </c>
      <c r="AV1156" s="1298" t="s">
        <v>165</v>
      </c>
      <c r="AW1156" s="1314" t="s">
        <v>134</v>
      </c>
      <c r="AY1156" s="1297" t="s">
        <v>6113</v>
      </c>
    </row>
    <row r="1157">
      <c r="A1157" s="60" t="s">
        <v>586</v>
      </c>
      <c r="B1157" s="41" t="s">
        <v>107</v>
      </c>
      <c r="C1157" s="41" t="s">
        <v>243</v>
      </c>
      <c r="D1157" s="340"/>
      <c r="E1157" s="112" t="s">
        <v>6802</v>
      </c>
      <c r="F1157" s="116" t="s">
        <v>6803</v>
      </c>
      <c r="G1157" s="127" t="s">
        <v>244</v>
      </c>
      <c r="H1157" s="310">
        <v>45666.0</v>
      </c>
      <c r="I1157" s="1301">
        <v>45692.0</v>
      </c>
      <c r="J1157" s="127" t="s">
        <v>6810</v>
      </c>
      <c r="K1157" s="111" t="s">
        <v>6811</v>
      </c>
      <c r="L1157" s="127" t="s">
        <v>6804</v>
      </c>
      <c r="M1157" s="127" t="s">
        <v>6805</v>
      </c>
      <c r="N1157" s="111"/>
      <c r="O1157" s="127" t="str">
        <f> SUBSTITUTE(lower(M1157), "/", "--") &amp;  ".pdf"</f>
        <v>10.1177--0956797618760784.pdf</v>
      </c>
      <c r="P1157" s="48" t="str">
        <f t="array" ref="P1157">HYPERLINK(INDEX('File Links'!B:B, MATCH(O1157, 'File Links'!C:C, 0)))
</f>
        <v>https://drive.google.com/file/d/17x3I7jUwdIldQm5GP-fj0zgsKCgIUoRP/view?usp=drivesdk</v>
      </c>
      <c r="Q1157" s="127" t="s">
        <v>6812</v>
      </c>
      <c r="R1157" s="147" t="s">
        <v>6104</v>
      </c>
      <c r="S1157" s="134" t="s">
        <v>165</v>
      </c>
      <c r="T1157" s="134" t="s">
        <v>165</v>
      </c>
      <c r="U1157" s="127" t="s">
        <v>6105</v>
      </c>
      <c r="V1157" s="127" t="s">
        <v>6291</v>
      </c>
      <c r="W1157" s="45" t="str">
        <f t="array" ref="W1157">HYPERLINK(INDEX('File Links'!B:B, MATCH(U1157, 'File Links'!C:C, 0)))
</f>
        <v>#N/A</v>
      </c>
      <c r="X1157" s="111"/>
      <c r="Y1157" s="127" t="s">
        <v>220</v>
      </c>
      <c r="Z1157" s="111"/>
      <c r="AA1157" s="127" t="s">
        <v>6813</v>
      </c>
      <c r="AB1157" s="111"/>
      <c r="AC1157" s="127" t="s">
        <v>6814</v>
      </c>
      <c r="AD1157" s="720">
        <v>3.0</v>
      </c>
      <c r="AE1157" s="720">
        <v>156.0</v>
      </c>
      <c r="AF1157" s="720">
        <v>0.450767238816211</v>
      </c>
      <c r="AG1157" s="127" t="s">
        <v>166</v>
      </c>
      <c r="AH1157" s="127" t="s">
        <v>505</v>
      </c>
      <c r="AI1157" s="120">
        <v>0.022</v>
      </c>
      <c r="AJ1157" s="112" t="s">
        <v>164</v>
      </c>
      <c r="AK1157" s="112" t="s">
        <v>211</v>
      </c>
      <c r="AL1157" s="127" t="s">
        <v>129</v>
      </c>
      <c r="AM1157" s="1326" t="s">
        <v>6815</v>
      </c>
      <c r="AN1157" s="720">
        <v>119.0</v>
      </c>
      <c r="AO1157" s="720">
        <v>1.23747033259459</v>
      </c>
      <c r="AP1157" s="127" t="s">
        <v>166</v>
      </c>
      <c r="AQ1157" s="1297" t="s">
        <v>6112</v>
      </c>
      <c r="AR1157" s="1318">
        <v>5.74940043546499E-4</v>
      </c>
      <c r="AS1157" s="127" t="s">
        <v>164</v>
      </c>
      <c r="AT1157" s="127" t="s">
        <v>211</v>
      </c>
      <c r="AU1157" s="127" t="s">
        <v>129</v>
      </c>
      <c r="AV1157" s="1298" t="s">
        <v>165</v>
      </c>
      <c r="AW1157" s="606" t="s">
        <v>134</v>
      </c>
      <c r="AY1157" s="1297" t="s">
        <v>6113</v>
      </c>
    </row>
    <row r="1158">
      <c r="A1158" s="115" t="s">
        <v>2021</v>
      </c>
      <c r="B1158" s="41" t="s">
        <v>107</v>
      </c>
      <c r="C1158" s="41" t="s">
        <v>108</v>
      </c>
      <c r="D1158" s="340"/>
      <c r="E1158" s="1289" t="s">
        <v>6816</v>
      </c>
      <c r="F1158" s="1290" t="s">
        <v>6817</v>
      </c>
      <c r="G1158" s="1291" t="s">
        <v>6097</v>
      </c>
      <c r="H1158" s="1292">
        <v>45690.0</v>
      </c>
      <c r="I1158" s="1293">
        <v>45692.0</v>
      </c>
      <c r="J1158" s="1289"/>
      <c r="K1158" s="1289" t="s">
        <v>6099</v>
      </c>
      <c r="L1158" s="1291" t="s">
        <v>6818</v>
      </c>
      <c r="M1158" s="1291" t="s">
        <v>6819</v>
      </c>
      <c r="N1158" s="1294">
        <v>1.0</v>
      </c>
      <c r="O1158" s="1291" t="s">
        <v>6820</v>
      </c>
      <c r="P1158" s="48" t="str">
        <f t="array" ref="P1158">HYPERLINK(INDEX('File Links'!B:B, MATCH(O1158, 'File Links'!C:C, 0)))
</f>
        <v>https://drive.google.com/file/d/1Chyql9h2DEg41XAYeRupg6Etz-OFp0us/view?usp=drivesdk</v>
      </c>
      <c r="Q1158" s="1291" t="s">
        <v>6103</v>
      </c>
      <c r="R1158" s="147" t="s">
        <v>6104</v>
      </c>
      <c r="S1158" s="134" t="s">
        <v>165</v>
      </c>
      <c r="T1158" s="134" t="s">
        <v>165</v>
      </c>
      <c r="U1158" s="1291" t="s">
        <v>6105</v>
      </c>
      <c r="V1158" s="127" t="s">
        <v>318</v>
      </c>
      <c r="W1158" s="45" t="str">
        <f t="array" ref="W1158">HYPERLINK(INDEX('File Links'!B:B, MATCH(U1158, 'File Links'!C:C, 0)))
</f>
        <v>#N/A</v>
      </c>
      <c r="X1158" s="1289"/>
      <c r="Y1158" s="1291" t="s">
        <v>139</v>
      </c>
      <c r="Z1158" s="1289" t="s">
        <v>768</v>
      </c>
      <c r="AA1158" s="1289" t="s">
        <v>6821</v>
      </c>
      <c r="AB1158" s="1291" t="s">
        <v>6822</v>
      </c>
      <c r="AC1158" s="1289" t="s">
        <v>6823</v>
      </c>
      <c r="AD1158" s="1316">
        <v>3.0</v>
      </c>
      <c r="AE1158" s="1294">
        <v>24.0</v>
      </c>
      <c r="AF1158" s="1294">
        <v>0.4939804315</v>
      </c>
      <c r="AG1158" s="1291" t="s">
        <v>166</v>
      </c>
      <c r="AH1158" s="1289" t="s">
        <v>768</v>
      </c>
      <c r="AI1158" s="1300">
        <v>0.02</v>
      </c>
      <c r="AJ1158" s="1296" t="s">
        <v>164</v>
      </c>
      <c r="AK1158" s="1296" t="s">
        <v>179</v>
      </c>
      <c r="AL1158" s="1289" t="s">
        <v>129</v>
      </c>
      <c r="AM1158" s="1297" t="s">
        <v>165</v>
      </c>
      <c r="AN1158" s="1294">
        <v>54.0</v>
      </c>
      <c r="AO1158" s="1294">
        <v>0.5941373454</v>
      </c>
      <c r="AP1158" s="1291" t="s">
        <v>166</v>
      </c>
      <c r="AQ1158" s="1297" t="s">
        <v>6112</v>
      </c>
      <c r="AR1158" s="1321">
        <v>5.90006114667716E-5</v>
      </c>
      <c r="AS1158" s="1289" t="s">
        <v>164</v>
      </c>
      <c r="AT1158" s="1289" t="s">
        <v>179</v>
      </c>
      <c r="AU1158" s="1289" t="s">
        <v>129</v>
      </c>
      <c r="AV1158" s="1298" t="s">
        <v>165</v>
      </c>
      <c r="AW1158" s="1314" t="s">
        <v>134</v>
      </c>
      <c r="AY1158" s="1297" t="s">
        <v>6113</v>
      </c>
    </row>
    <row r="1159">
      <c r="A1159" s="115" t="s">
        <v>2021</v>
      </c>
      <c r="B1159" s="41" t="s">
        <v>107</v>
      </c>
      <c r="C1159" s="41" t="s">
        <v>108</v>
      </c>
      <c r="D1159" s="340"/>
      <c r="E1159" s="1289" t="s">
        <v>6824</v>
      </c>
      <c r="F1159" s="1290" t="s">
        <v>6825</v>
      </c>
      <c r="G1159" s="1291" t="s">
        <v>6097</v>
      </c>
      <c r="H1159" s="1292">
        <v>45690.0</v>
      </c>
      <c r="I1159" s="1293">
        <v>45692.0</v>
      </c>
      <c r="J1159" s="1289" t="s">
        <v>6826</v>
      </c>
      <c r="K1159" s="1289" t="s">
        <v>6794</v>
      </c>
      <c r="L1159" s="1291" t="s">
        <v>6827</v>
      </c>
      <c r="M1159" s="1289" t="s">
        <v>6828</v>
      </c>
      <c r="N1159" s="1294">
        <v>1.0</v>
      </c>
      <c r="O1159" s="1291" t="s">
        <v>6820</v>
      </c>
      <c r="P1159" s="48" t="str">
        <f t="array" ref="P1159">HYPERLINK(INDEX('File Links'!B:B, MATCH(O1159, 'File Links'!C:C, 0)))
</f>
        <v>https://drive.google.com/file/d/1Chyql9h2DEg41XAYeRupg6Etz-OFp0us/view?usp=drivesdk</v>
      </c>
      <c r="Q1159" s="1291" t="s">
        <v>6103</v>
      </c>
      <c r="R1159" s="147" t="s">
        <v>6104</v>
      </c>
      <c r="S1159" s="134" t="s">
        <v>165</v>
      </c>
      <c r="T1159" s="134" t="s">
        <v>165</v>
      </c>
      <c r="U1159" s="1291" t="s">
        <v>6105</v>
      </c>
      <c r="V1159" s="127" t="s">
        <v>318</v>
      </c>
      <c r="W1159" s="45" t="str">
        <f t="array" ref="W1159">HYPERLINK(INDEX('File Links'!B:B, MATCH(U1159, 'File Links'!C:C, 0)))
</f>
        <v>#N/A</v>
      </c>
      <c r="X1159" s="1289"/>
      <c r="Y1159" s="1291" t="s">
        <v>139</v>
      </c>
      <c r="Z1159" s="1289" t="s">
        <v>768</v>
      </c>
      <c r="AA1159" s="1289" t="s">
        <v>6829</v>
      </c>
      <c r="AB1159" s="1291" t="s">
        <v>6830</v>
      </c>
      <c r="AC1159" s="1289" t="s">
        <v>768</v>
      </c>
      <c r="AD1159" s="1289" t="s">
        <v>768</v>
      </c>
      <c r="AE1159" s="1294">
        <v>101.0</v>
      </c>
      <c r="AF1159" s="1289" t="s">
        <v>768</v>
      </c>
      <c r="AG1159" s="1289" t="s">
        <v>768</v>
      </c>
      <c r="AH1159" s="1289" t="s">
        <v>768</v>
      </c>
      <c r="AI1159" s="1295" t="s">
        <v>768</v>
      </c>
      <c r="AJ1159" s="1296" t="s">
        <v>768</v>
      </c>
      <c r="AK1159" s="1296" t="s">
        <v>179</v>
      </c>
      <c r="AL1159" s="1289" t="s">
        <v>129</v>
      </c>
      <c r="AM1159" s="1297" t="s">
        <v>165</v>
      </c>
      <c r="AN1159" s="1294">
        <v>19.0</v>
      </c>
      <c r="AO1159" s="1289" t="s">
        <v>768</v>
      </c>
      <c r="AP1159" s="1289" t="s">
        <v>768</v>
      </c>
      <c r="AQ1159" s="1297" t="s">
        <v>6112</v>
      </c>
      <c r="AR1159" s="1289" t="s">
        <v>768</v>
      </c>
      <c r="AS1159" s="1289" t="s">
        <v>768</v>
      </c>
      <c r="AT1159" s="1289" t="s">
        <v>179</v>
      </c>
      <c r="AU1159" s="1289" t="s">
        <v>129</v>
      </c>
      <c r="AV1159" s="1298" t="s">
        <v>165</v>
      </c>
      <c r="AW1159" s="1314" t="s">
        <v>134</v>
      </c>
      <c r="AY1159" s="1297" t="s">
        <v>6113</v>
      </c>
    </row>
    <row r="1160">
      <c r="A1160" s="115" t="s">
        <v>106</v>
      </c>
      <c r="B1160" s="41" t="s">
        <v>107</v>
      </c>
      <c r="C1160" s="41" t="s">
        <v>243</v>
      </c>
      <c r="D1160" s="340"/>
      <c r="E1160" s="112" t="s">
        <v>6824</v>
      </c>
      <c r="F1160" s="116" t="s">
        <v>6825</v>
      </c>
      <c r="G1160" s="127" t="s">
        <v>244</v>
      </c>
      <c r="H1160" s="310">
        <v>45666.0</v>
      </c>
      <c r="I1160" s="1301">
        <v>45692.0</v>
      </c>
      <c r="J1160" s="127" t="s">
        <v>6190</v>
      </c>
      <c r="K1160" s="111" t="s">
        <v>6794</v>
      </c>
      <c r="L1160" s="127" t="s">
        <v>6827</v>
      </c>
      <c r="M1160" s="127" t="s">
        <v>6828</v>
      </c>
      <c r="N1160" s="111"/>
      <c r="O1160" s="127" t="str">
        <f> SUBSTITUTE(lower(M1160), "/", "--") &amp;  ".pdf"</f>
        <v>10.1037--0096-3445.132.1.3.pdf</v>
      </c>
      <c r="P1160" s="48" t="str">
        <f t="array" ref="P1160">HYPERLINK(INDEX('File Links'!B:B, MATCH(O1160, 'File Links'!C:C, 0)))
</f>
        <v>https://drive.google.com/file/d/1uSaalqURvSDrwFTwn8d56akyZ5pLqmJn/view?usp=drivesdk</v>
      </c>
      <c r="Q1160" s="127" t="s">
        <v>6831</v>
      </c>
      <c r="R1160" s="147" t="s">
        <v>6104</v>
      </c>
      <c r="S1160" s="134" t="s">
        <v>165</v>
      </c>
      <c r="T1160" s="134" t="s">
        <v>165</v>
      </c>
      <c r="U1160" s="127" t="s">
        <v>6105</v>
      </c>
      <c r="V1160" s="127" t="s">
        <v>318</v>
      </c>
      <c r="W1160" s="45" t="str">
        <f t="array" ref="W1160">HYPERLINK(INDEX('File Links'!B:B, MATCH(U1160, 'File Links'!C:C, 0)))
</f>
        <v>#N/A</v>
      </c>
      <c r="X1160" s="111"/>
      <c r="Y1160" s="127" t="s">
        <v>139</v>
      </c>
      <c r="Z1160" s="111"/>
      <c r="AA1160" s="111"/>
      <c r="AB1160" s="111"/>
      <c r="AC1160" s="127" t="s">
        <v>165</v>
      </c>
      <c r="AD1160" s="127" t="s">
        <v>165</v>
      </c>
      <c r="AE1160" s="720">
        <v>101.0</v>
      </c>
      <c r="AF1160" s="127" t="s">
        <v>165</v>
      </c>
      <c r="AG1160" s="111"/>
      <c r="AH1160" s="127" t="s">
        <v>165</v>
      </c>
      <c r="AI1160" s="212" t="s">
        <v>165</v>
      </c>
      <c r="AJ1160" s="119"/>
      <c r="AK1160" s="119"/>
      <c r="AL1160" s="127" t="s">
        <v>821</v>
      </c>
      <c r="AM1160" s="1297" t="s">
        <v>165</v>
      </c>
      <c r="AN1160" s="720">
        <v>19.0</v>
      </c>
      <c r="AO1160" s="127" t="s">
        <v>165</v>
      </c>
      <c r="AP1160" s="111"/>
      <c r="AQ1160" s="1297" t="s">
        <v>6112</v>
      </c>
      <c r="AR1160" s="127" t="s">
        <v>6832</v>
      </c>
      <c r="AS1160" s="111"/>
      <c r="AT1160" s="127" t="s">
        <v>179</v>
      </c>
      <c r="AU1160" s="127" t="s">
        <v>821</v>
      </c>
      <c r="AV1160" s="1298" t="s">
        <v>165</v>
      </c>
      <c r="AW1160" s="606" t="s">
        <v>134</v>
      </c>
      <c r="AY1160" s="1297" t="s">
        <v>6113</v>
      </c>
    </row>
    <row r="1161">
      <c r="A1161" s="60" t="s">
        <v>586</v>
      </c>
      <c r="B1161" s="41" t="s">
        <v>107</v>
      </c>
      <c r="C1161" s="41" t="s">
        <v>108</v>
      </c>
      <c r="D1161" s="340"/>
      <c r="E1161" s="1289" t="s">
        <v>6833</v>
      </c>
      <c r="F1161" s="1290" t="s">
        <v>6834</v>
      </c>
      <c r="G1161" s="1291" t="s">
        <v>6097</v>
      </c>
      <c r="H1161" s="1292">
        <v>45690.0</v>
      </c>
      <c r="I1161" s="1293">
        <v>45692.0</v>
      </c>
      <c r="J1161" s="1289"/>
      <c r="K1161" s="1289" t="s">
        <v>6835</v>
      </c>
      <c r="L1161" s="1291" t="s">
        <v>6836</v>
      </c>
      <c r="M1161" s="1291" t="s">
        <v>6837</v>
      </c>
      <c r="N1161" s="1294">
        <v>1.0</v>
      </c>
      <c r="O1161" s="1291" t="s">
        <v>6838</v>
      </c>
      <c r="P1161" s="48" t="str">
        <f t="array" ref="P1161">HYPERLINK(INDEX('File Links'!B:B, MATCH(O1161, 'File Links'!C:C, 0)))
</f>
        <v>https://drive.google.com/file/d/1vWGgcW4pZ3FoyQKsaRTBIF-qNoze2NOS/view?usp=drivesdk</v>
      </c>
      <c r="Q1161" s="1291" t="s">
        <v>6103</v>
      </c>
      <c r="R1161" s="147" t="s">
        <v>6104</v>
      </c>
      <c r="S1161" s="1340" t="s">
        <v>6839</v>
      </c>
      <c r="T1161" s="134" t="s">
        <v>165</v>
      </c>
      <c r="U1161" s="1291" t="s">
        <v>6105</v>
      </c>
      <c r="V1161" s="127" t="s">
        <v>318</v>
      </c>
      <c r="W1161" s="45" t="str">
        <f t="array" ref="W1161">HYPERLINK(INDEX('File Links'!B:B, MATCH(U1161, 'File Links'!C:C, 0)))
</f>
        <v>#N/A</v>
      </c>
      <c r="X1161" s="1289"/>
      <c r="Y1161" s="1291" t="s">
        <v>139</v>
      </c>
      <c r="Z1161" s="1289" t="s">
        <v>768</v>
      </c>
      <c r="AA1161" s="1289" t="s">
        <v>6840</v>
      </c>
      <c r="AB1161" s="1291" t="s">
        <v>6841</v>
      </c>
      <c r="AC1161" s="1289" t="s">
        <v>6842</v>
      </c>
      <c r="AD1161" s="1289" t="s">
        <v>6843</v>
      </c>
      <c r="AE1161" s="1294">
        <v>155.0</v>
      </c>
      <c r="AF1161" s="1316">
        <v>0.472</v>
      </c>
      <c r="AG1161" s="1289" t="s">
        <v>166</v>
      </c>
      <c r="AH1161" s="1289" t="s">
        <v>210</v>
      </c>
      <c r="AI1161" s="1300">
        <v>0.017238199239407</v>
      </c>
      <c r="AJ1161" s="1296" t="s">
        <v>164</v>
      </c>
      <c r="AK1161" s="1296" t="s">
        <v>179</v>
      </c>
      <c r="AL1161" s="1289" t="s">
        <v>129</v>
      </c>
      <c r="AM1161" s="1297" t="s">
        <v>165</v>
      </c>
      <c r="AN1161" s="1294">
        <v>225.0</v>
      </c>
      <c r="AO1161" s="1316">
        <v>0.194935210038986</v>
      </c>
      <c r="AP1161" s="1289" t="s">
        <v>166</v>
      </c>
      <c r="AQ1161" s="1297" t="s">
        <v>6112</v>
      </c>
      <c r="AR1161" s="1316">
        <v>0.232036496781515</v>
      </c>
      <c r="AS1161" s="1289" t="s">
        <v>164</v>
      </c>
      <c r="AT1161" s="1289" t="s">
        <v>179</v>
      </c>
      <c r="AU1161" s="1289" t="s">
        <v>129</v>
      </c>
      <c r="AV1161" s="1298" t="s">
        <v>165</v>
      </c>
      <c r="AW1161" s="1314" t="s">
        <v>134</v>
      </c>
      <c r="AY1161" s="1297" t="s">
        <v>6113</v>
      </c>
    </row>
    <row r="1162">
      <c r="A1162" s="60" t="s">
        <v>586</v>
      </c>
      <c r="B1162" s="41" t="s">
        <v>107</v>
      </c>
      <c r="C1162" s="41" t="s">
        <v>108</v>
      </c>
      <c r="D1162" s="340"/>
      <c r="E1162" s="1289" t="s">
        <v>6833</v>
      </c>
      <c r="F1162" s="1290" t="s">
        <v>6844</v>
      </c>
      <c r="G1162" s="1291" t="s">
        <v>6097</v>
      </c>
      <c r="H1162" s="1292">
        <v>45691.0</v>
      </c>
      <c r="I1162" s="1293">
        <v>45692.0</v>
      </c>
      <c r="J1162" s="1289"/>
      <c r="K1162" s="1289" t="s">
        <v>6835</v>
      </c>
      <c r="L1162" s="1291" t="s">
        <v>6836</v>
      </c>
      <c r="M1162" s="1291" t="s">
        <v>6837</v>
      </c>
      <c r="N1162" s="1294">
        <v>1.0</v>
      </c>
      <c r="O1162" s="1291" t="s">
        <v>6838</v>
      </c>
      <c r="P1162" s="48" t="str">
        <f t="array" ref="P1162">HYPERLINK(INDEX('File Links'!B:B, MATCH(O1162, 'File Links'!C:C, 0)))
</f>
        <v>https://drive.google.com/file/d/1vWGgcW4pZ3FoyQKsaRTBIF-qNoze2NOS/view?usp=drivesdk</v>
      </c>
      <c r="Q1162" s="1291" t="s">
        <v>6103</v>
      </c>
      <c r="R1162" s="147" t="s">
        <v>6104</v>
      </c>
      <c r="S1162" s="1340" t="s">
        <v>6839</v>
      </c>
      <c r="T1162" s="134" t="s">
        <v>165</v>
      </c>
      <c r="U1162" s="1291" t="s">
        <v>6105</v>
      </c>
      <c r="V1162" s="127" t="s">
        <v>318</v>
      </c>
      <c r="W1162" s="45" t="str">
        <f t="array" ref="W1162">HYPERLINK(INDEX('File Links'!B:B, MATCH(U1162, 'File Links'!C:C, 0)))
</f>
        <v>#N/A</v>
      </c>
      <c r="X1162" s="1289"/>
      <c r="Y1162" s="1291" t="s">
        <v>139</v>
      </c>
      <c r="Z1162" s="1289" t="s">
        <v>768</v>
      </c>
      <c r="AA1162" s="1289" t="s">
        <v>6840</v>
      </c>
      <c r="AB1162" s="1291" t="s">
        <v>6845</v>
      </c>
      <c r="AC1162" s="1289" t="s">
        <v>6846</v>
      </c>
      <c r="AD1162" s="1289" t="s">
        <v>6843</v>
      </c>
      <c r="AE1162" s="1294">
        <v>155.0</v>
      </c>
      <c r="AF1162" s="1316">
        <v>0.459</v>
      </c>
      <c r="AG1162" s="1289" t="s">
        <v>166</v>
      </c>
      <c r="AH1162" s="1289" t="s">
        <v>3560</v>
      </c>
      <c r="AI1162" s="1300">
        <v>0.017238199239407</v>
      </c>
      <c r="AJ1162" s="1296" t="s">
        <v>164</v>
      </c>
      <c r="AK1162" s="1296" t="s">
        <v>179</v>
      </c>
      <c r="AL1162" s="1289" t="s">
        <v>129</v>
      </c>
      <c r="AM1162" s="1297" t="s">
        <v>165</v>
      </c>
      <c r="AN1162" s="1294">
        <v>225.0</v>
      </c>
      <c r="AO1162" s="1316">
        <v>0.194935210038986</v>
      </c>
      <c r="AP1162" s="1289" t="s">
        <v>166</v>
      </c>
      <c r="AQ1162" s="1297" t="s">
        <v>6112</v>
      </c>
      <c r="AR1162" s="1316">
        <v>0.232036496781515</v>
      </c>
      <c r="AS1162" s="1289" t="s">
        <v>164</v>
      </c>
      <c r="AT1162" s="1289" t="s">
        <v>179</v>
      </c>
      <c r="AU1162" s="1289" t="s">
        <v>129</v>
      </c>
      <c r="AV1162" s="1298" t="s">
        <v>165</v>
      </c>
      <c r="AW1162" s="1314" t="s">
        <v>134</v>
      </c>
      <c r="AY1162" s="1297" t="s">
        <v>6113</v>
      </c>
    </row>
    <row r="1163">
      <c r="A1163" s="60" t="s">
        <v>586</v>
      </c>
      <c r="B1163" s="41" t="s">
        <v>107</v>
      </c>
      <c r="C1163" s="41" t="s">
        <v>243</v>
      </c>
      <c r="D1163" s="340"/>
      <c r="E1163" s="112" t="s">
        <v>6833</v>
      </c>
      <c r="F1163" s="116" t="s">
        <v>6834</v>
      </c>
      <c r="G1163" s="127" t="s">
        <v>244</v>
      </c>
      <c r="H1163" s="310">
        <v>45663.0</v>
      </c>
      <c r="I1163" s="1301">
        <v>45692.0</v>
      </c>
      <c r="J1163" s="111"/>
      <c r="K1163" s="111" t="s">
        <v>6835</v>
      </c>
      <c r="L1163" s="127" t="s">
        <v>6836</v>
      </c>
      <c r="M1163" s="127" t="s">
        <v>6837</v>
      </c>
      <c r="N1163" s="111"/>
      <c r="O1163" s="127" t="str">
        <f> SUBSTITUTE(lower(M1163), "/", "--") &amp;  ".pdf"</f>
        <v>10.1111--j.1467-9280.2007.01909.x.pdf</v>
      </c>
      <c r="P1163" s="48" t="str">
        <f t="array" ref="P1163">HYPERLINK(INDEX('File Links'!B:B, MATCH(O1163, 'File Links'!C:C, 0)))
</f>
        <v>https://drive.google.com/file/d/1vWGgcW4pZ3FoyQKsaRTBIF-qNoze2NOS/view?usp=drivesdk</v>
      </c>
      <c r="Q1163" s="127" t="s">
        <v>6847</v>
      </c>
      <c r="R1163" s="147" t="s">
        <v>6104</v>
      </c>
      <c r="S1163" s="1340" t="s">
        <v>6839</v>
      </c>
      <c r="T1163" s="134" t="s">
        <v>165</v>
      </c>
      <c r="U1163" s="127" t="s">
        <v>6105</v>
      </c>
      <c r="V1163" s="127" t="s">
        <v>318</v>
      </c>
      <c r="W1163" s="45" t="str">
        <f t="array" ref="W1163">HYPERLINK(INDEX('File Links'!B:B, MATCH(U1163, 'File Links'!C:C, 0)))
</f>
        <v>#N/A</v>
      </c>
      <c r="X1163" s="111"/>
      <c r="Y1163" s="127" t="s">
        <v>139</v>
      </c>
      <c r="Z1163" s="111"/>
      <c r="AA1163" s="111"/>
      <c r="AB1163" s="111"/>
      <c r="AC1163" s="127" t="s">
        <v>6848</v>
      </c>
      <c r="AD1163" s="720">
        <v>384.0</v>
      </c>
      <c r="AE1163" s="720">
        <v>155.0</v>
      </c>
      <c r="AF1163" s="720">
        <v>0.472</v>
      </c>
      <c r="AG1163" s="127" t="s">
        <v>166</v>
      </c>
      <c r="AH1163" s="127" t="s">
        <v>6849</v>
      </c>
      <c r="AI1163" s="120">
        <v>0.05</v>
      </c>
      <c r="AJ1163" s="112" t="s">
        <v>127</v>
      </c>
      <c r="AK1163" s="112" t="s">
        <v>179</v>
      </c>
      <c r="AL1163" s="127" t="s">
        <v>821</v>
      </c>
      <c r="AM1163" s="1297" t="s">
        <v>165</v>
      </c>
      <c r="AN1163" s="720">
        <v>225.0</v>
      </c>
      <c r="AO1163" s="720">
        <v>0.194935210038986</v>
      </c>
      <c r="AP1163" s="127" t="s">
        <v>166</v>
      </c>
      <c r="AQ1163" s="1297" t="s">
        <v>6112</v>
      </c>
      <c r="AR1163" s="720">
        <v>0.232036496781515</v>
      </c>
      <c r="AS1163" s="127" t="s">
        <v>164</v>
      </c>
      <c r="AT1163" s="127" t="s">
        <v>179</v>
      </c>
      <c r="AU1163" s="127" t="s">
        <v>821</v>
      </c>
      <c r="AV1163" s="1298" t="s">
        <v>165</v>
      </c>
      <c r="AW1163" s="606" t="s">
        <v>134</v>
      </c>
      <c r="AY1163" s="1297" t="s">
        <v>6113</v>
      </c>
    </row>
    <row r="1164">
      <c r="A1164" s="115" t="s">
        <v>143</v>
      </c>
      <c r="B1164" s="41" t="s">
        <v>107</v>
      </c>
      <c r="C1164" s="41" t="s">
        <v>108</v>
      </c>
      <c r="D1164" s="340"/>
      <c r="E1164" s="1289" t="s">
        <v>6850</v>
      </c>
      <c r="F1164" s="1290" t="s">
        <v>6851</v>
      </c>
      <c r="G1164" s="1291" t="s">
        <v>6097</v>
      </c>
      <c r="H1164" s="1292">
        <v>45691.0</v>
      </c>
      <c r="I1164" s="1293">
        <v>45692.0</v>
      </c>
      <c r="J1164" s="1289"/>
      <c r="K1164" s="1289" t="s">
        <v>6099</v>
      </c>
      <c r="L1164" s="1291" t="s">
        <v>6852</v>
      </c>
      <c r="M1164" s="1291" t="s">
        <v>6853</v>
      </c>
      <c r="N1164" s="1294">
        <v>3.0</v>
      </c>
      <c r="O1164" s="1291" t="s">
        <v>6854</v>
      </c>
      <c r="P1164" s="48" t="str">
        <f t="array" ref="P1164">HYPERLINK(INDEX('File Links'!B:B, MATCH(O1164, 'File Links'!C:C, 0)))
</f>
        <v>https://drive.google.com/file/d/1CNUuCil5aZVO_tdA1GgelrRiq8I7q6J4/view?usp=drivesdk</v>
      </c>
      <c r="Q1164" s="1291" t="s">
        <v>6103</v>
      </c>
      <c r="R1164" s="147" t="s">
        <v>6104</v>
      </c>
      <c r="S1164" s="978" t="s">
        <v>165</v>
      </c>
      <c r="T1164" s="134" t="s">
        <v>165</v>
      </c>
      <c r="U1164" s="1291" t="s">
        <v>6105</v>
      </c>
      <c r="V1164" s="127" t="s">
        <v>6117</v>
      </c>
      <c r="W1164" s="45" t="str">
        <f t="array" ref="W1164">HYPERLINK(INDEX('File Links'!B:B, MATCH(U1164, 'File Links'!C:C, 0)))
</f>
        <v>#N/A</v>
      </c>
      <c r="X1164" s="1289"/>
      <c r="Y1164" s="1291" t="s">
        <v>220</v>
      </c>
      <c r="Z1164" s="1297" t="s">
        <v>165</v>
      </c>
      <c r="AA1164" s="1289" t="s">
        <v>6855</v>
      </c>
      <c r="AB1164" s="1291" t="s">
        <v>6856</v>
      </c>
      <c r="AC1164" s="1289" t="s">
        <v>6857</v>
      </c>
      <c r="AD1164" s="1316">
        <v>6.0</v>
      </c>
      <c r="AE1164" s="1294">
        <v>101.0</v>
      </c>
      <c r="AF1164" s="1289" t="s">
        <v>6858</v>
      </c>
      <c r="AG1164" s="1289" t="s">
        <v>162</v>
      </c>
      <c r="AH1164" s="1289" t="s">
        <v>131</v>
      </c>
      <c r="AI1164" s="1330">
        <v>0.24</v>
      </c>
      <c r="AJ1164" s="1296" t="s">
        <v>164</v>
      </c>
      <c r="AK1164" s="1296" t="s">
        <v>179</v>
      </c>
      <c r="AL1164" s="1289" t="s">
        <v>129</v>
      </c>
      <c r="AM1164" s="1297" t="s">
        <v>165</v>
      </c>
      <c r="AN1164" s="1294">
        <v>160.0</v>
      </c>
      <c r="AO1164" s="1316">
        <v>0.20193923478476</v>
      </c>
      <c r="AP1164" s="1289" t="s">
        <v>166</v>
      </c>
      <c r="AQ1164" s="1297" t="s">
        <v>6112</v>
      </c>
      <c r="AR1164" s="1316">
        <v>0.212129833599919</v>
      </c>
      <c r="AS1164" s="1289" t="s">
        <v>164</v>
      </c>
      <c r="AT1164" s="1289" t="s">
        <v>179</v>
      </c>
      <c r="AU1164" s="1289" t="s">
        <v>129</v>
      </c>
      <c r="AV1164" s="1298" t="s">
        <v>165</v>
      </c>
      <c r="AW1164" s="1314" t="s">
        <v>134</v>
      </c>
      <c r="AY1164" s="1297" t="s">
        <v>6113</v>
      </c>
    </row>
    <row r="1165">
      <c r="A1165" s="115" t="s">
        <v>106</v>
      </c>
      <c r="B1165" s="41" t="s">
        <v>107</v>
      </c>
      <c r="C1165" s="41" t="s">
        <v>243</v>
      </c>
      <c r="D1165" s="340"/>
      <c r="E1165" s="112" t="s">
        <v>6850</v>
      </c>
      <c r="F1165" s="116" t="s">
        <v>6851</v>
      </c>
      <c r="G1165" s="127" t="s">
        <v>244</v>
      </c>
      <c r="H1165" s="310">
        <v>45666.0</v>
      </c>
      <c r="I1165" s="1301">
        <v>45692.0</v>
      </c>
      <c r="J1165" s="111"/>
      <c r="K1165" s="111" t="s">
        <v>6099</v>
      </c>
      <c r="L1165" s="127" t="s">
        <v>6852</v>
      </c>
      <c r="M1165" s="127" t="s">
        <v>6853</v>
      </c>
      <c r="N1165" s="111"/>
      <c r="O1165" s="127" t="str">
        <f> SUBSTITUTE(lower(M1165), "/", "--") &amp;  ".pdf"</f>
        <v>10.1177--0956797614563108.pdf</v>
      </c>
      <c r="P1165" s="48" t="str">
        <f t="array" ref="P1165">HYPERLINK(INDEX('File Links'!B:B, MATCH(O1165, 'File Links'!C:C, 0)))
</f>
        <v>https://drive.google.com/file/d/1CNUuCil5aZVO_tdA1GgelrRiq8I7q6J4/view?usp=drivesdk</v>
      </c>
      <c r="Q1165" s="127" t="s">
        <v>6859</v>
      </c>
      <c r="R1165" s="147" t="s">
        <v>6104</v>
      </c>
      <c r="S1165" s="978" t="s">
        <v>165</v>
      </c>
      <c r="T1165" s="134" t="s">
        <v>165</v>
      </c>
      <c r="U1165" s="127" t="s">
        <v>6105</v>
      </c>
      <c r="V1165" s="127" t="s">
        <v>6117</v>
      </c>
      <c r="W1165" s="45" t="str">
        <f t="array" ref="W1165">HYPERLINK(INDEX('File Links'!B:B, MATCH(U1165, 'File Links'!C:C, 0)))
</f>
        <v>#N/A</v>
      </c>
      <c r="X1165" s="111"/>
      <c r="Y1165" s="127" t="s">
        <v>220</v>
      </c>
      <c r="Z1165" s="111"/>
      <c r="AA1165" s="127" t="s">
        <v>6267</v>
      </c>
      <c r="AB1165" s="111"/>
      <c r="AC1165" s="127" t="s">
        <v>6860</v>
      </c>
      <c r="AD1165" s="720">
        <v>6.0</v>
      </c>
      <c r="AE1165" s="720">
        <v>101.0</v>
      </c>
      <c r="AF1165" s="720">
        <v>0.61</v>
      </c>
      <c r="AG1165" s="127" t="s">
        <v>6861</v>
      </c>
      <c r="AH1165" s="127" t="s">
        <v>1062</v>
      </c>
      <c r="AI1165" s="120">
        <v>0.24</v>
      </c>
      <c r="AJ1165" s="112" t="s">
        <v>164</v>
      </c>
      <c r="AK1165" s="112" t="s">
        <v>211</v>
      </c>
      <c r="AL1165" s="127" t="s">
        <v>132</v>
      </c>
      <c r="AM1165" s="1297" t="s">
        <v>165</v>
      </c>
      <c r="AN1165" s="720">
        <v>160.0</v>
      </c>
      <c r="AO1165" s="720">
        <v>0.20193923478476</v>
      </c>
      <c r="AP1165" s="127" t="s">
        <v>166</v>
      </c>
      <c r="AQ1165" s="1297" t="s">
        <v>6112</v>
      </c>
      <c r="AR1165" s="720">
        <v>0.212129833599919</v>
      </c>
      <c r="AS1165" s="127" t="s">
        <v>164</v>
      </c>
      <c r="AT1165" s="127" t="s">
        <v>211</v>
      </c>
      <c r="AU1165" s="127" t="s">
        <v>132</v>
      </c>
      <c r="AV1165" s="1298" t="s">
        <v>165</v>
      </c>
      <c r="AW1165" s="606" t="s">
        <v>134</v>
      </c>
      <c r="AY1165" s="1297" t="s">
        <v>6113</v>
      </c>
    </row>
    <row r="1166">
      <c r="A1166" s="115" t="s">
        <v>143</v>
      </c>
      <c r="B1166" s="41" t="s">
        <v>107</v>
      </c>
      <c r="C1166" s="41" t="s">
        <v>108</v>
      </c>
      <c r="D1166" s="340"/>
      <c r="E1166" s="1289" t="s">
        <v>6862</v>
      </c>
      <c r="F1166" s="1290" t="s">
        <v>6863</v>
      </c>
      <c r="G1166" s="1291" t="s">
        <v>6097</v>
      </c>
      <c r="H1166" s="1292">
        <v>45691.0</v>
      </c>
      <c r="I1166" s="1293">
        <v>45692.0</v>
      </c>
      <c r="J1166" s="1289"/>
      <c r="K1166" s="1289" t="s">
        <v>6099</v>
      </c>
      <c r="L1166" s="1291" t="s">
        <v>6864</v>
      </c>
      <c r="M1166" s="1291" t="s">
        <v>6865</v>
      </c>
      <c r="N1166" s="1294">
        <v>1.0</v>
      </c>
      <c r="O1166" s="1291" t="s">
        <v>6866</v>
      </c>
      <c r="P1166" s="48" t="str">
        <f t="array" ref="P1166">HYPERLINK(INDEX('File Links'!B:B, MATCH(O1166, 'File Links'!C:C, 0)))
</f>
        <v>https://drive.google.com/file/d/1cd2Q3usXoNSUYACYaL4eodYUxZsj-SOb/view?usp=drivesdk</v>
      </c>
      <c r="Q1166" s="1291" t="s">
        <v>6103</v>
      </c>
      <c r="R1166" s="147" t="s">
        <v>6104</v>
      </c>
      <c r="S1166" s="978" t="s">
        <v>165</v>
      </c>
      <c r="T1166" s="134" t="s">
        <v>165</v>
      </c>
      <c r="U1166" s="1291" t="s">
        <v>6105</v>
      </c>
      <c r="V1166" s="127" t="s">
        <v>318</v>
      </c>
      <c r="W1166" s="45" t="str">
        <f t="array" ref="W1166">HYPERLINK(INDEX('File Links'!B:B, MATCH(U1166, 'File Links'!C:C, 0)))
</f>
        <v>#N/A</v>
      </c>
      <c r="X1166" s="1289"/>
      <c r="Y1166" s="1291" t="s">
        <v>220</v>
      </c>
      <c r="Z1166" s="350" t="s">
        <v>165</v>
      </c>
      <c r="AA1166" s="1289" t="s">
        <v>6867</v>
      </c>
      <c r="AB1166" s="1291" t="s">
        <v>6868</v>
      </c>
      <c r="AC1166" s="1297" t="s">
        <v>6869</v>
      </c>
      <c r="AD1166" s="1316">
        <v>2.0</v>
      </c>
      <c r="AE1166" s="1294">
        <v>36.0</v>
      </c>
      <c r="AF1166" s="1289" t="s">
        <v>6870</v>
      </c>
      <c r="AG1166" s="1289" t="s">
        <v>162</v>
      </c>
      <c r="AH1166" s="1289" t="s">
        <v>886</v>
      </c>
      <c r="AI1166" s="1324" t="s">
        <v>165</v>
      </c>
      <c r="AJ1166" s="1296" t="s">
        <v>164</v>
      </c>
      <c r="AK1166" s="1296" t="s">
        <v>179</v>
      </c>
      <c r="AL1166" s="1334" t="s">
        <v>129</v>
      </c>
      <c r="AM1166" s="1297" t="s">
        <v>165</v>
      </c>
      <c r="AN1166" s="1294">
        <v>39.0</v>
      </c>
      <c r="AO1166" s="1289" t="s">
        <v>6871</v>
      </c>
      <c r="AP1166" s="1289" t="s">
        <v>162</v>
      </c>
      <c r="AQ1166" s="1297" t="s">
        <v>6112</v>
      </c>
      <c r="AR1166" s="1316">
        <v>0.2</v>
      </c>
      <c r="AS1166" s="1289" t="s">
        <v>329</v>
      </c>
      <c r="AT1166" s="1289" t="s">
        <v>179</v>
      </c>
      <c r="AU1166" s="1289" t="s">
        <v>129</v>
      </c>
      <c r="AV1166" s="1298" t="s">
        <v>165</v>
      </c>
      <c r="AW1166" s="1314" t="s">
        <v>134</v>
      </c>
      <c r="AY1166" s="1297" t="s">
        <v>6113</v>
      </c>
    </row>
    <row r="1167">
      <c r="A1167" s="115" t="s">
        <v>106</v>
      </c>
      <c r="B1167" s="41" t="s">
        <v>107</v>
      </c>
      <c r="C1167" s="41" t="s">
        <v>243</v>
      </c>
      <c r="D1167" s="340"/>
      <c r="E1167" s="112" t="s">
        <v>6862</v>
      </c>
      <c r="F1167" s="116" t="s">
        <v>6863</v>
      </c>
      <c r="G1167" s="127" t="s">
        <v>244</v>
      </c>
      <c r="H1167" s="310">
        <v>45667.0</v>
      </c>
      <c r="I1167" s="1301">
        <v>45692.0</v>
      </c>
      <c r="J1167" s="127" t="s">
        <v>6872</v>
      </c>
      <c r="K1167" s="111" t="s">
        <v>6099</v>
      </c>
      <c r="L1167" s="127" t="s">
        <v>6864</v>
      </c>
      <c r="M1167" s="127" t="s">
        <v>6865</v>
      </c>
      <c r="N1167" s="111"/>
      <c r="O1167" s="127" t="str">
        <f> SUBSTITUTE(lower(M1167), "/", "--") &amp;  ".pdf"</f>
        <v>10.1111--j.1467-9280.2008.02040.x.pdf</v>
      </c>
      <c r="P1167" s="48" t="str">
        <f t="array" ref="P1167">HYPERLINK(INDEX('File Links'!B:B, MATCH(O1167, 'File Links'!C:C, 0)))
</f>
        <v>https://drive.google.com/file/d/1cd2Q3usXoNSUYACYaL4eodYUxZsj-SOb/view?usp=drivesdk</v>
      </c>
      <c r="Q1167" s="127" t="s">
        <v>6873</v>
      </c>
      <c r="R1167" s="147" t="s">
        <v>6104</v>
      </c>
      <c r="S1167" s="978" t="s">
        <v>165</v>
      </c>
      <c r="T1167" s="134" t="s">
        <v>165</v>
      </c>
      <c r="U1167" s="127" t="s">
        <v>6105</v>
      </c>
      <c r="V1167" s="127" t="s">
        <v>318</v>
      </c>
      <c r="W1167" s="45" t="str">
        <f t="array" ref="W1167">HYPERLINK(INDEX('File Links'!B:B, MATCH(U1167, 'File Links'!C:C, 0)))
</f>
        <v>#N/A</v>
      </c>
      <c r="X1167" s="111"/>
      <c r="Y1167" s="127" t="s">
        <v>220</v>
      </c>
      <c r="Z1167" s="111"/>
      <c r="AA1167" s="111"/>
      <c r="AB1167" s="111"/>
      <c r="AC1167" s="127" t="s">
        <v>6874</v>
      </c>
      <c r="AD1167" s="720">
        <v>21.0</v>
      </c>
      <c r="AE1167" s="720">
        <v>36.0</v>
      </c>
      <c r="AF1167" s="720">
        <v>5.89</v>
      </c>
      <c r="AG1167" s="127" t="s">
        <v>1051</v>
      </c>
      <c r="AH1167" s="127" t="s">
        <v>5049</v>
      </c>
      <c r="AI1167" s="120">
        <v>0.0206772695323613</v>
      </c>
      <c r="AJ1167" s="112" t="s">
        <v>164</v>
      </c>
      <c r="AK1167" s="112" t="s">
        <v>128</v>
      </c>
      <c r="AL1167" s="127" t="s">
        <v>821</v>
      </c>
      <c r="AM1167" s="1297" t="s">
        <v>165</v>
      </c>
      <c r="AN1167" s="720">
        <v>39.0</v>
      </c>
      <c r="AO1167" s="720">
        <v>1.51</v>
      </c>
      <c r="AP1167" s="127" t="s">
        <v>1051</v>
      </c>
      <c r="AQ1167" s="1297" t="s">
        <v>6112</v>
      </c>
      <c r="AR1167" s="720">
        <v>0.226694821848151</v>
      </c>
      <c r="AS1167" s="127" t="s">
        <v>164</v>
      </c>
      <c r="AT1167" s="127" t="s">
        <v>128</v>
      </c>
      <c r="AU1167" s="127" t="s">
        <v>821</v>
      </c>
      <c r="AV1167" s="1298" t="s">
        <v>165</v>
      </c>
      <c r="AW1167" s="127" t="s">
        <v>134</v>
      </c>
      <c r="AY1167" s="1297" t="s">
        <v>6113</v>
      </c>
    </row>
    <row r="1168">
      <c r="A1168" s="115" t="s">
        <v>143</v>
      </c>
      <c r="B1168" s="41" t="s">
        <v>107</v>
      </c>
      <c r="C1168" s="41" t="s">
        <v>108</v>
      </c>
      <c r="D1168" s="340"/>
      <c r="E1168" s="1289" t="s">
        <v>6875</v>
      </c>
      <c r="F1168" s="1290" t="s">
        <v>6876</v>
      </c>
      <c r="G1168" s="1291" t="s">
        <v>6097</v>
      </c>
      <c r="H1168" s="1292">
        <v>45691.0</v>
      </c>
      <c r="I1168" s="1293">
        <v>45692.0</v>
      </c>
      <c r="J1168" s="1289"/>
      <c r="K1168" s="1289" t="s">
        <v>6099</v>
      </c>
      <c r="L1168" s="1291" t="s">
        <v>6877</v>
      </c>
      <c r="M1168" s="1291" t="s">
        <v>6878</v>
      </c>
      <c r="N1168" s="1291" t="s">
        <v>3511</v>
      </c>
      <c r="O1168" s="1291" t="s">
        <v>6879</v>
      </c>
      <c r="P1168" s="48" t="str">
        <f t="array" ref="P1168">HYPERLINK(INDEX('File Links'!B:B, MATCH(O1168, 'File Links'!C:C, 0)))
</f>
        <v>https://drive.google.com/file/d/1OSEYoq50TRvyqkjozHLp1CtvXHG-6rLL/view?usp=drivesdk</v>
      </c>
      <c r="Q1168" s="1291" t="s">
        <v>6103</v>
      </c>
      <c r="R1168" s="147" t="s">
        <v>6104</v>
      </c>
      <c r="S1168" s="978" t="s">
        <v>165</v>
      </c>
      <c r="T1168" s="134" t="s">
        <v>165</v>
      </c>
      <c r="U1168" s="1291" t="s">
        <v>6105</v>
      </c>
      <c r="V1168" s="127" t="s">
        <v>6117</v>
      </c>
      <c r="W1168" s="45" t="str">
        <f t="array" ref="W1168">HYPERLINK(INDEX('File Links'!B:B, MATCH(U1168, 'File Links'!C:C, 0)))
</f>
        <v>#N/A</v>
      </c>
      <c r="X1168" s="1289"/>
      <c r="Y1168" s="1291" t="s">
        <v>139</v>
      </c>
      <c r="Z1168" s="350" t="s">
        <v>165</v>
      </c>
      <c r="AA1168" s="1289" t="s">
        <v>6880</v>
      </c>
      <c r="AB1168" s="1291" t="s">
        <v>6881</v>
      </c>
      <c r="AC1168" s="1289" t="s">
        <v>6882</v>
      </c>
      <c r="AD1168" s="1316">
        <v>5.0</v>
      </c>
      <c r="AE1168" s="1294">
        <v>608.0</v>
      </c>
      <c r="AF1168" s="1311">
        <v>0.32</v>
      </c>
      <c r="AG1168" s="1311" t="s">
        <v>1275</v>
      </c>
      <c r="AH1168" s="1289" t="s">
        <v>892</v>
      </c>
      <c r="AI1168" s="1300">
        <v>0.001</v>
      </c>
      <c r="AJ1168" s="1296" t="s">
        <v>127</v>
      </c>
      <c r="AK1168" s="1296" t="s">
        <v>128</v>
      </c>
      <c r="AL1168" s="1289" t="s">
        <v>129</v>
      </c>
      <c r="AM1168" s="1317" t="s">
        <v>6883</v>
      </c>
      <c r="AN1168" s="1294">
        <v>51.0</v>
      </c>
      <c r="AO1168" s="1289" t="s">
        <v>6884</v>
      </c>
      <c r="AP1168" s="1289" t="s">
        <v>162</v>
      </c>
      <c r="AQ1168" s="1297" t="s">
        <v>6112</v>
      </c>
      <c r="AR1168" s="1297" t="s">
        <v>165</v>
      </c>
      <c r="AS1168" s="128" t="s">
        <v>165</v>
      </c>
      <c r="AT1168" s="1289" t="s">
        <v>179</v>
      </c>
      <c r="AU1168" s="1289" t="s">
        <v>129</v>
      </c>
      <c r="AV1168" s="1298" t="s">
        <v>165</v>
      </c>
      <c r="AW1168" s="1289" t="s">
        <v>134</v>
      </c>
      <c r="AY1168" s="1297" t="s">
        <v>6113</v>
      </c>
    </row>
    <row r="1169">
      <c r="A1169" s="60" t="s">
        <v>106</v>
      </c>
      <c r="B1169" s="41" t="s">
        <v>107</v>
      </c>
      <c r="C1169" s="41" t="s">
        <v>243</v>
      </c>
      <c r="D1169" s="340"/>
      <c r="E1169" s="112" t="s">
        <v>6875</v>
      </c>
      <c r="F1169" s="116" t="s">
        <v>6876</v>
      </c>
      <c r="G1169" s="127" t="s">
        <v>244</v>
      </c>
      <c r="H1169" s="310">
        <v>45667.0</v>
      </c>
      <c r="I1169" s="1301">
        <v>45692.0</v>
      </c>
      <c r="J1169" s="127" t="s">
        <v>6190</v>
      </c>
      <c r="K1169" s="111" t="s">
        <v>6099</v>
      </c>
      <c r="L1169" s="127" t="s">
        <v>6877</v>
      </c>
      <c r="M1169" s="127" t="s">
        <v>6878</v>
      </c>
      <c r="N1169" s="111"/>
      <c r="O1169" s="127" t="str">
        <f> SUBSTITUTE(lower(M1169), "/", "--") &amp;  ".pdf"</f>
        <v>10.1073--pnas.2014505117.pdf</v>
      </c>
      <c r="P1169" s="48" t="str">
        <f t="array" ref="P1169">HYPERLINK(INDEX('File Links'!B:B, MATCH(O1169, 'File Links'!C:C, 0)))
</f>
        <v>https://drive.google.com/file/d/1OSEYoq50TRvyqkjozHLp1CtvXHG-6rLL/view?usp=drivesdk</v>
      </c>
      <c r="Q1169" s="127" t="s">
        <v>6885</v>
      </c>
      <c r="R1169" s="147" t="s">
        <v>6104</v>
      </c>
      <c r="S1169" s="978" t="s">
        <v>165</v>
      </c>
      <c r="T1169" s="134" t="s">
        <v>165</v>
      </c>
      <c r="U1169" s="127" t="s">
        <v>6105</v>
      </c>
      <c r="V1169" s="127" t="s">
        <v>6117</v>
      </c>
      <c r="W1169" s="45" t="str">
        <f t="array" ref="W1169">HYPERLINK(INDEX('File Links'!B:B, MATCH(U1169, 'File Links'!C:C, 0)))
</f>
        <v>#N/A</v>
      </c>
      <c r="X1169" s="111"/>
      <c r="Y1169" s="127" t="s">
        <v>139</v>
      </c>
      <c r="Z1169" s="111"/>
      <c r="AA1169" s="111"/>
      <c r="AB1169" s="111"/>
      <c r="AC1169" s="127" t="s">
        <v>165</v>
      </c>
      <c r="AD1169" s="127" t="s">
        <v>165</v>
      </c>
      <c r="AE1169" s="720">
        <v>608.0</v>
      </c>
      <c r="AF1169" s="127" t="s">
        <v>165</v>
      </c>
      <c r="AG1169" s="127" t="s">
        <v>165</v>
      </c>
      <c r="AH1169" s="127" t="s">
        <v>165</v>
      </c>
      <c r="AI1169" s="212" t="s">
        <v>165</v>
      </c>
      <c r="AJ1169" s="119"/>
      <c r="AK1169" s="112" t="s">
        <v>179</v>
      </c>
      <c r="AL1169" s="127" t="s">
        <v>821</v>
      </c>
      <c r="AM1169" s="112" t="s">
        <v>6886</v>
      </c>
      <c r="AN1169" s="720">
        <v>51.0</v>
      </c>
      <c r="AO1169" s="127" t="s">
        <v>165</v>
      </c>
      <c r="AP1169" s="111"/>
      <c r="AQ1169" s="1297" t="s">
        <v>6112</v>
      </c>
      <c r="AR1169" s="127" t="s">
        <v>165</v>
      </c>
      <c r="AS1169" s="111"/>
      <c r="AT1169" s="127" t="s">
        <v>179</v>
      </c>
      <c r="AU1169" s="127" t="s">
        <v>821</v>
      </c>
      <c r="AV1169" s="1298" t="s">
        <v>165</v>
      </c>
      <c r="AW1169" s="606" t="s">
        <v>134</v>
      </c>
      <c r="AY1169" s="1297" t="s">
        <v>6113</v>
      </c>
    </row>
    <row r="1170">
      <c r="A1170" s="115" t="s">
        <v>143</v>
      </c>
      <c r="B1170" s="41" t="s">
        <v>107</v>
      </c>
      <c r="C1170" s="41" t="s">
        <v>108</v>
      </c>
      <c r="D1170" s="340"/>
      <c r="E1170" s="1289" t="s">
        <v>6887</v>
      </c>
      <c r="F1170" s="1290" t="s">
        <v>6888</v>
      </c>
      <c r="G1170" s="1291" t="s">
        <v>6097</v>
      </c>
      <c r="H1170" s="1292">
        <v>45691.0</v>
      </c>
      <c r="I1170" s="1293">
        <v>45692.0</v>
      </c>
      <c r="J1170" s="1289" t="s">
        <v>6889</v>
      </c>
      <c r="K1170" s="1297" t="s">
        <v>6890</v>
      </c>
      <c r="L1170" s="1291" t="s">
        <v>6891</v>
      </c>
      <c r="M1170" s="1291" t="s">
        <v>6892</v>
      </c>
      <c r="N1170" s="1294">
        <v>4.0</v>
      </c>
      <c r="O1170" s="1291" t="s">
        <v>6893</v>
      </c>
      <c r="P1170" s="48" t="str">
        <f t="array" ref="P1170">HYPERLINK(INDEX('File Links'!B:B, MATCH(O1170, 'File Links'!C:C, 0)))
</f>
        <v>https://drive.google.com/file/d/1nhF9YyHcpfCFAHZNSHYOdrHjNY6W4OdA/view?usp=drivesdk</v>
      </c>
      <c r="Q1170" s="1291" t="s">
        <v>6103</v>
      </c>
      <c r="R1170" s="147" t="s">
        <v>6104</v>
      </c>
      <c r="S1170" s="978" t="s">
        <v>165</v>
      </c>
      <c r="T1170" s="134" t="s">
        <v>165</v>
      </c>
      <c r="U1170" s="1291" t="s">
        <v>6105</v>
      </c>
      <c r="V1170" s="127" t="s">
        <v>318</v>
      </c>
      <c r="W1170" s="45" t="str">
        <f t="array" ref="W1170">HYPERLINK(INDEX('File Links'!B:B, MATCH(U1170, 'File Links'!C:C, 0)))
</f>
        <v>#N/A</v>
      </c>
      <c r="X1170" s="1289"/>
      <c r="Y1170" s="1291" t="s">
        <v>220</v>
      </c>
      <c r="Z1170" s="350" t="s">
        <v>165</v>
      </c>
      <c r="AA1170" s="1289" t="s">
        <v>6894</v>
      </c>
      <c r="AB1170" s="1291" t="s">
        <v>6895</v>
      </c>
      <c r="AC1170" s="1297" t="s">
        <v>165</v>
      </c>
      <c r="AD1170" s="1297" t="s">
        <v>165</v>
      </c>
      <c r="AE1170" s="1294">
        <v>122.0</v>
      </c>
      <c r="AF1170" s="1297">
        <v>0.5062683995</v>
      </c>
      <c r="AG1170" s="1289" t="s">
        <v>166</v>
      </c>
      <c r="AH1170" s="1297" t="s">
        <v>6896</v>
      </c>
      <c r="AI1170" s="1300">
        <v>0.00716387110547914</v>
      </c>
      <c r="AJ1170" s="1296" t="s">
        <v>164</v>
      </c>
      <c r="AK1170" s="1296" t="s">
        <v>179</v>
      </c>
      <c r="AL1170" s="1289" t="s">
        <v>129</v>
      </c>
      <c r="AM1170" s="1297" t="s">
        <v>165</v>
      </c>
      <c r="AN1170" s="1294">
        <v>126.0</v>
      </c>
      <c r="AO1170" s="1316">
        <v>0.187279695136782</v>
      </c>
      <c r="AP1170" s="1289" t="s">
        <v>166</v>
      </c>
      <c r="AQ1170" s="1297" t="s">
        <v>6112</v>
      </c>
      <c r="AR1170" s="1316">
        <v>0.363766425742599</v>
      </c>
      <c r="AS1170" s="1289" t="s">
        <v>164</v>
      </c>
      <c r="AT1170" s="1289" t="s">
        <v>179</v>
      </c>
      <c r="AU1170" s="1289" t="s">
        <v>129</v>
      </c>
      <c r="AV1170" s="1298" t="s">
        <v>165</v>
      </c>
      <c r="AW1170" s="1289" t="s">
        <v>134</v>
      </c>
      <c r="AY1170" s="1297" t="s">
        <v>6113</v>
      </c>
    </row>
    <row r="1171">
      <c r="A1171" s="115" t="s">
        <v>106</v>
      </c>
      <c r="B1171" s="41" t="s">
        <v>107</v>
      </c>
      <c r="C1171" s="41" t="s">
        <v>243</v>
      </c>
      <c r="D1171" s="340"/>
      <c r="E1171" s="112" t="s">
        <v>6887</v>
      </c>
      <c r="F1171" s="116" t="s">
        <v>6888</v>
      </c>
      <c r="G1171" s="127" t="s">
        <v>244</v>
      </c>
      <c r="H1171" s="310">
        <v>45667.0</v>
      </c>
      <c r="I1171" s="1301">
        <v>45692.0</v>
      </c>
      <c r="J1171" s="127" t="s">
        <v>6897</v>
      </c>
      <c r="K1171" s="111" t="s">
        <v>6099</v>
      </c>
      <c r="L1171" s="127" t="s">
        <v>6891</v>
      </c>
      <c r="M1171" s="127" t="s">
        <v>6892</v>
      </c>
      <c r="N1171" s="111"/>
      <c r="O1171" s="127" t="str">
        <f t="shared" ref="O1171:O1175" si="70"> SUBSTITUTE(lower(M1171), "/", "--") &amp;  ".pdf"</f>
        <v>10.1177--0956797615572231.pdf</v>
      </c>
      <c r="P1171" s="48" t="str">
        <f t="array" ref="P1171">HYPERLINK(INDEX('File Links'!B:B, MATCH(O1171, 'File Links'!C:C, 0)))
</f>
        <v>https://drive.google.com/file/d/1nhF9YyHcpfCFAHZNSHYOdrHjNY6W4OdA/view?usp=drivesdk</v>
      </c>
      <c r="Q1171" s="127" t="s">
        <v>6898</v>
      </c>
      <c r="R1171" s="147" t="s">
        <v>6104</v>
      </c>
      <c r="S1171" s="978" t="s">
        <v>165</v>
      </c>
      <c r="T1171" s="134" t="s">
        <v>165</v>
      </c>
      <c r="U1171" s="127" t="s">
        <v>6105</v>
      </c>
      <c r="V1171" s="127" t="s">
        <v>318</v>
      </c>
      <c r="W1171" s="45" t="str">
        <f t="array" ref="W1171">HYPERLINK(INDEX('File Links'!B:B, MATCH(U1171, 'File Links'!C:C, 0)))
</f>
        <v>#N/A</v>
      </c>
      <c r="X1171" s="111"/>
      <c r="Y1171" s="127" t="s">
        <v>220</v>
      </c>
      <c r="Z1171" s="111"/>
      <c r="AA1171" s="111"/>
      <c r="AB1171" s="111"/>
      <c r="AC1171" s="127" t="s">
        <v>165</v>
      </c>
      <c r="AD1171" s="720">
        <v>122.0</v>
      </c>
      <c r="AE1171" s="127" t="s">
        <v>165</v>
      </c>
      <c r="AF1171" s="720">
        <v>0.506268399475705</v>
      </c>
      <c r="AG1171" s="127" t="s">
        <v>166</v>
      </c>
      <c r="AH1171" s="127" t="s">
        <v>165</v>
      </c>
      <c r="AI1171" s="120">
        <v>0.00716387110547914</v>
      </c>
      <c r="AJ1171" s="112" t="s">
        <v>164</v>
      </c>
      <c r="AK1171" s="112" t="s">
        <v>179</v>
      </c>
      <c r="AL1171" s="127" t="s">
        <v>821</v>
      </c>
      <c r="AM1171" s="1297" t="s">
        <v>165</v>
      </c>
      <c r="AN1171" s="720">
        <v>126.0</v>
      </c>
      <c r="AO1171" s="720">
        <v>0.187279695136782</v>
      </c>
      <c r="AP1171" s="127" t="s">
        <v>166</v>
      </c>
      <c r="AQ1171" s="1297" t="s">
        <v>6112</v>
      </c>
      <c r="AR1171" s="720">
        <v>0.363766425742599</v>
      </c>
      <c r="AS1171" s="127" t="s">
        <v>164</v>
      </c>
      <c r="AT1171" s="127" t="s">
        <v>179</v>
      </c>
      <c r="AU1171" s="127" t="s">
        <v>821</v>
      </c>
      <c r="AV1171" s="1298" t="s">
        <v>165</v>
      </c>
      <c r="AW1171" s="606" t="s">
        <v>134</v>
      </c>
      <c r="AY1171" s="1297" t="s">
        <v>6113</v>
      </c>
    </row>
    <row r="1172">
      <c r="A1172" s="115" t="s">
        <v>143</v>
      </c>
      <c r="B1172" s="41" t="s">
        <v>107</v>
      </c>
      <c r="C1172" s="41" t="s">
        <v>108</v>
      </c>
      <c r="D1172" s="340"/>
      <c r="E1172" s="1289" t="s">
        <v>6899</v>
      </c>
      <c r="F1172" s="1290" t="s">
        <v>6900</v>
      </c>
      <c r="G1172" s="1291" t="s">
        <v>6097</v>
      </c>
      <c r="H1172" s="1292">
        <v>45691.0</v>
      </c>
      <c r="I1172" s="1293">
        <v>45692.0</v>
      </c>
      <c r="J1172" s="1289"/>
      <c r="K1172" s="1289" t="s">
        <v>6099</v>
      </c>
      <c r="L1172" s="1291" t="s">
        <v>6901</v>
      </c>
      <c r="M1172" s="1289" t="s">
        <v>6902</v>
      </c>
      <c r="N1172" s="1294">
        <v>4.0</v>
      </c>
      <c r="O1172" s="127" t="str">
        <f t="shared" si="70"/>
        <v>10.1038--s41598-019-57204-1.pdf</v>
      </c>
      <c r="P1172" s="48" t="str">
        <f t="array" ref="P1172">HYPERLINK(INDEX('File Links'!B:B, MATCH(O1172, 'File Links'!C:C, 0)))
</f>
        <v>https://drive.google.com/file/d/1-ByeeNB55CftwPMrOwFmhKHJtA2Cargu/view?usp=drivesdk</v>
      </c>
      <c r="Q1172" s="1291" t="s">
        <v>6103</v>
      </c>
      <c r="R1172" s="147" t="s">
        <v>6104</v>
      </c>
      <c r="S1172" s="978" t="s">
        <v>165</v>
      </c>
      <c r="T1172" s="134" t="s">
        <v>165</v>
      </c>
      <c r="U1172" s="1291" t="s">
        <v>6105</v>
      </c>
      <c r="V1172" s="127" t="s">
        <v>6349</v>
      </c>
      <c r="W1172" s="45" t="str">
        <f t="array" ref="W1172">HYPERLINK(INDEX('File Links'!B:B, MATCH(U1172, 'File Links'!C:C, 0)))
</f>
        <v>#N/A</v>
      </c>
      <c r="X1172" s="1289"/>
      <c r="Y1172" s="1291" t="s">
        <v>139</v>
      </c>
      <c r="Z1172" s="350" t="s">
        <v>165</v>
      </c>
      <c r="AA1172" s="1289" t="s">
        <v>6903</v>
      </c>
      <c r="AB1172" s="1291" t="s">
        <v>6904</v>
      </c>
      <c r="AC1172" s="1289" t="s">
        <v>6905</v>
      </c>
      <c r="AD1172" s="1289" t="s">
        <v>6664</v>
      </c>
      <c r="AE1172" s="1294">
        <v>793.0</v>
      </c>
      <c r="AF1172" s="1316">
        <v>1.18059532</v>
      </c>
      <c r="AG1172" s="1289" t="s">
        <v>166</v>
      </c>
      <c r="AH1172" s="1297" t="s">
        <v>6906</v>
      </c>
      <c r="AI1172" s="1321">
        <v>3.26311635515222E-152</v>
      </c>
      <c r="AJ1172" s="1296" t="s">
        <v>164</v>
      </c>
      <c r="AK1172" s="1296" t="s">
        <v>179</v>
      </c>
      <c r="AL1172" s="1289" t="s">
        <v>129</v>
      </c>
      <c r="AM1172" s="1297" t="s">
        <v>165</v>
      </c>
      <c r="AN1172" s="1294">
        <v>37.0</v>
      </c>
      <c r="AO1172" s="1316">
        <v>0.485734799228491</v>
      </c>
      <c r="AP1172" s="1289" t="s">
        <v>166</v>
      </c>
      <c r="AQ1172" s="1297" t="s">
        <v>6112</v>
      </c>
      <c r="AR1172" s="1316">
        <v>0.00617483036055436</v>
      </c>
      <c r="AS1172" s="1289" t="s">
        <v>164</v>
      </c>
      <c r="AT1172" s="1289" t="s">
        <v>179</v>
      </c>
      <c r="AU1172" s="1289" t="s">
        <v>129</v>
      </c>
      <c r="AV1172" s="1298" t="s">
        <v>165</v>
      </c>
      <c r="AW1172" s="1314" t="s">
        <v>134</v>
      </c>
      <c r="AY1172" s="1297" t="s">
        <v>6113</v>
      </c>
    </row>
    <row r="1173">
      <c r="A1173" s="115" t="s">
        <v>106</v>
      </c>
      <c r="B1173" s="41" t="s">
        <v>107</v>
      </c>
      <c r="C1173" s="41" t="s">
        <v>243</v>
      </c>
      <c r="D1173" s="340"/>
      <c r="E1173" s="112" t="s">
        <v>6899</v>
      </c>
      <c r="F1173" s="116" t="s">
        <v>6900</v>
      </c>
      <c r="G1173" s="127" t="s">
        <v>244</v>
      </c>
      <c r="H1173" s="310">
        <v>45667.0</v>
      </c>
      <c r="I1173" s="1301">
        <v>45692.0</v>
      </c>
      <c r="J1173" s="111"/>
      <c r="K1173" s="111" t="s">
        <v>6099</v>
      </c>
      <c r="L1173" s="127" t="s">
        <v>6901</v>
      </c>
      <c r="M1173" s="127" t="s">
        <v>6902</v>
      </c>
      <c r="N1173" s="111"/>
      <c r="O1173" s="127" t="str">
        <f t="shared" si="70"/>
        <v>10.1038--s41598-019-57204-1.pdf</v>
      </c>
      <c r="P1173" s="48" t="str">
        <f t="array" ref="P1173">HYPERLINK(INDEX('File Links'!B:B, MATCH(O1173, 'File Links'!C:C, 0)))
</f>
        <v>https://drive.google.com/file/d/1-ByeeNB55CftwPMrOwFmhKHJtA2Cargu/view?usp=drivesdk</v>
      </c>
      <c r="Q1173" s="127" t="s">
        <v>6907</v>
      </c>
      <c r="R1173" s="147" t="s">
        <v>6104</v>
      </c>
      <c r="S1173" s="978" t="s">
        <v>165</v>
      </c>
      <c r="T1173" s="134" t="s">
        <v>165</v>
      </c>
      <c r="U1173" s="127" t="s">
        <v>6105</v>
      </c>
      <c r="V1173" s="127" t="s">
        <v>6349</v>
      </c>
      <c r="W1173" s="45" t="str">
        <f t="array" ref="W1173">HYPERLINK(INDEX('File Links'!B:B, MATCH(U1173, 'File Links'!C:C, 0)))
</f>
        <v>#N/A</v>
      </c>
      <c r="X1173" s="111"/>
      <c r="Y1173" s="127" t="s">
        <v>139</v>
      </c>
      <c r="Z1173" s="111"/>
      <c r="AA1173" s="111"/>
      <c r="AB1173" s="111"/>
      <c r="AC1173" s="127" t="s">
        <v>6908</v>
      </c>
      <c r="AD1173" s="720">
        <v>6.0</v>
      </c>
      <c r="AE1173" s="720">
        <v>793.0</v>
      </c>
      <c r="AF1173" s="720">
        <v>60502.0</v>
      </c>
      <c r="AG1173" s="127" t="s">
        <v>6909</v>
      </c>
      <c r="AH1173" s="127" t="s">
        <v>4365</v>
      </c>
      <c r="AI1173" s="120">
        <v>0.001</v>
      </c>
      <c r="AJ1173" s="112" t="s">
        <v>127</v>
      </c>
      <c r="AK1173" s="112" t="s">
        <v>179</v>
      </c>
      <c r="AL1173" s="127" t="s">
        <v>821</v>
      </c>
      <c r="AM1173" s="1297" t="s">
        <v>165</v>
      </c>
      <c r="AN1173" s="720">
        <v>37.0</v>
      </c>
      <c r="AO1173" s="720">
        <v>0.485734799228491</v>
      </c>
      <c r="AP1173" s="127" t="s">
        <v>166</v>
      </c>
      <c r="AQ1173" s="1297" t="s">
        <v>6112</v>
      </c>
      <c r="AR1173" s="720">
        <v>0.00617483036055436</v>
      </c>
      <c r="AS1173" s="127" t="s">
        <v>164</v>
      </c>
      <c r="AT1173" s="127" t="s">
        <v>179</v>
      </c>
      <c r="AU1173" s="127" t="s">
        <v>821</v>
      </c>
      <c r="AV1173" s="1298" t="s">
        <v>165</v>
      </c>
      <c r="AW1173" s="606" t="s">
        <v>134</v>
      </c>
      <c r="AY1173" s="1297" t="s">
        <v>6113</v>
      </c>
    </row>
    <row r="1174">
      <c r="A1174" s="115" t="s">
        <v>143</v>
      </c>
      <c r="B1174" s="41" t="s">
        <v>107</v>
      </c>
      <c r="C1174" s="41" t="s">
        <v>108</v>
      </c>
      <c r="D1174" s="340"/>
      <c r="E1174" s="1289" t="s">
        <v>6910</v>
      </c>
      <c r="F1174" s="1290" t="s">
        <v>6911</v>
      </c>
      <c r="G1174" s="1291" t="s">
        <v>6097</v>
      </c>
      <c r="H1174" s="1292">
        <v>45691.0</v>
      </c>
      <c r="I1174" s="1293">
        <v>45692.0</v>
      </c>
      <c r="J1174" s="1289"/>
      <c r="K1174" s="1289" t="s">
        <v>6099</v>
      </c>
      <c r="L1174" s="1291" t="s">
        <v>6912</v>
      </c>
      <c r="M1174" s="1289" t="s">
        <v>6913</v>
      </c>
      <c r="N1174" s="1294">
        <v>5.0</v>
      </c>
      <c r="O1174" s="127" t="str">
        <f t="shared" si="70"/>
        <v>10.1037--a0016795.pdf</v>
      </c>
      <c r="P1174" s="48" t="str">
        <f t="array" ref="P1174">HYPERLINK(INDEX('File Links'!B:B, MATCH(O1174, 'File Links'!C:C, 0)))
</f>
        <v>https://drive.google.com/file/d/10tpM-QAfI0H0NH6vAvH9VLJJki0FnCbu/view?usp=drivesdk</v>
      </c>
      <c r="Q1174" s="1291" t="s">
        <v>6103</v>
      </c>
      <c r="R1174" s="147" t="s">
        <v>6104</v>
      </c>
      <c r="S1174" s="978" t="s">
        <v>165</v>
      </c>
      <c r="T1174" s="134" t="s">
        <v>165</v>
      </c>
      <c r="U1174" s="1291" t="s">
        <v>6105</v>
      </c>
      <c r="V1174" s="127" t="s">
        <v>318</v>
      </c>
      <c r="W1174" s="45" t="str">
        <f t="array" ref="W1174">HYPERLINK(INDEX('File Links'!B:B, MATCH(U1174, 'File Links'!C:C, 0)))
</f>
        <v>#N/A</v>
      </c>
      <c r="X1174" s="1289"/>
      <c r="Y1174" s="1291" t="s">
        <v>139</v>
      </c>
      <c r="Z1174" s="350" t="s">
        <v>165</v>
      </c>
      <c r="AA1174" s="1289" t="s">
        <v>6914</v>
      </c>
      <c r="AB1174" s="1291" t="s">
        <v>6915</v>
      </c>
      <c r="AC1174" s="1289" t="s">
        <v>6916</v>
      </c>
      <c r="AD1174" s="1316">
        <v>10.0</v>
      </c>
      <c r="AE1174" s="1294">
        <v>172.0</v>
      </c>
      <c r="AF1174" s="1294">
        <v>1.49</v>
      </c>
      <c r="AG1174" s="1291" t="s">
        <v>166</v>
      </c>
      <c r="AH1174" s="1289" t="s">
        <v>629</v>
      </c>
      <c r="AI1174" s="1321">
        <v>0.001</v>
      </c>
      <c r="AJ1174" s="1296" t="s">
        <v>127</v>
      </c>
      <c r="AK1174" s="1296" t="s">
        <v>179</v>
      </c>
      <c r="AL1174" s="1289" t="s">
        <v>129</v>
      </c>
      <c r="AM1174" s="1297" t="s">
        <v>165</v>
      </c>
      <c r="AN1174" s="1294">
        <v>81.0</v>
      </c>
      <c r="AO1174" s="1294">
        <v>1.35099963</v>
      </c>
      <c r="AP1174" s="1291" t="s">
        <v>166</v>
      </c>
      <c r="AQ1174" s="1297" t="s">
        <v>6112</v>
      </c>
      <c r="AR1174" s="1316">
        <v>0.0413395620626535</v>
      </c>
      <c r="AS1174" s="1289" t="s">
        <v>164</v>
      </c>
      <c r="AT1174" s="1289" t="s">
        <v>179</v>
      </c>
      <c r="AU1174" s="1289" t="s">
        <v>129</v>
      </c>
      <c r="AV1174" s="1298" t="s">
        <v>165</v>
      </c>
      <c r="AW1174" s="1314" t="s">
        <v>134</v>
      </c>
      <c r="AY1174" s="1297" t="s">
        <v>6113</v>
      </c>
    </row>
    <row r="1175">
      <c r="A1175" s="115" t="s">
        <v>106</v>
      </c>
      <c r="B1175" s="41" t="s">
        <v>107</v>
      </c>
      <c r="C1175" s="41" t="s">
        <v>243</v>
      </c>
      <c r="D1175" s="340"/>
      <c r="E1175" s="112" t="s">
        <v>6910</v>
      </c>
      <c r="F1175" s="116" t="s">
        <v>6911</v>
      </c>
      <c r="G1175" s="127" t="s">
        <v>244</v>
      </c>
      <c r="H1175" s="310">
        <v>45667.0</v>
      </c>
      <c r="I1175" s="1301">
        <v>45692.0</v>
      </c>
      <c r="J1175" s="111"/>
      <c r="K1175" s="111" t="s">
        <v>6099</v>
      </c>
      <c r="L1175" s="127" t="s">
        <v>6912</v>
      </c>
      <c r="M1175" s="127" t="s">
        <v>6913</v>
      </c>
      <c r="N1175" s="111"/>
      <c r="O1175" s="127" t="str">
        <f t="shared" si="70"/>
        <v>10.1037--a0016795.pdf</v>
      </c>
      <c r="P1175" s="48" t="str">
        <f t="array" ref="P1175">HYPERLINK(INDEX('File Links'!B:B, MATCH(O1175, 'File Links'!C:C, 0)))
</f>
        <v>https://drive.google.com/file/d/10tpM-QAfI0H0NH6vAvH9VLJJki0FnCbu/view?usp=drivesdk</v>
      </c>
      <c r="Q1175" s="127" t="s">
        <v>6917</v>
      </c>
      <c r="R1175" s="147" t="s">
        <v>6104</v>
      </c>
      <c r="S1175" s="978" t="s">
        <v>165</v>
      </c>
      <c r="T1175" s="134" t="s">
        <v>165</v>
      </c>
      <c r="U1175" s="127" t="s">
        <v>6105</v>
      </c>
      <c r="V1175" s="127" t="s">
        <v>318</v>
      </c>
      <c r="W1175" s="45" t="str">
        <f t="array" ref="W1175">HYPERLINK(INDEX('File Links'!B:B, MATCH(U1175, 'File Links'!C:C, 0)))
</f>
        <v>#N/A</v>
      </c>
      <c r="X1175" s="111"/>
      <c r="Y1175" s="127" t="s">
        <v>220</v>
      </c>
      <c r="Z1175" s="111"/>
      <c r="AA1175" s="111"/>
      <c r="AB1175" s="111"/>
      <c r="AC1175" s="127" t="s">
        <v>6918</v>
      </c>
      <c r="AD1175" s="720">
        <v>512.0</v>
      </c>
      <c r="AE1175" s="720">
        <v>172.0</v>
      </c>
      <c r="AF1175" s="720">
        <v>1.49</v>
      </c>
      <c r="AG1175" s="127" t="s">
        <v>166</v>
      </c>
      <c r="AH1175" s="127" t="s">
        <v>6919</v>
      </c>
      <c r="AI1175" s="120">
        <v>0.001</v>
      </c>
      <c r="AJ1175" s="112" t="s">
        <v>127</v>
      </c>
      <c r="AK1175" s="112" t="s">
        <v>211</v>
      </c>
      <c r="AL1175" s="127" t="s">
        <v>129</v>
      </c>
      <c r="AM1175" s="1297" t="s">
        <v>165</v>
      </c>
      <c r="AN1175" s="720">
        <v>81.0</v>
      </c>
      <c r="AO1175" s="720">
        <v>1.35099962990372</v>
      </c>
      <c r="AP1175" s="127" t="s">
        <v>166</v>
      </c>
      <c r="AQ1175" s="1297" t="s">
        <v>6112</v>
      </c>
      <c r="AR1175" s="720">
        <v>0.0413395620626535</v>
      </c>
      <c r="AS1175" s="127" t="s">
        <v>164</v>
      </c>
      <c r="AT1175" s="127" t="s">
        <v>211</v>
      </c>
      <c r="AU1175" s="127" t="s">
        <v>129</v>
      </c>
      <c r="AV1175" s="1298" t="s">
        <v>165</v>
      </c>
      <c r="AW1175" s="606" t="s">
        <v>134</v>
      </c>
      <c r="AY1175" s="1297" t="s">
        <v>6113</v>
      </c>
    </row>
    <row r="1176">
      <c r="A1176" s="115" t="s">
        <v>143</v>
      </c>
      <c r="B1176" s="41" t="s">
        <v>107</v>
      </c>
      <c r="C1176" s="41" t="s">
        <v>108</v>
      </c>
      <c r="D1176" s="340"/>
      <c r="E1176" s="1289" t="s">
        <v>6920</v>
      </c>
      <c r="F1176" s="1290" t="s">
        <v>6921</v>
      </c>
      <c r="G1176" s="1291" t="s">
        <v>6097</v>
      </c>
      <c r="H1176" s="1292">
        <v>45691.0</v>
      </c>
      <c r="I1176" s="1293">
        <v>45692.0</v>
      </c>
      <c r="J1176" s="1297" t="s">
        <v>6922</v>
      </c>
      <c r="K1176" s="1297" t="s">
        <v>6923</v>
      </c>
      <c r="L1176" s="1291" t="s">
        <v>6924</v>
      </c>
      <c r="M1176" s="1291" t="s">
        <v>6925</v>
      </c>
      <c r="N1176" s="1294">
        <v>1.0</v>
      </c>
      <c r="O1176" s="1291" t="s">
        <v>6926</v>
      </c>
      <c r="P1176" s="48" t="str">
        <f t="array" ref="P1176">HYPERLINK(INDEX('File Links'!B:B, MATCH(O1176, 'File Links'!C:C, 0)))
</f>
        <v>https://drive.google.com/file/d/18ZlWgEtYOKx4ampRaantI27kYPgBvB4J/view?usp=drivesdk</v>
      </c>
      <c r="Q1176" s="1291" t="s">
        <v>6103</v>
      </c>
      <c r="R1176" s="147" t="s">
        <v>6104</v>
      </c>
      <c r="S1176" s="978" t="s">
        <v>165</v>
      </c>
      <c r="T1176" s="134" t="s">
        <v>165</v>
      </c>
      <c r="U1176" s="1291" t="s">
        <v>6105</v>
      </c>
      <c r="V1176" s="127" t="s">
        <v>6117</v>
      </c>
      <c r="W1176" s="45" t="str">
        <f t="array" ref="W1176">HYPERLINK(INDEX('File Links'!B:B, MATCH(U1176, 'File Links'!C:C, 0)))
</f>
        <v>#N/A</v>
      </c>
      <c r="X1176" s="1289"/>
      <c r="Y1176" s="1291" t="s">
        <v>220</v>
      </c>
      <c r="Z1176" s="350" t="s">
        <v>165</v>
      </c>
      <c r="AA1176" s="1291" t="s">
        <v>6927</v>
      </c>
      <c r="AB1176" s="1291" t="s">
        <v>6928</v>
      </c>
      <c r="AC1176" s="1297" t="s">
        <v>6929</v>
      </c>
      <c r="AD1176" s="1297">
        <v>4.0</v>
      </c>
      <c r="AE1176" s="1294">
        <v>82.0</v>
      </c>
      <c r="AF1176" s="1294">
        <v>0.82</v>
      </c>
      <c r="AG1176" s="1291" t="s">
        <v>166</v>
      </c>
      <c r="AH1176" s="1289" t="s">
        <v>6930</v>
      </c>
      <c r="AI1176" s="1321">
        <v>0.001</v>
      </c>
      <c r="AJ1176" s="1296" t="s">
        <v>127</v>
      </c>
      <c r="AK1176" s="1297" t="s">
        <v>211</v>
      </c>
      <c r="AL1176" s="1289" t="s">
        <v>129</v>
      </c>
      <c r="AM1176" s="1317" t="s">
        <v>6931</v>
      </c>
      <c r="AN1176" s="1294">
        <v>19.0</v>
      </c>
      <c r="AO1176" s="1294">
        <v>0.5914796451</v>
      </c>
      <c r="AP1176" s="1291" t="s">
        <v>166</v>
      </c>
      <c r="AQ1176" s="1297" t="s">
        <v>6112</v>
      </c>
      <c r="AR1176" s="1316">
        <v>0.0189471698469944</v>
      </c>
      <c r="AS1176" s="1289" t="s">
        <v>164</v>
      </c>
      <c r="AT1176" s="1289" t="s">
        <v>179</v>
      </c>
      <c r="AU1176" s="1289" t="s">
        <v>129</v>
      </c>
      <c r="AV1176" s="1298" t="s">
        <v>165</v>
      </c>
      <c r="AW1176" s="1314" t="s">
        <v>134</v>
      </c>
      <c r="AY1176" s="1297" t="s">
        <v>6113</v>
      </c>
    </row>
    <row r="1177">
      <c r="A1177" s="115" t="s">
        <v>106</v>
      </c>
      <c r="B1177" s="41" t="s">
        <v>107</v>
      </c>
      <c r="C1177" s="41" t="s">
        <v>243</v>
      </c>
      <c r="D1177" s="340"/>
      <c r="E1177" s="112" t="s">
        <v>6920</v>
      </c>
      <c r="F1177" s="116" t="s">
        <v>6921</v>
      </c>
      <c r="G1177" s="127" t="s">
        <v>244</v>
      </c>
      <c r="H1177" s="310">
        <v>45667.0</v>
      </c>
      <c r="I1177" s="1301">
        <v>45692.0</v>
      </c>
      <c r="J1177" s="111"/>
      <c r="K1177" s="111" t="s">
        <v>6099</v>
      </c>
      <c r="L1177" s="127" t="s">
        <v>6924</v>
      </c>
      <c r="M1177" s="127" t="s">
        <v>6925</v>
      </c>
      <c r="N1177" s="111"/>
      <c r="O1177" s="127" t="str">
        <f> SUBSTITUTE(lower(M1177), "/", "--") &amp;  ".pdf"</f>
        <v>10.1177--0956797618788882.pdf</v>
      </c>
      <c r="P1177" s="48" t="str">
        <f t="array" ref="P1177">HYPERLINK(INDEX('File Links'!B:B, MATCH(O1177, 'File Links'!C:C, 0)))
</f>
        <v>https://drive.google.com/file/d/18ZlWgEtYOKx4ampRaantI27kYPgBvB4J/view?usp=drivesdk</v>
      </c>
      <c r="Q1177" s="127" t="s">
        <v>6932</v>
      </c>
      <c r="R1177" s="147" t="s">
        <v>6104</v>
      </c>
      <c r="S1177" s="978" t="s">
        <v>165</v>
      </c>
      <c r="T1177" s="134" t="s">
        <v>165</v>
      </c>
      <c r="U1177" s="127" t="s">
        <v>6105</v>
      </c>
      <c r="V1177" s="127" t="s">
        <v>6117</v>
      </c>
      <c r="W1177" s="45" t="str">
        <f t="array" ref="W1177">HYPERLINK(INDEX('File Links'!B:B, MATCH(U1177, 'File Links'!C:C, 0)))
</f>
        <v>#N/A</v>
      </c>
      <c r="X1177" s="111"/>
      <c r="Y1177" s="127" t="s">
        <v>220</v>
      </c>
      <c r="Z1177" s="111"/>
      <c r="AA1177" s="127" t="s">
        <v>6933</v>
      </c>
      <c r="AB1177" s="111"/>
      <c r="AC1177" s="127" t="s">
        <v>6934</v>
      </c>
      <c r="AD1177" s="720">
        <v>4.0</v>
      </c>
      <c r="AE1177" s="720">
        <v>82.0</v>
      </c>
      <c r="AF1177" s="720">
        <v>0.82</v>
      </c>
      <c r="AG1177" s="127" t="s">
        <v>166</v>
      </c>
      <c r="AH1177" s="127" t="s">
        <v>894</v>
      </c>
      <c r="AI1177" s="120">
        <v>0.001</v>
      </c>
      <c r="AJ1177" s="112" t="s">
        <v>127</v>
      </c>
      <c r="AK1177" s="112" t="s">
        <v>211</v>
      </c>
      <c r="AL1177" s="127" t="s">
        <v>132</v>
      </c>
      <c r="AM1177" s="1326" t="s">
        <v>6931</v>
      </c>
      <c r="AN1177" s="720">
        <v>19.0</v>
      </c>
      <c r="AO1177" s="720">
        <v>0.591479645065082</v>
      </c>
      <c r="AP1177" s="127" t="s">
        <v>166</v>
      </c>
      <c r="AQ1177" s="1297" t="s">
        <v>6112</v>
      </c>
      <c r="AR1177" s="720">
        <v>0.0189471698469944</v>
      </c>
      <c r="AS1177" s="127" t="s">
        <v>164</v>
      </c>
      <c r="AT1177" s="127" t="s">
        <v>211</v>
      </c>
      <c r="AU1177" s="127" t="s">
        <v>132</v>
      </c>
      <c r="AV1177" s="1298" t="s">
        <v>165</v>
      </c>
      <c r="AW1177" s="606" t="s">
        <v>134</v>
      </c>
      <c r="AY1177" s="1297" t="s">
        <v>6113</v>
      </c>
    </row>
    <row r="1178">
      <c r="A1178" s="115" t="s">
        <v>143</v>
      </c>
      <c r="B1178" s="41" t="s">
        <v>107</v>
      </c>
      <c r="C1178" s="41" t="s">
        <v>108</v>
      </c>
      <c r="D1178" s="340"/>
      <c r="E1178" s="1289" t="s">
        <v>6935</v>
      </c>
      <c r="F1178" s="1290" t="s">
        <v>6936</v>
      </c>
      <c r="G1178" s="1291" t="s">
        <v>6097</v>
      </c>
      <c r="H1178" s="1292">
        <v>45691.0</v>
      </c>
      <c r="I1178" s="1293">
        <v>45692.0</v>
      </c>
      <c r="J1178" s="1289"/>
      <c r="K1178" s="1289" t="s">
        <v>6099</v>
      </c>
      <c r="L1178" s="1291" t="s">
        <v>6937</v>
      </c>
      <c r="M1178" s="1291" t="s">
        <v>6938</v>
      </c>
      <c r="N1178" s="1294">
        <v>1.0</v>
      </c>
      <c r="O1178" s="1291" t="s">
        <v>6939</v>
      </c>
      <c r="P1178" s="48" t="str">
        <f t="array" ref="P1178">HYPERLINK(INDEX('File Links'!B:B, MATCH(O1178, 'File Links'!C:C, 0)))
</f>
        <v>https://drive.google.com/file/d/1hMU234raFGJtbZQ16uhu9mUFuosskYBK/view?usp=drivesdk</v>
      </c>
      <c r="Q1178" s="1291" t="s">
        <v>6103</v>
      </c>
      <c r="R1178" s="147" t="s">
        <v>6104</v>
      </c>
      <c r="S1178" s="978" t="s">
        <v>165</v>
      </c>
      <c r="T1178" s="134" t="s">
        <v>165</v>
      </c>
      <c r="U1178" s="1291" t="s">
        <v>6105</v>
      </c>
      <c r="V1178" s="127" t="s">
        <v>318</v>
      </c>
      <c r="W1178" s="45" t="str">
        <f t="array" ref="W1178">HYPERLINK(INDEX('File Links'!B:B, MATCH(U1178, 'File Links'!C:C, 0)))
</f>
        <v>#N/A</v>
      </c>
      <c r="X1178" s="1289"/>
      <c r="Y1178" s="1291" t="s">
        <v>139</v>
      </c>
      <c r="Z1178" s="350" t="s">
        <v>165</v>
      </c>
      <c r="AA1178" s="1289" t="s">
        <v>6940</v>
      </c>
      <c r="AB1178" s="1291" t="s">
        <v>6941</v>
      </c>
      <c r="AC1178" s="1289" t="s">
        <v>6942</v>
      </c>
      <c r="AD1178" s="1316">
        <v>5.0</v>
      </c>
      <c r="AE1178" s="1294">
        <v>18.0</v>
      </c>
      <c r="AF1178" s="1316">
        <v>1.23</v>
      </c>
      <c r="AG1178" s="1289" t="s">
        <v>166</v>
      </c>
      <c r="AH1178" s="1289" t="s">
        <v>892</v>
      </c>
      <c r="AI1178" s="1321">
        <v>0.001</v>
      </c>
      <c r="AJ1178" s="1296" t="s">
        <v>127</v>
      </c>
      <c r="AK1178" s="1296" t="s">
        <v>179</v>
      </c>
      <c r="AL1178" s="1289" t="s">
        <v>129</v>
      </c>
      <c r="AM1178" s="1297" t="s">
        <v>165</v>
      </c>
      <c r="AN1178" s="1294">
        <v>19.0</v>
      </c>
      <c r="AO1178" s="1316">
        <v>0.220239104515739</v>
      </c>
      <c r="AP1178" s="1289" t="s">
        <v>166</v>
      </c>
      <c r="AQ1178" s="1297" t="s">
        <v>6112</v>
      </c>
      <c r="AR1178" s="1316">
        <v>0.349774194915251</v>
      </c>
      <c r="AS1178" s="1289" t="s">
        <v>164</v>
      </c>
      <c r="AT1178" s="1289" t="s">
        <v>179</v>
      </c>
      <c r="AU1178" s="1289" t="s">
        <v>129</v>
      </c>
      <c r="AV1178" s="1298" t="s">
        <v>165</v>
      </c>
      <c r="AW1178" s="1314" t="s">
        <v>134</v>
      </c>
      <c r="AY1178" s="1297" t="s">
        <v>6113</v>
      </c>
    </row>
    <row r="1179">
      <c r="A1179" s="115" t="s">
        <v>106</v>
      </c>
      <c r="B1179" s="41" t="s">
        <v>107</v>
      </c>
      <c r="C1179" s="41" t="s">
        <v>243</v>
      </c>
      <c r="D1179" s="340"/>
      <c r="E1179" s="112" t="s">
        <v>6935</v>
      </c>
      <c r="F1179" s="116" t="s">
        <v>6936</v>
      </c>
      <c r="G1179" s="127" t="s">
        <v>244</v>
      </c>
      <c r="H1179" s="310">
        <v>45667.0</v>
      </c>
      <c r="I1179" s="1301">
        <v>45692.0</v>
      </c>
      <c r="J1179" s="111"/>
      <c r="K1179" s="111" t="s">
        <v>6099</v>
      </c>
      <c r="L1179" s="127" t="s">
        <v>6937</v>
      </c>
      <c r="M1179" s="127" t="s">
        <v>6938</v>
      </c>
      <c r="N1179" s="111"/>
      <c r="O1179" s="127" t="str">
        <f> SUBSTITUTE(lower(M1179), "/", "--") &amp;  ".pdf"</f>
        <v>10.1177--0956797614547705.pdf</v>
      </c>
      <c r="P1179" s="48" t="str">
        <f t="array" ref="P1179">HYPERLINK(INDEX('File Links'!B:B, MATCH(O1179, 'File Links'!C:C, 0)))
</f>
        <v>https://drive.google.com/file/d/1hMU234raFGJtbZQ16uhu9mUFuosskYBK/view?usp=drivesdk</v>
      </c>
      <c r="Q1179" s="127" t="s">
        <v>6943</v>
      </c>
      <c r="R1179" s="147" t="s">
        <v>6104</v>
      </c>
      <c r="S1179" s="978" t="s">
        <v>165</v>
      </c>
      <c r="T1179" s="134" t="s">
        <v>165</v>
      </c>
      <c r="U1179" s="127" t="s">
        <v>6105</v>
      </c>
      <c r="V1179" s="127" t="s">
        <v>318</v>
      </c>
      <c r="W1179" s="45" t="str">
        <f t="array" ref="W1179">HYPERLINK(INDEX('File Links'!B:B, MATCH(U1179, 'File Links'!C:C, 0)))
</f>
        <v>#N/A</v>
      </c>
      <c r="X1179" s="111"/>
      <c r="Y1179" s="127" t="s">
        <v>139</v>
      </c>
      <c r="Z1179" s="111"/>
      <c r="AA1179" s="111"/>
      <c r="AB1179" s="111"/>
      <c r="AC1179" s="127" t="s">
        <v>6944</v>
      </c>
      <c r="AD1179" s="720">
        <v>959.0</v>
      </c>
      <c r="AE1179" s="720">
        <v>18.0</v>
      </c>
      <c r="AF1179" s="720">
        <v>1.23</v>
      </c>
      <c r="AG1179" s="127" t="s">
        <v>166</v>
      </c>
      <c r="AH1179" s="127" t="s">
        <v>6945</v>
      </c>
      <c r="AI1179" s="120">
        <v>0.001</v>
      </c>
      <c r="AJ1179" s="112" t="s">
        <v>127</v>
      </c>
      <c r="AK1179" s="112" t="s">
        <v>179</v>
      </c>
      <c r="AL1179" s="127" t="s">
        <v>129</v>
      </c>
      <c r="AM1179" s="1297" t="s">
        <v>165</v>
      </c>
      <c r="AN1179" s="720">
        <v>19.0</v>
      </c>
      <c r="AO1179" s="720">
        <v>0.220239104515739</v>
      </c>
      <c r="AP1179" s="127" t="s">
        <v>166</v>
      </c>
      <c r="AQ1179" s="1297" t="s">
        <v>6112</v>
      </c>
      <c r="AR1179" s="720">
        <v>0.349774194915251</v>
      </c>
      <c r="AS1179" s="127" t="s">
        <v>164</v>
      </c>
      <c r="AT1179" s="127" t="s">
        <v>179</v>
      </c>
      <c r="AU1179" s="127" t="s">
        <v>129</v>
      </c>
      <c r="AV1179" s="1298" t="s">
        <v>165</v>
      </c>
      <c r="AW1179" s="606" t="s">
        <v>134</v>
      </c>
      <c r="AY1179" s="1297" t="s">
        <v>6113</v>
      </c>
    </row>
    <row r="1180">
      <c r="A1180" s="115" t="s">
        <v>143</v>
      </c>
      <c r="B1180" s="41" t="s">
        <v>107</v>
      </c>
      <c r="C1180" s="41" t="s">
        <v>108</v>
      </c>
      <c r="D1180" s="340"/>
      <c r="E1180" s="1289" t="s">
        <v>6946</v>
      </c>
      <c r="F1180" s="1290" t="s">
        <v>6947</v>
      </c>
      <c r="G1180" s="1291" t="s">
        <v>6097</v>
      </c>
      <c r="H1180" s="1292">
        <v>45691.0</v>
      </c>
      <c r="I1180" s="1293">
        <v>45692.0</v>
      </c>
      <c r="J1180" s="1289"/>
      <c r="K1180" s="1289" t="s">
        <v>6099</v>
      </c>
      <c r="L1180" s="1291" t="s">
        <v>6948</v>
      </c>
      <c r="M1180" s="1291" t="s">
        <v>6949</v>
      </c>
      <c r="N1180" s="1294">
        <v>1.0</v>
      </c>
      <c r="O1180" s="1291" t="s">
        <v>6950</v>
      </c>
      <c r="P1180" s="48" t="str">
        <f t="array" ref="P1180">HYPERLINK(INDEX('File Links'!B:B, MATCH(O1180, 'File Links'!C:C, 0)))
</f>
        <v>https://drive.google.com/file/d/18dLuHsJaHfEuFpmJ9coLBrlcbxYHVgpG/view?usp=drivesdk</v>
      </c>
      <c r="Q1180" s="1291" t="s">
        <v>6103</v>
      </c>
      <c r="R1180" s="147" t="s">
        <v>6104</v>
      </c>
      <c r="S1180" s="978" t="s">
        <v>165</v>
      </c>
      <c r="T1180" s="134" t="s">
        <v>165</v>
      </c>
      <c r="U1180" s="1291" t="s">
        <v>6105</v>
      </c>
      <c r="V1180" s="127" t="s">
        <v>6349</v>
      </c>
      <c r="W1180" s="45" t="str">
        <f t="array" ref="W1180">HYPERLINK(INDEX('File Links'!B:B, MATCH(U1180, 'File Links'!C:C, 0)))
</f>
        <v>#N/A</v>
      </c>
      <c r="X1180" s="1289"/>
      <c r="Y1180" s="1291" t="s">
        <v>220</v>
      </c>
      <c r="Z1180" s="350" t="s">
        <v>165</v>
      </c>
      <c r="AA1180" s="1289" t="s">
        <v>6951</v>
      </c>
      <c r="AB1180" s="1291" t="s">
        <v>6952</v>
      </c>
      <c r="AC1180" s="1289" t="s">
        <v>6953</v>
      </c>
      <c r="AD1180" s="1289" t="s">
        <v>6843</v>
      </c>
      <c r="AE1180" s="1294">
        <v>84.0</v>
      </c>
      <c r="AF1180" s="1316">
        <v>0.13</v>
      </c>
      <c r="AG1180" s="1289" t="s">
        <v>130</v>
      </c>
      <c r="AH1180" s="1289" t="s">
        <v>210</v>
      </c>
      <c r="AI1180" s="1300">
        <v>0.001</v>
      </c>
      <c r="AJ1180" s="1296" t="s">
        <v>127</v>
      </c>
      <c r="AK1180" s="1296" t="s">
        <v>179</v>
      </c>
      <c r="AL1180" s="1289" t="s">
        <v>129</v>
      </c>
      <c r="AM1180" s="1297" t="s">
        <v>165</v>
      </c>
      <c r="AN1180" s="1294">
        <v>131.0</v>
      </c>
      <c r="AO1180" s="1316">
        <v>0.112161169751389</v>
      </c>
      <c r="AP1180" s="1289" t="s">
        <v>166</v>
      </c>
      <c r="AQ1180" s="1297" t="s">
        <v>6112</v>
      </c>
      <c r="AR1180" s="1316">
        <v>0.531821336454792</v>
      </c>
      <c r="AS1180" s="1289" t="s">
        <v>164</v>
      </c>
      <c r="AT1180" s="1289" t="s">
        <v>179</v>
      </c>
      <c r="AU1180" s="1289" t="s">
        <v>129</v>
      </c>
      <c r="AV1180" s="1298" t="s">
        <v>165</v>
      </c>
      <c r="AW1180" s="1311" t="s">
        <v>142</v>
      </c>
      <c r="AY1180" s="1297" t="s">
        <v>6113</v>
      </c>
    </row>
    <row r="1181">
      <c r="A1181" s="115" t="s">
        <v>106</v>
      </c>
      <c r="B1181" s="41" t="s">
        <v>107</v>
      </c>
      <c r="C1181" s="41" t="s">
        <v>243</v>
      </c>
      <c r="D1181" s="340"/>
      <c r="E1181" s="112" t="s">
        <v>6946</v>
      </c>
      <c r="F1181" s="116" t="s">
        <v>6947</v>
      </c>
      <c r="G1181" s="127" t="s">
        <v>244</v>
      </c>
      <c r="H1181" s="310">
        <v>45667.0</v>
      </c>
      <c r="I1181" s="1301">
        <v>45692.0</v>
      </c>
      <c r="J1181" s="111"/>
      <c r="K1181" s="111" t="s">
        <v>6099</v>
      </c>
      <c r="L1181" s="127" t="s">
        <v>6948</v>
      </c>
      <c r="M1181" s="127" t="s">
        <v>6949</v>
      </c>
      <c r="N1181" s="111"/>
      <c r="O1181" s="127" t="str">
        <f> SUBSTITUTE(lower(M1181), "/", "--") &amp;  ".pdf"</f>
        <v>10.1177--0956797611428079.pdf</v>
      </c>
      <c r="P1181" s="48" t="str">
        <f t="array" ref="P1181">HYPERLINK(INDEX('File Links'!B:B, MATCH(O1181, 'File Links'!C:C, 0)))
</f>
        <v>https://drive.google.com/file/d/18dLuHsJaHfEuFpmJ9coLBrlcbxYHVgpG/view?usp=drivesdk</v>
      </c>
      <c r="Q1181" s="127" t="s">
        <v>6954</v>
      </c>
      <c r="R1181" s="147" t="s">
        <v>6104</v>
      </c>
      <c r="S1181" s="978" t="s">
        <v>165</v>
      </c>
      <c r="T1181" s="134" t="s">
        <v>165</v>
      </c>
      <c r="U1181" s="127" t="s">
        <v>6105</v>
      </c>
      <c r="V1181" s="127" t="s">
        <v>6349</v>
      </c>
      <c r="W1181" s="45" t="str">
        <f t="array" ref="W1181">HYPERLINK(INDEX('File Links'!B:B, MATCH(U1181, 'File Links'!C:C, 0)))
</f>
        <v>#N/A</v>
      </c>
      <c r="X1181" s="111"/>
      <c r="Y1181" s="127" t="s">
        <v>220</v>
      </c>
      <c r="Z1181" s="111"/>
      <c r="AA1181" s="111"/>
      <c r="AB1181" s="111"/>
      <c r="AC1181" s="127" t="s">
        <v>6955</v>
      </c>
      <c r="AD1181" s="720">
        <v>356.0</v>
      </c>
      <c r="AE1181" s="720">
        <v>84.0</v>
      </c>
      <c r="AF1181" s="709">
        <v>11.53</v>
      </c>
      <c r="AG1181" s="127" t="s">
        <v>1051</v>
      </c>
      <c r="AH1181" s="127" t="s">
        <v>6956</v>
      </c>
      <c r="AI1181" s="120">
        <v>0.001</v>
      </c>
      <c r="AJ1181" s="112" t="s">
        <v>127</v>
      </c>
      <c r="AK1181" s="112" t="s">
        <v>179</v>
      </c>
      <c r="AL1181" s="127" t="s">
        <v>132</v>
      </c>
      <c r="AM1181" s="1297" t="s">
        <v>165</v>
      </c>
      <c r="AN1181" s="720">
        <v>131.0</v>
      </c>
      <c r="AO1181" s="720">
        <v>0.112161169751389</v>
      </c>
      <c r="AP1181" s="127" t="s">
        <v>166</v>
      </c>
      <c r="AQ1181" s="1297" t="s">
        <v>6112</v>
      </c>
      <c r="AR1181" s="720">
        <v>0.531821336454792</v>
      </c>
      <c r="AS1181" s="127" t="s">
        <v>164</v>
      </c>
      <c r="AT1181" s="127" t="s">
        <v>179</v>
      </c>
      <c r="AU1181" s="127" t="s">
        <v>132</v>
      </c>
      <c r="AV1181" s="1298" t="s">
        <v>165</v>
      </c>
      <c r="AW1181" s="606" t="s">
        <v>142</v>
      </c>
      <c r="AY1181" s="1297" t="s">
        <v>6113</v>
      </c>
    </row>
    <row r="1182">
      <c r="A1182" s="115" t="s">
        <v>143</v>
      </c>
      <c r="B1182" s="41" t="s">
        <v>107</v>
      </c>
      <c r="C1182" s="41" t="s">
        <v>108</v>
      </c>
      <c r="D1182" s="340"/>
      <c r="E1182" s="1289" t="s">
        <v>6957</v>
      </c>
      <c r="F1182" s="1290" t="s">
        <v>6958</v>
      </c>
      <c r="G1182" s="1291" t="s">
        <v>6097</v>
      </c>
      <c r="H1182" s="1292">
        <v>45691.0</v>
      </c>
      <c r="I1182" s="1293">
        <v>45692.0</v>
      </c>
      <c r="J1182" s="1289"/>
      <c r="K1182" s="1289" t="s">
        <v>6099</v>
      </c>
      <c r="L1182" s="1291" t="s">
        <v>6959</v>
      </c>
      <c r="M1182" s="1291" t="s">
        <v>6960</v>
      </c>
      <c r="N1182" s="1291" t="s">
        <v>1561</v>
      </c>
      <c r="O1182" s="1291" t="s">
        <v>6961</v>
      </c>
      <c r="P1182" s="48" t="str">
        <f t="array" ref="P1182">HYPERLINK(INDEX('File Links'!B:B, MATCH(O1182, 'File Links'!C:C, 0)))
</f>
        <v>https://drive.google.com/file/d/1yCifhK2ZQwpUZAjclr5TAmGCQqTbBrUa/view?usp=drivesdk</v>
      </c>
      <c r="Q1182" s="1291" t="s">
        <v>6103</v>
      </c>
      <c r="R1182" s="147" t="s">
        <v>6104</v>
      </c>
      <c r="S1182" s="978" t="s">
        <v>165</v>
      </c>
      <c r="T1182" s="134" t="s">
        <v>165</v>
      </c>
      <c r="U1182" s="1291" t="s">
        <v>6105</v>
      </c>
      <c r="V1182" s="1289" t="s">
        <v>2129</v>
      </c>
      <c r="W1182" s="45" t="str">
        <f t="array" ref="W1182">HYPERLINK(INDEX('File Links'!B:B, MATCH(U1182, 'File Links'!C:C, 0)))
</f>
        <v>#N/A</v>
      </c>
      <c r="X1182" s="1289"/>
      <c r="Y1182" s="1291" t="s">
        <v>220</v>
      </c>
      <c r="Z1182" s="350" t="s">
        <v>165</v>
      </c>
      <c r="AA1182" s="1289" t="s">
        <v>6962</v>
      </c>
      <c r="AB1182" s="1291" t="s">
        <v>6963</v>
      </c>
      <c r="AC1182" s="1289" t="s">
        <v>6964</v>
      </c>
      <c r="AD1182" s="1316">
        <v>5.0</v>
      </c>
      <c r="AE1182" s="1294">
        <v>58.0</v>
      </c>
      <c r="AF1182" s="1316">
        <v>1.09</v>
      </c>
      <c r="AG1182" s="1289" t="s">
        <v>166</v>
      </c>
      <c r="AH1182" s="1289" t="s">
        <v>892</v>
      </c>
      <c r="AI1182" s="1330">
        <v>0.001</v>
      </c>
      <c r="AJ1182" s="1296" t="s">
        <v>127</v>
      </c>
      <c r="AK1182" s="1296" t="s">
        <v>179</v>
      </c>
      <c r="AL1182" s="1311" t="s">
        <v>132</v>
      </c>
      <c r="AM1182" s="1297" t="s">
        <v>165</v>
      </c>
      <c r="AN1182" s="1294">
        <v>27.0</v>
      </c>
      <c r="AO1182" s="1316">
        <v>0.72336</v>
      </c>
      <c r="AP1182" s="1289" t="s">
        <v>166</v>
      </c>
      <c r="AQ1182" s="1297" t="s">
        <v>6112</v>
      </c>
      <c r="AR1182" s="1316">
        <v>0.00137873815724571</v>
      </c>
      <c r="AS1182" s="1289" t="s">
        <v>164</v>
      </c>
      <c r="AT1182" s="1289" t="s">
        <v>179</v>
      </c>
      <c r="AU1182" s="1289" t="s">
        <v>129</v>
      </c>
      <c r="AV1182" s="1298" t="s">
        <v>165</v>
      </c>
      <c r="AW1182" s="1314" t="s">
        <v>134</v>
      </c>
      <c r="AY1182" s="1297" t="s">
        <v>6113</v>
      </c>
    </row>
    <row r="1183">
      <c r="A1183" s="115" t="s">
        <v>106</v>
      </c>
      <c r="B1183" s="41" t="s">
        <v>107</v>
      </c>
      <c r="C1183" s="41" t="s">
        <v>243</v>
      </c>
      <c r="D1183" s="340"/>
      <c r="E1183" s="112" t="s">
        <v>6957</v>
      </c>
      <c r="F1183" s="116" t="s">
        <v>6958</v>
      </c>
      <c r="G1183" s="127" t="s">
        <v>244</v>
      </c>
      <c r="H1183" s="310">
        <v>45667.0</v>
      </c>
      <c r="I1183" s="1301">
        <v>45692.0</v>
      </c>
      <c r="J1183" s="111"/>
      <c r="K1183" s="111" t="s">
        <v>6099</v>
      </c>
      <c r="L1183" s="127" t="s">
        <v>6959</v>
      </c>
      <c r="M1183" s="127" t="s">
        <v>6960</v>
      </c>
      <c r="N1183" s="111"/>
      <c r="O1183" s="127" t="str">
        <f> SUBSTITUTE(lower(M1183), "/", "--") &amp;  ".pdf"</f>
        <v>10.1177--0956797617705399.pdf</v>
      </c>
      <c r="P1183" s="48" t="str">
        <f t="array" ref="P1183">HYPERLINK(INDEX('File Links'!B:B, MATCH(O1183, 'File Links'!C:C, 0)))
</f>
        <v>https://drive.google.com/file/d/1yCifhK2ZQwpUZAjclr5TAmGCQqTbBrUa/view?usp=drivesdk</v>
      </c>
      <c r="Q1183" s="127" t="s">
        <v>6965</v>
      </c>
      <c r="R1183" s="147" t="s">
        <v>6104</v>
      </c>
      <c r="S1183" s="978" t="s">
        <v>165</v>
      </c>
      <c r="T1183" s="134" t="s">
        <v>165</v>
      </c>
      <c r="U1183" s="127" t="s">
        <v>6105</v>
      </c>
      <c r="V1183" s="127" t="s">
        <v>318</v>
      </c>
      <c r="W1183" s="45" t="str">
        <f t="array" ref="W1183">HYPERLINK(INDEX('File Links'!B:B, MATCH(U1183, 'File Links'!C:C, 0)))
</f>
        <v>#N/A</v>
      </c>
      <c r="X1183" s="111"/>
      <c r="Y1183" s="127" t="s">
        <v>220</v>
      </c>
      <c r="Z1183" s="111"/>
      <c r="AA1183" s="127" t="s">
        <v>6966</v>
      </c>
      <c r="AB1183" s="111"/>
      <c r="AC1183" s="127" t="s">
        <v>6967</v>
      </c>
      <c r="AD1183" s="720">
        <v>5.0</v>
      </c>
      <c r="AE1183" s="720">
        <v>58.0</v>
      </c>
      <c r="AF1183" s="720">
        <v>1.09</v>
      </c>
      <c r="AG1183" s="127" t="s">
        <v>166</v>
      </c>
      <c r="AH1183" s="127" t="s">
        <v>894</v>
      </c>
      <c r="AI1183" s="120">
        <v>0.001</v>
      </c>
      <c r="AJ1183" s="112" t="s">
        <v>127</v>
      </c>
      <c r="AK1183" s="112" t="s">
        <v>179</v>
      </c>
      <c r="AL1183" s="127" t="s">
        <v>129</v>
      </c>
      <c r="AM1183" s="1297" t="s">
        <v>165</v>
      </c>
      <c r="AN1183" s="720">
        <v>27.0</v>
      </c>
      <c r="AO1183" s="720">
        <v>0.72336</v>
      </c>
      <c r="AP1183" s="127" t="s">
        <v>166</v>
      </c>
      <c r="AQ1183" s="1297" t="s">
        <v>6112</v>
      </c>
      <c r="AR1183" s="720">
        <v>0.00137873815724571</v>
      </c>
      <c r="AS1183" s="127" t="s">
        <v>164</v>
      </c>
      <c r="AT1183" s="127" t="s">
        <v>179</v>
      </c>
      <c r="AU1183" s="127" t="s">
        <v>129</v>
      </c>
      <c r="AV1183" s="1298" t="s">
        <v>165</v>
      </c>
      <c r="AW1183" s="606" t="s">
        <v>134</v>
      </c>
      <c r="AY1183" s="1297" t="s">
        <v>6113</v>
      </c>
    </row>
    <row r="1184">
      <c r="A1184" s="115" t="s">
        <v>5350</v>
      </c>
      <c r="B1184" s="41" t="s">
        <v>107</v>
      </c>
      <c r="C1184" s="41" t="s">
        <v>108</v>
      </c>
      <c r="D1184" s="340"/>
      <c r="E1184" s="1289" t="s">
        <v>6968</v>
      </c>
      <c r="F1184" s="1290" t="s">
        <v>6969</v>
      </c>
      <c r="G1184" s="1291" t="s">
        <v>6097</v>
      </c>
      <c r="H1184" s="1292">
        <v>45691.0</v>
      </c>
      <c r="I1184" s="1293">
        <v>45692.0</v>
      </c>
      <c r="J1184" s="1289" t="s">
        <v>6970</v>
      </c>
      <c r="K1184" s="1289" t="s">
        <v>6099</v>
      </c>
      <c r="L1184" s="1291" t="s">
        <v>6836</v>
      </c>
      <c r="M1184" s="1291" t="s">
        <v>6837</v>
      </c>
      <c r="N1184" s="1294">
        <v>1.0</v>
      </c>
      <c r="O1184" s="1291" t="s">
        <v>6838</v>
      </c>
      <c r="P1184" s="48" t="str">
        <f t="array" ref="P1184">HYPERLINK(INDEX('File Links'!B:B, MATCH(O1184, 'File Links'!C:C, 0)))
</f>
        <v>https://drive.google.com/file/d/1vWGgcW4pZ3FoyQKsaRTBIF-qNoze2NOS/view?usp=drivesdk</v>
      </c>
      <c r="Q1184" s="1291" t="s">
        <v>6103</v>
      </c>
      <c r="R1184" s="147" t="s">
        <v>6104</v>
      </c>
      <c r="S1184" s="978" t="s">
        <v>165</v>
      </c>
      <c r="T1184" s="134" t="s">
        <v>165</v>
      </c>
      <c r="U1184" s="1291" t="s">
        <v>6105</v>
      </c>
      <c r="V1184" s="127" t="s">
        <v>6117</v>
      </c>
      <c r="W1184" s="45" t="str">
        <f t="array" ref="W1184">HYPERLINK(INDEX('File Links'!B:B, MATCH(U1184, 'File Links'!C:C, 0)))
</f>
        <v>#N/A</v>
      </c>
      <c r="X1184" s="1289"/>
      <c r="Y1184" s="1291" t="s">
        <v>220</v>
      </c>
      <c r="Z1184" s="1289" t="s">
        <v>768</v>
      </c>
      <c r="AA1184" s="1289" t="s">
        <v>6840</v>
      </c>
      <c r="AB1184" s="1291" t="s">
        <v>6971</v>
      </c>
      <c r="AC1184" s="1289"/>
      <c r="AD1184" s="1289"/>
      <c r="AE1184" s="1294">
        <v>155.0</v>
      </c>
      <c r="AF1184" s="1289" t="s">
        <v>6972</v>
      </c>
      <c r="AG1184" s="1289" t="s">
        <v>166</v>
      </c>
      <c r="AH1184" s="1289"/>
      <c r="AI1184" s="1321">
        <v>0.01723819924</v>
      </c>
      <c r="AJ1184" s="1296" t="s">
        <v>164</v>
      </c>
      <c r="AK1184" s="1296" t="s">
        <v>179</v>
      </c>
      <c r="AL1184" s="1289" t="s">
        <v>129</v>
      </c>
      <c r="AM1184" s="1297" t="s">
        <v>165</v>
      </c>
      <c r="AN1184" s="1294">
        <v>225.0</v>
      </c>
      <c r="AO1184" s="1316">
        <v>0.19493521</v>
      </c>
      <c r="AP1184" s="1289" t="s">
        <v>166</v>
      </c>
      <c r="AQ1184" s="1297" t="s">
        <v>6112</v>
      </c>
      <c r="AR1184" s="1316">
        <v>0.2320364968</v>
      </c>
      <c r="AS1184" s="1289" t="s">
        <v>164</v>
      </c>
      <c r="AT1184" s="1289" t="s">
        <v>179</v>
      </c>
      <c r="AU1184" s="1289" t="s">
        <v>129</v>
      </c>
      <c r="AV1184" s="1298" t="s">
        <v>165</v>
      </c>
      <c r="AW1184" s="1314" t="s">
        <v>134</v>
      </c>
      <c r="AY1184" s="1297" t="s">
        <v>6113</v>
      </c>
    </row>
    <row r="1185">
      <c r="A1185" s="115" t="s">
        <v>143</v>
      </c>
      <c r="B1185" s="41" t="s">
        <v>107</v>
      </c>
      <c r="C1185" s="41" t="s">
        <v>108</v>
      </c>
      <c r="D1185" s="340"/>
      <c r="E1185" s="1289" t="s">
        <v>6973</v>
      </c>
      <c r="F1185" s="1290" t="s">
        <v>6974</v>
      </c>
      <c r="G1185" s="1291" t="s">
        <v>6097</v>
      </c>
      <c r="H1185" s="1292">
        <v>45692.0</v>
      </c>
      <c r="I1185" s="1293">
        <v>45692.0</v>
      </c>
      <c r="J1185" s="1289"/>
      <c r="K1185" s="1297" t="s">
        <v>6975</v>
      </c>
      <c r="L1185" s="1291" t="s">
        <v>6976</v>
      </c>
      <c r="M1185" s="1289" t="s">
        <v>6977</v>
      </c>
      <c r="N1185" s="1294">
        <v>1.0</v>
      </c>
      <c r="O1185" s="127" t="str">
        <f t="shared" ref="O1185:O1186" si="71"> SUBSTITUTE(lower(M1185), "/", "--") &amp;  ".pdf"</f>
        <v>10.1016--j.cognition.2017.06.025.pdf</v>
      </c>
      <c r="P1185" s="48" t="str">
        <f t="array" ref="P1185">HYPERLINK(INDEX('File Links'!B:B, MATCH(O1185, 'File Links'!C:C, 0)))
</f>
        <v>https://drive.google.com/file/d/13eFbDRsrT4E_alMlB_gHi3f-ptev6t5p/view?usp=drivesdk</v>
      </c>
      <c r="Q1185" s="1291" t="s">
        <v>6103</v>
      </c>
      <c r="R1185" s="147" t="s">
        <v>6104</v>
      </c>
      <c r="S1185" s="978" t="s">
        <v>165</v>
      </c>
      <c r="T1185" s="134" t="s">
        <v>165</v>
      </c>
      <c r="U1185" s="1291" t="s">
        <v>6105</v>
      </c>
      <c r="V1185" s="127" t="s">
        <v>6117</v>
      </c>
      <c r="W1185" s="45" t="str">
        <f t="array" ref="W1185">HYPERLINK(INDEX('File Links'!B:B, MATCH(U1185, 'File Links'!C:C, 0)))
</f>
        <v>#N/A</v>
      </c>
      <c r="X1185" s="1289"/>
      <c r="Y1185" s="1291" t="s">
        <v>139</v>
      </c>
      <c r="Z1185" s="1289" t="s">
        <v>6978</v>
      </c>
      <c r="AA1185" s="1289" t="s">
        <v>6979</v>
      </c>
      <c r="AB1185" s="1291" t="s">
        <v>6980</v>
      </c>
      <c r="AC1185" s="1289" t="s">
        <v>6981</v>
      </c>
      <c r="AD1185" s="1316">
        <v>3.0</v>
      </c>
      <c r="AE1185" s="1294">
        <v>16.0</v>
      </c>
      <c r="AF1185" s="1316">
        <v>0.95</v>
      </c>
      <c r="AG1185" s="1289" t="s">
        <v>166</v>
      </c>
      <c r="AH1185" s="1289" t="s">
        <v>861</v>
      </c>
      <c r="AI1185" s="1300">
        <v>0.002</v>
      </c>
      <c r="AJ1185" s="1296" t="s">
        <v>164</v>
      </c>
      <c r="AK1185" s="1296" t="s">
        <v>179</v>
      </c>
      <c r="AL1185" s="1344" t="s">
        <v>132</v>
      </c>
      <c r="AM1185" s="1297" t="s">
        <v>165</v>
      </c>
      <c r="AN1185" s="1294">
        <v>16.0</v>
      </c>
      <c r="AO1185" s="1333">
        <v>0.938139826109804</v>
      </c>
      <c r="AP1185" s="1289" t="s">
        <v>166</v>
      </c>
      <c r="AQ1185" s="1297" t="s">
        <v>6112</v>
      </c>
      <c r="AR1185" s="1316">
        <v>0.00245187028514065</v>
      </c>
      <c r="AS1185" s="1289" t="s">
        <v>164</v>
      </c>
      <c r="AT1185" s="1289" t="s">
        <v>179</v>
      </c>
      <c r="AU1185" s="1289" t="s">
        <v>129</v>
      </c>
      <c r="AV1185" s="1298" t="s">
        <v>165</v>
      </c>
      <c r="AW1185" s="1314" t="s">
        <v>134</v>
      </c>
      <c r="AY1185" s="1297" t="s">
        <v>6113</v>
      </c>
    </row>
    <row r="1186">
      <c r="A1186" s="115" t="s">
        <v>106</v>
      </c>
      <c r="B1186" s="41" t="s">
        <v>107</v>
      </c>
      <c r="C1186" s="41" t="s">
        <v>243</v>
      </c>
      <c r="D1186" s="340"/>
      <c r="E1186" s="112" t="s">
        <v>6973</v>
      </c>
      <c r="F1186" s="116" t="s">
        <v>6974</v>
      </c>
      <c r="G1186" s="127" t="s">
        <v>244</v>
      </c>
      <c r="H1186" s="310">
        <v>45667.0</v>
      </c>
      <c r="I1186" s="1301">
        <v>45692.0</v>
      </c>
      <c r="J1186" s="111"/>
      <c r="K1186" s="111" t="s">
        <v>6099</v>
      </c>
      <c r="L1186" s="127" t="s">
        <v>6976</v>
      </c>
      <c r="M1186" s="127" t="s">
        <v>6977</v>
      </c>
      <c r="N1186" s="111"/>
      <c r="O1186" s="127" t="str">
        <f t="shared" si="71"/>
        <v>10.1016--j.cognition.2017.06.025.pdf</v>
      </c>
      <c r="P1186" s="48" t="str">
        <f t="array" ref="P1186">HYPERLINK(INDEX('File Links'!B:B, MATCH(O1186, 'File Links'!C:C, 0)))
</f>
        <v>https://drive.google.com/file/d/13eFbDRsrT4E_alMlB_gHi3f-ptev6t5p/view?usp=drivesdk</v>
      </c>
      <c r="Q1186" s="127" t="s">
        <v>6982</v>
      </c>
      <c r="R1186" s="147" t="s">
        <v>6104</v>
      </c>
      <c r="S1186" s="978" t="s">
        <v>165</v>
      </c>
      <c r="T1186" s="134" t="s">
        <v>165</v>
      </c>
      <c r="U1186" s="127" t="s">
        <v>6105</v>
      </c>
      <c r="V1186" s="127" t="s">
        <v>6117</v>
      </c>
      <c r="W1186" s="45" t="str">
        <f t="array" ref="W1186">HYPERLINK(INDEX('File Links'!B:B, MATCH(U1186, 'File Links'!C:C, 0)))
</f>
        <v>#N/A</v>
      </c>
      <c r="X1186" s="111"/>
      <c r="Y1186" s="127" t="s">
        <v>139</v>
      </c>
      <c r="Z1186" s="111"/>
      <c r="AA1186" s="127" t="s">
        <v>6983</v>
      </c>
      <c r="AB1186" s="111"/>
      <c r="AC1186" s="127" t="s">
        <v>6984</v>
      </c>
      <c r="AD1186" s="720">
        <v>237.0</v>
      </c>
      <c r="AE1186" s="720">
        <v>16.0</v>
      </c>
      <c r="AF1186" s="720">
        <v>0.95</v>
      </c>
      <c r="AG1186" s="127" t="s">
        <v>166</v>
      </c>
      <c r="AH1186" s="127" t="s">
        <v>6985</v>
      </c>
      <c r="AI1186" s="120">
        <v>0.489</v>
      </c>
      <c r="AJ1186" s="112" t="s">
        <v>164</v>
      </c>
      <c r="AK1186" s="112" t="s">
        <v>179</v>
      </c>
      <c r="AL1186" s="127" t="s">
        <v>132</v>
      </c>
      <c r="AM1186" s="1297" t="s">
        <v>165</v>
      </c>
      <c r="AN1186" s="720">
        <v>16.0</v>
      </c>
      <c r="AO1186" s="720">
        <v>0.938139826109804</v>
      </c>
      <c r="AP1186" s="127" t="s">
        <v>166</v>
      </c>
      <c r="AQ1186" s="1297" t="s">
        <v>6112</v>
      </c>
      <c r="AR1186" s="720">
        <v>0.00245187028514065</v>
      </c>
      <c r="AS1186" s="127" t="s">
        <v>164</v>
      </c>
      <c r="AT1186" s="127" t="s">
        <v>179</v>
      </c>
      <c r="AU1186" s="127" t="s">
        <v>132</v>
      </c>
      <c r="AV1186" s="1298" t="s">
        <v>165</v>
      </c>
      <c r="AW1186" s="606" t="s">
        <v>142</v>
      </c>
      <c r="AY1186" s="1297" t="s">
        <v>6113</v>
      </c>
    </row>
    <row r="1187">
      <c r="A1187" s="115" t="s">
        <v>143</v>
      </c>
      <c r="B1187" s="41" t="s">
        <v>107</v>
      </c>
      <c r="C1187" s="41" t="s">
        <v>108</v>
      </c>
      <c r="E1187" s="60" t="s">
        <v>6986</v>
      </c>
      <c r="F1187" s="52" t="s">
        <v>6987</v>
      </c>
      <c r="G1187" s="147" t="s">
        <v>6097</v>
      </c>
      <c r="H1187" s="140">
        <v>45692.0</v>
      </c>
      <c r="I1187" s="472">
        <v>45692.0</v>
      </c>
      <c r="J1187" s="60"/>
      <c r="K1187" s="115" t="s">
        <v>6988</v>
      </c>
      <c r="L1187" s="147" t="s">
        <v>6989</v>
      </c>
      <c r="M1187" s="147" t="s">
        <v>6990</v>
      </c>
      <c r="N1187" s="144">
        <v>1.0</v>
      </c>
      <c r="O1187" s="147" t="s">
        <v>6991</v>
      </c>
      <c r="P1187" s="48" t="str">
        <f t="array" ref="P1187">HYPERLINK(INDEX('File Links'!B:B, MATCH(O1187, 'File Links'!C:C, 0)))
</f>
        <v>https://drive.google.com/file/d/1a_-X1vjB6N4-IwfcVsM4fHxFavXCK8pH/view?usp=drivesdk</v>
      </c>
      <c r="Q1187" s="147" t="s">
        <v>6103</v>
      </c>
      <c r="R1187" s="147" t="s">
        <v>6104</v>
      </c>
      <c r="S1187" s="638" t="s">
        <v>165</v>
      </c>
      <c r="T1187" s="115" t="s">
        <v>165</v>
      </c>
      <c r="U1187" s="147" t="s">
        <v>6105</v>
      </c>
      <c r="V1187" s="147" t="s">
        <v>6117</v>
      </c>
      <c r="W1187" s="55" t="str">
        <f t="array" ref="W1187">HYPERLINK(INDEX('File Links'!B:B, MATCH(U1187, 'File Links'!C:C, 0)))
</f>
        <v>#N/A</v>
      </c>
      <c r="X1187" s="60"/>
      <c r="Y1187" s="147" t="s">
        <v>220</v>
      </c>
      <c r="Z1187" s="350" t="s">
        <v>165</v>
      </c>
      <c r="AA1187" s="60" t="s">
        <v>6992</v>
      </c>
      <c r="AB1187" s="147" t="s">
        <v>6993</v>
      </c>
      <c r="AC1187" s="115" t="s">
        <v>6994</v>
      </c>
      <c r="AD1187" s="1345" t="s">
        <v>892</v>
      </c>
      <c r="AE1187" s="144">
        <v>415.0</v>
      </c>
      <c r="AF1187" s="115">
        <v>0.3</v>
      </c>
      <c r="AG1187" s="115" t="s">
        <v>6995</v>
      </c>
      <c r="AH1187" s="60" t="s">
        <v>892</v>
      </c>
      <c r="AI1187" s="328">
        <v>0.001</v>
      </c>
      <c r="AJ1187" s="55" t="s">
        <v>127</v>
      </c>
      <c r="AK1187" s="55" t="s">
        <v>179</v>
      </c>
      <c r="AL1187" s="60" t="s">
        <v>129</v>
      </c>
      <c r="AM1187" s="1346" t="s">
        <v>6996</v>
      </c>
      <c r="AN1187" s="144">
        <v>46.0</v>
      </c>
      <c r="AO1187" s="60" t="s">
        <v>6997</v>
      </c>
      <c r="AP1187" s="60" t="s">
        <v>162</v>
      </c>
      <c r="AQ1187" s="115" t="s">
        <v>6112</v>
      </c>
      <c r="AR1187" s="327">
        <v>0.977005295638734</v>
      </c>
      <c r="AS1187" s="60" t="s">
        <v>164</v>
      </c>
      <c r="AT1187" s="60" t="s">
        <v>179</v>
      </c>
      <c r="AU1187" s="60" t="s">
        <v>129</v>
      </c>
      <c r="AV1187" s="1312" t="s">
        <v>165</v>
      </c>
      <c r="AW1187" s="531" t="s">
        <v>134</v>
      </c>
      <c r="AY1187" s="115" t="s">
        <v>6998</v>
      </c>
    </row>
    <row r="1188">
      <c r="A1188" s="115" t="s">
        <v>106</v>
      </c>
      <c r="B1188" s="41" t="s">
        <v>107</v>
      </c>
      <c r="C1188" s="41" t="s">
        <v>243</v>
      </c>
      <c r="E1188" s="52" t="s">
        <v>6986</v>
      </c>
      <c r="F1188" s="139" t="s">
        <v>6987</v>
      </c>
      <c r="G1188" s="147" t="s">
        <v>244</v>
      </c>
      <c r="H1188" s="140">
        <v>45667.0</v>
      </c>
      <c r="I1188" s="472">
        <v>45692.0</v>
      </c>
      <c r="J1188" s="147" t="s">
        <v>6999</v>
      </c>
      <c r="K1188" s="115" t="s">
        <v>7000</v>
      </c>
      <c r="L1188" s="147" t="s">
        <v>6989</v>
      </c>
      <c r="M1188" s="147" t="s">
        <v>6990</v>
      </c>
      <c r="N1188" s="1345">
        <v>1.0</v>
      </c>
      <c r="O1188" s="147" t="str">
        <f> SUBSTITUTE(lower(M1188), "/", "--") &amp;  ".pdf"</f>
        <v>10.1177--0956797619854706.pdf</v>
      </c>
      <c r="P1188" s="48" t="str">
        <f t="array" ref="P1188">HYPERLINK(INDEX('File Links'!B:B, MATCH(O1188, 'File Links'!C:C, 0)))
</f>
        <v>https://drive.google.com/file/d/1a_-X1vjB6N4-IwfcVsM4fHxFavXCK8pH/view?usp=drivesdk</v>
      </c>
      <c r="Q1188" s="147" t="s">
        <v>7001</v>
      </c>
      <c r="R1188" s="147" t="s">
        <v>6104</v>
      </c>
      <c r="S1188" s="638" t="s">
        <v>165</v>
      </c>
      <c r="T1188" s="115" t="s">
        <v>165</v>
      </c>
      <c r="U1188" s="147" t="s">
        <v>6105</v>
      </c>
      <c r="V1188" s="147" t="s">
        <v>6117</v>
      </c>
      <c r="W1188" s="55" t="str">
        <f t="array" ref="W1188">HYPERLINK(INDEX('File Links'!B:B, MATCH(U1188, 'File Links'!C:C, 0)))
</f>
        <v>#N/A</v>
      </c>
      <c r="X1188" s="60"/>
      <c r="Y1188" s="147" t="s">
        <v>220</v>
      </c>
      <c r="Z1188" s="60"/>
      <c r="AA1188" s="1268" t="s">
        <v>7002</v>
      </c>
      <c r="AB1188" s="60"/>
      <c r="AC1188" s="147" t="s">
        <v>7003</v>
      </c>
      <c r="AD1188" s="144">
        <v>5.0</v>
      </c>
      <c r="AE1188" s="144">
        <v>415.0</v>
      </c>
      <c r="AF1188" s="144">
        <v>0.329099978906873</v>
      </c>
      <c r="AG1188" s="147" t="s">
        <v>166</v>
      </c>
      <c r="AH1188" s="147" t="s">
        <v>894</v>
      </c>
      <c r="AI1188" s="646">
        <v>0.001</v>
      </c>
      <c r="AJ1188" s="52" t="s">
        <v>127</v>
      </c>
      <c r="AK1188" s="52" t="s">
        <v>179</v>
      </c>
      <c r="AL1188" s="1268" t="s">
        <v>132</v>
      </c>
      <c r="AM1188" s="625" t="s">
        <v>7004</v>
      </c>
      <c r="AN1188" s="144">
        <v>46.0</v>
      </c>
      <c r="AO1188" s="147" t="s">
        <v>165</v>
      </c>
      <c r="AP1188" s="147" t="s">
        <v>166</v>
      </c>
      <c r="AQ1188" s="115" t="s">
        <v>6112</v>
      </c>
      <c r="AR1188" s="144">
        <v>0.977005295638734</v>
      </c>
      <c r="AS1188" s="147" t="s">
        <v>164</v>
      </c>
      <c r="AT1188" s="147" t="s">
        <v>179</v>
      </c>
      <c r="AU1188" s="147" t="s">
        <v>132</v>
      </c>
      <c r="AV1188" s="1312" t="s">
        <v>165</v>
      </c>
      <c r="AW1188" s="453" t="s">
        <v>134</v>
      </c>
      <c r="AY1188" s="115" t="s">
        <v>6998</v>
      </c>
    </row>
    <row r="1189">
      <c r="A1189" s="115" t="s">
        <v>143</v>
      </c>
      <c r="B1189" s="41" t="s">
        <v>107</v>
      </c>
      <c r="C1189" s="41" t="s">
        <v>108</v>
      </c>
      <c r="E1189" s="60" t="s">
        <v>7005</v>
      </c>
      <c r="F1189" s="52" t="s">
        <v>7006</v>
      </c>
      <c r="G1189" s="147" t="s">
        <v>6097</v>
      </c>
      <c r="H1189" s="140">
        <v>45692.0</v>
      </c>
      <c r="I1189" s="472">
        <v>45692.0</v>
      </c>
      <c r="J1189" s="60"/>
      <c r="K1189" s="115" t="s">
        <v>7007</v>
      </c>
      <c r="L1189" s="147" t="s">
        <v>7008</v>
      </c>
      <c r="M1189" s="147" t="s">
        <v>7009</v>
      </c>
      <c r="N1189" s="144">
        <v>3.0</v>
      </c>
      <c r="O1189" s="147" t="s">
        <v>7010</v>
      </c>
      <c r="P1189" s="48" t="str">
        <f t="array" ref="P1189">HYPERLINK(INDEX('File Links'!B:B, MATCH(O1189, 'File Links'!C:C, 0)))
</f>
        <v>https://drive.google.com/file/d/1Pb_juPmIU_Q7VY9NrSeQKbDclKBuO2i4/view?usp=drivesdk</v>
      </c>
      <c r="Q1189" s="147" t="s">
        <v>6103</v>
      </c>
      <c r="R1189" s="147" t="s">
        <v>6104</v>
      </c>
      <c r="S1189" s="638" t="s">
        <v>165</v>
      </c>
      <c r="T1189" s="115" t="s">
        <v>165</v>
      </c>
      <c r="U1189" s="147" t="s">
        <v>6105</v>
      </c>
      <c r="V1189" s="147" t="s">
        <v>318</v>
      </c>
      <c r="W1189" s="55" t="str">
        <f t="array" ref="W1189">HYPERLINK(INDEX('File Links'!B:B, MATCH(U1189, 'File Links'!C:C, 0)))
</f>
        <v>#N/A</v>
      </c>
      <c r="X1189" s="60"/>
      <c r="Y1189" s="147" t="s">
        <v>220</v>
      </c>
      <c r="Z1189" s="350" t="s">
        <v>165</v>
      </c>
      <c r="AA1189" s="60" t="s">
        <v>7011</v>
      </c>
      <c r="AB1189" s="147" t="s">
        <v>7012</v>
      </c>
      <c r="AC1189" s="115" t="s">
        <v>7013</v>
      </c>
      <c r="AD1189" s="1347" t="s">
        <v>7014</v>
      </c>
      <c r="AE1189" s="144">
        <v>40.0</v>
      </c>
      <c r="AF1189" s="327">
        <v>0.146</v>
      </c>
      <c r="AG1189" s="115" t="s">
        <v>1785</v>
      </c>
      <c r="AH1189" s="115" t="s">
        <v>7014</v>
      </c>
      <c r="AI1189" s="646">
        <v>0.015</v>
      </c>
      <c r="AJ1189" s="55" t="s">
        <v>164</v>
      </c>
      <c r="AK1189" s="115" t="s">
        <v>179</v>
      </c>
      <c r="AL1189" s="60" t="s">
        <v>129</v>
      </c>
      <c r="AM1189" s="115" t="s">
        <v>165</v>
      </c>
      <c r="AN1189" s="144">
        <v>77.0</v>
      </c>
      <c r="AO1189" s="327">
        <v>0.498565288609021</v>
      </c>
      <c r="AP1189" s="60" t="s">
        <v>166</v>
      </c>
      <c r="AQ1189" s="115" t="s">
        <v>6112</v>
      </c>
      <c r="AR1189" s="1348">
        <f>4.29*10^-5</f>
        <v>0.0000429</v>
      </c>
      <c r="AS1189" s="60" t="s">
        <v>164</v>
      </c>
      <c r="AT1189" s="1345" t="s">
        <v>179</v>
      </c>
      <c r="AU1189" s="60" t="s">
        <v>129</v>
      </c>
      <c r="AV1189" s="1312" t="s">
        <v>165</v>
      </c>
      <c r="AW1189" s="531" t="s">
        <v>134</v>
      </c>
      <c r="AY1189" s="115" t="s">
        <v>6998</v>
      </c>
    </row>
    <row r="1190">
      <c r="A1190" s="115" t="s">
        <v>106</v>
      </c>
      <c r="B1190" s="41" t="s">
        <v>107</v>
      </c>
      <c r="C1190" s="41" t="s">
        <v>243</v>
      </c>
      <c r="E1190" s="52" t="s">
        <v>7005</v>
      </c>
      <c r="F1190" s="139" t="s">
        <v>7006</v>
      </c>
      <c r="G1190" s="147" t="s">
        <v>244</v>
      </c>
      <c r="H1190" s="140">
        <v>45667.0</v>
      </c>
      <c r="I1190" s="472">
        <v>45692.0</v>
      </c>
      <c r="J1190" s="60"/>
      <c r="K1190" s="60"/>
      <c r="L1190" s="147" t="s">
        <v>7008</v>
      </c>
      <c r="M1190" s="147" t="s">
        <v>7009</v>
      </c>
      <c r="N1190" s="1345">
        <v>3.0</v>
      </c>
      <c r="O1190" s="147" t="str">
        <f> SUBSTITUTE(lower(M1190), "/", "--") &amp;  ".pdf"</f>
        <v>10.1177--0146167207309195.pdf</v>
      </c>
      <c r="P1190" s="48" t="str">
        <f t="array" ref="P1190">HYPERLINK(INDEX('File Links'!B:B, MATCH(O1190, 'File Links'!C:C, 0)))
</f>
        <v>https://drive.google.com/file/d/1Pb_juPmIU_Q7VY9NrSeQKbDclKBuO2i4/view?usp=drivesdk</v>
      </c>
      <c r="Q1190" s="147" t="s">
        <v>7015</v>
      </c>
      <c r="R1190" s="147" t="s">
        <v>6104</v>
      </c>
      <c r="S1190" s="638" t="s">
        <v>165</v>
      </c>
      <c r="T1190" s="115" t="s">
        <v>165</v>
      </c>
      <c r="U1190" s="147" t="s">
        <v>6105</v>
      </c>
      <c r="V1190" s="147" t="s">
        <v>318</v>
      </c>
      <c r="W1190" s="55" t="str">
        <f t="array" ref="W1190">HYPERLINK(INDEX('File Links'!B:B, MATCH(U1190, 'File Links'!C:C, 0)))
</f>
        <v>#N/A</v>
      </c>
      <c r="X1190" s="60"/>
      <c r="Y1190" s="147" t="s">
        <v>220</v>
      </c>
      <c r="Z1190" s="60"/>
      <c r="AA1190" s="60"/>
      <c r="AB1190" s="60"/>
      <c r="AC1190" s="147" t="s">
        <v>7016</v>
      </c>
      <c r="AD1190" s="144">
        <v>83.0</v>
      </c>
      <c r="AE1190" s="144">
        <v>40.0</v>
      </c>
      <c r="AF1190" s="144">
        <v>6.48</v>
      </c>
      <c r="AG1190" s="147" t="s">
        <v>1051</v>
      </c>
      <c r="AH1190" s="147" t="s">
        <v>7014</v>
      </c>
      <c r="AI1190" s="646">
        <v>0.015</v>
      </c>
      <c r="AJ1190" s="52" t="s">
        <v>164</v>
      </c>
      <c r="AK1190" s="52" t="s">
        <v>179</v>
      </c>
      <c r="AL1190" s="1268" t="s">
        <v>132</v>
      </c>
      <c r="AM1190" s="115" t="s">
        <v>165</v>
      </c>
      <c r="AN1190" s="144">
        <v>77.0</v>
      </c>
      <c r="AO1190" s="144">
        <v>0.498565288609021</v>
      </c>
      <c r="AP1190" s="147" t="s">
        <v>166</v>
      </c>
      <c r="AQ1190" s="115" t="s">
        <v>6112</v>
      </c>
      <c r="AR1190" s="1349">
        <v>4.28962951808074E-5</v>
      </c>
      <c r="AS1190" s="147" t="s">
        <v>164</v>
      </c>
      <c r="AT1190" s="147" t="s">
        <v>179</v>
      </c>
      <c r="AU1190" s="147" t="s">
        <v>132</v>
      </c>
      <c r="AV1190" s="1312" t="s">
        <v>165</v>
      </c>
      <c r="AW1190" s="453" t="s">
        <v>134</v>
      </c>
      <c r="AY1190" s="115" t="s">
        <v>6998</v>
      </c>
    </row>
    <row r="1191">
      <c r="A1191" s="115" t="s">
        <v>143</v>
      </c>
      <c r="B1191" s="41" t="s">
        <v>107</v>
      </c>
      <c r="C1191" s="41" t="s">
        <v>108</v>
      </c>
      <c r="E1191" s="60" t="s">
        <v>7017</v>
      </c>
      <c r="F1191" s="52" t="s">
        <v>7018</v>
      </c>
      <c r="G1191" s="147" t="s">
        <v>6097</v>
      </c>
      <c r="H1191" s="140">
        <v>45692.0</v>
      </c>
      <c r="I1191" s="472">
        <v>45692.0</v>
      </c>
      <c r="J1191" s="60"/>
      <c r="K1191" s="115" t="s">
        <v>7019</v>
      </c>
      <c r="L1191" s="147" t="s">
        <v>7020</v>
      </c>
      <c r="M1191" s="147" t="s">
        <v>7021</v>
      </c>
      <c r="N1191" s="144">
        <v>1.0</v>
      </c>
      <c r="O1191" s="147" t="s">
        <v>7022</v>
      </c>
      <c r="P1191" s="48" t="str">
        <f t="array" ref="P1191">HYPERLINK(INDEX('File Links'!B:B, MATCH(O1191, 'File Links'!C:C, 0)))
</f>
        <v>https://drive.google.com/file/d/18geCDJ5bRB3bpM43MHvE6GJwLIjojiV3/view?usp=drivesdk</v>
      </c>
      <c r="Q1191" s="147" t="s">
        <v>6103</v>
      </c>
      <c r="R1191" s="147" t="s">
        <v>6104</v>
      </c>
      <c r="S1191" s="638" t="s">
        <v>165</v>
      </c>
      <c r="T1191" s="115" t="s">
        <v>165</v>
      </c>
      <c r="U1191" s="147" t="s">
        <v>6105</v>
      </c>
      <c r="V1191" s="147" t="s">
        <v>318</v>
      </c>
      <c r="W1191" s="55" t="str">
        <f t="array" ref="W1191">HYPERLINK(INDEX('File Links'!B:B, MATCH(U1191, 'File Links'!C:C, 0)))
</f>
        <v>#N/A</v>
      </c>
      <c r="X1191" s="60"/>
      <c r="Y1191" s="147" t="s">
        <v>139</v>
      </c>
      <c r="Z1191" s="350" t="s">
        <v>165</v>
      </c>
      <c r="AA1191" s="115" t="s">
        <v>7023</v>
      </c>
      <c r="AB1191" s="147" t="s">
        <v>7024</v>
      </c>
      <c r="AC1191" s="1345" t="s">
        <v>7025</v>
      </c>
      <c r="AD1191" s="1350" t="s">
        <v>7026</v>
      </c>
      <c r="AE1191" s="144">
        <v>101.0</v>
      </c>
      <c r="AF1191" s="1345">
        <v>7.86</v>
      </c>
      <c r="AG1191" s="1345" t="s">
        <v>1051</v>
      </c>
      <c r="AH1191" s="1345" t="s">
        <v>7026</v>
      </c>
      <c r="AI1191" s="1347">
        <v>0.01</v>
      </c>
      <c r="AJ1191" s="1345" t="s">
        <v>127</v>
      </c>
      <c r="AK1191" s="1345" t="s">
        <v>179</v>
      </c>
      <c r="AL1191" s="1345" t="s">
        <v>129</v>
      </c>
      <c r="AM1191" s="115" t="s">
        <v>165</v>
      </c>
      <c r="AN1191" s="144">
        <v>45.0</v>
      </c>
      <c r="AO1191" s="327">
        <v>0.343443573781914</v>
      </c>
      <c r="AP1191" s="60" t="s">
        <v>166</v>
      </c>
      <c r="AQ1191" s="115" t="s">
        <v>6112</v>
      </c>
      <c r="AR1191" s="327">
        <v>0.266690424017411</v>
      </c>
      <c r="AS1191" s="60" t="s">
        <v>164</v>
      </c>
      <c r="AT1191" s="60" t="s">
        <v>179</v>
      </c>
      <c r="AU1191" s="1345" t="s">
        <v>129</v>
      </c>
      <c r="AV1191" s="1312" t="s">
        <v>165</v>
      </c>
      <c r="AW1191" s="531" t="s">
        <v>134</v>
      </c>
      <c r="AY1191" s="115" t="s">
        <v>6998</v>
      </c>
    </row>
    <row r="1192">
      <c r="A1192" s="115" t="s">
        <v>106</v>
      </c>
      <c r="B1192" s="41" t="s">
        <v>107</v>
      </c>
      <c r="C1192" s="41" t="s">
        <v>243</v>
      </c>
      <c r="E1192" s="52" t="s">
        <v>7017</v>
      </c>
      <c r="F1192" s="139" t="s">
        <v>7018</v>
      </c>
      <c r="G1192" s="147" t="s">
        <v>244</v>
      </c>
      <c r="H1192" s="140">
        <v>45667.0</v>
      </c>
      <c r="I1192" s="472">
        <v>45692.0</v>
      </c>
      <c r="J1192" s="60"/>
      <c r="K1192" s="60"/>
      <c r="L1192" s="147" t="s">
        <v>7020</v>
      </c>
      <c r="M1192" s="147" t="s">
        <v>7021</v>
      </c>
      <c r="N1192" s="1345">
        <v>1.0</v>
      </c>
      <c r="O1192" s="147" t="str">
        <f t="shared" ref="O1192:O1194" si="72"> SUBSTITUTE(lower(M1192), "/", "--") &amp;  ".pdf"</f>
        <v>10.1126--science.1238041.pdf</v>
      </c>
      <c r="P1192" s="48" t="str">
        <f t="array" ref="P1192">HYPERLINK(INDEX('File Links'!B:B, MATCH(O1192, 'File Links'!C:C, 0)))
</f>
        <v>https://drive.google.com/file/d/18geCDJ5bRB3bpM43MHvE6GJwLIjojiV3/view?usp=drivesdk</v>
      </c>
      <c r="Q1192" s="147" t="s">
        <v>7027</v>
      </c>
      <c r="R1192" s="147" t="s">
        <v>6104</v>
      </c>
      <c r="S1192" s="638" t="s">
        <v>165</v>
      </c>
      <c r="T1192" s="115" t="s">
        <v>165</v>
      </c>
      <c r="U1192" s="147" t="s">
        <v>6105</v>
      </c>
      <c r="V1192" s="147" t="s">
        <v>318</v>
      </c>
      <c r="W1192" s="55" t="str">
        <f t="array" ref="W1192">HYPERLINK(INDEX('File Links'!B:B, MATCH(U1192, 'File Links'!C:C, 0)))
</f>
        <v>#N/A</v>
      </c>
      <c r="X1192" s="60"/>
      <c r="Y1192" s="147" t="s">
        <v>139</v>
      </c>
      <c r="Z1192" s="60"/>
      <c r="AA1192" s="147" t="s">
        <v>7028</v>
      </c>
      <c r="AB1192" s="60"/>
      <c r="AC1192" s="147" t="s">
        <v>7029</v>
      </c>
      <c r="AD1192" s="144">
        <v>977.0</v>
      </c>
      <c r="AE1192" s="144">
        <v>101.0</v>
      </c>
      <c r="AF1192" s="144">
        <v>7.86</v>
      </c>
      <c r="AG1192" s="147" t="s">
        <v>1051</v>
      </c>
      <c r="AH1192" s="147" t="s">
        <v>7026</v>
      </c>
      <c r="AI1192" s="646">
        <v>0.01</v>
      </c>
      <c r="AJ1192" s="52" t="s">
        <v>127</v>
      </c>
      <c r="AK1192" s="52" t="s">
        <v>179</v>
      </c>
      <c r="AL1192" s="147" t="s">
        <v>132</v>
      </c>
      <c r="AM1192" s="115" t="s">
        <v>165</v>
      </c>
      <c r="AN1192" s="144">
        <v>45.0</v>
      </c>
      <c r="AO1192" s="144">
        <v>0.343443573781914</v>
      </c>
      <c r="AP1192" s="147" t="s">
        <v>166</v>
      </c>
      <c r="AQ1192" s="115" t="s">
        <v>6112</v>
      </c>
      <c r="AR1192" s="1351">
        <v>0.266690424017411</v>
      </c>
      <c r="AS1192" s="147" t="s">
        <v>164</v>
      </c>
      <c r="AT1192" s="147" t="s">
        <v>179</v>
      </c>
      <c r="AU1192" s="147" t="s">
        <v>132</v>
      </c>
      <c r="AV1192" s="1312" t="s">
        <v>165</v>
      </c>
      <c r="AW1192" s="453" t="s">
        <v>134</v>
      </c>
      <c r="AY1192" s="115" t="s">
        <v>6998</v>
      </c>
    </row>
    <row r="1193">
      <c r="A1193" s="115" t="s">
        <v>143</v>
      </c>
      <c r="B1193" s="41" t="s">
        <v>107</v>
      </c>
      <c r="C1193" s="41" t="s">
        <v>108</v>
      </c>
      <c r="E1193" s="60" t="s">
        <v>7030</v>
      </c>
      <c r="F1193" s="52" t="s">
        <v>7031</v>
      </c>
      <c r="G1193" s="147" t="s">
        <v>6097</v>
      </c>
      <c r="H1193" s="140">
        <v>45692.0</v>
      </c>
      <c r="I1193" s="472">
        <v>45692.0</v>
      </c>
      <c r="J1193" s="60"/>
      <c r="K1193" s="115" t="s">
        <v>7032</v>
      </c>
      <c r="L1193" s="147" t="s">
        <v>7033</v>
      </c>
      <c r="M1193" s="147" t="s">
        <v>7034</v>
      </c>
      <c r="N1193" s="144">
        <v>1.0</v>
      </c>
      <c r="O1193" s="147" t="str">
        <f t="shared" si="72"/>
        <v>10.1037--a003210894.pdf</v>
      </c>
      <c r="P1193" s="48" t="str">
        <f t="array" ref="P1193">HYPERLINK(INDEX('File Links'!B:B, MATCH(O1193, 'File Links'!C:C, 0)))
</f>
        <v>https://drive.google.com/file/d/1S_1bC54b_CF_KpBDtwLxeDYcQEWMTRW_/view?usp=drivesdk</v>
      </c>
      <c r="Q1193" s="147" t="s">
        <v>6103</v>
      </c>
      <c r="R1193" s="147" t="s">
        <v>6104</v>
      </c>
      <c r="S1193" s="638" t="s">
        <v>165</v>
      </c>
      <c r="T1193" s="115" t="s">
        <v>165</v>
      </c>
      <c r="U1193" s="147" t="s">
        <v>6105</v>
      </c>
      <c r="V1193" s="147" t="s">
        <v>318</v>
      </c>
      <c r="W1193" s="55" t="str">
        <f t="array" ref="W1193">HYPERLINK(INDEX('File Links'!B:B, MATCH(U1193, 'File Links'!C:C, 0)))
</f>
        <v>#N/A</v>
      </c>
      <c r="X1193" s="60"/>
      <c r="Y1193" s="147" t="s">
        <v>139</v>
      </c>
      <c r="Z1193" s="350" t="s">
        <v>165</v>
      </c>
      <c r="AA1193" s="147" t="s">
        <v>7035</v>
      </c>
      <c r="AB1193" s="147" t="s">
        <v>7036</v>
      </c>
      <c r="AC1193" s="115" t="s">
        <v>7037</v>
      </c>
      <c r="AD1193" s="1347" t="s">
        <v>1274</v>
      </c>
      <c r="AE1193" s="1352">
        <v>59.0</v>
      </c>
      <c r="AF1193" s="149" t="s">
        <v>7038</v>
      </c>
      <c r="AG1193" s="139" t="s">
        <v>6423</v>
      </c>
      <c r="AH1193" s="115" t="s">
        <v>1274</v>
      </c>
      <c r="AI1193" s="1347">
        <v>0.07</v>
      </c>
      <c r="AJ1193" s="55" t="s">
        <v>164</v>
      </c>
      <c r="AK1193" s="55" t="s">
        <v>179</v>
      </c>
      <c r="AL1193" s="60" t="s">
        <v>129</v>
      </c>
      <c r="AM1193" s="115" t="s">
        <v>165</v>
      </c>
      <c r="AN1193" s="144">
        <v>48.0</v>
      </c>
      <c r="AO1193" s="144">
        <v>0.6884827599</v>
      </c>
      <c r="AP1193" s="147" t="s">
        <v>166</v>
      </c>
      <c r="AQ1193" s="115" t="s">
        <v>6112</v>
      </c>
      <c r="AR1193" s="327">
        <v>0.0226713058255987</v>
      </c>
      <c r="AS1193" s="60" t="s">
        <v>164</v>
      </c>
      <c r="AT1193" s="60" t="s">
        <v>179</v>
      </c>
      <c r="AU1193" s="60" t="s">
        <v>129</v>
      </c>
      <c r="AV1193" s="1312" t="s">
        <v>165</v>
      </c>
      <c r="AW1193" s="531" t="s">
        <v>134</v>
      </c>
      <c r="AY1193" s="115" t="s">
        <v>6998</v>
      </c>
    </row>
    <row r="1194">
      <c r="A1194" s="115" t="s">
        <v>106</v>
      </c>
      <c r="B1194" s="41" t="s">
        <v>107</v>
      </c>
      <c r="C1194" s="41" t="s">
        <v>243</v>
      </c>
      <c r="E1194" s="52" t="s">
        <v>7030</v>
      </c>
      <c r="F1194" s="139" t="s">
        <v>7031</v>
      </c>
      <c r="G1194" s="147" t="s">
        <v>244</v>
      </c>
      <c r="H1194" s="140">
        <v>45667.0</v>
      </c>
      <c r="I1194" s="472">
        <v>45692.0</v>
      </c>
      <c r="J1194" s="147" t="s">
        <v>7039</v>
      </c>
      <c r="K1194" s="60"/>
      <c r="L1194" s="147" t="s">
        <v>7033</v>
      </c>
      <c r="M1194" s="147" t="s">
        <v>7034</v>
      </c>
      <c r="N1194" s="1345">
        <v>1.0</v>
      </c>
      <c r="O1194" s="147" t="str">
        <f t="shared" si="72"/>
        <v>10.1037--a003210894.pdf</v>
      </c>
      <c r="P1194" s="48" t="str">
        <f t="array" ref="P1194">HYPERLINK(INDEX('File Links'!B:B, MATCH(O1194, 'File Links'!C:C, 0)))
</f>
        <v>https://drive.google.com/file/d/1S_1bC54b_CF_KpBDtwLxeDYcQEWMTRW_/view?usp=drivesdk</v>
      </c>
      <c r="Q1194" s="147" t="s">
        <v>7040</v>
      </c>
      <c r="R1194" s="147" t="s">
        <v>6104</v>
      </c>
      <c r="S1194" s="638" t="s">
        <v>165</v>
      </c>
      <c r="T1194" s="115" t="s">
        <v>165</v>
      </c>
      <c r="U1194" s="147" t="s">
        <v>6105</v>
      </c>
      <c r="V1194" s="147" t="s">
        <v>318</v>
      </c>
      <c r="W1194" s="55" t="str">
        <f t="array" ref="W1194">HYPERLINK(INDEX('File Links'!B:B, MATCH(U1194, 'File Links'!C:C, 0)))
</f>
        <v>#N/A</v>
      </c>
      <c r="X1194" s="60"/>
      <c r="Y1194" s="147" t="s">
        <v>139</v>
      </c>
      <c r="Z1194" s="60"/>
      <c r="AA1194" s="60"/>
      <c r="AB1194" s="60"/>
      <c r="AC1194" s="147" t="s">
        <v>7041</v>
      </c>
      <c r="AD1194" s="144">
        <v>105.0</v>
      </c>
      <c r="AE1194" s="144">
        <v>240.0</v>
      </c>
      <c r="AF1194" s="1265">
        <v>0.473887635970198</v>
      </c>
      <c r="AG1194" s="1268" t="s">
        <v>166</v>
      </c>
      <c r="AH1194" s="147" t="s">
        <v>1274</v>
      </c>
      <c r="AI1194" s="646">
        <v>0.07</v>
      </c>
      <c r="AJ1194" s="52" t="s">
        <v>164</v>
      </c>
      <c r="AK1194" s="52" t="s">
        <v>179</v>
      </c>
      <c r="AL1194" s="147" t="s">
        <v>129</v>
      </c>
      <c r="AM1194" s="115" t="s">
        <v>165</v>
      </c>
      <c r="AN1194" s="144">
        <v>48.0</v>
      </c>
      <c r="AO1194" s="144">
        <v>0.688482759870062</v>
      </c>
      <c r="AP1194" s="147" t="s">
        <v>166</v>
      </c>
      <c r="AQ1194" s="115" t="s">
        <v>6112</v>
      </c>
      <c r="AR1194" s="144">
        <v>0.0226713058255987</v>
      </c>
      <c r="AS1194" s="147" t="s">
        <v>164</v>
      </c>
      <c r="AT1194" s="147" t="s">
        <v>179</v>
      </c>
      <c r="AU1194" s="147" t="s">
        <v>129</v>
      </c>
      <c r="AV1194" s="1312" t="s">
        <v>165</v>
      </c>
      <c r="AW1194" s="453" t="s">
        <v>134</v>
      </c>
      <c r="AY1194" s="115" t="s">
        <v>6998</v>
      </c>
      <c r="BF1194" s="41" t="s">
        <v>132</v>
      </c>
      <c r="BG1194" s="1353" t="s">
        <v>292</v>
      </c>
      <c r="BH1194" s="41" t="s">
        <v>134</v>
      </c>
    </row>
    <row r="1195">
      <c r="A1195" s="115" t="s">
        <v>5350</v>
      </c>
      <c r="B1195" s="41" t="s">
        <v>107</v>
      </c>
      <c r="C1195" s="41" t="s">
        <v>108</v>
      </c>
      <c r="D1195" s="340"/>
      <c r="E1195" s="1289" t="s">
        <v>7042</v>
      </c>
      <c r="F1195" s="1290" t="s">
        <v>7043</v>
      </c>
      <c r="G1195" s="1291" t="s">
        <v>6097</v>
      </c>
      <c r="H1195" s="1292">
        <v>45692.0</v>
      </c>
      <c r="I1195" s="1293">
        <v>45692.0</v>
      </c>
      <c r="J1195" s="1289"/>
      <c r="K1195" s="1289" t="s">
        <v>6099</v>
      </c>
      <c r="L1195" s="1291" t="s">
        <v>7044</v>
      </c>
      <c r="M1195" s="1291" t="s">
        <v>7045</v>
      </c>
      <c r="N1195" s="1294">
        <v>1.0</v>
      </c>
      <c r="O1195" s="1291" t="s">
        <v>7046</v>
      </c>
      <c r="P1195" s="48" t="str">
        <f t="array" ref="P1195">HYPERLINK(INDEX('File Links'!B:B, MATCH(O1195, 'File Links'!C:C, 0)))
</f>
        <v>https://drive.google.com/file/d/12yIYc8a3z4MzJ_-PiAeu39d1ppwYynMI/view?usp=drivesdk</v>
      </c>
      <c r="Q1195" s="1291" t="s">
        <v>6103</v>
      </c>
      <c r="R1195" s="147" t="s">
        <v>6104</v>
      </c>
      <c r="S1195" s="978" t="s">
        <v>165</v>
      </c>
      <c r="T1195" s="134" t="s">
        <v>165</v>
      </c>
      <c r="U1195" s="1291" t="s">
        <v>6105</v>
      </c>
      <c r="V1195" s="127" t="s">
        <v>6291</v>
      </c>
      <c r="W1195" s="45" t="str">
        <f t="array" ref="W1195">HYPERLINK(INDEX('File Links'!B:B, MATCH(U1195, 'File Links'!C:C, 0)))
</f>
        <v>#N/A</v>
      </c>
      <c r="X1195" s="1289"/>
      <c r="Y1195" s="1291" t="s">
        <v>220</v>
      </c>
      <c r="Z1195" s="1289" t="s">
        <v>768</v>
      </c>
      <c r="AA1195" s="1289" t="s">
        <v>7047</v>
      </c>
      <c r="AB1195" s="1291" t="s">
        <v>7048</v>
      </c>
      <c r="AC1195" s="1289" t="s">
        <v>7049</v>
      </c>
      <c r="AD1195" s="1316">
        <v>4.0</v>
      </c>
      <c r="AE1195" s="1294">
        <v>110.0</v>
      </c>
      <c r="AF1195" s="1316">
        <v>0.62</v>
      </c>
      <c r="AG1195" s="1289" t="s">
        <v>166</v>
      </c>
      <c r="AH1195" s="1289" t="s">
        <v>861</v>
      </c>
      <c r="AI1195" s="1321">
        <v>0.001</v>
      </c>
      <c r="AJ1195" s="1296" t="s">
        <v>164</v>
      </c>
      <c r="AK1195" s="1296" t="s">
        <v>179</v>
      </c>
      <c r="AL1195" s="1289" t="s">
        <v>129</v>
      </c>
      <c r="AM1195" s="1297" t="s">
        <v>165</v>
      </c>
      <c r="AN1195" s="1294">
        <v>98.0</v>
      </c>
      <c r="AO1195" s="1316">
        <v>0.743298262941807</v>
      </c>
      <c r="AP1195" s="1289" t="s">
        <v>166</v>
      </c>
      <c r="AQ1195" s="1297" t="s">
        <v>6112</v>
      </c>
      <c r="AR1195" s="1316">
        <v>0.00994269298</v>
      </c>
      <c r="AS1195" s="1289" t="s">
        <v>164</v>
      </c>
      <c r="AT1195" s="1289" t="s">
        <v>179</v>
      </c>
      <c r="AU1195" s="1289" t="s">
        <v>129</v>
      </c>
      <c r="AV1195" s="1298" t="s">
        <v>165</v>
      </c>
      <c r="AW1195" s="1314" t="s">
        <v>134</v>
      </c>
      <c r="AY1195" s="1297" t="s">
        <v>6113</v>
      </c>
    </row>
    <row r="1196">
      <c r="A1196" s="60" t="s">
        <v>586</v>
      </c>
      <c r="B1196" s="41" t="s">
        <v>107</v>
      </c>
      <c r="C1196" s="41" t="s">
        <v>108</v>
      </c>
      <c r="D1196" s="340"/>
      <c r="E1196" s="1289" t="s">
        <v>7042</v>
      </c>
      <c r="F1196" s="1290" t="s">
        <v>7050</v>
      </c>
      <c r="G1196" s="1291" t="s">
        <v>6097</v>
      </c>
      <c r="H1196" s="1292">
        <v>45692.0</v>
      </c>
      <c r="I1196" s="1293">
        <v>45692.0</v>
      </c>
      <c r="J1196" s="1289"/>
      <c r="K1196" s="1289" t="s">
        <v>7051</v>
      </c>
      <c r="L1196" s="1291" t="s">
        <v>7044</v>
      </c>
      <c r="M1196" s="1291" t="s">
        <v>7045</v>
      </c>
      <c r="N1196" s="1294">
        <v>1.0</v>
      </c>
      <c r="O1196" s="1291" t="s">
        <v>7046</v>
      </c>
      <c r="P1196" s="48" t="str">
        <f t="array" ref="P1196">HYPERLINK(INDEX('File Links'!B:B, MATCH(O1196, 'File Links'!C:C, 0)))
</f>
        <v>https://drive.google.com/file/d/12yIYc8a3z4MzJ_-PiAeu39d1ppwYynMI/view?usp=drivesdk</v>
      </c>
      <c r="Q1196" s="1291" t="s">
        <v>6103</v>
      </c>
      <c r="R1196" s="147" t="s">
        <v>6104</v>
      </c>
      <c r="S1196" s="978" t="s">
        <v>165</v>
      </c>
      <c r="T1196" s="134" t="s">
        <v>165</v>
      </c>
      <c r="U1196" s="1291" t="s">
        <v>6105</v>
      </c>
      <c r="V1196" s="127" t="s">
        <v>6291</v>
      </c>
      <c r="W1196" s="45" t="str">
        <f t="array" ref="W1196">HYPERLINK(INDEX('File Links'!B:B, MATCH(U1196, 'File Links'!C:C, 0)))
</f>
        <v>#N/A</v>
      </c>
      <c r="X1196" s="1289"/>
      <c r="Y1196" s="1291" t="s">
        <v>220</v>
      </c>
      <c r="Z1196" s="1289" t="s">
        <v>768</v>
      </c>
      <c r="AA1196" s="1289" t="s">
        <v>7047</v>
      </c>
      <c r="AB1196" s="1291" t="s">
        <v>7052</v>
      </c>
      <c r="AC1196" s="1289" t="s">
        <v>7053</v>
      </c>
      <c r="AD1196" s="1316">
        <v>4.0</v>
      </c>
      <c r="AE1196" s="1294">
        <v>110.0</v>
      </c>
      <c r="AF1196" s="1316">
        <v>0.67</v>
      </c>
      <c r="AG1196" s="1289" t="s">
        <v>166</v>
      </c>
      <c r="AH1196" s="1289" t="s">
        <v>861</v>
      </c>
      <c r="AI1196" s="1321">
        <v>0.001</v>
      </c>
      <c r="AJ1196" s="1296" t="s">
        <v>127</v>
      </c>
      <c r="AK1196" s="1296" t="s">
        <v>179</v>
      </c>
      <c r="AL1196" s="1289" t="s">
        <v>129</v>
      </c>
      <c r="AM1196" s="1297" t="s">
        <v>165</v>
      </c>
      <c r="AN1196" s="1294">
        <v>98.0</v>
      </c>
      <c r="AO1196" s="1316">
        <v>0.743298262941807</v>
      </c>
      <c r="AP1196" s="1289" t="s">
        <v>166</v>
      </c>
      <c r="AQ1196" s="1297" t="s">
        <v>6112</v>
      </c>
      <c r="AR1196" s="1316">
        <v>0.00994269298</v>
      </c>
      <c r="AS1196" s="1289" t="s">
        <v>164</v>
      </c>
      <c r="AT1196" s="1289" t="s">
        <v>179</v>
      </c>
      <c r="AU1196" s="1289" t="s">
        <v>129</v>
      </c>
      <c r="AV1196" s="1298" t="s">
        <v>165</v>
      </c>
      <c r="AW1196" s="1314" t="s">
        <v>134</v>
      </c>
      <c r="AY1196" s="1297" t="s">
        <v>6113</v>
      </c>
    </row>
    <row r="1197">
      <c r="A1197" s="60" t="s">
        <v>586</v>
      </c>
      <c r="B1197" s="41" t="s">
        <v>107</v>
      </c>
      <c r="C1197" s="41" t="s">
        <v>108</v>
      </c>
      <c r="D1197" s="340"/>
      <c r="E1197" s="1289" t="s">
        <v>7042</v>
      </c>
      <c r="F1197" s="1290" t="s">
        <v>7054</v>
      </c>
      <c r="G1197" s="1291" t="s">
        <v>6097</v>
      </c>
      <c r="H1197" s="1292">
        <v>45692.0</v>
      </c>
      <c r="I1197" s="1293">
        <v>45692.0</v>
      </c>
      <c r="J1197" s="1289"/>
      <c r="K1197" s="1289" t="s">
        <v>7051</v>
      </c>
      <c r="L1197" s="1291" t="s">
        <v>7044</v>
      </c>
      <c r="M1197" s="1291" t="s">
        <v>7045</v>
      </c>
      <c r="N1197" s="1294">
        <v>1.0</v>
      </c>
      <c r="O1197" s="1291" t="s">
        <v>7046</v>
      </c>
      <c r="P1197" s="48" t="str">
        <f t="array" ref="P1197">HYPERLINK(INDEX('File Links'!B:B, MATCH(O1197, 'File Links'!C:C, 0)))
</f>
        <v>https://drive.google.com/file/d/12yIYc8a3z4MzJ_-PiAeu39d1ppwYynMI/view?usp=drivesdk</v>
      </c>
      <c r="Q1197" s="1291" t="s">
        <v>6103</v>
      </c>
      <c r="R1197" s="147" t="s">
        <v>6104</v>
      </c>
      <c r="S1197" s="978" t="s">
        <v>165</v>
      </c>
      <c r="T1197" s="134" t="s">
        <v>165</v>
      </c>
      <c r="U1197" s="1291" t="s">
        <v>6105</v>
      </c>
      <c r="V1197" s="127" t="s">
        <v>6291</v>
      </c>
      <c r="W1197" s="45" t="str">
        <f t="array" ref="W1197">HYPERLINK(INDEX('File Links'!B:B, MATCH(U1197, 'File Links'!C:C, 0)))
</f>
        <v>#N/A</v>
      </c>
      <c r="X1197" s="1289"/>
      <c r="Y1197" s="1291" t="s">
        <v>220</v>
      </c>
      <c r="Z1197" s="1289" t="s">
        <v>768</v>
      </c>
      <c r="AA1197" s="1289" t="s">
        <v>7047</v>
      </c>
      <c r="AB1197" s="1291" t="s">
        <v>7055</v>
      </c>
      <c r="AC1197" s="1289" t="s">
        <v>7056</v>
      </c>
      <c r="AD1197" s="1316">
        <v>4.0</v>
      </c>
      <c r="AE1197" s="1294">
        <v>110.0</v>
      </c>
      <c r="AF1197" s="1316">
        <v>0.47</v>
      </c>
      <c r="AG1197" s="1289" t="s">
        <v>166</v>
      </c>
      <c r="AH1197" s="1289" t="s">
        <v>861</v>
      </c>
      <c r="AI1197" s="1321">
        <v>0.01</v>
      </c>
      <c r="AJ1197" s="1296" t="s">
        <v>164</v>
      </c>
      <c r="AK1197" s="1296" t="s">
        <v>179</v>
      </c>
      <c r="AL1197" s="1289" t="s">
        <v>129</v>
      </c>
      <c r="AM1197" s="1297" t="s">
        <v>165</v>
      </c>
      <c r="AN1197" s="1294">
        <v>98.0</v>
      </c>
      <c r="AO1197" s="1316">
        <v>0.743298262941807</v>
      </c>
      <c r="AP1197" s="1289" t="s">
        <v>166</v>
      </c>
      <c r="AQ1197" s="1297" t="s">
        <v>6112</v>
      </c>
      <c r="AR1197" s="1316">
        <v>0.00994269298</v>
      </c>
      <c r="AS1197" s="1289" t="s">
        <v>164</v>
      </c>
      <c r="AT1197" s="1289" t="s">
        <v>179</v>
      </c>
      <c r="AU1197" s="1289" t="s">
        <v>129</v>
      </c>
      <c r="AV1197" s="1298" t="s">
        <v>165</v>
      </c>
      <c r="AW1197" s="1314" t="s">
        <v>134</v>
      </c>
      <c r="AY1197" s="1297" t="s">
        <v>6113</v>
      </c>
    </row>
    <row r="1198">
      <c r="A1198" s="60" t="s">
        <v>586</v>
      </c>
      <c r="B1198" s="41" t="s">
        <v>107</v>
      </c>
      <c r="C1198" s="41" t="s">
        <v>108</v>
      </c>
      <c r="D1198" s="340"/>
      <c r="E1198" s="1289" t="s">
        <v>7042</v>
      </c>
      <c r="F1198" s="1290" t="s">
        <v>7057</v>
      </c>
      <c r="G1198" s="1291" t="s">
        <v>6097</v>
      </c>
      <c r="H1198" s="1292">
        <v>45692.0</v>
      </c>
      <c r="I1198" s="1293">
        <v>45692.0</v>
      </c>
      <c r="J1198" s="1289"/>
      <c r="K1198" s="1289" t="s">
        <v>7051</v>
      </c>
      <c r="L1198" s="1291" t="s">
        <v>7044</v>
      </c>
      <c r="M1198" s="1291" t="s">
        <v>7045</v>
      </c>
      <c r="N1198" s="1294">
        <v>1.0</v>
      </c>
      <c r="O1198" s="1291" t="s">
        <v>7046</v>
      </c>
      <c r="P1198" s="48" t="str">
        <f t="array" ref="P1198">HYPERLINK(INDEX('File Links'!B:B, MATCH(O1198, 'File Links'!C:C, 0)))
</f>
        <v>https://drive.google.com/file/d/12yIYc8a3z4MzJ_-PiAeu39d1ppwYynMI/view?usp=drivesdk</v>
      </c>
      <c r="Q1198" s="1291" t="s">
        <v>6103</v>
      </c>
      <c r="R1198" s="147" t="s">
        <v>6104</v>
      </c>
      <c r="S1198" s="978" t="s">
        <v>165</v>
      </c>
      <c r="T1198" s="134" t="s">
        <v>165</v>
      </c>
      <c r="U1198" s="1291" t="s">
        <v>6105</v>
      </c>
      <c r="V1198" s="127" t="s">
        <v>6291</v>
      </c>
      <c r="W1198" s="45" t="str">
        <f t="array" ref="W1198">HYPERLINK(INDEX('File Links'!B:B, MATCH(U1198, 'File Links'!C:C, 0)))
</f>
        <v>#N/A</v>
      </c>
      <c r="X1198" s="1289"/>
      <c r="Y1198" s="1291" t="s">
        <v>220</v>
      </c>
      <c r="Z1198" s="1289" t="s">
        <v>768</v>
      </c>
      <c r="AA1198" s="1289" t="s">
        <v>7047</v>
      </c>
      <c r="AB1198" s="1291" t="s">
        <v>7058</v>
      </c>
      <c r="AC1198" s="1289" t="s">
        <v>7059</v>
      </c>
      <c r="AD1198" s="1316">
        <v>4.0</v>
      </c>
      <c r="AE1198" s="1294">
        <v>110.0</v>
      </c>
      <c r="AF1198" s="1316">
        <v>0.61</v>
      </c>
      <c r="AG1198" s="1289" t="s">
        <v>166</v>
      </c>
      <c r="AH1198" s="1289" t="s">
        <v>861</v>
      </c>
      <c r="AI1198" s="1321">
        <v>0.001</v>
      </c>
      <c r="AJ1198" s="1296" t="s">
        <v>164</v>
      </c>
      <c r="AK1198" s="1296" t="s">
        <v>179</v>
      </c>
      <c r="AL1198" s="1289" t="s">
        <v>129</v>
      </c>
      <c r="AM1198" s="1297" t="s">
        <v>165</v>
      </c>
      <c r="AN1198" s="1294">
        <v>98.0</v>
      </c>
      <c r="AO1198" s="1316">
        <v>0.743298262941807</v>
      </c>
      <c r="AP1198" s="1289" t="s">
        <v>166</v>
      </c>
      <c r="AQ1198" s="1297" t="s">
        <v>6112</v>
      </c>
      <c r="AR1198" s="1316">
        <v>0.00994269298</v>
      </c>
      <c r="AS1198" s="1289" t="s">
        <v>164</v>
      </c>
      <c r="AT1198" s="1289" t="s">
        <v>179</v>
      </c>
      <c r="AU1198" s="1289" t="s">
        <v>129</v>
      </c>
      <c r="AV1198" s="1298" t="s">
        <v>165</v>
      </c>
      <c r="AW1198" s="1314" t="s">
        <v>134</v>
      </c>
      <c r="AY1198" s="1297" t="s">
        <v>6113</v>
      </c>
    </row>
    <row r="1199">
      <c r="A1199" s="60" t="s">
        <v>586</v>
      </c>
      <c r="B1199" s="41" t="s">
        <v>107</v>
      </c>
      <c r="C1199" s="41" t="s">
        <v>108</v>
      </c>
      <c r="D1199" s="340"/>
      <c r="E1199" s="1289" t="s">
        <v>7042</v>
      </c>
      <c r="F1199" s="1290" t="s">
        <v>7060</v>
      </c>
      <c r="G1199" s="1291" t="s">
        <v>6097</v>
      </c>
      <c r="H1199" s="1292">
        <v>45692.0</v>
      </c>
      <c r="I1199" s="1293">
        <v>45692.0</v>
      </c>
      <c r="J1199" s="1289"/>
      <c r="K1199" s="1289" t="s">
        <v>7051</v>
      </c>
      <c r="L1199" s="1291" t="s">
        <v>7044</v>
      </c>
      <c r="M1199" s="1291" t="s">
        <v>7045</v>
      </c>
      <c r="N1199" s="1294">
        <v>1.0</v>
      </c>
      <c r="O1199" s="1291" t="s">
        <v>7046</v>
      </c>
      <c r="P1199" s="48" t="str">
        <f t="array" ref="P1199">HYPERLINK(INDEX('File Links'!B:B, MATCH(O1199, 'File Links'!C:C, 0)))
</f>
        <v>https://drive.google.com/file/d/12yIYc8a3z4MzJ_-PiAeu39d1ppwYynMI/view?usp=drivesdk</v>
      </c>
      <c r="Q1199" s="1291" t="s">
        <v>6103</v>
      </c>
      <c r="R1199" s="147" t="s">
        <v>6104</v>
      </c>
      <c r="S1199" s="978" t="s">
        <v>165</v>
      </c>
      <c r="T1199" s="134" t="s">
        <v>165</v>
      </c>
      <c r="U1199" s="1291" t="s">
        <v>6105</v>
      </c>
      <c r="V1199" s="127" t="s">
        <v>6291</v>
      </c>
      <c r="W1199" s="45" t="str">
        <f t="array" ref="W1199">HYPERLINK(INDEX('File Links'!B:B, MATCH(U1199, 'File Links'!C:C, 0)))
</f>
        <v>#N/A</v>
      </c>
      <c r="X1199" s="1289"/>
      <c r="Y1199" s="1291" t="s">
        <v>220</v>
      </c>
      <c r="Z1199" s="1289" t="s">
        <v>768</v>
      </c>
      <c r="AA1199" s="1289" t="s">
        <v>7047</v>
      </c>
      <c r="AB1199" s="1291" t="s">
        <v>7061</v>
      </c>
      <c r="AC1199" s="1289" t="s">
        <v>7062</v>
      </c>
      <c r="AD1199" s="1316">
        <v>4.0</v>
      </c>
      <c r="AE1199" s="1294">
        <v>110.0</v>
      </c>
      <c r="AF1199" s="1316">
        <v>0.64</v>
      </c>
      <c r="AG1199" s="1289" t="s">
        <v>166</v>
      </c>
      <c r="AH1199" s="1289" t="s">
        <v>861</v>
      </c>
      <c r="AI1199" s="1321">
        <v>0.001</v>
      </c>
      <c r="AJ1199" s="1296" t="s">
        <v>127</v>
      </c>
      <c r="AK1199" s="1296" t="s">
        <v>179</v>
      </c>
      <c r="AL1199" s="1289" t="s">
        <v>129</v>
      </c>
      <c r="AM1199" s="1297" t="s">
        <v>165</v>
      </c>
      <c r="AN1199" s="1294">
        <v>98.0</v>
      </c>
      <c r="AO1199" s="1316">
        <v>0.743298262941807</v>
      </c>
      <c r="AP1199" s="1289" t="s">
        <v>166</v>
      </c>
      <c r="AQ1199" s="1297" t="s">
        <v>6112</v>
      </c>
      <c r="AR1199" s="1316">
        <v>0.00994269298</v>
      </c>
      <c r="AS1199" s="1289" t="s">
        <v>164</v>
      </c>
      <c r="AT1199" s="1289" t="s">
        <v>179</v>
      </c>
      <c r="AU1199" s="1289" t="s">
        <v>129</v>
      </c>
      <c r="AV1199" s="1298" t="s">
        <v>165</v>
      </c>
      <c r="AW1199" s="1314" t="s">
        <v>134</v>
      </c>
      <c r="AY1199" s="1297" t="s">
        <v>6113</v>
      </c>
    </row>
    <row r="1200">
      <c r="A1200" s="60" t="s">
        <v>586</v>
      </c>
      <c r="B1200" s="41" t="s">
        <v>107</v>
      </c>
      <c r="C1200" s="41" t="s">
        <v>108</v>
      </c>
      <c r="D1200" s="340"/>
      <c r="E1200" s="1289" t="s">
        <v>7042</v>
      </c>
      <c r="F1200" s="1290" t="s">
        <v>7063</v>
      </c>
      <c r="G1200" s="1291" t="s">
        <v>6097</v>
      </c>
      <c r="H1200" s="1292">
        <v>45692.0</v>
      </c>
      <c r="I1200" s="1293">
        <v>45692.0</v>
      </c>
      <c r="J1200" s="1289"/>
      <c r="K1200" s="1289" t="s">
        <v>7051</v>
      </c>
      <c r="L1200" s="1291" t="s">
        <v>7044</v>
      </c>
      <c r="M1200" s="1291" t="s">
        <v>7045</v>
      </c>
      <c r="N1200" s="1294">
        <v>1.0</v>
      </c>
      <c r="O1200" s="1291" t="s">
        <v>7046</v>
      </c>
      <c r="P1200" s="48" t="str">
        <f t="array" ref="P1200">HYPERLINK(INDEX('File Links'!B:B, MATCH(O1200, 'File Links'!C:C, 0)))
</f>
        <v>https://drive.google.com/file/d/12yIYc8a3z4MzJ_-PiAeu39d1ppwYynMI/view?usp=drivesdk</v>
      </c>
      <c r="Q1200" s="1291" t="s">
        <v>6103</v>
      </c>
      <c r="R1200" s="147" t="s">
        <v>6104</v>
      </c>
      <c r="S1200" s="978" t="s">
        <v>165</v>
      </c>
      <c r="T1200" s="134" t="s">
        <v>165</v>
      </c>
      <c r="U1200" s="1291" t="s">
        <v>6105</v>
      </c>
      <c r="V1200" s="127" t="s">
        <v>6291</v>
      </c>
      <c r="W1200" s="45" t="str">
        <f t="array" ref="W1200">HYPERLINK(INDEX('File Links'!B:B, MATCH(U1200, 'File Links'!C:C, 0)))
</f>
        <v>#N/A</v>
      </c>
      <c r="X1200" s="1289"/>
      <c r="Y1200" s="1291" t="s">
        <v>220</v>
      </c>
      <c r="Z1200" s="1289" t="s">
        <v>768</v>
      </c>
      <c r="AA1200" s="1289" t="s">
        <v>7047</v>
      </c>
      <c r="AB1200" s="1291" t="s">
        <v>7064</v>
      </c>
      <c r="AC1200" s="1289" t="s">
        <v>7065</v>
      </c>
      <c r="AD1200" s="1316">
        <v>4.0</v>
      </c>
      <c r="AE1200" s="1294">
        <v>110.0</v>
      </c>
      <c r="AF1200" s="1316">
        <v>-0.88</v>
      </c>
      <c r="AG1200" s="1289" t="s">
        <v>166</v>
      </c>
      <c r="AH1200" s="1289" t="s">
        <v>861</v>
      </c>
      <c r="AI1200" s="1321">
        <v>0.001</v>
      </c>
      <c r="AJ1200" s="1296" t="s">
        <v>127</v>
      </c>
      <c r="AK1200" s="1296" t="s">
        <v>179</v>
      </c>
      <c r="AL1200" s="1289" t="s">
        <v>129</v>
      </c>
      <c r="AM1200" s="1297" t="s">
        <v>165</v>
      </c>
      <c r="AN1200" s="1294">
        <v>98.0</v>
      </c>
      <c r="AO1200" s="1316">
        <v>0.743298262941807</v>
      </c>
      <c r="AP1200" s="1289" t="s">
        <v>166</v>
      </c>
      <c r="AQ1200" s="1297" t="s">
        <v>6112</v>
      </c>
      <c r="AR1200" s="1316">
        <v>0.00994269298</v>
      </c>
      <c r="AS1200" s="1289" t="s">
        <v>164</v>
      </c>
      <c r="AT1200" s="1289" t="s">
        <v>179</v>
      </c>
      <c r="AU1200" s="1289" t="s">
        <v>129</v>
      </c>
      <c r="AV1200" s="1298" t="s">
        <v>165</v>
      </c>
      <c r="AW1200" s="1314" t="s">
        <v>134</v>
      </c>
      <c r="AY1200" s="1297" t="s">
        <v>6113</v>
      </c>
    </row>
    <row r="1201">
      <c r="A1201" s="115" t="s">
        <v>5350</v>
      </c>
      <c r="B1201" s="41" t="s">
        <v>107</v>
      </c>
      <c r="C1201" s="41" t="s">
        <v>243</v>
      </c>
      <c r="D1201" s="340"/>
      <c r="E1201" s="112" t="s">
        <v>7042</v>
      </c>
      <c r="F1201" s="116" t="s">
        <v>7043</v>
      </c>
      <c r="G1201" s="127" t="s">
        <v>244</v>
      </c>
      <c r="H1201" s="310">
        <v>45667.0</v>
      </c>
      <c r="I1201" s="1301">
        <v>45692.0</v>
      </c>
      <c r="J1201" s="111"/>
      <c r="K1201" s="111" t="s">
        <v>6099</v>
      </c>
      <c r="L1201" s="127" t="s">
        <v>7044</v>
      </c>
      <c r="M1201" s="127" t="s">
        <v>7045</v>
      </c>
      <c r="N1201" s="111"/>
      <c r="O1201" s="127" t="str">
        <f> SUBSTITUTE(lower(M1201), "/", "--") &amp;  ".pdf"</f>
        <v>10.1145--3173574.3174188.pdf</v>
      </c>
      <c r="P1201" s="48" t="str">
        <f t="array" ref="P1201">HYPERLINK(INDEX('File Links'!B:B, MATCH(O1201, 'File Links'!C:C, 0)))
</f>
        <v>https://drive.google.com/file/d/12yIYc8a3z4MzJ_-PiAeu39d1ppwYynMI/view?usp=drivesdk</v>
      </c>
      <c r="Q1201" s="127" t="s">
        <v>7066</v>
      </c>
      <c r="R1201" s="147" t="s">
        <v>6104</v>
      </c>
      <c r="S1201" s="978" t="s">
        <v>165</v>
      </c>
      <c r="T1201" s="134" t="s">
        <v>165</v>
      </c>
      <c r="U1201" s="127" t="s">
        <v>6105</v>
      </c>
      <c r="V1201" s="127" t="s">
        <v>6291</v>
      </c>
      <c r="W1201" s="45" t="str">
        <f t="array" ref="W1201">HYPERLINK(INDEX('File Links'!B:B, MATCH(U1201, 'File Links'!C:C, 0)))
</f>
        <v>#N/A</v>
      </c>
      <c r="X1201" s="111"/>
      <c r="Y1201" s="127" t="s">
        <v>220</v>
      </c>
      <c r="Z1201" s="111"/>
      <c r="AA1201" s="127" t="s">
        <v>7067</v>
      </c>
      <c r="AB1201" s="111"/>
      <c r="AC1201" s="127" t="s">
        <v>7068</v>
      </c>
      <c r="AD1201" s="720">
        <v>614.0</v>
      </c>
      <c r="AE1201" s="720">
        <v>110.0</v>
      </c>
      <c r="AF1201" s="720">
        <v>0.67</v>
      </c>
      <c r="AG1201" s="127" t="s">
        <v>166</v>
      </c>
      <c r="AH1201" s="127" t="s">
        <v>7069</v>
      </c>
      <c r="AI1201" s="120">
        <v>0.001</v>
      </c>
      <c r="AJ1201" s="112" t="s">
        <v>127</v>
      </c>
      <c r="AK1201" s="112" t="s">
        <v>179</v>
      </c>
      <c r="AL1201" s="127" t="s">
        <v>129</v>
      </c>
      <c r="AM1201" s="1297" t="s">
        <v>165</v>
      </c>
      <c r="AN1201" s="720">
        <v>98.0</v>
      </c>
      <c r="AO1201" s="720">
        <v>0.743298262941807</v>
      </c>
      <c r="AP1201" s="127" t="s">
        <v>166</v>
      </c>
      <c r="AQ1201" s="1297" t="s">
        <v>6112</v>
      </c>
      <c r="AR1201" s="1318">
        <v>0.00994269297968994</v>
      </c>
      <c r="AS1201" s="127" t="s">
        <v>164</v>
      </c>
      <c r="AT1201" s="127" t="s">
        <v>179</v>
      </c>
      <c r="AU1201" s="127" t="s">
        <v>129</v>
      </c>
      <c r="AV1201" s="1298" t="s">
        <v>165</v>
      </c>
      <c r="AW1201" s="606" t="s">
        <v>134</v>
      </c>
      <c r="AY1201" s="1297" t="s">
        <v>6113</v>
      </c>
    </row>
    <row r="1202">
      <c r="A1202" s="511" t="s">
        <v>586</v>
      </c>
      <c r="B1202" s="41" t="s">
        <v>107</v>
      </c>
      <c r="C1202" s="41" t="s">
        <v>108</v>
      </c>
      <c r="E1202" s="60" t="s">
        <v>7070</v>
      </c>
      <c r="F1202" s="52" t="s">
        <v>7071</v>
      </c>
      <c r="G1202" s="147" t="s">
        <v>6097</v>
      </c>
      <c r="H1202" s="140">
        <v>45692.0</v>
      </c>
      <c r="I1202" s="472">
        <v>45692.0</v>
      </c>
      <c r="J1202" s="60"/>
      <c r="K1202" s="347" t="s">
        <v>7072</v>
      </c>
      <c r="L1202" s="147" t="s">
        <v>7073</v>
      </c>
      <c r="M1202" s="147" t="s">
        <v>7074</v>
      </c>
      <c r="N1202" s="144">
        <v>2.0</v>
      </c>
      <c r="O1202" s="147" t="s">
        <v>7075</v>
      </c>
      <c r="P1202" s="48" t="str">
        <f t="array" ref="P1202">HYPERLINK(INDEX('File Links'!B:B, MATCH(O1202, 'File Links'!C:C, 0)))
</f>
        <v>https://drive.google.com/file/d/1St2O5UfYoWXX1n7crfXuAdRXy1k6nYoo/view?usp=drivesdk</v>
      </c>
      <c r="Q1202" s="147" t="s">
        <v>6103</v>
      </c>
      <c r="R1202" s="147" t="s">
        <v>6104</v>
      </c>
      <c r="S1202" s="638" t="s">
        <v>165</v>
      </c>
      <c r="T1202" s="115" t="s">
        <v>165</v>
      </c>
      <c r="U1202" s="147" t="s">
        <v>6105</v>
      </c>
      <c r="V1202" s="147" t="s">
        <v>318</v>
      </c>
      <c r="W1202" s="55" t="str">
        <f t="array" ref="W1202">HYPERLINK(INDEX('File Links'!B:B, MATCH(U1202, 'File Links'!C:C, 0)))
</f>
        <v>#N/A</v>
      </c>
      <c r="X1202" s="60"/>
      <c r="Y1202" s="147" t="s">
        <v>1689</v>
      </c>
      <c r="Z1202" s="60" t="s">
        <v>768</v>
      </c>
      <c r="AA1202" s="60" t="s">
        <v>7076</v>
      </c>
      <c r="AB1202" s="147" t="s">
        <v>7077</v>
      </c>
      <c r="AC1202" s="115" t="s">
        <v>7078</v>
      </c>
      <c r="AD1202" s="115" t="s">
        <v>7079</v>
      </c>
      <c r="AE1202" s="144">
        <v>327.0</v>
      </c>
      <c r="AF1202" s="1345">
        <v>-0.27</v>
      </c>
      <c r="AG1202" s="115" t="s">
        <v>1006</v>
      </c>
      <c r="AH1202" s="60" t="s">
        <v>629</v>
      </c>
      <c r="AI1202" s="328">
        <v>0.01</v>
      </c>
      <c r="AJ1202" s="55" t="s">
        <v>127</v>
      </c>
      <c r="AK1202" s="55" t="s">
        <v>179</v>
      </c>
      <c r="AL1202" s="60" t="s">
        <v>129</v>
      </c>
      <c r="AM1202" s="115" t="s">
        <v>165</v>
      </c>
      <c r="AN1202" s="144">
        <v>79.0</v>
      </c>
      <c r="AO1202" s="1345" t="s">
        <v>165</v>
      </c>
      <c r="AP1202" s="1354"/>
      <c r="AQ1202" s="115" t="s">
        <v>6112</v>
      </c>
      <c r="AR1202" s="1354" t="s">
        <v>768</v>
      </c>
      <c r="AS1202" s="1354" t="s">
        <v>768</v>
      </c>
      <c r="AT1202" s="1354" t="s">
        <v>179</v>
      </c>
      <c r="AU1202" s="1345" t="s">
        <v>821</v>
      </c>
      <c r="AV1202" s="1312" t="s">
        <v>165</v>
      </c>
      <c r="AW1202" s="531" t="s">
        <v>134</v>
      </c>
      <c r="AY1202" s="115" t="s">
        <v>6113</v>
      </c>
    </row>
    <row r="1203">
      <c r="A1203" s="115" t="s">
        <v>106</v>
      </c>
      <c r="B1203" s="41" t="s">
        <v>107</v>
      </c>
      <c r="C1203" s="41" t="s">
        <v>243</v>
      </c>
      <c r="E1203" s="52" t="s">
        <v>7070</v>
      </c>
      <c r="F1203" s="139" t="s">
        <v>7071</v>
      </c>
      <c r="G1203" s="147" t="s">
        <v>244</v>
      </c>
      <c r="H1203" s="140">
        <v>45667.0</v>
      </c>
      <c r="I1203" s="472">
        <v>45692.0</v>
      </c>
      <c r="J1203" s="147" t="s">
        <v>7080</v>
      </c>
      <c r="K1203" s="60"/>
      <c r="L1203" s="147" t="s">
        <v>7073</v>
      </c>
      <c r="M1203" s="147" t="s">
        <v>7074</v>
      </c>
      <c r="N1203" s="1345">
        <v>2.0</v>
      </c>
      <c r="O1203" s="147" t="str">
        <f> SUBSTITUTE(lower(M1203), "/", "--") &amp;  ".pdf"</f>
        <v>10.1287--mnsc.2019.3362.pdf</v>
      </c>
      <c r="P1203" s="48" t="str">
        <f t="array" ref="P1203">HYPERLINK(INDEX('File Links'!B:B, MATCH(O1203, 'File Links'!C:C, 0)))
</f>
        <v>https://drive.google.com/file/d/1St2O5UfYoWXX1n7crfXuAdRXy1k6nYoo/view?usp=drivesdk</v>
      </c>
      <c r="Q1203" s="147" t="s">
        <v>7081</v>
      </c>
      <c r="R1203" s="147" t="s">
        <v>6104</v>
      </c>
      <c r="S1203" s="638" t="s">
        <v>165</v>
      </c>
      <c r="T1203" s="115" t="s">
        <v>165</v>
      </c>
      <c r="U1203" s="147" t="s">
        <v>6105</v>
      </c>
      <c r="V1203" s="147" t="s">
        <v>318</v>
      </c>
      <c r="W1203" s="55" t="str">
        <f t="array" ref="W1203">HYPERLINK(INDEX('File Links'!B:B, MATCH(U1203, 'File Links'!C:C, 0)))
</f>
        <v>#N/A</v>
      </c>
      <c r="X1203" s="60"/>
      <c r="Y1203" s="147" t="s">
        <v>1689</v>
      </c>
      <c r="Z1203" s="60"/>
      <c r="AA1203" s="147" t="s">
        <v>7082</v>
      </c>
      <c r="AB1203" s="60"/>
      <c r="AC1203" s="147" t="s">
        <v>7083</v>
      </c>
      <c r="AD1203" s="144">
        <v>10.0</v>
      </c>
      <c r="AE1203" s="1265">
        <v>400.0</v>
      </c>
      <c r="AF1203" s="147" t="s">
        <v>7084</v>
      </c>
      <c r="AG1203" s="147" t="s">
        <v>1006</v>
      </c>
      <c r="AH1203" s="147" t="s">
        <v>629</v>
      </c>
      <c r="AI1203" s="646">
        <v>0.01</v>
      </c>
      <c r="AJ1203" s="52" t="s">
        <v>127</v>
      </c>
      <c r="AK1203" s="52" t="s">
        <v>179</v>
      </c>
      <c r="AL1203" s="1268" t="s">
        <v>132</v>
      </c>
      <c r="AM1203" s="1355" t="s">
        <v>7085</v>
      </c>
      <c r="AN1203" s="144">
        <v>79.0</v>
      </c>
      <c r="AO1203" s="147" t="s">
        <v>165</v>
      </c>
      <c r="AP1203" s="60"/>
      <c r="AQ1203" s="115" t="s">
        <v>6112</v>
      </c>
      <c r="AR1203" s="147" t="s">
        <v>165</v>
      </c>
      <c r="AS1203" s="60"/>
      <c r="AT1203" s="147" t="s">
        <v>179</v>
      </c>
      <c r="AU1203" s="147" t="s">
        <v>132</v>
      </c>
      <c r="AV1203" s="1312" t="s">
        <v>165</v>
      </c>
      <c r="AW1203" s="453" t="s">
        <v>134</v>
      </c>
      <c r="AY1203" s="115" t="s">
        <v>6113</v>
      </c>
    </row>
    <row r="1204">
      <c r="A1204" s="115" t="s">
        <v>143</v>
      </c>
      <c r="B1204" s="41" t="s">
        <v>107</v>
      </c>
      <c r="C1204" s="41" t="s">
        <v>108</v>
      </c>
      <c r="E1204" s="60" t="s">
        <v>7086</v>
      </c>
      <c r="F1204" s="52" t="s">
        <v>7087</v>
      </c>
      <c r="G1204" s="147" t="s">
        <v>6097</v>
      </c>
      <c r="H1204" s="140">
        <v>45692.0</v>
      </c>
      <c r="I1204" s="472">
        <v>45692.0</v>
      </c>
      <c r="J1204" s="60"/>
      <c r="K1204" s="115" t="s">
        <v>7088</v>
      </c>
      <c r="L1204" s="147" t="s">
        <v>7089</v>
      </c>
      <c r="M1204" s="147" t="s">
        <v>7090</v>
      </c>
      <c r="N1204" s="144">
        <v>2.0</v>
      </c>
      <c r="O1204" s="147" t="s">
        <v>7091</v>
      </c>
      <c r="P1204" s="48" t="str">
        <f t="array" ref="P1204">HYPERLINK(INDEX('File Links'!B:B, MATCH(O1204, 'File Links'!C:C, 0)))
</f>
        <v>https://drive.google.com/file/d/1KanaZYJkrnwi0ABQ2gUtWRMUjQnhMt0r/view?usp=drivesdk</v>
      </c>
      <c r="Q1204" s="147" t="s">
        <v>6103</v>
      </c>
      <c r="R1204" s="147" t="s">
        <v>6104</v>
      </c>
      <c r="S1204" s="638" t="s">
        <v>165</v>
      </c>
      <c r="T1204" s="115" t="s">
        <v>165</v>
      </c>
      <c r="U1204" s="147" t="s">
        <v>6105</v>
      </c>
      <c r="V1204" s="147" t="s">
        <v>6349</v>
      </c>
      <c r="W1204" s="55" t="str">
        <f t="array" ref="W1204">HYPERLINK(INDEX('File Links'!B:B, MATCH(U1204, 'File Links'!C:C, 0)))
</f>
        <v>#N/A</v>
      </c>
      <c r="X1204" s="60"/>
      <c r="Y1204" s="147" t="s">
        <v>139</v>
      </c>
      <c r="Z1204" s="350" t="s">
        <v>165</v>
      </c>
      <c r="AA1204" s="147" t="s">
        <v>7092</v>
      </c>
      <c r="AB1204" s="147" t="s">
        <v>7093</v>
      </c>
      <c r="AC1204" s="115" t="s">
        <v>7094</v>
      </c>
      <c r="AD1204" s="1347" t="s">
        <v>7095</v>
      </c>
      <c r="AE1204" s="144">
        <v>94.0</v>
      </c>
      <c r="AF1204" s="1345">
        <v>0.03</v>
      </c>
      <c r="AG1204" s="1345" t="s">
        <v>1006</v>
      </c>
      <c r="AH1204" s="1345" t="s">
        <v>7095</v>
      </c>
      <c r="AI1204" s="1345">
        <v>0.05</v>
      </c>
      <c r="AJ1204" s="1345" t="s">
        <v>127</v>
      </c>
      <c r="AK1204" s="55" t="s">
        <v>179</v>
      </c>
      <c r="AL1204" s="1345" t="s">
        <v>132</v>
      </c>
      <c r="AM1204" s="115" t="s">
        <v>165</v>
      </c>
      <c r="AN1204" s="144">
        <v>24.0</v>
      </c>
      <c r="AO1204" s="1345">
        <v>0.0548801</v>
      </c>
      <c r="AP1204" s="1345" t="s">
        <v>166</v>
      </c>
      <c r="AQ1204" s="115" t="s">
        <v>6112</v>
      </c>
      <c r="AR1204" s="115" t="s">
        <v>165</v>
      </c>
      <c r="AS1204" s="128" t="s">
        <v>165</v>
      </c>
      <c r="AT1204" s="60" t="s">
        <v>179</v>
      </c>
      <c r="AU1204" s="1345" t="s">
        <v>132</v>
      </c>
      <c r="AV1204" s="109" t="s">
        <v>7096</v>
      </c>
      <c r="AW1204" s="531" t="s">
        <v>142</v>
      </c>
      <c r="AY1204" s="115" t="s">
        <v>6113</v>
      </c>
    </row>
    <row r="1205">
      <c r="A1205" s="115" t="s">
        <v>106</v>
      </c>
      <c r="B1205" s="41" t="s">
        <v>107</v>
      </c>
      <c r="C1205" s="41" t="s">
        <v>243</v>
      </c>
      <c r="E1205" s="52" t="s">
        <v>7086</v>
      </c>
      <c r="F1205" s="139" t="s">
        <v>7087</v>
      </c>
      <c r="G1205" s="147" t="s">
        <v>244</v>
      </c>
      <c r="H1205" s="140">
        <v>45667.0</v>
      </c>
      <c r="I1205" s="472">
        <v>45692.0</v>
      </c>
      <c r="J1205" s="147" t="s">
        <v>7097</v>
      </c>
      <c r="K1205" s="60" t="s">
        <v>6099</v>
      </c>
      <c r="L1205" s="147" t="s">
        <v>7089</v>
      </c>
      <c r="M1205" s="147" t="s">
        <v>7090</v>
      </c>
      <c r="N1205" s="1356">
        <v>2.0</v>
      </c>
      <c r="O1205" s="147" t="str">
        <f t="shared" ref="O1205:O1209" si="73"> SUBSTITUTE(lower(M1205), "/", "--") &amp;  ".pdf"</f>
        <v>10.1177--0956797618806296.pdf</v>
      </c>
      <c r="P1205" s="48" t="str">
        <f t="array" ref="P1205">HYPERLINK(INDEX('File Links'!B:B, MATCH(O1205, 'File Links'!C:C, 0)))
</f>
        <v>https://drive.google.com/file/d/1KanaZYJkrnwi0ABQ2gUtWRMUjQnhMt0r/view?usp=drivesdk</v>
      </c>
      <c r="Q1205" s="147" t="s">
        <v>7098</v>
      </c>
      <c r="R1205" s="147" t="s">
        <v>6104</v>
      </c>
      <c r="S1205" s="638" t="s">
        <v>165</v>
      </c>
      <c r="T1205" s="115" t="s">
        <v>165</v>
      </c>
      <c r="U1205" s="147" t="s">
        <v>6105</v>
      </c>
      <c r="V1205" s="147" t="s">
        <v>6349</v>
      </c>
      <c r="W1205" s="55" t="str">
        <f t="array" ref="W1205">HYPERLINK(INDEX('File Links'!B:B, MATCH(U1205, 'File Links'!C:C, 0)))
</f>
        <v>#N/A</v>
      </c>
      <c r="X1205" s="60"/>
      <c r="Y1205" s="147" t="s">
        <v>139</v>
      </c>
      <c r="Z1205" s="60"/>
      <c r="AA1205" s="60"/>
      <c r="AB1205" s="60"/>
      <c r="AC1205" s="147" t="s">
        <v>7099</v>
      </c>
      <c r="AD1205" s="144">
        <v>1927.0</v>
      </c>
      <c r="AE1205" s="144">
        <v>94.0</v>
      </c>
      <c r="AF1205" s="144">
        <v>0.03</v>
      </c>
      <c r="AG1205" s="147" t="s">
        <v>1006</v>
      </c>
      <c r="AH1205" s="147" t="s">
        <v>165</v>
      </c>
      <c r="AI1205" s="330" t="s">
        <v>165</v>
      </c>
      <c r="AJ1205" s="55"/>
      <c r="AK1205" s="52" t="s">
        <v>179</v>
      </c>
      <c r="AL1205" s="147" t="s">
        <v>132</v>
      </c>
      <c r="AM1205" s="115" t="s">
        <v>165</v>
      </c>
      <c r="AN1205" s="144">
        <v>24.0</v>
      </c>
      <c r="AO1205" s="147" t="s">
        <v>165</v>
      </c>
      <c r="AP1205" s="60"/>
      <c r="AQ1205" s="115" t="s">
        <v>6112</v>
      </c>
      <c r="AR1205" s="147" t="s">
        <v>165</v>
      </c>
      <c r="AS1205" s="60"/>
      <c r="AT1205" s="147" t="s">
        <v>179</v>
      </c>
      <c r="AU1205" s="147" t="s">
        <v>132</v>
      </c>
      <c r="AV1205" s="1312" t="s">
        <v>165</v>
      </c>
      <c r="AW1205" s="453" t="s">
        <v>142</v>
      </c>
      <c r="AY1205" s="115" t="s">
        <v>6113</v>
      </c>
    </row>
    <row r="1206">
      <c r="A1206" s="115" t="s">
        <v>143</v>
      </c>
      <c r="B1206" s="41" t="s">
        <v>107</v>
      </c>
      <c r="C1206" s="41" t="s">
        <v>108</v>
      </c>
      <c r="E1206" s="60" t="s">
        <v>7100</v>
      </c>
      <c r="F1206" s="52" t="s">
        <v>7101</v>
      </c>
      <c r="G1206" s="147" t="s">
        <v>6097</v>
      </c>
      <c r="H1206" s="140">
        <v>45692.0</v>
      </c>
      <c r="I1206" s="472">
        <v>45692.0</v>
      </c>
      <c r="J1206" s="60" t="s">
        <v>7102</v>
      </c>
      <c r="K1206" s="115" t="s">
        <v>7103</v>
      </c>
      <c r="L1206" s="147" t="s">
        <v>7104</v>
      </c>
      <c r="M1206" s="60" t="s">
        <v>7105</v>
      </c>
      <c r="N1206" s="144">
        <v>4.0</v>
      </c>
      <c r="O1206" s="147" t="str">
        <f t="shared" si="73"/>
        <v>10.1037--0022-3514.95.1.76.pdf</v>
      </c>
      <c r="P1206" s="48" t="str">
        <f t="array" ref="P1206">HYPERLINK(INDEX('File Links'!B:B, MATCH(O1206, 'File Links'!C:C, 0)))
</f>
        <v>https://drive.google.com/file/d/14KU35or-OxTWODmUyKwRoB3qwuTQZobO/view?usp=drivesdk</v>
      </c>
      <c r="Q1206" s="147" t="s">
        <v>6103</v>
      </c>
      <c r="R1206" s="147" t="s">
        <v>6104</v>
      </c>
      <c r="S1206" s="638" t="s">
        <v>165</v>
      </c>
      <c r="T1206" s="115" t="s">
        <v>165</v>
      </c>
      <c r="U1206" s="147" t="s">
        <v>6105</v>
      </c>
      <c r="V1206" s="147" t="s">
        <v>318</v>
      </c>
      <c r="W1206" s="55" t="str">
        <f t="array" ref="W1206">HYPERLINK(INDEX('File Links'!B:B, MATCH(U1206, 'File Links'!C:C, 0)))
</f>
        <v>#N/A</v>
      </c>
      <c r="X1206" s="60"/>
      <c r="Y1206" s="147" t="s">
        <v>220</v>
      </c>
      <c r="Z1206" s="1345" t="s">
        <v>7106</v>
      </c>
      <c r="AA1206" s="60" t="s">
        <v>7107</v>
      </c>
      <c r="AB1206" s="147" t="s">
        <v>7108</v>
      </c>
      <c r="AC1206" s="1345" t="s">
        <v>7109</v>
      </c>
      <c r="AD1206" s="1345" t="s">
        <v>7110</v>
      </c>
      <c r="AE1206" s="144">
        <v>67.0</v>
      </c>
      <c r="AF1206" s="1350">
        <v>-1.158</v>
      </c>
      <c r="AG1206" s="60" t="s">
        <v>166</v>
      </c>
      <c r="AH1206" s="1354" t="s">
        <v>7111</v>
      </c>
      <c r="AI1206" s="1347">
        <v>0.05</v>
      </c>
      <c r="AJ1206" s="115" t="s">
        <v>127</v>
      </c>
      <c r="AK1206" s="55" t="s">
        <v>179</v>
      </c>
      <c r="AL1206" s="60" t="s">
        <v>129</v>
      </c>
      <c r="AM1206" s="115" t="s">
        <v>165</v>
      </c>
      <c r="AN1206" s="144">
        <v>75.0</v>
      </c>
      <c r="AO1206" s="327">
        <v>-0.138751917564751</v>
      </c>
      <c r="AP1206" s="60" t="s">
        <v>166</v>
      </c>
      <c r="AQ1206" s="115" t="s">
        <v>6112</v>
      </c>
      <c r="AR1206" s="327">
        <v>0.236503257258824</v>
      </c>
      <c r="AS1206" s="60" t="s">
        <v>164</v>
      </c>
      <c r="AT1206" s="60" t="s">
        <v>179</v>
      </c>
      <c r="AU1206" s="60" t="s">
        <v>129</v>
      </c>
      <c r="AV1206" s="1312" t="s">
        <v>165</v>
      </c>
      <c r="AW1206" s="531" t="s">
        <v>134</v>
      </c>
      <c r="AY1206" s="115" t="s">
        <v>6998</v>
      </c>
    </row>
    <row r="1207">
      <c r="A1207" s="115" t="s">
        <v>106</v>
      </c>
      <c r="B1207" s="41" t="s">
        <v>107</v>
      </c>
      <c r="C1207" s="41" t="s">
        <v>243</v>
      </c>
      <c r="E1207" s="52" t="s">
        <v>7100</v>
      </c>
      <c r="F1207" s="139" t="s">
        <v>7101</v>
      </c>
      <c r="G1207" s="147" t="s">
        <v>244</v>
      </c>
      <c r="H1207" s="140">
        <v>45667.0</v>
      </c>
      <c r="I1207" s="472">
        <v>45692.0</v>
      </c>
      <c r="J1207" s="147" t="s">
        <v>7112</v>
      </c>
      <c r="K1207" s="60"/>
      <c r="L1207" s="147" t="s">
        <v>7104</v>
      </c>
      <c r="M1207" s="147" t="s">
        <v>7105</v>
      </c>
      <c r="N1207" s="1356">
        <v>4.0</v>
      </c>
      <c r="O1207" s="147" t="str">
        <f t="shared" si="73"/>
        <v>10.1037--0022-3514.95.1.76.pdf</v>
      </c>
      <c r="P1207" s="48" t="str">
        <f t="array" ref="P1207">HYPERLINK(INDEX('File Links'!B:B, MATCH(O1207, 'File Links'!C:C, 0)))
</f>
        <v>https://drive.google.com/file/d/14KU35or-OxTWODmUyKwRoB3qwuTQZobO/view?usp=drivesdk</v>
      </c>
      <c r="Q1207" s="147" t="s">
        <v>7113</v>
      </c>
      <c r="R1207" s="147" t="s">
        <v>6104</v>
      </c>
      <c r="S1207" s="638" t="s">
        <v>165</v>
      </c>
      <c r="T1207" s="115" t="s">
        <v>165</v>
      </c>
      <c r="U1207" s="147" t="s">
        <v>6105</v>
      </c>
      <c r="V1207" s="147" t="s">
        <v>318</v>
      </c>
      <c r="W1207" s="55" t="str">
        <f t="array" ref="W1207">HYPERLINK(INDEX('File Links'!B:B, MATCH(U1207, 'File Links'!C:C, 0)))
</f>
        <v>#N/A</v>
      </c>
      <c r="X1207" s="60"/>
      <c r="Y1207" s="147" t="s">
        <v>220</v>
      </c>
      <c r="Z1207" s="60"/>
      <c r="AA1207" s="147" t="s">
        <v>6283</v>
      </c>
      <c r="AB1207" s="60"/>
      <c r="AC1207" s="147" t="s">
        <v>7114</v>
      </c>
      <c r="AD1207" s="144">
        <v>86.0</v>
      </c>
      <c r="AE1207" s="144">
        <v>67.0</v>
      </c>
      <c r="AF1207" s="144">
        <v>1.15827489621123</v>
      </c>
      <c r="AG1207" s="147" t="s">
        <v>166</v>
      </c>
      <c r="AH1207" s="147" t="s">
        <v>7115</v>
      </c>
      <c r="AI1207" s="1357">
        <v>9.45528557450159E-14</v>
      </c>
      <c r="AJ1207" s="52" t="s">
        <v>164</v>
      </c>
      <c r="AK1207" s="52" t="s">
        <v>179</v>
      </c>
      <c r="AL1207" s="147" t="s">
        <v>821</v>
      </c>
      <c r="AM1207" s="115" t="s">
        <v>165</v>
      </c>
      <c r="AN1207" s="144">
        <v>75.0</v>
      </c>
      <c r="AO1207" s="144">
        <v>-0.138751917564751</v>
      </c>
      <c r="AP1207" s="147" t="s">
        <v>166</v>
      </c>
      <c r="AQ1207" s="115" t="s">
        <v>6112</v>
      </c>
      <c r="AR1207" s="144">
        <v>0.236503257258824</v>
      </c>
      <c r="AS1207" s="147" t="s">
        <v>164</v>
      </c>
      <c r="AT1207" s="147" t="s">
        <v>179</v>
      </c>
      <c r="AU1207" s="1268" t="s">
        <v>821</v>
      </c>
      <c r="AV1207" s="1312" t="s">
        <v>165</v>
      </c>
      <c r="AW1207" s="453" t="s">
        <v>134</v>
      </c>
      <c r="AY1207" s="115" t="s">
        <v>6998</v>
      </c>
    </row>
    <row r="1208">
      <c r="A1208" s="115" t="s">
        <v>143</v>
      </c>
      <c r="B1208" s="41" t="s">
        <v>107</v>
      </c>
      <c r="C1208" s="41" t="s">
        <v>108</v>
      </c>
      <c r="E1208" s="60" t="s">
        <v>7116</v>
      </c>
      <c r="F1208" s="52" t="s">
        <v>7117</v>
      </c>
      <c r="G1208" s="147" t="s">
        <v>6097</v>
      </c>
      <c r="H1208" s="140">
        <v>45692.0</v>
      </c>
      <c r="I1208" s="1358">
        <v>45695.0</v>
      </c>
      <c r="J1208" s="60"/>
      <c r="K1208" s="115" t="s">
        <v>7118</v>
      </c>
      <c r="L1208" s="147" t="s">
        <v>7119</v>
      </c>
      <c r="M1208" s="60" t="s">
        <v>7120</v>
      </c>
      <c r="N1208" s="144">
        <v>6.0</v>
      </c>
      <c r="O1208" s="147" t="str">
        <f t="shared" si="73"/>
        <v>10.1037--0278-7393.34.1.146.pdf</v>
      </c>
      <c r="P1208" s="48" t="str">
        <f t="array" ref="P1208">HYPERLINK(INDEX('File Links'!B:B, MATCH(O1208, 'File Links'!C:C, 0)))
</f>
        <v>https://drive.google.com/file/d/1qNTfBnw7SpCi3blakzyKQFcGYOfOx3la/view?usp=drivesdk</v>
      </c>
      <c r="Q1208" s="147" t="s">
        <v>6103</v>
      </c>
      <c r="R1208" s="147" t="s">
        <v>6104</v>
      </c>
      <c r="S1208" s="638" t="s">
        <v>165</v>
      </c>
      <c r="T1208" s="115" t="s">
        <v>165</v>
      </c>
      <c r="U1208" s="147" t="s">
        <v>6105</v>
      </c>
      <c r="V1208" s="147" t="s">
        <v>6117</v>
      </c>
      <c r="W1208" s="55" t="str">
        <f t="array" ref="W1208">HYPERLINK(INDEX('File Links'!B:B, MATCH(U1208, 'File Links'!C:C, 0)))
</f>
        <v>#N/A</v>
      </c>
      <c r="X1208" s="60"/>
      <c r="Y1208" s="147" t="s">
        <v>139</v>
      </c>
      <c r="Z1208" s="1345" t="s">
        <v>7121</v>
      </c>
      <c r="AA1208" s="60" t="s">
        <v>7122</v>
      </c>
      <c r="AB1208" s="147" t="s">
        <v>7123</v>
      </c>
      <c r="AC1208" s="115" t="s">
        <v>7124</v>
      </c>
      <c r="AD1208" s="115" t="s">
        <v>7125</v>
      </c>
      <c r="AE1208" s="144">
        <v>24.0</v>
      </c>
      <c r="AF1208" s="1347">
        <v>7.212</v>
      </c>
      <c r="AG1208" s="1345" t="s">
        <v>722</v>
      </c>
      <c r="AH1208" s="1354" t="s">
        <v>7126</v>
      </c>
      <c r="AI1208" s="1359">
        <v>0.001</v>
      </c>
      <c r="AJ1208" s="55" t="s">
        <v>127</v>
      </c>
      <c r="AK1208" s="1345" t="s">
        <v>179</v>
      </c>
      <c r="AL1208" s="60" t="s">
        <v>132</v>
      </c>
      <c r="AM1208" s="115" t="s">
        <v>165</v>
      </c>
      <c r="AN1208" s="144">
        <v>35.0</v>
      </c>
      <c r="AO1208" s="327">
        <v>0.850778190489016</v>
      </c>
      <c r="AP1208" s="60" t="s">
        <v>166</v>
      </c>
      <c r="AQ1208" s="115" t="s">
        <v>6112</v>
      </c>
      <c r="AR1208" s="1348">
        <v>1.93056826666521E-5</v>
      </c>
      <c r="AS1208" s="60" t="s">
        <v>164</v>
      </c>
      <c r="AT1208" s="1345" t="s">
        <v>211</v>
      </c>
      <c r="AU1208" s="1345" t="s">
        <v>132</v>
      </c>
      <c r="AV1208" s="1312" t="s">
        <v>165</v>
      </c>
      <c r="AW1208" s="531" t="s">
        <v>134</v>
      </c>
      <c r="AY1208" s="115" t="s">
        <v>6998</v>
      </c>
    </row>
    <row r="1209">
      <c r="A1209" s="115" t="s">
        <v>106</v>
      </c>
      <c r="B1209" s="41" t="s">
        <v>107</v>
      </c>
      <c r="C1209" s="41" t="s">
        <v>243</v>
      </c>
      <c r="E1209" s="52" t="s">
        <v>7116</v>
      </c>
      <c r="F1209" s="139" t="s">
        <v>7117</v>
      </c>
      <c r="G1209" s="147" t="s">
        <v>244</v>
      </c>
      <c r="H1209" s="140">
        <v>45667.0</v>
      </c>
      <c r="I1209" s="472">
        <v>45692.0</v>
      </c>
      <c r="J1209" s="60"/>
      <c r="K1209" s="60"/>
      <c r="L1209" s="147" t="s">
        <v>7119</v>
      </c>
      <c r="M1209" s="147" t="s">
        <v>7120</v>
      </c>
      <c r="N1209" s="1345">
        <v>6.0</v>
      </c>
      <c r="O1209" s="147" t="str">
        <f t="shared" si="73"/>
        <v>10.1037--0278-7393.34.1.146.pdf</v>
      </c>
      <c r="P1209" s="48" t="str">
        <f t="array" ref="P1209">HYPERLINK(INDEX('File Links'!B:B, MATCH(O1209, 'File Links'!C:C, 0)))
</f>
        <v>https://drive.google.com/file/d/1qNTfBnw7SpCi3blakzyKQFcGYOfOx3la/view?usp=drivesdk</v>
      </c>
      <c r="Q1209" s="147" t="s">
        <v>7127</v>
      </c>
      <c r="R1209" s="147" t="s">
        <v>6104</v>
      </c>
      <c r="S1209" s="638" t="s">
        <v>165</v>
      </c>
      <c r="T1209" s="115" t="s">
        <v>165</v>
      </c>
      <c r="U1209" s="147" t="s">
        <v>6105</v>
      </c>
      <c r="V1209" s="147" t="s">
        <v>6117</v>
      </c>
      <c r="W1209" s="55" t="str">
        <f t="array" ref="W1209">HYPERLINK(INDEX('File Links'!B:B, MATCH(U1209, 'File Links'!C:C, 0)))
</f>
        <v>#N/A</v>
      </c>
      <c r="X1209" s="60"/>
      <c r="Y1209" s="147" t="s">
        <v>139</v>
      </c>
      <c r="Z1209" s="60"/>
      <c r="AA1209" s="1268" t="s">
        <v>7128</v>
      </c>
      <c r="AB1209" s="60"/>
      <c r="AC1209" s="147" t="s">
        <v>7129</v>
      </c>
      <c r="AD1209" s="144">
        <v>162.0</v>
      </c>
      <c r="AE1209" s="144">
        <v>24.0</v>
      </c>
      <c r="AF1209" s="144">
        <v>92.34</v>
      </c>
      <c r="AG1209" s="147" t="s">
        <v>1051</v>
      </c>
      <c r="AH1209" s="147" t="s">
        <v>7125</v>
      </c>
      <c r="AI1209" s="646">
        <v>0.001</v>
      </c>
      <c r="AJ1209" s="52" t="s">
        <v>127</v>
      </c>
      <c r="AK1209" s="52" t="s">
        <v>179</v>
      </c>
      <c r="AL1209" s="147" t="s">
        <v>132</v>
      </c>
      <c r="AM1209" s="115" t="s">
        <v>165</v>
      </c>
      <c r="AN1209" s="144">
        <v>35.0</v>
      </c>
      <c r="AO1209" s="144">
        <v>0.850778190489016</v>
      </c>
      <c r="AP1209" s="147" t="s">
        <v>166</v>
      </c>
      <c r="AQ1209" s="115" t="s">
        <v>6112</v>
      </c>
      <c r="AR1209" s="1351">
        <v>1.93056826666521E-5</v>
      </c>
      <c r="AS1209" s="147" t="s">
        <v>164</v>
      </c>
      <c r="AT1209" s="147" t="s">
        <v>179</v>
      </c>
      <c r="AU1209" s="147" t="s">
        <v>132</v>
      </c>
      <c r="AV1209" s="1312" t="s">
        <v>165</v>
      </c>
      <c r="AW1209" s="453" t="s">
        <v>134</v>
      </c>
      <c r="AY1209" s="115" t="s">
        <v>6998</v>
      </c>
    </row>
    <row r="1210">
      <c r="A1210" s="60" t="s">
        <v>143</v>
      </c>
      <c r="B1210" s="41" t="s">
        <v>107</v>
      </c>
      <c r="C1210" s="41" t="s">
        <v>1455</v>
      </c>
      <c r="E1210" s="147" t="s">
        <v>7130</v>
      </c>
      <c r="F1210" s="988" t="s">
        <v>7131</v>
      </c>
      <c r="G1210" s="147" t="s">
        <v>7132</v>
      </c>
      <c r="H1210" s="472">
        <v>45690.0</v>
      </c>
      <c r="I1210" s="1358">
        <v>45693.0</v>
      </c>
      <c r="J1210" s="60" t="s">
        <v>7133</v>
      </c>
      <c r="K1210" s="60" t="s">
        <v>7134</v>
      </c>
      <c r="L1210" s="1360" t="s">
        <v>7135</v>
      </c>
      <c r="M1210" s="147" t="s">
        <v>7136</v>
      </c>
      <c r="N1210" s="327">
        <v>1.0</v>
      </c>
      <c r="O1210" s="145" t="s">
        <v>7137</v>
      </c>
      <c r="P1210" s="48" t="str">
        <f t="array" ref="P1210">HYPERLINK(INDEX('File Links'!B:B, MATCH(O1210, 'File Links'!C:C, 0)))
</f>
        <v>https://drive.google.com/file/d/1OXOz_E9VpKDoMyophO2ymVaA6QjHkMCY/view?usp=drivesdk</v>
      </c>
      <c r="Q1210" s="147" t="s">
        <v>7138</v>
      </c>
      <c r="R1210" s="147" t="s">
        <v>7139</v>
      </c>
      <c r="S1210" s="60"/>
      <c r="T1210" s="327">
        <v>1.0</v>
      </c>
      <c r="U1210" s="145" t="s">
        <v>7140</v>
      </c>
      <c r="V1210" s="55" t="s">
        <v>3501</v>
      </c>
      <c r="W1210" s="1361" t="s">
        <v>7141</v>
      </c>
      <c r="X1210" s="60"/>
      <c r="Y1210" s="60" t="s">
        <v>139</v>
      </c>
      <c r="Z1210" s="60" t="s">
        <v>7142</v>
      </c>
      <c r="AA1210" s="147" t="s">
        <v>7143</v>
      </c>
      <c r="AB1210" s="1362" t="s">
        <v>7144</v>
      </c>
      <c r="AC1210" s="60" t="s">
        <v>7145</v>
      </c>
      <c r="AD1210" s="327">
        <v>3.0</v>
      </c>
      <c r="AE1210" s="144">
        <v>14.0</v>
      </c>
      <c r="AF1210" s="60" t="s">
        <v>7146</v>
      </c>
      <c r="AG1210" s="60" t="s">
        <v>162</v>
      </c>
      <c r="AH1210" s="60" t="s">
        <v>210</v>
      </c>
      <c r="AI1210" s="329" t="s">
        <v>165</v>
      </c>
      <c r="AJ1210" s="41" t="s">
        <v>165</v>
      </c>
      <c r="AK1210" s="55" t="s">
        <v>179</v>
      </c>
      <c r="AL1210" s="60" t="s">
        <v>132</v>
      </c>
      <c r="AM1210" s="1363" t="s">
        <v>165</v>
      </c>
      <c r="AN1210" s="144">
        <v>19.0</v>
      </c>
      <c r="AO1210" s="327">
        <v>0.0065</v>
      </c>
      <c r="AP1210" s="60" t="s">
        <v>130</v>
      </c>
      <c r="AQ1210" s="60" t="s">
        <v>861</v>
      </c>
      <c r="AR1210" s="327">
        <v>0.369</v>
      </c>
      <c r="AS1210" s="60" t="s">
        <v>164</v>
      </c>
      <c r="AT1210" s="60" t="s">
        <v>179</v>
      </c>
      <c r="AU1210" s="60" t="s">
        <v>132</v>
      </c>
      <c r="AV1210" s="1361" t="s">
        <v>7147</v>
      </c>
      <c r="AW1210" s="60" t="s">
        <v>134</v>
      </c>
      <c r="AY1210" s="60" t="s">
        <v>1455</v>
      </c>
    </row>
    <row r="1211">
      <c r="A1211" s="60" t="s">
        <v>106</v>
      </c>
      <c r="B1211" s="41" t="s">
        <v>107</v>
      </c>
      <c r="C1211" s="41" t="s">
        <v>144</v>
      </c>
      <c r="E1211" s="147" t="s">
        <v>7130</v>
      </c>
      <c r="F1211" s="988" t="s">
        <v>7131</v>
      </c>
      <c r="G1211" s="147" t="s">
        <v>144</v>
      </c>
      <c r="H1211" s="472">
        <v>45690.0</v>
      </c>
      <c r="I1211" s="1358">
        <v>45693.0</v>
      </c>
      <c r="J1211" s="60" t="s">
        <v>7148</v>
      </c>
      <c r="K1211" s="60" t="s">
        <v>7149</v>
      </c>
      <c r="L1211" s="1360" t="s">
        <v>7135</v>
      </c>
      <c r="M1211" s="147" t="s">
        <v>7136</v>
      </c>
      <c r="N1211" s="327">
        <v>1.0</v>
      </c>
      <c r="O1211" s="145" t="s">
        <v>7137</v>
      </c>
      <c r="P1211" s="48" t="str">
        <f t="array" ref="P1211">HYPERLINK(INDEX('File Links'!B:B, MATCH(O1211, 'File Links'!C:C, 0)))
</f>
        <v>https://drive.google.com/file/d/1OXOz_E9VpKDoMyophO2ymVaA6QjHkMCY/view?usp=drivesdk</v>
      </c>
      <c r="Q1211" s="147" t="s">
        <v>7138</v>
      </c>
      <c r="R1211" s="147" t="s">
        <v>7139</v>
      </c>
      <c r="S1211" s="60"/>
      <c r="T1211" s="327">
        <v>1.0</v>
      </c>
      <c r="U1211" s="145" t="s">
        <v>7140</v>
      </c>
      <c r="V1211" s="147" t="s">
        <v>3501</v>
      </c>
      <c r="W1211" s="50" t="str">
        <f t="array" ref="W1211">HYPERLINK(INDEX('File Links'!B:B, MATCH(U1211, 'File Links'!C:C, 0)))
</f>
        <v>https://drive.google.com/file/d/1UMAh9VGta6ExS2-Lb6GkDF4fmnI2EMeM/view?usp=drivesdk</v>
      </c>
      <c r="X1211" s="60"/>
      <c r="Y1211" s="60" t="s">
        <v>139</v>
      </c>
      <c r="Z1211" s="147" t="s">
        <v>7142</v>
      </c>
      <c r="AA1211" s="60" t="s">
        <v>7150</v>
      </c>
      <c r="AB1211" s="60" t="s">
        <v>7144</v>
      </c>
      <c r="AC1211" s="147" t="s">
        <v>7151</v>
      </c>
      <c r="AD1211" s="327">
        <v>3.0</v>
      </c>
      <c r="AE1211" s="327">
        <v>14.0</v>
      </c>
      <c r="AF1211" s="144" t="s">
        <v>7146</v>
      </c>
      <c r="AG1211" s="147" t="s">
        <v>162</v>
      </c>
      <c r="AH1211" s="60" t="s">
        <v>210</v>
      </c>
      <c r="AI1211" s="328" t="s">
        <v>165</v>
      </c>
      <c r="AJ1211" s="41" t="s">
        <v>165</v>
      </c>
      <c r="AK1211" s="55" t="s">
        <v>179</v>
      </c>
      <c r="AL1211" s="60" t="s">
        <v>132</v>
      </c>
      <c r="AM1211" s="1363" t="s">
        <v>165</v>
      </c>
      <c r="AN1211" s="327">
        <v>19.0</v>
      </c>
      <c r="AO1211" s="327">
        <v>0.0065</v>
      </c>
      <c r="AP1211" s="60" t="s">
        <v>130</v>
      </c>
      <c r="AQ1211" s="60" t="s">
        <v>861</v>
      </c>
      <c r="AR1211" s="327">
        <v>0.36</v>
      </c>
      <c r="AS1211" s="60" t="s">
        <v>164</v>
      </c>
      <c r="AT1211" s="60" t="s">
        <v>179</v>
      </c>
      <c r="AU1211" s="60" t="s">
        <v>132</v>
      </c>
      <c r="AV1211" s="410" t="s">
        <v>7152</v>
      </c>
      <c r="AW1211" s="511" t="s">
        <v>142</v>
      </c>
      <c r="AY1211" s="60" t="s">
        <v>1455</v>
      </c>
    </row>
    <row r="1212">
      <c r="A1212" s="60" t="s">
        <v>143</v>
      </c>
      <c r="B1212" s="41" t="s">
        <v>107</v>
      </c>
      <c r="C1212" s="41" t="s">
        <v>1455</v>
      </c>
      <c r="E1212" s="147" t="s">
        <v>7153</v>
      </c>
      <c r="F1212" s="988" t="s">
        <v>7154</v>
      </c>
      <c r="G1212" s="147" t="s">
        <v>7155</v>
      </c>
      <c r="H1212" s="472">
        <v>45690.0</v>
      </c>
      <c r="I1212" s="1358">
        <v>45693.0</v>
      </c>
      <c r="J1212" s="1364" t="s">
        <v>7156</v>
      </c>
      <c r="K1212" s="60" t="s">
        <v>7157</v>
      </c>
      <c r="L1212" s="1360" t="s">
        <v>7158</v>
      </c>
      <c r="M1212" s="412" t="s">
        <v>7159</v>
      </c>
      <c r="N1212" s="327">
        <v>2.0</v>
      </c>
      <c r="O1212" s="145" t="s">
        <v>7160</v>
      </c>
      <c r="P1212" s="48" t="str">
        <f t="array" ref="P1212">HYPERLINK(INDEX('File Links'!B:B, MATCH(O1212, 'File Links'!C:C, 0)))
</f>
        <v>https://drive.google.com/file/d/1WZ-wmp0ZBZO-MwxvYanAL8j3J4k47183/view?usp=drivesdk</v>
      </c>
      <c r="Q1212" s="147" t="s">
        <v>7161</v>
      </c>
      <c r="R1212" s="458" t="s">
        <v>7162</v>
      </c>
      <c r="S1212" s="458" t="s">
        <v>7163</v>
      </c>
      <c r="T1212" s="327">
        <v>1.0</v>
      </c>
      <c r="U1212" s="145" t="s">
        <v>7140</v>
      </c>
      <c r="V1212" s="60" t="s">
        <v>3501</v>
      </c>
      <c r="W1212" s="1361" t="s">
        <v>7164</v>
      </c>
      <c r="X1212" s="60"/>
      <c r="Y1212" s="60" t="s">
        <v>220</v>
      </c>
      <c r="Z1212" s="60" t="s">
        <v>7165</v>
      </c>
      <c r="AA1212" s="147" t="s">
        <v>7166</v>
      </c>
      <c r="AB1212" s="1365" t="s">
        <v>7167</v>
      </c>
      <c r="AC1212" s="60" t="s">
        <v>7168</v>
      </c>
      <c r="AD1212" s="327">
        <v>4.0</v>
      </c>
      <c r="AE1212" s="144">
        <v>43.0</v>
      </c>
      <c r="AF1212" s="327">
        <v>0.16</v>
      </c>
      <c r="AG1212" s="60" t="s">
        <v>130</v>
      </c>
      <c r="AH1212" s="60" t="s">
        <v>861</v>
      </c>
      <c r="AI1212" s="329" t="s">
        <v>165</v>
      </c>
      <c r="AJ1212" s="41" t="s">
        <v>165</v>
      </c>
      <c r="AK1212" s="55" t="s">
        <v>179</v>
      </c>
      <c r="AL1212" s="60" t="s">
        <v>129</v>
      </c>
      <c r="AM1212" s="1363" t="s">
        <v>165</v>
      </c>
      <c r="AN1212" s="327">
        <v>126.0</v>
      </c>
      <c r="AO1212" s="327">
        <v>0.005</v>
      </c>
      <c r="AP1212" s="60" t="s">
        <v>166</v>
      </c>
      <c r="AQ1212" s="60" t="s">
        <v>629</v>
      </c>
      <c r="AR1212" s="327">
        <v>0.97</v>
      </c>
      <c r="AS1212" s="60" t="s">
        <v>164</v>
      </c>
      <c r="AT1212" s="60" t="s">
        <v>179</v>
      </c>
      <c r="AU1212" s="60" t="s">
        <v>129</v>
      </c>
      <c r="AV1212" s="1361" t="s">
        <v>7169</v>
      </c>
      <c r="AW1212" s="60" t="s">
        <v>134</v>
      </c>
      <c r="AY1212" s="60" t="s">
        <v>1455</v>
      </c>
    </row>
    <row r="1213">
      <c r="A1213" s="60" t="s">
        <v>106</v>
      </c>
      <c r="B1213" s="41" t="s">
        <v>107</v>
      </c>
      <c r="C1213" s="41" t="s">
        <v>144</v>
      </c>
      <c r="E1213" s="147" t="s">
        <v>7153</v>
      </c>
      <c r="F1213" s="988" t="s">
        <v>7154</v>
      </c>
      <c r="G1213" s="147" t="s">
        <v>144</v>
      </c>
      <c r="H1213" s="472">
        <v>45690.0</v>
      </c>
      <c r="I1213" s="1358">
        <v>45693.0</v>
      </c>
      <c r="J1213" s="147" t="s">
        <v>7170</v>
      </c>
      <c r="K1213" s="60"/>
      <c r="L1213" s="1360" t="s">
        <v>7158</v>
      </c>
      <c r="M1213" s="412" t="s">
        <v>7159</v>
      </c>
      <c r="N1213" s="144">
        <v>2.0</v>
      </c>
      <c r="O1213" s="145" t="s">
        <v>7160</v>
      </c>
      <c r="P1213" s="48" t="str">
        <f t="array" ref="P1213">HYPERLINK(INDEX('File Links'!B:B, MATCH(O1213, 'File Links'!C:C, 0)))
</f>
        <v>https://drive.google.com/file/d/1WZ-wmp0ZBZO-MwxvYanAL8j3J4k47183/view?usp=drivesdk</v>
      </c>
      <c r="Q1213" s="147" t="s">
        <v>7161</v>
      </c>
      <c r="R1213" s="412" t="s">
        <v>7162</v>
      </c>
      <c r="S1213" s="458" t="s">
        <v>7163</v>
      </c>
      <c r="T1213" s="327">
        <v>1.0</v>
      </c>
      <c r="U1213" s="145" t="s">
        <v>7140</v>
      </c>
      <c r="V1213" s="147" t="s">
        <v>3501</v>
      </c>
      <c r="W1213" s="50" t="str">
        <f t="array" ref="W1213">HYPERLINK(INDEX('File Links'!B:B, MATCH(U1213, 'File Links'!C:C, 0)))
</f>
        <v>https://drive.google.com/file/d/1UMAh9VGta6ExS2-Lb6GkDF4fmnI2EMeM/view?usp=drivesdk</v>
      </c>
      <c r="X1213" s="60"/>
      <c r="Y1213" s="147" t="s">
        <v>220</v>
      </c>
      <c r="Z1213" s="147" t="s">
        <v>7171</v>
      </c>
      <c r="AA1213" s="412" t="s">
        <v>7172</v>
      </c>
      <c r="AB1213" s="147" t="s">
        <v>7167</v>
      </c>
      <c r="AC1213" s="147" t="s">
        <v>7173</v>
      </c>
      <c r="AD1213" s="144">
        <v>4.0</v>
      </c>
      <c r="AE1213" s="144">
        <v>43.0</v>
      </c>
      <c r="AF1213" s="144">
        <v>0.16</v>
      </c>
      <c r="AG1213" s="147" t="s">
        <v>130</v>
      </c>
      <c r="AH1213" s="147" t="s">
        <v>861</v>
      </c>
      <c r="AI1213" s="328" t="s">
        <v>165</v>
      </c>
      <c r="AJ1213" s="41" t="s">
        <v>165</v>
      </c>
      <c r="AK1213" s="52" t="s">
        <v>179</v>
      </c>
      <c r="AL1213" s="60" t="s">
        <v>129</v>
      </c>
      <c r="AM1213" s="1363" t="s">
        <v>165</v>
      </c>
      <c r="AN1213" s="327">
        <v>126.0</v>
      </c>
      <c r="AO1213" s="327">
        <v>0.005</v>
      </c>
      <c r="AP1213" s="147" t="s">
        <v>166</v>
      </c>
      <c r="AQ1213" s="147" t="s">
        <v>629</v>
      </c>
      <c r="AR1213" s="144">
        <v>0.97</v>
      </c>
      <c r="AS1213" s="147" t="s">
        <v>164</v>
      </c>
      <c r="AT1213" s="147" t="s">
        <v>179</v>
      </c>
      <c r="AU1213" s="60" t="s">
        <v>129</v>
      </c>
      <c r="AV1213" s="410" t="s">
        <v>7174</v>
      </c>
      <c r="AW1213" s="60" t="s">
        <v>134</v>
      </c>
      <c r="AY1213" s="60" t="s">
        <v>1455</v>
      </c>
    </row>
    <row r="1214">
      <c r="A1214" s="60" t="s">
        <v>143</v>
      </c>
      <c r="B1214" s="41" t="s">
        <v>107</v>
      </c>
      <c r="C1214" s="41" t="s">
        <v>1455</v>
      </c>
      <c r="E1214" s="147" t="s">
        <v>7175</v>
      </c>
      <c r="F1214" s="988" t="s">
        <v>7176</v>
      </c>
      <c r="G1214" s="147" t="s">
        <v>7177</v>
      </c>
      <c r="H1214" s="472">
        <v>45690.0</v>
      </c>
      <c r="I1214" s="1358">
        <v>45693.0</v>
      </c>
      <c r="J1214" s="531" t="s">
        <v>7178</v>
      </c>
      <c r="K1214" s="60"/>
      <c r="L1214" s="1360" t="s">
        <v>7179</v>
      </c>
      <c r="M1214" s="147" t="s">
        <v>7180</v>
      </c>
      <c r="N1214" s="327">
        <v>2.0</v>
      </c>
      <c r="O1214" s="145" t="s">
        <v>7181</v>
      </c>
      <c r="P1214" s="48" t="str">
        <f t="array" ref="P1214">HYPERLINK(INDEX('File Links'!B:B, MATCH(O1214, 'File Links'!C:C, 0)))
</f>
        <v>https://drive.google.com/file/d/1H1LGxInHGwZQlib48Sk8tAS3t5eXTLL_/view?usp=drivesdk</v>
      </c>
      <c r="Q1214" s="453" t="s">
        <v>7182</v>
      </c>
      <c r="R1214" s="147" t="s">
        <v>7139</v>
      </c>
      <c r="S1214" s="60"/>
      <c r="T1214" s="327">
        <v>1.0</v>
      </c>
      <c r="U1214" s="145" t="s">
        <v>7140</v>
      </c>
      <c r="V1214" s="60" t="s">
        <v>155</v>
      </c>
      <c r="W1214" s="1366" t="s">
        <v>7183</v>
      </c>
      <c r="X1214" s="60"/>
      <c r="Y1214" s="60" t="s">
        <v>139</v>
      </c>
      <c r="Z1214" s="60" t="s">
        <v>7184</v>
      </c>
      <c r="AA1214" s="147" t="s">
        <v>7185</v>
      </c>
      <c r="AB1214" s="1365" t="s">
        <v>7186</v>
      </c>
      <c r="AC1214" s="60" t="s">
        <v>7187</v>
      </c>
      <c r="AD1214" s="327">
        <v>6.0</v>
      </c>
      <c r="AE1214" s="144">
        <v>8.0</v>
      </c>
      <c r="AF1214" s="60" t="s">
        <v>7188</v>
      </c>
      <c r="AG1214" s="60" t="s">
        <v>162</v>
      </c>
      <c r="AH1214" s="60" t="s">
        <v>131</v>
      </c>
      <c r="AI1214" s="328">
        <v>0.001</v>
      </c>
      <c r="AJ1214" s="55" t="s">
        <v>127</v>
      </c>
      <c r="AK1214" s="55" t="s">
        <v>179</v>
      </c>
      <c r="AL1214" s="60" t="s">
        <v>129</v>
      </c>
      <c r="AM1214" s="1363" t="s">
        <v>165</v>
      </c>
      <c r="AN1214" s="144">
        <v>8.0</v>
      </c>
      <c r="AO1214" s="60" t="s">
        <v>7189</v>
      </c>
      <c r="AP1214" s="60" t="s">
        <v>162</v>
      </c>
      <c r="AQ1214" s="60" t="s">
        <v>210</v>
      </c>
      <c r="AR1214" s="327">
        <v>0.76</v>
      </c>
      <c r="AS1214" s="60" t="s">
        <v>164</v>
      </c>
      <c r="AT1214" s="60" t="s">
        <v>179</v>
      </c>
      <c r="AU1214" s="60" t="s">
        <v>129</v>
      </c>
      <c r="AV1214" s="410" t="s">
        <v>7190</v>
      </c>
      <c r="AW1214" s="60" t="s">
        <v>134</v>
      </c>
      <c r="AY1214" s="60" t="s">
        <v>1455</v>
      </c>
    </row>
    <row r="1215">
      <c r="A1215" s="60" t="s">
        <v>106</v>
      </c>
      <c r="B1215" s="41" t="s">
        <v>107</v>
      </c>
      <c r="C1215" s="41" t="s">
        <v>144</v>
      </c>
      <c r="E1215" s="147" t="s">
        <v>7175</v>
      </c>
      <c r="F1215" s="988" t="s">
        <v>7176</v>
      </c>
      <c r="G1215" s="147" t="s">
        <v>7191</v>
      </c>
      <c r="H1215" s="472">
        <v>45690.0</v>
      </c>
      <c r="I1215" s="1358">
        <v>45693.0</v>
      </c>
      <c r="J1215" s="147" t="s">
        <v>7192</v>
      </c>
      <c r="K1215" s="60"/>
      <c r="L1215" s="1360" t="s">
        <v>7179</v>
      </c>
      <c r="M1215" s="147" t="s">
        <v>7180</v>
      </c>
      <c r="N1215" s="144">
        <v>2.0</v>
      </c>
      <c r="O1215" s="145" t="s">
        <v>7181</v>
      </c>
      <c r="P1215" s="48" t="str">
        <f t="array" ref="P1215">HYPERLINK(INDEX('File Links'!B:B, MATCH(O1215, 'File Links'!C:C, 0)))
</f>
        <v>https://drive.google.com/file/d/1H1LGxInHGwZQlib48Sk8tAS3t5eXTLL_/view?usp=drivesdk</v>
      </c>
      <c r="Q1215" s="147" t="s">
        <v>7193</v>
      </c>
      <c r="R1215" s="147" t="s">
        <v>7139</v>
      </c>
      <c r="S1215" s="60"/>
      <c r="T1215" s="327">
        <v>1.0</v>
      </c>
      <c r="U1215" s="145" t="s">
        <v>7140</v>
      </c>
      <c r="V1215" s="147" t="s">
        <v>155</v>
      </c>
      <c r="W1215" s="50" t="str">
        <f t="array" ref="W1215">HYPERLINK(INDEX('File Links'!B:B, MATCH(U1215, 'File Links'!C:C, 0)))
</f>
        <v>https://drive.google.com/file/d/1UMAh9VGta6ExS2-Lb6GkDF4fmnI2EMeM/view?usp=drivesdk</v>
      </c>
      <c r="X1215" s="60"/>
      <c r="Y1215" s="147" t="s">
        <v>139</v>
      </c>
      <c r="Z1215" s="147" t="s">
        <v>7194</v>
      </c>
      <c r="AA1215" s="147" t="s">
        <v>7195</v>
      </c>
      <c r="AB1215" s="147" t="s">
        <v>7186</v>
      </c>
      <c r="AC1215" s="147" t="s">
        <v>7196</v>
      </c>
      <c r="AD1215" s="144">
        <v>6.0</v>
      </c>
      <c r="AE1215" s="144">
        <v>8.0</v>
      </c>
      <c r="AF1215" s="1268" t="s">
        <v>7197</v>
      </c>
      <c r="AG1215" s="147" t="s">
        <v>162</v>
      </c>
      <c r="AH1215" s="147" t="s">
        <v>131</v>
      </c>
      <c r="AI1215" s="328">
        <v>0.001</v>
      </c>
      <c r="AJ1215" s="52" t="s">
        <v>127</v>
      </c>
      <c r="AK1215" s="52" t="s">
        <v>179</v>
      </c>
      <c r="AL1215" s="60" t="s">
        <v>129</v>
      </c>
      <c r="AM1215" s="1363" t="s">
        <v>165</v>
      </c>
      <c r="AN1215" s="144">
        <v>8.0</v>
      </c>
      <c r="AO1215" s="147" t="s">
        <v>7198</v>
      </c>
      <c r="AP1215" s="147" t="s">
        <v>162</v>
      </c>
      <c r="AQ1215" s="147" t="s">
        <v>210</v>
      </c>
      <c r="AR1215" s="144">
        <v>0.76</v>
      </c>
      <c r="AS1215" s="147" t="s">
        <v>164</v>
      </c>
      <c r="AT1215" s="147" t="s">
        <v>179</v>
      </c>
      <c r="AU1215" s="60" t="s">
        <v>129</v>
      </c>
      <c r="AV1215" s="410" t="s">
        <v>7199</v>
      </c>
      <c r="AW1215" s="60" t="s">
        <v>134</v>
      </c>
      <c r="AY1215" s="60" t="s">
        <v>1455</v>
      </c>
    </row>
    <row r="1216">
      <c r="A1216" s="60" t="s">
        <v>106</v>
      </c>
      <c r="B1216" s="41" t="s">
        <v>107</v>
      </c>
      <c r="C1216" s="41" t="s">
        <v>1455</v>
      </c>
      <c r="E1216" s="147" t="s">
        <v>7200</v>
      </c>
      <c r="F1216" s="988" t="s">
        <v>7201</v>
      </c>
      <c r="G1216" s="147" t="s">
        <v>7202</v>
      </c>
      <c r="H1216" s="472">
        <v>45690.0</v>
      </c>
      <c r="I1216" s="1358">
        <v>45693.0</v>
      </c>
      <c r="J1216" s="60"/>
      <c r="K1216" s="60"/>
      <c r="L1216" s="1360" t="s">
        <v>7203</v>
      </c>
      <c r="M1216" s="147" t="s">
        <v>7204</v>
      </c>
      <c r="N1216" s="327">
        <v>1.0</v>
      </c>
      <c r="O1216" s="145" t="s">
        <v>7205</v>
      </c>
      <c r="P1216" s="48" t="str">
        <f t="array" ref="P1216">HYPERLINK(INDEX('File Links'!B:B, MATCH(O1216, 'File Links'!C:C, 0)))
</f>
        <v>https://drive.google.com/file/d/1-FUitYcnAKMu52rxwYLJUGd9TwUYmGfa/view?usp=drivesdk</v>
      </c>
      <c r="Q1216" s="147" t="s">
        <v>7206</v>
      </c>
      <c r="R1216" s="147" t="s">
        <v>7139</v>
      </c>
      <c r="S1216" s="60"/>
      <c r="T1216" s="327">
        <v>1.0</v>
      </c>
      <c r="U1216" s="145" t="s">
        <v>7140</v>
      </c>
      <c r="V1216" s="60" t="s">
        <v>155</v>
      </c>
      <c r="W1216" s="1361" t="s">
        <v>7207</v>
      </c>
      <c r="X1216" s="60"/>
      <c r="Y1216" s="60" t="s">
        <v>220</v>
      </c>
      <c r="Z1216" s="60" t="s">
        <v>7208</v>
      </c>
      <c r="AA1216" s="60" t="s">
        <v>7209</v>
      </c>
      <c r="AB1216" s="60" t="s">
        <v>7210</v>
      </c>
      <c r="AC1216" s="60" t="s">
        <v>7211</v>
      </c>
      <c r="AD1216" s="327">
        <v>3.0</v>
      </c>
      <c r="AE1216" s="327">
        <v>70.0</v>
      </c>
      <c r="AF1216" s="327">
        <v>-0.43</v>
      </c>
      <c r="AG1216" s="60" t="s">
        <v>208</v>
      </c>
      <c r="AH1216" s="60" t="s">
        <v>210</v>
      </c>
      <c r="AI1216" s="329" t="s">
        <v>165</v>
      </c>
      <c r="AJ1216" s="55"/>
      <c r="AK1216" s="55" t="s">
        <v>128</v>
      </c>
      <c r="AL1216" s="60" t="s">
        <v>129</v>
      </c>
      <c r="AM1216" s="1363" t="s">
        <v>165</v>
      </c>
      <c r="AN1216" s="327">
        <v>16.0</v>
      </c>
      <c r="AO1216" s="327">
        <v>-0.11</v>
      </c>
      <c r="AP1216" s="60" t="s">
        <v>208</v>
      </c>
      <c r="AQ1216" s="60" t="s">
        <v>892</v>
      </c>
      <c r="AR1216" s="60" t="s">
        <v>165</v>
      </c>
      <c r="AS1216" s="60"/>
      <c r="AT1216" s="60" t="s">
        <v>128</v>
      </c>
      <c r="AU1216" s="60" t="s">
        <v>129</v>
      </c>
      <c r="AV1216" s="1361" t="s">
        <v>7212</v>
      </c>
      <c r="AW1216" s="60" t="s">
        <v>142</v>
      </c>
      <c r="AY1216" s="60" t="s">
        <v>1455</v>
      </c>
    </row>
    <row r="1217">
      <c r="A1217" s="60" t="s">
        <v>143</v>
      </c>
      <c r="B1217" s="41" t="s">
        <v>107</v>
      </c>
      <c r="C1217" s="41" t="s">
        <v>144</v>
      </c>
      <c r="E1217" s="147" t="s">
        <v>7200</v>
      </c>
      <c r="F1217" s="988" t="s">
        <v>7201</v>
      </c>
      <c r="G1217" s="147" t="s">
        <v>144</v>
      </c>
      <c r="H1217" s="472">
        <v>45690.0</v>
      </c>
      <c r="I1217" s="1358">
        <v>45693.0</v>
      </c>
      <c r="J1217" s="147" t="s">
        <v>7213</v>
      </c>
      <c r="K1217" s="60" t="s">
        <v>7214</v>
      </c>
      <c r="L1217" s="1360" t="s">
        <v>7203</v>
      </c>
      <c r="M1217" s="412" t="s">
        <v>7204</v>
      </c>
      <c r="N1217" s="144">
        <v>1.0</v>
      </c>
      <c r="O1217" s="145" t="s">
        <v>7205</v>
      </c>
      <c r="P1217" s="48" t="str">
        <f t="array" ref="P1217">HYPERLINK(INDEX('File Links'!B:B, MATCH(O1217, 'File Links'!C:C, 0)))
</f>
        <v>https://drive.google.com/file/d/1-FUitYcnAKMu52rxwYLJUGd9TwUYmGfa/view?usp=drivesdk</v>
      </c>
      <c r="Q1217" s="147" t="s">
        <v>7206</v>
      </c>
      <c r="R1217" s="412" t="s">
        <v>7139</v>
      </c>
      <c r="S1217" s="60"/>
      <c r="T1217" s="327">
        <v>1.0</v>
      </c>
      <c r="U1217" s="145" t="s">
        <v>7140</v>
      </c>
      <c r="V1217" s="60" t="s">
        <v>155</v>
      </c>
      <c r="W1217" s="1367" t="s">
        <v>7207</v>
      </c>
      <c r="X1217" s="60"/>
      <c r="Y1217" s="147" t="s">
        <v>220</v>
      </c>
      <c r="Z1217" s="147" t="s">
        <v>7215</v>
      </c>
      <c r="AA1217" s="780" t="s">
        <v>7216</v>
      </c>
      <c r="AB1217" s="780" t="s">
        <v>7217</v>
      </c>
      <c r="AC1217" s="1362" t="s">
        <v>7211</v>
      </c>
      <c r="AD1217" s="327">
        <v>3.0</v>
      </c>
      <c r="AE1217" s="327">
        <v>70.0</v>
      </c>
      <c r="AF1217" s="327">
        <v>-0.43</v>
      </c>
      <c r="AG1217" s="147" t="s">
        <v>208</v>
      </c>
      <c r="AH1217" s="60" t="s">
        <v>210</v>
      </c>
      <c r="AI1217" s="329"/>
      <c r="AJ1217" s="55"/>
      <c r="AK1217" s="52" t="s">
        <v>128</v>
      </c>
      <c r="AL1217" s="60" t="s">
        <v>129</v>
      </c>
      <c r="AM1217" s="1363" t="s">
        <v>165</v>
      </c>
      <c r="AN1217" s="327">
        <v>16.0</v>
      </c>
      <c r="AO1217" s="327">
        <v>-0.11</v>
      </c>
      <c r="AP1217" s="147" t="s">
        <v>208</v>
      </c>
      <c r="AQ1217" s="60" t="s">
        <v>892</v>
      </c>
      <c r="AR1217" s="60"/>
      <c r="AS1217" s="128" t="s">
        <v>165</v>
      </c>
      <c r="AT1217" s="147" t="s">
        <v>128</v>
      </c>
      <c r="AU1217" s="60" t="s">
        <v>129</v>
      </c>
      <c r="AV1217" s="410" t="s">
        <v>7218</v>
      </c>
      <c r="AW1217" s="60" t="s">
        <v>142</v>
      </c>
      <c r="AY1217" s="60" t="s">
        <v>1455</v>
      </c>
    </row>
    <row r="1218">
      <c r="A1218" s="60" t="s">
        <v>143</v>
      </c>
      <c r="B1218" s="41" t="s">
        <v>107</v>
      </c>
      <c r="C1218" s="41" t="s">
        <v>1455</v>
      </c>
      <c r="E1218" s="147" t="s">
        <v>7219</v>
      </c>
      <c r="F1218" s="988" t="s">
        <v>7220</v>
      </c>
      <c r="G1218" s="147" t="s">
        <v>7221</v>
      </c>
      <c r="H1218" s="472">
        <v>45690.0</v>
      </c>
      <c r="I1218" s="1358">
        <v>45693.0</v>
      </c>
      <c r="J1218" s="60"/>
      <c r="K1218" s="60" t="s">
        <v>7222</v>
      </c>
      <c r="L1218" s="1360" t="s">
        <v>7223</v>
      </c>
      <c r="M1218" s="147" t="s">
        <v>7224</v>
      </c>
      <c r="N1218" s="327">
        <v>2.0</v>
      </c>
      <c r="O1218" s="145" t="s">
        <v>7225</v>
      </c>
      <c r="P1218" s="48" t="str">
        <f t="array" ref="P1218">HYPERLINK(INDEX('File Links'!B:B, MATCH(O1218, 'File Links'!C:C, 0)))
</f>
        <v>https://drive.google.com/file/d/1RWYs4BxngJFHCjARwIfsUfl_7-oYLebS/view?usp=drivesdk</v>
      </c>
      <c r="Q1218" s="147" t="s">
        <v>7226</v>
      </c>
      <c r="R1218" s="147" t="s">
        <v>7139</v>
      </c>
      <c r="S1218" s="60"/>
      <c r="T1218" s="327">
        <v>1.0</v>
      </c>
      <c r="U1218" s="145" t="s">
        <v>7140</v>
      </c>
      <c r="V1218" s="60" t="s">
        <v>155</v>
      </c>
      <c r="W1218" s="1361" t="s">
        <v>7227</v>
      </c>
      <c r="X1218" s="60"/>
      <c r="Y1218" s="60" t="s">
        <v>220</v>
      </c>
      <c r="Z1218" s="60" t="s">
        <v>7228</v>
      </c>
      <c r="AA1218" s="147" t="s">
        <v>7229</v>
      </c>
      <c r="AB1218" s="1365" t="s">
        <v>7230</v>
      </c>
      <c r="AC1218" s="60" t="s">
        <v>7231</v>
      </c>
      <c r="AD1218" s="327">
        <v>4.0</v>
      </c>
      <c r="AE1218" s="144">
        <v>53.0</v>
      </c>
      <c r="AF1218" s="327">
        <v>-0.31</v>
      </c>
      <c r="AG1218" s="60" t="s">
        <v>208</v>
      </c>
      <c r="AH1218" s="60" t="s">
        <v>861</v>
      </c>
      <c r="AI1218" s="328">
        <v>0.05</v>
      </c>
      <c r="AJ1218" s="55" t="s">
        <v>127</v>
      </c>
      <c r="AK1218" s="55" t="s">
        <v>179</v>
      </c>
      <c r="AL1218" s="60" t="s">
        <v>129</v>
      </c>
      <c r="AM1218" s="1363" t="s">
        <v>165</v>
      </c>
      <c r="AN1218" s="144">
        <v>72.0</v>
      </c>
      <c r="AO1218" s="327">
        <v>0.034</v>
      </c>
      <c r="AP1218" s="60" t="s">
        <v>208</v>
      </c>
      <c r="AQ1218" s="60" t="s">
        <v>131</v>
      </c>
      <c r="AR1218" s="327">
        <v>0.78</v>
      </c>
      <c r="AS1218" s="60" t="s">
        <v>164</v>
      </c>
      <c r="AT1218" s="60" t="s">
        <v>128</v>
      </c>
      <c r="AU1218" s="60" t="s">
        <v>129</v>
      </c>
      <c r="AV1218" s="1361" t="s">
        <v>7232</v>
      </c>
      <c r="AW1218" s="60" t="s">
        <v>134</v>
      </c>
      <c r="AY1218" s="60" t="s">
        <v>1455</v>
      </c>
    </row>
    <row r="1219">
      <c r="A1219" s="60" t="s">
        <v>106</v>
      </c>
      <c r="B1219" s="41" t="s">
        <v>107</v>
      </c>
      <c r="C1219" s="41" t="s">
        <v>144</v>
      </c>
      <c r="E1219" s="147" t="s">
        <v>7219</v>
      </c>
      <c r="F1219" s="988" t="s">
        <v>7220</v>
      </c>
      <c r="G1219" s="147" t="s">
        <v>144</v>
      </c>
      <c r="H1219" s="472">
        <v>45690.0</v>
      </c>
      <c r="I1219" s="1358">
        <v>45693.0</v>
      </c>
      <c r="J1219" s="60"/>
      <c r="K1219" s="60"/>
      <c r="L1219" s="1360" t="s">
        <v>7223</v>
      </c>
      <c r="M1219" s="147" t="s">
        <v>7224</v>
      </c>
      <c r="N1219" s="144">
        <v>2.0</v>
      </c>
      <c r="O1219" s="145" t="s">
        <v>7225</v>
      </c>
      <c r="P1219" s="48" t="str">
        <f t="array" ref="P1219">HYPERLINK(INDEX('File Links'!B:B, MATCH(O1219, 'File Links'!C:C, 0)))
</f>
        <v>https://drive.google.com/file/d/1RWYs4BxngJFHCjARwIfsUfl_7-oYLebS/view?usp=drivesdk</v>
      </c>
      <c r="Q1219" s="147" t="s">
        <v>7226</v>
      </c>
      <c r="R1219" s="147" t="s">
        <v>7139</v>
      </c>
      <c r="S1219" s="60"/>
      <c r="T1219" s="327">
        <v>1.0</v>
      </c>
      <c r="U1219" s="145" t="s">
        <v>7140</v>
      </c>
      <c r="V1219" s="147" t="s">
        <v>155</v>
      </c>
      <c r="W1219" s="50" t="str">
        <f t="array" ref="W1219">HYPERLINK(INDEX('File Links'!B:B, MATCH(U1219, 'File Links'!C:C, 0)))
</f>
        <v>https://drive.google.com/file/d/1UMAh9VGta6ExS2-Lb6GkDF4fmnI2EMeM/view?usp=drivesdk</v>
      </c>
      <c r="X1219" s="60"/>
      <c r="Y1219" s="147" t="s">
        <v>220</v>
      </c>
      <c r="Z1219" s="147" t="s">
        <v>7228</v>
      </c>
      <c r="AA1219" s="147" t="s">
        <v>7233</v>
      </c>
      <c r="AB1219" s="147" t="s">
        <v>7230</v>
      </c>
      <c r="AC1219" s="147" t="s">
        <v>7234</v>
      </c>
      <c r="AD1219" s="144">
        <v>4.0</v>
      </c>
      <c r="AE1219" s="144">
        <v>53.0</v>
      </c>
      <c r="AF1219" s="144">
        <v>-0.31</v>
      </c>
      <c r="AG1219" s="147" t="s">
        <v>208</v>
      </c>
      <c r="AH1219" s="147" t="s">
        <v>861</v>
      </c>
      <c r="AI1219" s="328">
        <v>0.05</v>
      </c>
      <c r="AJ1219" s="52" t="s">
        <v>127</v>
      </c>
      <c r="AK1219" s="52" t="s">
        <v>179</v>
      </c>
      <c r="AL1219" s="60" t="s">
        <v>129</v>
      </c>
      <c r="AM1219" s="1363" t="s">
        <v>165</v>
      </c>
      <c r="AN1219" s="144">
        <v>72.0</v>
      </c>
      <c r="AO1219" s="144">
        <v>0.034</v>
      </c>
      <c r="AP1219" s="147" t="s">
        <v>208</v>
      </c>
      <c r="AQ1219" s="147" t="s">
        <v>131</v>
      </c>
      <c r="AR1219" s="144">
        <v>0.78</v>
      </c>
      <c r="AS1219" s="147" t="s">
        <v>164</v>
      </c>
      <c r="AT1219" s="147" t="s">
        <v>128</v>
      </c>
      <c r="AU1219" s="60" t="s">
        <v>129</v>
      </c>
      <c r="AV1219" s="410" t="s">
        <v>7235</v>
      </c>
      <c r="AW1219" s="60" t="s">
        <v>134</v>
      </c>
      <c r="AY1219" s="60" t="s">
        <v>1455</v>
      </c>
    </row>
    <row r="1220">
      <c r="A1220" s="60" t="s">
        <v>143</v>
      </c>
      <c r="B1220" s="41" t="s">
        <v>107</v>
      </c>
      <c r="C1220" s="41" t="s">
        <v>1455</v>
      </c>
      <c r="E1220" s="147" t="s">
        <v>7236</v>
      </c>
      <c r="F1220" s="988" t="s">
        <v>7237</v>
      </c>
      <c r="G1220" s="147" t="s">
        <v>7238</v>
      </c>
      <c r="H1220" s="472">
        <v>45690.0</v>
      </c>
      <c r="I1220" s="1358">
        <v>45693.0</v>
      </c>
      <c r="J1220" s="60" t="s">
        <v>7239</v>
      </c>
      <c r="K1220" s="60"/>
      <c r="L1220" s="1360" t="s">
        <v>7240</v>
      </c>
      <c r="M1220" s="412" t="s">
        <v>7241</v>
      </c>
      <c r="N1220" s="327">
        <v>1.0</v>
      </c>
      <c r="O1220" s="145" t="s">
        <v>7242</v>
      </c>
      <c r="P1220" s="48" t="str">
        <f t="array" ref="P1220">HYPERLINK(INDEX('File Links'!B:B, MATCH(O1220, 'File Links'!C:C, 0)))
</f>
        <v>https://drive.google.com/file/d/1HlSsul-f2PZvtm7eAB3JNvLefgA9BMVI/view?usp=drivesdk</v>
      </c>
      <c r="Q1220" s="147" t="s">
        <v>7243</v>
      </c>
      <c r="R1220" s="412" t="s">
        <v>7139</v>
      </c>
      <c r="S1220" s="60"/>
      <c r="T1220" s="327">
        <v>1.0</v>
      </c>
      <c r="U1220" s="145" t="s">
        <v>7140</v>
      </c>
      <c r="V1220" s="60" t="s">
        <v>155</v>
      </c>
      <c r="W1220" s="1361" t="s">
        <v>7244</v>
      </c>
      <c r="X1220" s="60"/>
      <c r="Y1220" s="60" t="s">
        <v>139</v>
      </c>
      <c r="Z1220" s="60" t="s">
        <v>7245</v>
      </c>
      <c r="AA1220" s="147" t="s">
        <v>7246</v>
      </c>
      <c r="AB1220" s="147" t="s">
        <v>7247</v>
      </c>
      <c r="AC1220" s="60" t="s">
        <v>7248</v>
      </c>
      <c r="AD1220" s="327">
        <v>5.0</v>
      </c>
      <c r="AE1220" s="144">
        <v>40.0</v>
      </c>
      <c r="AF1220" s="327">
        <v>0.14</v>
      </c>
      <c r="AG1220" s="60" t="s">
        <v>130</v>
      </c>
      <c r="AH1220" s="60" t="s">
        <v>892</v>
      </c>
      <c r="AI1220" s="329" t="s">
        <v>165</v>
      </c>
      <c r="AJ1220" s="55"/>
      <c r="AK1220" s="55" t="s">
        <v>179</v>
      </c>
      <c r="AL1220" s="60" t="s">
        <v>132</v>
      </c>
      <c r="AM1220" s="1363" t="s">
        <v>165</v>
      </c>
      <c r="AN1220" s="327">
        <v>95.0</v>
      </c>
      <c r="AO1220" s="327">
        <v>0.17</v>
      </c>
      <c r="AP1220" s="60" t="s">
        <v>1785</v>
      </c>
      <c r="AQ1220" s="60" t="s">
        <v>610</v>
      </c>
      <c r="AR1220" s="327">
        <v>3.5E-5</v>
      </c>
      <c r="AS1220" s="60" t="s">
        <v>164</v>
      </c>
      <c r="AT1220" s="60" t="s">
        <v>179</v>
      </c>
      <c r="AU1220" s="60" t="s">
        <v>132</v>
      </c>
      <c r="AV1220" s="410" t="s">
        <v>7249</v>
      </c>
      <c r="AW1220" s="60" t="s">
        <v>142</v>
      </c>
      <c r="AY1220" s="60" t="s">
        <v>1455</v>
      </c>
    </row>
    <row r="1221">
      <c r="A1221" s="60" t="s">
        <v>106</v>
      </c>
      <c r="B1221" s="41" t="s">
        <v>107</v>
      </c>
      <c r="C1221" s="41" t="s">
        <v>144</v>
      </c>
      <c r="E1221" s="147" t="s">
        <v>7236</v>
      </c>
      <c r="F1221" s="988" t="s">
        <v>7237</v>
      </c>
      <c r="G1221" s="147" t="s">
        <v>144</v>
      </c>
      <c r="H1221" s="472">
        <v>45690.0</v>
      </c>
      <c r="I1221" s="1358">
        <v>45693.0</v>
      </c>
      <c r="J1221" s="147" t="s">
        <v>7250</v>
      </c>
      <c r="K1221" s="60"/>
      <c r="L1221" s="1360" t="s">
        <v>7240</v>
      </c>
      <c r="M1221" s="412" t="s">
        <v>7241</v>
      </c>
      <c r="N1221" s="144">
        <v>1.0</v>
      </c>
      <c r="O1221" s="145" t="s">
        <v>7242</v>
      </c>
      <c r="P1221" s="48" t="str">
        <f t="array" ref="P1221">HYPERLINK(INDEX('File Links'!B:B, MATCH(O1221, 'File Links'!C:C, 0)))
</f>
        <v>https://drive.google.com/file/d/1HlSsul-f2PZvtm7eAB3JNvLefgA9BMVI/view?usp=drivesdk</v>
      </c>
      <c r="Q1221" s="147" t="s">
        <v>7243</v>
      </c>
      <c r="R1221" s="412" t="s">
        <v>7139</v>
      </c>
      <c r="S1221" s="60"/>
      <c r="T1221" s="327">
        <v>1.0</v>
      </c>
      <c r="U1221" s="145" t="s">
        <v>7140</v>
      </c>
      <c r="V1221" s="147" t="s">
        <v>155</v>
      </c>
      <c r="W1221" s="50" t="str">
        <f t="array" ref="W1221">HYPERLINK(INDEX('File Links'!B:B, MATCH(U1221, 'File Links'!C:C, 0)))
</f>
        <v>https://drive.google.com/file/d/1UMAh9VGta6ExS2-Lb6GkDF4fmnI2EMeM/view?usp=drivesdk</v>
      </c>
      <c r="X1221" s="60"/>
      <c r="Y1221" s="60" t="s">
        <v>139</v>
      </c>
      <c r="Z1221" s="60" t="s">
        <v>7245</v>
      </c>
      <c r="AA1221" s="60" t="s">
        <v>7251</v>
      </c>
      <c r="AB1221" s="60" t="s">
        <v>7252</v>
      </c>
      <c r="AC1221" s="1368"/>
      <c r="AD1221" s="327">
        <v>5.0</v>
      </c>
      <c r="AE1221" s="327">
        <v>40.0</v>
      </c>
      <c r="AF1221" s="327">
        <v>0.14</v>
      </c>
      <c r="AG1221" s="60" t="s">
        <v>130</v>
      </c>
      <c r="AH1221" s="60" t="s">
        <v>892</v>
      </c>
      <c r="AI1221" s="329" t="s">
        <v>165</v>
      </c>
      <c r="AJ1221" s="55"/>
      <c r="AK1221" s="55" t="s">
        <v>179</v>
      </c>
      <c r="AL1221" s="60" t="s">
        <v>132</v>
      </c>
      <c r="AM1221" s="1363" t="s">
        <v>165</v>
      </c>
      <c r="AN1221" s="327">
        <v>95.0</v>
      </c>
      <c r="AO1221" s="327">
        <v>0.17</v>
      </c>
      <c r="AP1221" s="1368" t="s">
        <v>130</v>
      </c>
      <c r="AQ1221" s="60" t="s">
        <v>610</v>
      </c>
      <c r="AR1221" s="327">
        <v>3.5E-5</v>
      </c>
      <c r="AS1221" s="60" t="s">
        <v>164</v>
      </c>
      <c r="AT1221" s="60" t="s">
        <v>179</v>
      </c>
      <c r="AU1221" s="60" t="s">
        <v>132</v>
      </c>
      <c r="AV1221" s="410" t="s">
        <v>7253</v>
      </c>
      <c r="AW1221" s="60" t="s">
        <v>142</v>
      </c>
      <c r="AY1221" s="60" t="s">
        <v>1455</v>
      </c>
    </row>
    <row r="1222">
      <c r="A1222" s="60" t="s">
        <v>143</v>
      </c>
      <c r="B1222" s="41" t="s">
        <v>107</v>
      </c>
      <c r="C1222" s="41" t="s">
        <v>1455</v>
      </c>
      <c r="E1222" s="147" t="s">
        <v>7254</v>
      </c>
      <c r="F1222" s="988" t="s">
        <v>7255</v>
      </c>
      <c r="G1222" s="147" t="s">
        <v>7256</v>
      </c>
      <c r="H1222" s="472">
        <v>45690.0</v>
      </c>
      <c r="I1222" s="1358">
        <v>45693.0</v>
      </c>
      <c r="J1222" s="60"/>
      <c r="K1222" s="60" t="s">
        <v>7257</v>
      </c>
      <c r="L1222" s="1360" t="s">
        <v>7258</v>
      </c>
      <c r="M1222" s="147" t="s">
        <v>7259</v>
      </c>
      <c r="N1222" s="327">
        <v>3.0</v>
      </c>
      <c r="O1222" s="145" t="s">
        <v>7260</v>
      </c>
      <c r="P1222" s="48" t="str">
        <f t="array" ref="P1222">HYPERLINK(INDEX('File Links'!B:B, MATCH(O1222, 'File Links'!C:C, 0)))
</f>
        <v>https://drive.google.com/file/d/1xJDFi9AZRlHlZ8zxZ8pogfKFGSJiXpeB/view?usp=drivesdk</v>
      </c>
      <c r="Q1222" s="147" t="s">
        <v>7261</v>
      </c>
      <c r="R1222" s="147" t="s">
        <v>7139</v>
      </c>
      <c r="S1222" s="60"/>
      <c r="T1222" s="327">
        <v>1.0</v>
      </c>
      <c r="U1222" s="145" t="s">
        <v>7140</v>
      </c>
      <c r="V1222" s="60" t="s">
        <v>155</v>
      </c>
      <c r="W1222" s="1361" t="s">
        <v>7262</v>
      </c>
      <c r="X1222" s="60"/>
      <c r="Y1222" s="60" t="s">
        <v>139</v>
      </c>
      <c r="Z1222" s="60" t="s">
        <v>7263</v>
      </c>
      <c r="AA1222" s="147" t="s">
        <v>7264</v>
      </c>
      <c r="AB1222" s="147" t="s">
        <v>7265</v>
      </c>
      <c r="AC1222" s="60" t="s">
        <v>7266</v>
      </c>
      <c r="AD1222" s="327">
        <v>5.0</v>
      </c>
      <c r="AE1222" s="144">
        <v>48.0</v>
      </c>
      <c r="AF1222" s="356" t="s">
        <v>7267</v>
      </c>
      <c r="AG1222" s="60" t="s">
        <v>162</v>
      </c>
      <c r="AH1222" s="60" t="s">
        <v>7268</v>
      </c>
      <c r="AI1222" s="328">
        <v>0.01</v>
      </c>
      <c r="AJ1222" s="55" t="s">
        <v>127</v>
      </c>
      <c r="AK1222" s="55" t="s">
        <v>179</v>
      </c>
      <c r="AL1222" s="60" t="s">
        <v>129</v>
      </c>
      <c r="AM1222" s="1363" t="s">
        <v>165</v>
      </c>
      <c r="AN1222" s="144">
        <v>48.0</v>
      </c>
      <c r="AO1222" s="327">
        <v>0.032</v>
      </c>
      <c r="AP1222" s="60" t="s">
        <v>130</v>
      </c>
      <c r="AQ1222" s="60" t="s">
        <v>125</v>
      </c>
      <c r="AR1222" s="327">
        <v>0.237</v>
      </c>
      <c r="AS1222" s="60" t="s">
        <v>164</v>
      </c>
      <c r="AT1222" s="60" t="s">
        <v>128</v>
      </c>
      <c r="AU1222" s="60" t="s">
        <v>129</v>
      </c>
      <c r="AV1222" s="410" t="s">
        <v>7269</v>
      </c>
      <c r="AW1222" s="60" t="s">
        <v>134</v>
      </c>
      <c r="AY1222" s="60" t="s">
        <v>1455</v>
      </c>
    </row>
    <row r="1223">
      <c r="A1223" s="60" t="s">
        <v>106</v>
      </c>
      <c r="B1223" s="41" t="s">
        <v>107</v>
      </c>
      <c r="C1223" s="41" t="s">
        <v>144</v>
      </c>
      <c r="E1223" s="147" t="s">
        <v>7254</v>
      </c>
      <c r="F1223" s="988" t="s">
        <v>7255</v>
      </c>
      <c r="G1223" s="147" t="s">
        <v>144</v>
      </c>
      <c r="H1223" s="472">
        <v>45690.0</v>
      </c>
      <c r="I1223" s="1358">
        <v>45693.0</v>
      </c>
      <c r="J1223" s="147" t="s">
        <v>7270</v>
      </c>
      <c r="K1223" s="60"/>
      <c r="L1223" s="356" t="s">
        <v>7258</v>
      </c>
      <c r="M1223" s="147" t="s">
        <v>7259</v>
      </c>
      <c r="N1223" s="144">
        <v>3.0</v>
      </c>
      <c r="O1223" s="145" t="s">
        <v>7260</v>
      </c>
      <c r="P1223" s="48" t="str">
        <f t="array" ref="P1223">HYPERLINK(INDEX('File Links'!B:B, MATCH(O1223, 'File Links'!C:C, 0)))
</f>
        <v>https://drive.google.com/file/d/1xJDFi9AZRlHlZ8zxZ8pogfKFGSJiXpeB/view?usp=drivesdk</v>
      </c>
      <c r="Q1223" s="147" t="s">
        <v>7261</v>
      </c>
      <c r="R1223" s="147" t="s">
        <v>7139</v>
      </c>
      <c r="S1223" s="60"/>
      <c r="T1223" s="327">
        <v>1.0</v>
      </c>
      <c r="U1223" s="145" t="s">
        <v>7140</v>
      </c>
      <c r="V1223" s="147" t="s">
        <v>155</v>
      </c>
      <c r="W1223" s="50" t="str">
        <f t="array" ref="W1223">HYPERLINK(INDEX('File Links'!B:B, MATCH(U1223, 'File Links'!C:C, 0)))
</f>
        <v>https://drive.google.com/file/d/1UMAh9VGta6ExS2-Lb6GkDF4fmnI2EMeM/view?usp=drivesdk</v>
      </c>
      <c r="X1223" s="60"/>
      <c r="Y1223" s="147" t="s">
        <v>139</v>
      </c>
      <c r="Z1223" s="147" t="s">
        <v>7263</v>
      </c>
      <c r="AA1223" s="147" t="s">
        <v>7271</v>
      </c>
      <c r="AB1223" s="147" t="s">
        <v>7272</v>
      </c>
      <c r="AC1223" s="147" t="s">
        <v>7273</v>
      </c>
      <c r="AD1223" s="144">
        <v>5.0</v>
      </c>
      <c r="AE1223" s="144">
        <v>48.0</v>
      </c>
      <c r="AF1223" s="147" t="s">
        <v>7267</v>
      </c>
      <c r="AG1223" s="147" t="s">
        <v>162</v>
      </c>
      <c r="AH1223" s="147" t="s">
        <v>892</v>
      </c>
      <c r="AI1223" s="328">
        <v>0.01</v>
      </c>
      <c r="AJ1223" s="52" t="s">
        <v>127</v>
      </c>
      <c r="AK1223" s="52" t="s">
        <v>179</v>
      </c>
      <c r="AL1223" s="60" t="s">
        <v>129</v>
      </c>
      <c r="AM1223" s="1363" t="s">
        <v>165</v>
      </c>
      <c r="AN1223" s="144">
        <v>48.0</v>
      </c>
      <c r="AO1223" s="144">
        <v>0.032</v>
      </c>
      <c r="AP1223" s="147" t="s">
        <v>130</v>
      </c>
      <c r="AQ1223" s="1369" t="s">
        <v>610</v>
      </c>
      <c r="AR1223" s="144">
        <v>0.237</v>
      </c>
      <c r="AS1223" s="147" t="s">
        <v>164</v>
      </c>
      <c r="AT1223" s="147" t="s">
        <v>128</v>
      </c>
      <c r="AU1223" s="60" t="s">
        <v>129</v>
      </c>
      <c r="AV1223" s="410" t="s">
        <v>7269</v>
      </c>
      <c r="AW1223" s="1368" t="s">
        <v>142</v>
      </c>
      <c r="AY1223" s="60" t="s">
        <v>1455</v>
      </c>
    </row>
    <row r="1224">
      <c r="A1224" s="60" t="s">
        <v>143</v>
      </c>
      <c r="B1224" s="41" t="s">
        <v>107</v>
      </c>
      <c r="C1224" s="41" t="s">
        <v>1455</v>
      </c>
      <c r="E1224" s="147" t="s">
        <v>7274</v>
      </c>
      <c r="F1224" s="988" t="s">
        <v>7275</v>
      </c>
      <c r="G1224" s="147" t="s">
        <v>7276</v>
      </c>
      <c r="H1224" s="472">
        <v>45690.0</v>
      </c>
      <c r="I1224" s="1358">
        <v>45693.0</v>
      </c>
      <c r="J1224" s="60"/>
      <c r="K1224" s="60" t="s">
        <v>7277</v>
      </c>
      <c r="L1224" s="1360" t="s">
        <v>7278</v>
      </c>
      <c r="M1224" s="412" t="s">
        <v>6101</v>
      </c>
      <c r="N1224" s="327">
        <v>1.0</v>
      </c>
      <c r="O1224" s="145" t="s">
        <v>6102</v>
      </c>
      <c r="P1224" s="48" t="str">
        <f t="array" ref="P1224">HYPERLINK(INDEX('File Links'!B:B, MATCH(O1224, 'File Links'!C:C, 0)))
</f>
        <v>https://drive.google.com/file/d/17yvRZkdBULPZU-hy9QprgZuJeonQfAel/view?usp=drivesdk</v>
      </c>
      <c r="Q1224" s="147" t="s">
        <v>7279</v>
      </c>
      <c r="R1224" s="412" t="s">
        <v>7139</v>
      </c>
      <c r="S1224" s="60"/>
      <c r="T1224" s="327" t="s">
        <v>7279</v>
      </c>
      <c r="U1224" s="145" t="s">
        <v>7140</v>
      </c>
      <c r="V1224" s="60" t="s">
        <v>155</v>
      </c>
      <c r="W1224" s="1361" t="s">
        <v>7280</v>
      </c>
      <c r="X1224" s="60"/>
      <c r="Y1224" s="60" t="s">
        <v>139</v>
      </c>
      <c r="Z1224" s="60" t="s">
        <v>7281</v>
      </c>
      <c r="AA1224" s="147" t="s">
        <v>7282</v>
      </c>
      <c r="AB1224" s="1365" t="s">
        <v>7283</v>
      </c>
      <c r="AC1224" s="60" t="s">
        <v>7284</v>
      </c>
      <c r="AD1224" s="327">
        <v>2.0</v>
      </c>
      <c r="AE1224" s="144">
        <v>56.0</v>
      </c>
      <c r="AF1224" s="60" t="s">
        <v>7285</v>
      </c>
      <c r="AG1224" s="60" t="s">
        <v>162</v>
      </c>
      <c r="AH1224" s="60" t="s">
        <v>886</v>
      </c>
      <c r="AI1224" s="328">
        <v>0.037</v>
      </c>
      <c r="AJ1224" s="55" t="s">
        <v>164</v>
      </c>
      <c r="AK1224" s="55" t="s">
        <v>179</v>
      </c>
      <c r="AL1224" s="60" t="s">
        <v>129</v>
      </c>
      <c r="AM1224" s="1363" t="s">
        <v>165</v>
      </c>
      <c r="AN1224" s="327">
        <v>51.0</v>
      </c>
      <c r="AO1224" s="60" t="s">
        <v>7286</v>
      </c>
      <c r="AP1224" s="60" t="s">
        <v>162</v>
      </c>
      <c r="AQ1224" s="60" t="s">
        <v>861</v>
      </c>
      <c r="AR1224" s="327">
        <v>0.21</v>
      </c>
      <c r="AS1224" s="60" t="s">
        <v>164</v>
      </c>
      <c r="AT1224" s="60" t="s">
        <v>179</v>
      </c>
      <c r="AU1224" s="60" t="s">
        <v>129</v>
      </c>
      <c r="AV1224" s="1361" t="s">
        <v>7287</v>
      </c>
      <c r="AW1224" s="60" t="s">
        <v>134</v>
      </c>
      <c r="AY1224" s="60" t="s">
        <v>1455</v>
      </c>
    </row>
    <row r="1225">
      <c r="A1225" s="60" t="s">
        <v>106</v>
      </c>
      <c r="B1225" s="41" t="s">
        <v>107</v>
      </c>
      <c r="C1225" s="41" t="s">
        <v>144</v>
      </c>
      <c r="E1225" s="147" t="s">
        <v>7274</v>
      </c>
      <c r="F1225" s="988" t="s">
        <v>7275</v>
      </c>
      <c r="G1225" s="147" t="s">
        <v>144</v>
      </c>
      <c r="H1225" s="472">
        <v>45690.0</v>
      </c>
      <c r="I1225" s="1358">
        <v>45693.0</v>
      </c>
      <c r="J1225" s="60"/>
      <c r="K1225" s="60"/>
      <c r="L1225" s="1360" t="s">
        <v>7278</v>
      </c>
      <c r="M1225" s="147" t="s">
        <v>6101</v>
      </c>
      <c r="N1225" s="144">
        <v>1.0</v>
      </c>
      <c r="O1225" s="145" t="s">
        <v>6102</v>
      </c>
      <c r="P1225" s="48" t="str">
        <f t="array" ref="P1225">HYPERLINK(INDEX('File Links'!B:B, MATCH(O1225, 'File Links'!C:C, 0)))
</f>
        <v>https://drive.google.com/file/d/17yvRZkdBULPZU-hy9QprgZuJeonQfAel/view?usp=drivesdk</v>
      </c>
      <c r="Q1225" s="147" t="s">
        <v>7279</v>
      </c>
      <c r="R1225" s="147" t="s">
        <v>7139</v>
      </c>
      <c r="S1225" s="60"/>
      <c r="T1225" s="327">
        <v>1.0</v>
      </c>
      <c r="U1225" s="145" t="s">
        <v>7140</v>
      </c>
      <c r="V1225" s="147" t="s">
        <v>155</v>
      </c>
      <c r="W1225" s="50" t="str">
        <f t="array" ref="W1225">HYPERLINK(INDEX('File Links'!B:B, MATCH(U1225, 'File Links'!C:C, 0)))
</f>
        <v>https://drive.google.com/file/d/1UMAh9VGta6ExS2-Lb6GkDF4fmnI2EMeM/view?usp=drivesdk</v>
      </c>
      <c r="X1225" s="60"/>
      <c r="Y1225" s="147" t="s">
        <v>139</v>
      </c>
      <c r="Z1225" s="147" t="s">
        <v>7288</v>
      </c>
      <c r="AA1225" s="147" t="s">
        <v>7289</v>
      </c>
      <c r="AB1225" s="147" t="s">
        <v>7283</v>
      </c>
      <c r="AC1225" s="147" t="s">
        <v>7290</v>
      </c>
      <c r="AD1225" s="1370">
        <v>45689.0</v>
      </c>
      <c r="AE1225" s="144">
        <v>56.0</v>
      </c>
      <c r="AF1225" s="144">
        <v>3.28</v>
      </c>
      <c r="AG1225" s="147" t="s">
        <v>722</v>
      </c>
      <c r="AH1225" s="147" t="s">
        <v>886</v>
      </c>
      <c r="AI1225" s="328">
        <v>0.037</v>
      </c>
      <c r="AJ1225" s="52" t="s">
        <v>164</v>
      </c>
      <c r="AK1225" s="52" t="s">
        <v>179</v>
      </c>
      <c r="AL1225" s="60" t="s">
        <v>129</v>
      </c>
      <c r="AM1225" s="1363" t="s">
        <v>165</v>
      </c>
      <c r="AN1225" s="144">
        <v>51.0</v>
      </c>
      <c r="AO1225" s="144">
        <v>0.19</v>
      </c>
      <c r="AP1225" s="147" t="s">
        <v>7291</v>
      </c>
      <c r="AQ1225" s="147" t="s">
        <v>861</v>
      </c>
      <c r="AR1225" s="144">
        <v>0.21</v>
      </c>
      <c r="AS1225" s="147" t="s">
        <v>164</v>
      </c>
      <c r="AT1225" s="147" t="s">
        <v>179</v>
      </c>
      <c r="AU1225" s="60" t="s">
        <v>129</v>
      </c>
      <c r="AV1225" s="410" t="s">
        <v>7292</v>
      </c>
      <c r="AW1225" s="60" t="s">
        <v>134</v>
      </c>
      <c r="AY1225" s="60" t="s">
        <v>1455</v>
      </c>
    </row>
    <row r="1226">
      <c r="A1226" s="60" t="s">
        <v>143</v>
      </c>
      <c r="B1226" s="41" t="s">
        <v>107</v>
      </c>
      <c r="C1226" s="41" t="s">
        <v>1455</v>
      </c>
      <c r="E1226" s="147" t="s">
        <v>7293</v>
      </c>
      <c r="F1226" s="988" t="s">
        <v>7294</v>
      </c>
      <c r="G1226" s="147" t="s">
        <v>7295</v>
      </c>
      <c r="H1226" s="472">
        <v>45690.0</v>
      </c>
      <c r="I1226" s="1358">
        <v>45693.0</v>
      </c>
      <c r="J1226" s="60" t="s">
        <v>7296</v>
      </c>
      <c r="K1226" s="60"/>
      <c r="L1226" s="1360" t="s">
        <v>7297</v>
      </c>
      <c r="M1226" s="147" t="s">
        <v>7298</v>
      </c>
      <c r="N1226" s="327">
        <v>1.0</v>
      </c>
      <c r="O1226" s="145" t="s">
        <v>7299</v>
      </c>
      <c r="P1226" s="48" t="str">
        <f t="array" ref="P1226">HYPERLINK(INDEX('File Links'!B:B, MATCH(O1226, 'File Links'!C:C, 0)))
</f>
        <v>https://drive.google.com/file/d/1XqhWmKG3ZvoLJmLnPSVfonhhVjkaOyOo/view?usp=drivesdk</v>
      </c>
      <c r="Q1226" s="147" t="s">
        <v>7300</v>
      </c>
      <c r="R1226" s="147" t="s">
        <v>7139</v>
      </c>
      <c r="S1226" s="60"/>
      <c r="T1226" s="327">
        <v>1.0</v>
      </c>
      <c r="U1226" s="145" t="s">
        <v>7140</v>
      </c>
      <c r="V1226" s="60" t="s">
        <v>155</v>
      </c>
      <c r="W1226" s="1361" t="s">
        <v>7301</v>
      </c>
      <c r="X1226" s="60"/>
      <c r="Y1226" s="60" t="s">
        <v>139</v>
      </c>
      <c r="Z1226" s="60" t="s">
        <v>7302</v>
      </c>
      <c r="AA1226" s="147" t="s">
        <v>7303</v>
      </c>
      <c r="AB1226" s="1365" t="s">
        <v>7304</v>
      </c>
      <c r="AC1226" s="60" t="s">
        <v>7305</v>
      </c>
      <c r="AD1226" s="327">
        <v>2.0</v>
      </c>
      <c r="AE1226" s="144">
        <v>18.0</v>
      </c>
      <c r="AF1226" s="60" t="s">
        <v>7306</v>
      </c>
      <c r="AG1226" s="60" t="s">
        <v>162</v>
      </c>
      <c r="AH1226" s="60" t="s">
        <v>886</v>
      </c>
      <c r="AI1226" s="329" t="s">
        <v>165</v>
      </c>
      <c r="AJ1226" s="55"/>
      <c r="AK1226" s="55" t="s">
        <v>179</v>
      </c>
      <c r="AL1226" s="60" t="s">
        <v>129</v>
      </c>
      <c r="AM1226" s="1363" t="s">
        <v>165</v>
      </c>
      <c r="AN1226" s="144">
        <v>22.0</v>
      </c>
      <c r="AO1226" s="327">
        <v>0.065</v>
      </c>
      <c r="AP1226" s="60" t="s">
        <v>1785</v>
      </c>
      <c r="AQ1226" s="60" t="s">
        <v>886</v>
      </c>
      <c r="AR1226" s="327">
        <v>0.24</v>
      </c>
      <c r="AS1226" s="60" t="s">
        <v>164</v>
      </c>
      <c r="AT1226" s="60" t="s">
        <v>179</v>
      </c>
      <c r="AU1226" s="60" t="s">
        <v>129</v>
      </c>
      <c r="AV1226" s="1361" t="s">
        <v>7307</v>
      </c>
      <c r="AW1226" s="60" t="s">
        <v>134</v>
      </c>
      <c r="AY1226" s="60" t="s">
        <v>1455</v>
      </c>
    </row>
    <row r="1227">
      <c r="A1227" s="60" t="s">
        <v>106</v>
      </c>
      <c r="B1227" s="41" t="s">
        <v>107</v>
      </c>
      <c r="C1227" s="41" t="s">
        <v>144</v>
      </c>
      <c r="E1227" s="147" t="s">
        <v>7293</v>
      </c>
      <c r="F1227" s="988" t="s">
        <v>7294</v>
      </c>
      <c r="G1227" s="147" t="s">
        <v>144</v>
      </c>
      <c r="H1227" s="472">
        <v>45690.0</v>
      </c>
      <c r="I1227" s="1358">
        <v>45693.0</v>
      </c>
      <c r="J1227" s="60"/>
      <c r="K1227" s="60"/>
      <c r="L1227" s="1360" t="s">
        <v>7297</v>
      </c>
      <c r="M1227" s="412" t="s">
        <v>7298</v>
      </c>
      <c r="N1227" s="144">
        <v>1.0</v>
      </c>
      <c r="O1227" s="145" t="s">
        <v>7299</v>
      </c>
      <c r="P1227" s="48" t="str">
        <f t="array" ref="P1227">HYPERLINK(INDEX('File Links'!B:B, MATCH(O1227, 'File Links'!C:C, 0)))
</f>
        <v>https://drive.google.com/file/d/1XqhWmKG3ZvoLJmLnPSVfonhhVjkaOyOo/view?usp=drivesdk</v>
      </c>
      <c r="Q1227" s="147" t="s">
        <v>7300</v>
      </c>
      <c r="R1227" s="412" t="s">
        <v>7139</v>
      </c>
      <c r="S1227" s="60"/>
      <c r="T1227" s="327">
        <v>1.0</v>
      </c>
      <c r="U1227" s="145" t="s">
        <v>7140</v>
      </c>
      <c r="V1227" s="147" t="s">
        <v>155</v>
      </c>
      <c r="W1227" s="50" t="str">
        <f t="array" ref="W1227">HYPERLINK(INDEX('File Links'!B:B, MATCH(U1227, 'File Links'!C:C, 0)))
</f>
        <v>https://drive.google.com/file/d/1UMAh9VGta6ExS2-Lb6GkDF4fmnI2EMeM/view?usp=drivesdk</v>
      </c>
      <c r="X1227" s="60"/>
      <c r="Y1227" s="147" t="s">
        <v>139</v>
      </c>
      <c r="Z1227" s="147" t="s">
        <v>7308</v>
      </c>
      <c r="AA1227" s="147" t="s">
        <v>7309</v>
      </c>
      <c r="AB1227" s="147" t="s">
        <v>7304</v>
      </c>
      <c r="AC1227" s="147" t="s">
        <v>7310</v>
      </c>
      <c r="AD1227" s="144">
        <v>2.0</v>
      </c>
      <c r="AE1227" s="144">
        <v>18.0</v>
      </c>
      <c r="AF1227" s="144" t="s">
        <v>7306</v>
      </c>
      <c r="AG1227" s="147" t="s">
        <v>162</v>
      </c>
      <c r="AH1227" s="147" t="s">
        <v>886</v>
      </c>
      <c r="AI1227" s="646" t="s">
        <v>165</v>
      </c>
      <c r="AJ1227" s="55"/>
      <c r="AK1227" s="52" t="s">
        <v>179</v>
      </c>
      <c r="AL1227" s="60" t="s">
        <v>129</v>
      </c>
      <c r="AM1227" s="1363" t="s">
        <v>165</v>
      </c>
      <c r="AN1227" s="327">
        <v>22.0</v>
      </c>
      <c r="AO1227" s="327">
        <v>0.065</v>
      </c>
      <c r="AP1227" s="1371" t="s">
        <v>130</v>
      </c>
      <c r="AQ1227" s="147" t="s">
        <v>886</v>
      </c>
      <c r="AR1227" s="144">
        <v>0.24</v>
      </c>
      <c r="AS1227" s="147" t="s">
        <v>164</v>
      </c>
      <c r="AT1227" s="147" t="s">
        <v>179</v>
      </c>
      <c r="AU1227" s="60" t="s">
        <v>129</v>
      </c>
      <c r="AV1227" s="410" t="s">
        <v>7311</v>
      </c>
      <c r="AW1227" s="60" t="s">
        <v>134</v>
      </c>
      <c r="AY1227" s="60" t="s">
        <v>1455</v>
      </c>
    </row>
    <row r="1228">
      <c r="A1228" s="60" t="s">
        <v>143</v>
      </c>
      <c r="B1228" s="41" t="s">
        <v>107</v>
      </c>
      <c r="C1228" s="41" t="s">
        <v>1455</v>
      </c>
      <c r="E1228" s="147" t="s">
        <v>7312</v>
      </c>
      <c r="F1228" s="988" t="s">
        <v>7313</v>
      </c>
      <c r="G1228" s="147" t="s">
        <v>7314</v>
      </c>
      <c r="H1228" s="472">
        <v>45690.0</v>
      </c>
      <c r="I1228" s="1358">
        <v>45693.0</v>
      </c>
      <c r="J1228" s="60"/>
      <c r="K1228" s="60" t="s">
        <v>7315</v>
      </c>
      <c r="L1228" s="1360" t="s">
        <v>7316</v>
      </c>
      <c r="M1228" s="147" t="s">
        <v>7317</v>
      </c>
      <c r="N1228" s="327">
        <v>2.0</v>
      </c>
      <c r="O1228" s="145" t="s">
        <v>7318</v>
      </c>
      <c r="P1228" s="48" t="str">
        <f t="array" ref="P1228">HYPERLINK(INDEX('File Links'!B:B, MATCH(O1228, 'File Links'!C:C, 0)))
</f>
        <v>https://drive.google.com/file/d/1cOFI1sWmcyfR3tFVOvV90FUY4g-TwC4Z/view?usp=drivesdk</v>
      </c>
      <c r="Q1228" s="147" t="s">
        <v>7319</v>
      </c>
      <c r="R1228" s="147" t="s">
        <v>7139</v>
      </c>
      <c r="S1228" s="60"/>
      <c r="T1228" s="327">
        <v>1.0</v>
      </c>
      <c r="U1228" s="145" t="s">
        <v>7140</v>
      </c>
      <c r="V1228" s="60" t="s">
        <v>3501</v>
      </c>
      <c r="W1228" s="1361" t="s">
        <v>7320</v>
      </c>
      <c r="X1228" s="60"/>
      <c r="Y1228" s="60" t="s">
        <v>139</v>
      </c>
      <c r="Z1228" s="60" t="s">
        <v>7321</v>
      </c>
      <c r="AA1228" s="147" t="s">
        <v>7322</v>
      </c>
      <c r="AB1228" s="1365" t="s">
        <v>7323</v>
      </c>
      <c r="AC1228" s="60" t="s">
        <v>7324</v>
      </c>
      <c r="AD1228" s="327">
        <v>14.0</v>
      </c>
      <c r="AE1228" s="144">
        <v>39.0</v>
      </c>
      <c r="AF1228" s="60" t="s">
        <v>7325</v>
      </c>
      <c r="AG1228" s="60" t="s">
        <v>162</v>
      </c>
      <c r="AH1228" s="60" t="s">
        <v>2232</v>
      </c>
      <c r="AI1228" s="328">
        <v>0.001</v>
      </c>
      <c r="AJ1228" s="55" t="s">
        <v>127</v>
      </c>
      <c r="AK1228" s="55" t="s">
        <v>179</v>
      </c>
      <c r="AL1228" s="60" t="s">
        <v>132</v>
      </c>
      <c r="AM1228" s="1363" t="s">
        <v>165</v>
      </c>
      <c r="AN1228" s="144">
        <v>47.0</v>
      </c>
      <c r="AO1228" s="327">
        <v>0.28</v>
      </c>
      <c r="AP1228" s="60" t="s">
        <v>1785</v>
      </c>
      <c r="AQ1228" s="60" t="s">
        <v>7326</v>
      </c>
      <c r="AR1228" s="327">
        <v>3.0E-5</v>
      </c>
      <c r="AS1228" s="60" t="s">
        <v>164</v>
      </c>
      <c r="AT1228" s="60" t="s">
        <v>179</v>
      </c>
      <c r="AU1228" s="60" t="s">
        <v>132</v>
      </c>
      <c r="AV1228" s="1361" t="s">
        <v>7327</v>
      </c>
      <c r="AW1228" s="60" t="s">
        <v>134</v>
      </c>
      <c r="AY1228" s="60" t="s">
        <v>1455</v>
      </c>
    </row>
    <row r="1229">
      <c r="A1229" s="60" t="s">
        <v>106</v>
      </c>
      <c r="B1229" s="41" t="s">
        <v>107</v>
      </c>
      <c r="C1229" s="41" t="s">
        <v>144</v>
      </c>
      <c r="E1229" s="147" t="s">
        <v>7312</v>
      </c>
      <c r="F1229" s="988" t="s">
        <v>7313</v>
      </c>
      <c r="G1229" s="147" t="s">
        <v>144</v>
      </c>
      <c r="H1229" s="472">
        <v>45690.0</v>
      </c>
      <c r="I1229" s="1358">
        <v>45693.0</v>
      </c>
      <c r="J1229" s="60"/>
      <c r="K1229" s="60"/>
      <c r="L1229" s="1360" t="s">
        <v>7316</v>
      </c>
      <c r="M1229" s="412" t="s">
        <v>7317</v>
      </c>
      <c r="N1229" s="144">
        <v>2.0</v>
      </c>
      <c r="O1229" s="145" t="s">
        <v>7318</v>
      </c>
      <c r="P1229" s="48" t="str">
        <f t="array" ref="P1229">HYPERLINK(INDEX('File Links'!B:B, MATCH(O1229, 'File Links'!C:C, 0)))
</f>
        <v>https://drive.google.com/file/d/1cOFI1sWmcyfR3tFVOvV90FUY4g-TwC4Z/view?usp=drivesdk</v>
      </c>
      <c r="Q1229" s="147" t="s">
        <v>7319</v>
      </c>
      <c r="R1229" s="412" t="s">
        <v>7139</v>
      </c>
      <c r="S1229" s="60"/>
      <c r="T1229" s="327">
        <v>1.0</v>
      </c>
      <c r="U1229" s="145" t="s">
        <v>7140</v>
      </c>
      <c r="V1229" s="147" t="s">
        <v>3501</v>
      </c>
      <c r="W1229" s="50" t="str">
        <f t="array" ref="W1229">HYPERLINK(INDEX('File Links'!B:B, MATCH(U1229, 'File Links'!C:C, 0)))
</f>
        <v>https://drive.google.com/file/d/1UMAh9VGta6ExS2-Lb6GkDF4fmnI2EMeM/view?usp=drivesdk</v>
      </c>
      <c r="X1229" s="60"/>
      <c r="Y1229" s="147" t="s">
        <v>139</v>
      </c>
      <c r="Z1229" s="147" t="s">
        <v>7328</v>
      </c>
      <c r="AA1229" s="147" t="s">
        <v>7329</v>
      </c>
      <c r="AB1229" s="147" t="s">
        <v>7323</v>
      </c>
      <c r="AC1229" s="147" t="s">
        <v>7330</v>
      </c>
      <c r="AD1229" s="144">
        <v>14.0</v>
      </c>
      <c r="AE1229" s="144">
        <v>39.0</v>
      </c>
      <c r="AF1229" s="144" t="s">
        <v>7325</v>
      </c>
      <c r="AG1229" s="147" t="s">
        <v>162</v>
      </c>
      <c r="AH1229" s="147" t="s">
        <v>2232</v>
      </c>
      <c r="AI1229" s="646">
        <v>0.001</v>
      </c>
      <c r="AJ1229" s="52" t="s">
        <v>127</v>
      </c>
      <c r="AK1229" s="52" t="s">
        <v>179</v>
      </c>
      <c r="AL1229" s="60" t="s">
        <v>132</v>
      </c>
      <c r="AM1229" s="1363" t="s">
        <v>165</v>
      </c>
      <c r="AN1229" s="327">
        <v>47.0</v>
      </c>
      <c r="AO1229" s="327">
        <v>0.054</v>
      </c>
      <c r="AP1229" s="147" t="s">
        <v>130</v>
      </c>
      <c r="AQ1229" s="147" t="s">
        <v>861</v>
      </c>
      <c r="AR1229" s="144">
        <v>3.0E-5</v>
      </c>
      <c r="AS1229" s="147" t="s">
        <v>164</v>
      </c>
      <c r="AT1229" s="147" t="s">
        <v>179</v>
      </c>
      <c r="AU1229" s="60" t="s">
        <v>132</v>
      </c>
      <c r="AV1229" s="410" t="s">
        <v>7331</v>
      </c>
      <c r="AW1229" s="60" t="s">
        <v>134</v>
      </c>
      <c r="AY1229" s="60" t="s">
        <v>1455</v>
      </c>
    </row>
    <row r="1230">
      <c r="A1230" s="60" t="s">
        <v>143</v>
      </c>
      <c r="B1230" s="41" t="s">
        <v>107</v>
      </c>
      <c r="C1230" s="41" t="s">
        <v>1455</v>
      </c>
      <c r="E1230" s="147" t="s">
        <v>7332</v>
      </c>
      <c r="F1230" s="988" t="s">
        <v>7333</v>
      </c>
      <c r="G1230" s="147" t="s">
        <v>7334</v>
      </c>
      <c r="H1230" s="472">
        <v>45690.0</v>
      </c>
      <c r="I1230" s="1358">
        <v>45693.0</v>
      </c>
      <c r="J1230" s="60"/>
      <c r="K1230" s="60"/>
      <c r="L1230" s="1360" t="s">
        <v>7335</v>
      </c>
      <c r="M1230" s="412" t="s">
        <v>7336</v>
      </c>
      <c r="N1230" s="327">
        <v>3.0</v>
      </c>
      <c r="O1230" s="145" t="s">
        <v>7337</v>
      </c>
      <c r="P1230" s="48" t="str">
        <f t="array" ref="P1230">HYPERLINK(INDEX('File Links'!B:B, MATCH(O1230, 'File Links'!C:C, 0)))
</f>
        <v>https://drive.google.com/file/d/128D_xuWagaOC3zKfGWUi8CFf7zReyViC/view?usp=drivesdk</v>
      </c>
      <c r="Q1230" s="147" t="s">
        <v>7338</v>
      </c>
      <c r="R1230" s="412" t="s">
        <v>7139</v>
      </c>
      <c r="S1230" s="60"/>
      <c r="T1230" s="327">
        <v>1.0</v>
      </c>
      <c r="U1230" s="145" t="s">
        <v>7140</v>
      </c>
      <c r="V1230" s="60" t="s">
        <v>155</v>
      </c>
      <c r="W1230" s="1361" t="s">
        <v>7339</v>
      </c>
      <c r="X1230" s="60"/>
      <c r="Y1230" s="60" t="s">
        <v>139</v>
      </c>
      <c r="Z1230" s="60" t="s">
        <v>7340</v>
      </c>
      <c r="AA1230" s="147" t="s">
        <v>7341</v>
      </c>
      <c r="AB1230" s="1365" t="s">
        <v>7342</v>
      </c>
      <c r="AC1230" s="60" t="s">
        <v>7343</v>
      </c>
      <c r="AD1230" s="327">
        <v>15.0</v>
      </c>
      <c r="AE1230" s="144">
        <v>32.0</v>
      </c>
      <c r="AF1230" s="327">
        <v>0.31</v>
      </c>
      <c r="AG1230" s="60" t="s">
        <v>1785</v>
      </c>
      <c r="AH1230" s="60" t="s">
        <v>624</v>
      </c>
      <c r="AI1230" s="328">
        <v>0.001</v>
      </c>
      <c r="AJ1230" s="55" t="s">
        <v>127</v>
      </c>
      <c r="AK1230" s="55" t="s">
        <v>128</v>
      </c>
      <c r="AL1230" s="60" t="s">
        <v>132</v>
      </c>
      <c r="AM1230" s="1363" t="s">
        <v>165</v>
      </c>
      <c r="AN1230" s="327">
        <v>21.0</v>
      </c>
      <c r="AO1230" s="327">
        <v>0.162</v>
      </c>
      <c r="AP1230" s="60" t="s">
        <v>1785</v>
      </c>
      <c r="AQ1230" s="60" t="s">
        <v>131</v>
      </c>
      <c r="AR1230" s="327">
        <v>0.071</v>
      </c>
      <c r="AS1230" s="60" t="s">
        <v>164</v>
      </c>
      <c r="AT1230" s="60" t="s">
        <v>128</v>
      </c>
      <c r="AU1230" s="60" t="s">
        <v>132</v>
      </c>
      <c r="AV1230" s="410" t="s">
        <v>7344</v>
      </c>
      <c r="AW1230" s="60" t="s">
        <v>134</v>
      </c>
      <c r="AY1230" s="60" t="s">
        <v>1455</v>
      </c>
    </row>
    <row r="1231">
      <c r="A1231" s="60" t="s">
        <v>106</v>
      </c>
      <c r="B1231" s="41" t="s">
        <v>107</v>
      </c>
      <c r="C1231" s="41" t="s">
        <v>144</v>
      </c>
      <c r="E1231" s="147" t="s">
        <v>7332</v>
      </c>
      <c r="F1231" s="988" t="s">
        <v>7333</v>
      </c>
      <c r="G1231" s="147" t="s">
        <v>144</v>
      </c>
      <c r="H1231" s="472">
        <v>45690.0</v>
      </c>
      <c r="I1231" s="1358">
        <v>45693.0</v>
      </c>
      <c r="J1231" s="147" t="s">
        <v>7345</v>
      </c>
      <c r="K1231" s="60"/>
      <c r="L1231" s="1360" t="s">
        <v>7335</v>
      </c>
      <c r="M1231" s="147" t="s">
        <v>7336</v>
      </c>
      <c r="N1231" s="144">
        <v>3.0</v>
      </c>
      <c r="O1231" s="145" t="s">
        <v>7337</v>
      </c>
      <c r="P1231" s="48" t="str">
        <f t="array" ref="P1231">HYPERLINK(INDEX('File Links'!B:B, MATCH(O1231, 'File Links'!C:C, 0)))
</f>
        <v>https://drive.google.com/file/d/128D_xuWagaOC3zKfGWUi8CFf7zReyViC/view?usp=drivesdk</v>
      </c>
      <c r="Q1231" s="147" t="s">
        <v>7338</v>
      </c>
      <c r="R1231" s="147" t="s">
        <v>7139</v>
      </c>
      <c r="S1231" s="60"/>
      <c r="T1231" s="327">
        <v>1.0</v>
      </c>
      <c r="U1231" s="145" t="s">
        <v>7140</v>
      </c>
      <c r="V1231" s="147" t="s">
        <v>155</v>
      </c>
      <c r="W1231" s="50" t="str">
        <f t="array" ref="W1231">HYPERLINK(INDEX('File Links'!B:B, MATCH(U1231, 'File Links'!C:C, 0)))
</f>
        <v>https://drive.google.com/file/d/1UMAh9VGta6ExS2-Lb6GkDF4fmnI2EMeM/view?usp=drivesdk</v>
      </c>
      <c r="X1231" s="60"/>
      <c r="Y1231" s="147" t="s">
        <v>139</v>
      </c>
      <c r="Z1231" s="147" t="s">
        <v>7346</v>
      </c>
      <c r="AA1231" s="147" t="s">
        <v>7347</v>
      </c>
      <c r="AB1231" s="147" t="s">
        <v>7342</v>
      </c>
      <c r="AC1231" s="147" t="s">
        <v>7348</v>
      </c>
      <c r="AD1231" s="144">
        <v>15.0</v>
      </c>
      <c r="AE1231" s="144">
        <v>32.0</v>
      </c>
      <c r="AF1231" s="144">
        <v>0.31</v>
      </c>
      <c r="AG1231" s="1371" t="s">
        <v>130</v>
      </c>
      <c r="AH1231" s="147" t="s">
        <v>624</v>
      </c>
      <c r="AI1231" s="328">
        <v>0.001</v>
      </c>
      <c r="AJ1231" s="52" t="s">
        <v>127</v>
      </c>
      <c r="AK1231" s="52" t="s">
        <v>128</v>
      </c>
      <c r="AL1231" s="1368" t="s">
        <v>129</v>
      </c>
      <c r="AM1231" s="1363" t="s">
        <v>165</v>
      </c>
      <c r="AN1231" s="144">
        <v>21.0</v>
      </c>
      <c r="AO1231" s="144">
        <v>0.162</v>
      </c>
      <c r="AP1231" s="1371" t="s">
        <v>130</v>
      </c>
      <c r="AQ1231" s="147" t="s">
        <v>131</v>
      </c>
      <c r="AR1231" s="144">
        <v>0.071</v>
      </c>
      <c r="AS1231" s="147" t="s">
        <v>164</v>
      </c>
      <c r="AT1231" s="147" t="s">
        <v>128</v>
      </c>
      <c r="AU1231" s="1368" t="s">
        <v>129</v>
      </c>
      <c r="AV1231" s="410" t="s">
        <v>7344</v>
      </c>
      <c r="AW1231" s="60" t="s">
        <v>134</v>
      </c>
      <c r="AY1231" s="60" t="s">
        <v>1455</v>
      </c>
    </row>
    <row r="1232">
      <c r="A1232" s="60" t="s">
        <v>143</v>
      </c>
      <c r="B1232" s="41" t="s">
        <v>107</v>
      </c>
      <c r="C1232" s="41" t="s">
        <v>1455</v>
      </c>
      <c r="E1232" s="147" t="s">
        <v>7349</v>
      </c>
      <c r="F1232" s="988" t="s">
        <v>7350</v>
      </c>
      <c r="G1232" s="147" t="s">
        <v>7351</v>
      </c>
      <c r="H1232" s="472">
        <v>45690.0</v>
      </c>
      <c r="I1232" s="1358">
        <v>45693.0</v>
      </c>
      <c r="J1232" s="60"/>
      <c r="K1232" s="60"/>
      <c r="L1232" s="1360" t="s">
        <v>7352</v>
      </c>
      <c r="M1232" s="412" t="s">
        <v>7120</v>
      </c>
      <c r="N1232" s="327">
        <v>6.0</v>
      </c>
      <c r="O1232" s="145" t="s">
        <v>7353</v>
      </c>
      <c r="P1232" s="48" t="str">
        <f t="array" ref="P1232">HYPERLINK(INDEX('File Links'!B:B, MATCH(O1232, 'File Links'!C:C, 0)))
</f>
        <v>https://drive.google.com/file/d/1qNTfBnw7SpCi3blakzyKQFcGYOfOx3la/view?usp=drivesdk</v>
      </c>
      <c r="Q1232" s="147" t="s">
        <v>7354</v>
      </c>
      <c r="R1232" s="412" t="s">
        <v>7139</v>
      </c>
      <c r="S1232" s="60"/>
      <c r="T1232" s="327">
        <v>1.0</v>
      </c>
      <c r="U1232" s="145" t="s">
        <v>7140</v>
      </c>
      <c r="V1232" s="60" t="s">
        <v>155</v>
      </c>
      <c r="W1232" s="1361" t="s">
        <v>7355</v>
      </c>
      <c r="X1232" s="60"/>
      <c r="Y1232" s="60" t="s">
        <v>139</v>
      </c>
      <c r="Z1232" s="147" t="s">
        <v>7356</v>
      </c>
      <c r="AA1232" s="147" t="s">
        <v>7357</v>
      </c>
      <c r="AB1232" s="1365" t="s">
        <v>7358</v>
      </c>
      <c r="AC1232" s="60" t="s">
        <v>7359</v>
      </c>
      <c r="AD1232" s="327">
        <v>17.0</v>
      </c>
      <c r="AE1232" s="144">
        <v>24.0</v>
      </c>
      <c r="AF1232" s="60" t="s">
        <v>7360</v>
      </c>
      <c r="AG1232" s="60" t="s">
        <v>162</v>
      </c>
      <c r="AH1232" s="60" t="s">
        <v>297</v>
      </c>
      <c r="AI1232" s="328">
        <v>0.005</v>
      </c>
      <c r="AJ1232" s="55" t="s">
        <v>127</v>
      </c>
      <c r="AK1232" s="55" t="s">
        <v>128</v>
      </c>
      <c r="AL1232" s="60" t="s">
        <v>132</v>
      </c>
      <c r="AM1232" s="1363" t="s">
        <v>165</v>
      </c>
      <c r="AN1232" s="327">
        <v>24.0</v>
      </c>
      <c r="AO1232" s="327">
        <v>0.051</v>
      </c>
      <c r="AP1232" s="60" t="s">
        <v>1785</v>
      </c>
      <c r="AQ1232" s="60" t="s">
        <v>125</v>
      </c>
      <c r="AR1232" s="327">
        <v>0.0269</v>
      </c>
      <c r="AS1232" s="60" t="s">
        <v>164</v>
      </c>
      <c r="AT1232" s="60" t="s">
        <v>128</v>
      </c>
      <c r="AU1232" s="60" t="s">
        <v>132</v>
      </c>
      <c r="AV1232" s="1361" t="s">
        <v>7361</v>
      </c>
      <c r="AW1232" s="60" t="s">
        <v>134</v>
      </c>
      <c r="AY1232" s="60" t="s">
        <v>1455</v>
      </c>
    </row>
    <row r="1233">
      <c r="A1233" s="60" t="s">
        <v>106</v>
      </c>
      <c r="B1233" s="41" t="s">
        <v>107</v>
      </c>
      <c r="C1233" s="41" t="s">
        <v>144</v>
      </c>
      <c r="E1233" s="147" t="s">
        <v>7349</v>
      </c>
      <c r="F1233" s="988" t="s">
        <v>7350</v>
      </c>
      <c r="G1233" s="147" t="s">
        <v>144</v>
      </c>
      <c r="H1233" s="472">
        <v>45690.0</v>
      </c>
      <c r="I1233" s="1358">
        <v>45693.0</v>
      </c>
      <c r="J1233" s="147" t="s">
        <v>7362</v>
      </c>
      <c r="K1233" s="60"/>
      <c r="L1233" s="1360" t="s">
        <v>7352</v>
      </c>
      <c r="M1233" s="412" t="s">
        <v>7120</v>
      </c>
      <c r="N1233" s="144">
        <v>6.0</v>
      </c>
      <c r="O1233" s="145" t="s">
        <v>7353</v>
      </c>
      <c r="P1233" s="48" t="str">
        <f t="array" ref="P1233">HYPERLINK(INDEX('File Links'!B:B, MATCH(O1233, 'File Links'!C:C, 0)))
</f>
        <v>https://drive.google.com/file/d/1qNTfBnw7SpCi3blakzyKQFcGYOfOx3la/view?usp=drivesdk</v>
      </c>
      <c r="Q1233" s="147" t="s">
        <v>7354</v>
      </c>
      <c r="R1233" s="412" t="s">
        <v>7139</v>
      </c>
      <c r="S1233" s="60"/>
      <c r="T1233" s="327">
        <v>1.0</v>
      </c>
      <c r="U1233" s="145" t="s">
        <v>7140</v>
      </c>
      <c r="V1233" s="147" t="s">
        <v>155</v>
      </c>
      <c r="W1233" s="50" t="str">
        <f t="array" ref="W1233">HYPERLINK(INDEX('File Links'!B:B, MATCH(U1233, 'File Links'!C:C, 0)))
</f>
        <v>https://drive.google.com/file/d/1UMAh9VGta6ExS2-Lb6GkDF4fmnI2EMeM/view?usp=drivesdk</v>
      </c>
      <c r="X1233" s="60"/>
      <c r="Y1233" s="147" t="s">
        <v>139</v>
      </c>
      <c r="Z1233" s="147" t="s">
        <v>7363</v>
      </c>
      <c r="AA1233" s="147" t="s">
        <v>7364</v>
      </c>
      <c r="AB1233" s="147" t="s">
        <v>7358</v>
      </c>
      <c r="AC1233" s="147" t="s">
        <v>7365</v>
      </c>
      <c r="AD1233" s="1372">
        <v>11.0</v>
      </c>
      <c r="AE1233" s="144">
        <v>24.0</v>
      </c>
      <c r="AF1233" s="144" t="s">
        <v>7360</v>
      </c>
      <c r="AG1233" s="147" t="s">
        <v>162</v>
      </c>
      <c r="AH1233" s="147" t="s">
        <v>297</v>
      </c>
      <c r="AI1233" s="646">
        <v>0.005</v>
      </c>
      <c r="AJ1233" s="52" t="s">
        <v>127</v>
      </c>
      <c r="AK1233" s="52" t="s">
        <v>128</v>
      </c>
      <c r="AL1233" s="1368" t="s">
        <v>129</v>
      </c>
      <c r="AM1233" s="1363" t="s">
        <v>165</v>
      </c>
      <c r="AN1233" s="327">
        <v>24.0</v>
      </c>
      <c r="AO1233" s="327">
        <v>0.051</v>
      </c>
      <c r="AP1233" s="1371" t="s">
        <v>130</v>
      </c>
      <c r="AQ1233" s="147" t="s">
        <v>625</v>
      </c>
      <c r="AR1233" s="144">
        <v>0.269</v>
      </c>
      <c r="AS1233" s="147" t="s">
        <v>164</v>
      </c>
      <c r="AT1233" s="147" t="s">
        <v>128</v>
      </c>
      <c r="AU1233" s="1368" t="s">
        <v>129</v>
      </c>
      <c r="AV1233" s="410" t="s">
        <v>7366</v>
      </c>
      <c r="AW1233" s="60" t="s">
        <v>134</v>
      </c>
      <c r="AY1233" s="60" t="s">
        <v>1455</v>
      </c>
    </row>
    <row r="1234">
      <c r="A1234" s="60" t="s">
        <v>143</v>
      </c>
      <c r="B1234" s="41" t="s">
        <v>107</v>
      </c>
      <c r="C1234" s="41" t="s">
        <v>1455</v>
      </c>
      <c r="E1234" s="147" t="s">
        <v>7367</v>
      </c>
      <c r="F1234" s="988" t="s">
        <v>7368</v>
      </c>
      <c r="G1234" s="147" t="s">
        <v>7369</v>
      </c>
      <c r="H1234" s="472">
        <v>45690.0</v>
      </c>
      <c r="I1234" s="1358">
        <v>45693.0</v>
      </c>
      <c r="J1234" s="60" t="s">
        <v>7370</v>
      </c>
      <c r="K1234" s="60"/>
      <c r="L1234" s="1360" t="s">
        <v>7371</v>
      </c>
      <c r="M1234" s="147" t="s">
        <v>7372</v>
      </c>
      <c r="N1234" s="327">
        <v>3.0</v>
      </c>
      <c r="O1234" s="145" t="s">
        <v>7373</v>
      </c>
      <c r="P1234" s="48" t="str">
        <f t="array" ref="P1234">HYPERLINK(INDEX('File Links'!B:B, MATCH(O1234, 'File Links'!C:C, 0)))
</f>
        <v>https://drive.google.com/file/d/1jBszlwOALWIwLYvif4D3xVGXucPXKUwU/view?usp=drivesdk</v>
      </c>
      <c r="Q1234" s="147" t="s">
        <v>7374</v>
      </c>
      <c r="R1234" s="147" t="s">
        <v>7139</v>
      </c>
      <c r="S1234" s="60"/>
      <c r="T1234" s="327">
        <v>1.0</v>
      </c>
      <c r="U1234" s="145" t="s">
        <v>7140</v>
      </c>
      <c r="V1234" s="60" t="s">
        <v>155</v>
      </c>
      <c r="W1234" s="1361" t="s">
        <v>7375</v>
      </c>
      <c r="X1234" s="60"/>
      <c r="Y1234" s="60" t="s">
        <v>139</v>
      </c>
      <c r="Z1234" s="60" t="s">
        <v>7376</v>
      </c>
      <c r="AA1234" s="147" t="s">
        <v>7377</v>
      </c>
      <c r="AB1234" s="1365" t="s">
        <v>7378</v>
      </c>
      <c r="AC1234" s="60" t="s">
        <v>7379</v>
      </c>
      <c r="AD1234" s="327">
        <v>5.0</v>
      </c>
      <c r="AE1234" s="144">
        <v>96.0</v>
      </c>
      <c r="AF1234" s="327">
        <v>0.05</v>
      </c>
      <c r="AG1234" s="60" t="s">
        <v>130</v>
      </c>
      <c r="AH1234" s="60" t="s">
        <v>892</v>
      </c>
      <c r="AI1234" s="328">
        <v>0.05</v>
      </c>
      <c r="AJ1234" s="55" t="s">
        <v>127</v>
      </c>
      <c r="AK1234" s="55" t="s">
        <v>179</v>
      </c>
      <c r="AL1234" s="60" t="s">
        <v>132</v>
      </c>
      <c r="AM1234" s="1363" t="s">
        <v>165</v>
      </c>
      <c r="AN1234" s="144">
        <v>108.0</v>
      </c>
      <c r="AO1234" s="327">
        <v>4.0E-4</v>
      </c>
      <c r="AP1234" s="60" t="s">
        <v>1785</v>
      </c>
      <c r="AQ1234" s="60" t="s">
        <v>210</v>
      </c>
      <c r="AR1234" s="327">
        <v>0.84</v>
      </c>
      <c r="AS1234" s="60" t="s">
        <v>164</v>
      </c>
      <c r="AT1234" s="60" t="s">
        <v>179</v>
      </c>
      <c r="AU1234" s="60" t="s">
        <v>132</v>
      </c>
      <c r="AV1234" s="410" t="s">
        <v>7380</v>
      </c>
      <c r="AW1234" s="60" t="s">
        <v>142</v>
      </c>
      <c r="AY1234" s="60" t="s">
        <v>1455</v>
      </c>
    </row>
    <row r="1235">
      <c r="A1235" s="60" t="s">
        <v>106</v>
      </c>
      <c r="B1235" s="41" t="s">
        <v>107</v>
      </c>
      <c r="C1235" s="41" t="s">
        <v>144</v>
      </c>
      <c r="E1235" s="147" t="s">
        <v>7367</v>
      </c>
      <c r="F1235" s="988" t="s">
        <v>7368</v>
      </c>
      <c r="G1235" s="147" t="s">
        <v>144</v>
      </c>
      <c r="H1235" s="472">
        <v>45690.0</v>
      </c>
      <c r="I1235" s="1358">
        <v>45693.0</v>
      </c>
      <c r="J1235" s="147" t="s">
        <v>7381</v>
      </c>
      <c r="K1235" s="60"/>
      <c r="L1235" s="1360" t="s">
        <v>7371</v>
      </c>
      <c r="M1235" s="412" t="s">
        <v>7372</v>
      </c>
      <c r="N1235" s="144">
        <v>3.0</v>
      </c>
      <c r="O1235" s="145" t="s">
        <v>7373</v>
      </c>
      <c r="P1235" s="48" t="str">
        <f t="array" ref="P1235">HYPERLINK(INDEX('File Links'!B:B, MATCH(O1235, 'File Links'!C:C, 0)))
</f>
        <v>https://drive.google.com/file/d/1jBszlwOALWIwLYvif4D3xVGXucPXKUwU/view?usp=drivesdk</v>
      </c>
      <c r="Q1235" s="147" t="s">
        <v>7374</v>
      </c>
      <c r="R1235" s="412" t="s">
        <v>7139</v>
      </c>
      <c r="S1235" s="60"/>
      <c r="T1235" s="327">
        <v>1.0</v>
      </c>
      <c r="U1235" s="145" t="s">
        <v>7140</v>
      </c>
      <c r="V1235" s="147" t="s">
        <v>155</v>
      </c>
      <c r="W1235" s="50" t="str">
        <f t="array" ref="W1235">HYPERLINK(INDEX('File Links'!B:B, MATCH(U1235, 'File Links'!C:C, 0)))
</f>
        <v>https://drive.google.com/file/d/1UMAh9VGta6ExS2-Lb6GkDF4fmnI2EMeM/view?usp=drivesdk</v>
      </c>
      <c r="X1235" s="60"/>
      <c r="Y1235" s="147" t="s">
        <v>139</v>
      </c>
      <c r="Z1235" s="147" t="s">
        <v>7382</v>
      </c>
      <c r="AA1235" s="147" t="s">
        <v>7383</v>
      </c>
      <c r="AB1235" s="147" t="s">
        <v>7378</v>
      </c>
      <c r="AC1235" s="147" t="s">
        <v>7384</v>
      </c>
      <c r="AD1235" s="144">
        <v>5.0</v>
      </c>
      <c r="AE1235" s="144">
        <v>96.0</v>
      </c>
      <c r="AF1235" s="144">
        <v>0.05</v>
      </c>
      <c r="AG1235" s="147" t="s">
        <v>130</v>
      </c>
      <c r="AH1235" s="147" t="s">
        <v>892</v>
      </c>
      <c r="AI1235" s="646">
        <v>0.05</v>
      </c>
      <c r="AJ1235" s="52" t="s">
        <v>127</v>
      </c>
      <c r="AK1235" s="52" t="s">
        <v>179</v>
      </c>
      <c r="AL1235" s="60" t="s">
        <v>132</v>
      </c>
      <c r="AM1235" s="1363" t="s">
        <v>165</v>
      </c>
      <c r="AN1235" s="327">
        <v>108.0</v>
      </c>
      <c r="AO1235" s="327">
        <v>4.0E-4</v>
      </c>
      <c r="AP1235" s="1371" t="s">
        <v>130</v>
      </c>
      <c r="AQ1235" s="147" t="s">
        <v>210</v>
      </c>
      <c r="AR1235" s="144">
        <v>0.84</v>
      </c>
      <c r="AS1235" s="147" t="s">
        <v>164</v>
      </c>
      <c r="AT1235" s="147" t="s">
        <v>179</v>
      </c>
      <c r="AU1235" s="60" t="s">
        <v>132</v>
      </c>
      <c r="AV1235" s="410" t="s">
        <v>7380</v>
      </c>
      <c r="AW1235" s="60" t="s">
        <v>142</v>
      </c>
      <c r="AY1235" s="60" t="s">
        <v>1455</v>
      </c>
    </row>
    <row r="1236">
      <c r="A1236" s="60" t="s">
        <v>143</v>
      </c>
      <c r="B1236" s="41" t="s">
        <v>107</v>
      </c>
      <c r="C1236" s="41" t="s">
        <v>1455</v>
      </c>
      <c r="E1236" s="147" t="s">
        <v>7385</v>
      </c>
      <c r="F1236" s="988" t="s">
        <v>7386</v>
      </c>
      <c r="G1236" s="147" t="s">
        <v>7387</v>
      </c>
      <c r="H1236" s="472">
        <v>45690.0</v>
      </c>
      <c r="I1236" s="1358">
        <v>45693.0</v>
      </c>
      <c r="J1236" s="60"/>
      <c r="K1236" s="60"/>
      <c r="L1236" s="1360" t="s">
        <v>7388</v>
      </c>
      <c r="M1236" s="412" t="s">
        <v>7389</v>
      </c>
      <c r="N1236" s="327">
        <v>3.0</v>
      </c>
      <c r="O1236" s="145" t="s">
        <v>7390</v>
      </c>
      <c r="P1236" s="48" t="str">
        <f t="array" ref="P1236">HYPERLINK(INDEX('File Links'!B:B, MATCH(O1236, 'File Links'!C:C, 0)))
</f>
        <v>https://drive.google.com/file/d/13XRIYgF2yNC1qLHSQBITGa6oU0w9njVk/view?usp=drivesdk</v>
      </c>
      <c r="Q1236" s="147" t="s">
        <v>7391</v>
      </c>
      <c r="R1236" s="412" t="s">
        <v>7139</v>
      </c>
      <c r="S1236" s="60"/>
      <c r="T1236" s="327" t="s">
        <v>7391</v>
      </c>
      <c r="U1236" s="145" t="s">
        <v>7140</v>
      </c>
      <c r="V1236" s="60" t="s">
        <v>3501</v>
      </c>
      <c r="W1236" s="1361" t="s">
        <v>7392</v>
      </c>
      <c r="X1236" s="60"/>
      <c r="Y1236" s="60" t="s">
        <v>139</v>
      </c>
      <c r="Z1236" s="60" t="s">
        <v>7393</v>
      </c>
      <c r="AA1236" s="147" t="s">
        <v>7394</v>
      </c>
      <c r="AB1236" s="1365" t="s">
        <v>7395</v>
      </c>
      <c r="AC1236" s="60" t="s">
        <v>7396</v>
      </c>
      <c r="AD1236" s="327">
        <v>8.0</v>
      </c>
      <c r="AE1236" s="144">
        <v>18.0</v>
      </c>
      <c r="AF1236" s="60" t="s">
        <v>7397</v>
      </c>
      <c r="AG1236" s="60" t="s">
        <v>162</v>
      </c>
      <c r="AH1236" s="60" t="s">
        <v>610</v>
      </c>
      <c r="AI1236" s="328">
        <v>0.002</v>
      </c>
      <c r="AJ1236" s="55" t="s">
        <v>164</v>
      </c>
      <c r="AK1236" s="55" t="s">
        <v>179</v>
      </c>
      <c r="AL1236" s="60" t="s">
        <v>132</v>
      </c>
      <c r="AM1236" s="1363" t="s">
        <v>165</v>
      </c>
      <c r="AN1236" s="327">
        <v>32.0</v>
      </c>
      <c r="AO1236" s="327">
        <v>0.01</v>
      </c>
      <c r="AP1236" s="60" t="s">
        <v>1785</v>
      </c>
      <c r="AQ1236" s="60" t="s">
        <v>892</v>
      </c>
      <c r="AR1236" s="327">
        <v>0.72</v>
      </c>
      <c r="AS1236" s="60" t="s">
        <v>164</v>
      </c>
      <c r="AT1236" s="60" t="s">
        <v>179</v>
      </c>
      <c r="AU1236" s="60" t="s">
        <v>132</v>
      </c>
      <c r="AV1236" s="1361" t="s">
        <v>7398</v>
      </c>
      <c r="AW1236" s="60" t="s">
        <v>134</v>
      </c>
      <c r="AY1236" s="60" t="s">
        <v>1455</v>
      </c>
    </row>
    <row r="1237">
      <c r="A1237" s="60" t="s">
        <v>106</v>
      </c>
      <c r="B1237" s="41" t="s">
        <v>107</v>
      </c>
      <c r="C1237" s="41" t="s">
        <v>144</v>
      </c>
      <c r="E1237" s="147" t="s">
        <v>7385</v>
      </c>
      <c r="F1237" s="988" t="s">
        <v>7386</v>
      </c>
      <c r="G1237" s="147" t="s">
        <v>144</v>
      </c>
      <c r="H1237" s="472">
        <v>45690.0</v>
      </c>
      <c r="I1237" s="1358">
        <v>45693.0</v>
      </c>
      <c r="J1237" s="147" t="s">
        <v>7399</v>
      </c>
      <c r="K1237" s="60"/>
      <c r="L1237" s="1360" t="s">
        <v>7388</v>
      </c>
      <c r="M1237" s="412" t="s">
        <v>7389</v>
      </c>
      <c r="N1237" s="144">
        <v>3.0</v>
      </c>
      <c r="O1237" s="145" t="s">
        <v>7390</v>
      </c>
      <c r="P1237" s="48" t="str">
        <f t="array" ref="P1237">HYPERLINK(INDEX('File Links'!B:B, MATCH(O1237, 'File Links'!C:C, 0)))
</f>
        <v>https://drive.google.com/file/d/13XRIYgF2yNC1qLHSQBITGa6oU0w9njVk/view?usp=drivesdk</v>
      </c>
      <c r="Q1237" s="147" t="s">
        <v>7391</v>
      </c>
      <c r="R1237" s="412" t="s">
        <v>7139</v>
      </c>
      <c r="S1237" s="60"/>
      <c r="T1237" s="327">
        <v>1.0</v>
      </c>
      <c r="U1237" s="145" t="s">
        <v>7140</v>
      </c>
      <c r="V1237" s="147" t="s">
        <v>3501</v>
      </c>
      <c r="W1237" s="50" t="str">
        <f t="array" ref="W1237">HYPERLINK(INDEX('File Links'!B:B, MATCH(U1237, 'File Links'!C:C, 0)))
</f>
        <v>https://drive.google.com/file/d/1UMAh9VGta6ExS2-Lb6GkDF4fmnI2EMeM/view?usp=drivesdk</v>
      </c>
      <c r="X1237" s="60"/>
      <c r="Y1237" s="147" t="s">
        <v>139</v>
      </c>
      <c r="Z1237" s="147" t="s">
        <v>7393</v>
      </c>
      <c r="AA1237" s="60" t="s">
        <v>7400</v>
      </c>
      <c r="AB1237" s="147" t="s">
        <v>7395</v>
      </c>
      <c r="AC1237" s="147" t="s">
        <v>7401</v>
      </c>
      <c r="AD1237" s="1373">
        <v>8.0</v>
      </c>
      <c r="AE1237" s="144">
        <v>18.0</v>
      </c>
      <c r="AF1237" s="144" t="s">
        <v>7397</v>
      </c>
      <c r="AG1237" s="147" t="s">
        <v>162</v>
      </c>
      <c r="AH1237" s="60" t="s">
        <v>610</v>
      </c>
      <c r="AI1237" s="646">
        <v>0.002</v>
      </c>
      <c r="AJ1237" s="52" t="s">
        <v>164</v>
      </c>
      <c r="AK1237" s="52" t="s">
        <v>179</v>
      </c>
      <c r="AL1237" s="60" t="s">
        <v>132</v>
      </c>
      <c r="AM1237" s="1363" t="s">
        <v>165</v>
      </c>
      <c r="AN1237" s="327">
        <v>32.0</v>
      </c>
      <c r="AO1237" s="327">
        <v>0.01</v>
      </c>
      <c r="AP1237" s="1371" t="s">
        <v>130</v>
      </c>
      <c r="AQ1237" s="147" t="s">
        <v>892</v>
      </c>
      <c r="AR1237" s="144">
        <v>0.72</v>
      </c>
      <c r="AS1237" s="147" t="s">
        <v>164</v>
      </c>
      <c r="AT1237" s="147" t="s">
        <v>179</v>
      </c>
      <c r="AU1237" s="60" t="s">
        <v>132</v>
      </c>
      <c r="AV1237" s="410" t="s">
        <v>7402</v>
      </c>
      <c r="AW1237" s="60" t="s">
        <v>134</v>
      </c>
      <c r="AY1237" s="60" t="s">
        <v>1455</v>
      </c>
    </row>
    <row r="1238">
      <c r="A1238" s="60" t="s">
        <v>143</v>
      </c>
      <c r="B1238" s="41" t="s">
        <v>107</v>
      </c>
      <c r="C1238" s="41" t="s">
        <v>1455</v>
      </c>
      <c r="E1238" s="147" t="s">
        <v>7403</v>
      </c>
      <c r="F1238" s="988" t="s">
        <v>7404</v>
      </c>
      <c r="G1238" s="147" t="s">
        <v>7405</v>
      </c>
      <c r="H1238" s="472">
        <v>45690.0</v>
      </c>
      <c r="I1238" s="1358">
        <v>45693.0</v>
      </c>
      <c r="J1238" s="60"/>
      <c r="K1238" s="60"/>
      <c r="L1238" s="1360" t="s">
        <v>7406</v>
      </c>
      <c r="M1238" s="147" t="s">
        <v>7407</v>
      </c>
      <c r="N1238" s="327">
        <v>1.0</v>
      </c>
      <c r="O1238" s="145" t="s">
        <v>7408</v>
      </c>
      <c r="P1238" s="48" t="str">
        <f t="array" ref="P1238">HYPERLINK(INDEX('File Links'!B:B, MATCH(O1238, 'File Links'!C:C, 0)))
</f>
        <v>https://drive.google.com/file/d/1btjIxPMyuU5I6jNMm9c2DuyFxN8Pze7t/view?usp=drivesdk</v>
      </c>
      <c r="Q1238" s="147" t="s">
        <v>7409</v>
      </c>
      <c r="R1238" s="147" t="s">
        <v>7139</v>
      </c>
      <c r="S1238" s="60"/>
      <c r="T1238" s="60" t="s">
        <v>7409</v>
      </c>
      <c r="U1238" s="145" t="s">
        <v>7140</v>
      </c>
      <c r="V1238" s="60" t="s">
        <v>155</v>
      </c>
      <c r="W1238" s="1361" t="s">
        <v>7410</v>
      </c>
      <c r="X1238" s="60"/>
      <c r="Y1238" s="60" t="s">
        <v>139</v>
      </c>
      <c r="Z1238" s="60" t="s">
        <v>7411</v>
      </c>
      <c r="AA1238" s="147" t="s">
        <v>7412</v>
      </c>
      <c r="AB1238" s="147" t="s">
        <v>7413</v>
      </c>
      <c r="AC1238" s="60" t="s">
        <v>7414</v>
      </c>
      <c r="AD1238" s="327">
        <v>6.0</v>
      </c>
      <c r="AE1238" s="144">
        <v>154.0</v>
      </c>
      <c r="AF1238" s="60" t="s">
        <v>7415</v>
      </c>
      <c r="AG1238" s="60" t="s">
        <v>162</v>
      </c>
      <c r="AH1238" s="60" t="s">
        <v>131</v>
      </c>
      <c r="AI1238" s="328">
        <v>0.001</v>
      </c>
      <c r="AJ1238" s="55" t="s">
        <v>127</v>
      </c>
      <c r="AK1238" s="55" t="s">
        <v>179</v>
      </c>
      <c r="AL1238" s="60" t="s">
        <v>132</v>
      </c>
      <c r="AM1238" s="1363" t="s">
        <v>165</v>
      </c>
      <c r="AN1238" s="144">
        <v>49.0</v>
      </c>
      <c r="AO1238" s="60" t="s">
        <v>7416</v>
      </c>
      <c r="AP1238" s="60" t="s">
        <v>162</v>
      </c>
      <c r="AQ1238" s="60" t="s">
        <v>210</v>
      </c>
      <c r="AR1238" s="327">
        <v>0.045</v>
      </c>
      <c r="AS1238" s="60" t="s">
        <v>164</v>
      </c>
      <c r="AT1238" s="60" t="s">
        <v>179</v>
      </c>
      <c r="AU1238" s="60" t="s">
        <v>132</v>
      </c>
      <c r="AV1238" s="1361" t="s">
        <v>7417</v>
      </c>
      <c r="AW1238" s="60" t="s">
        <v>134</v>
      </c>
      <c r="AY1238" s="60" t="s">
        <v>1455</v>
      </c>
    </row>
    <row r="1239">
      <c r="A1239" s="60" t="s">
        <v>106</v>
      </c>
      <c r="B1239" s="41" t="s">
        <v>107</v>
      </c>
      <c r="C1239" s="41" t="s">
        <v>144</v>
      </c>
      <c r="E1239" s="147" t="s">
        <v>7403</v>
      </c>
      <c r="F1239" s="988" t="s">
        <v>7404</v>
      </c>
      <c r="G1239" s="147" t="s">
        <v>144</v>
      </c>
      <c r="H1239" s="472">
        <v>45690.0</v>
      </c>
      <c r="I1239" s="1358">
        <v>45693.0</v>
      </c>
      <c r="J1239" s="60"/>
      <c r="K1239" s="60"/>
      <c r="L1239" s="356" t="s">
        <v>7406</v>
      </c>
      <c r="M1239" s="147" t="s">
        <v>7407</v>
      </c>
      <c r="N1239" s="144">
        <v>1.0</v>
      </c>
      <c r="O1239" s="145" t="s">
        <v>7408</v>
      </c>
      <c r="P1239" s="48" t="str">
        <f t="array" ref="P1239">HYPERLINK(INDEX('File Links'!B:B, MATCH(O1239, 'File Links'!C:C, 0)))
</f>
        <v>https://drive.google.com/file/d/1btjIxPMyuU5I6jNMm9c2DuyFxN8Pze7t/view?usp=drivesdk</v>
      </c>
      <c r="Q1239" s="147" t="s">
        <v>7409</v>
      </c>
      <c r="R1239" s="147" t="s">
        <v>7139</v>
      </c>
      <c r="S1239" s="60"/>
      <c r="T1239" s="327">
        <v>1.0</v>
      </c>
      <c r="U1239" s="145" t="s">
        <v>7140</v>
      </c>
      <c r="V1239" s="147" t="s">
        <v>155</v>
      </c>
      <c r="W1239" s="50" t="str">
        <f t="array" ref="W1239">HYPERLINK(INDEX('File Links'!B:B, MATCH(U1239, 'File Links'!C:C, 0)))
</f>
        <v>https://drive.google.com/file/d/1UMAh9VGta6ExS2-Lb6GkDF4fmnI2EMeM/view?usp=drivesdk</v>
      </c>
      <c r="X1239" s="60"/>
      <c r="Y1239" s="147" t="s">
        <v>139</v>
      </c>
      <c r="Z1239" s="147" t="s">
        <v>7418</v>
      </c>
      <c r="AA1239" s="147" t="s">
        <v>7419</v>
      </c>
      <c r="AB1239" s="147" t="s">
        <v>7420</v>
      </c>
      <c r="AC1239" s="147" t="s">
        <v>7421</v>
      </c>
      <c r="AD1239" s="144">
        <v>6.0</v>
      </c>
      <c r="AE1239" s="144">
        <v>154.0</v>
      </c>
      <c r="AF1239" s="147" t="s">
        <v>7415</v>
      </c>
      <c r="AG1239" s="147" t="s">
        <v>162</v>
      </c>
      <c r="AH1239" s="147" t="s">
        <v>131</v>
      </c>
      <c r="AI1239" s="328">
        <v>0.001</v>
      </c>
      <c r="AJ1239" s="52" t="s">
        <v>127</v>
      </c>
      <c r="AK1239" s="52" t="s">
        <v>179</v>
      </c>
      <c r="AL1239" s="60" t="s">
        <v>132</v>
      </c>
      <c r="AM1239" s="1363" t="s">
        <v>165</v>
      </c>
      <c r="AN1239" s="144">
        <v>49.0</v>
      </c>
      <c r="AO1239" s="147" t="s">
        <v>7416</v>
      </c>
      <c r="AP1239" s="147" t="s">
        <v>162</v>
      </c>
      <c r="AQ1239" s="147" t="s">
        <v>210</v>
      </c>
      <c r="AR1239" s="144">
        <v>0.045</v>
      </c>
      <c r="AS1239" s="147" t="s">
        <v>164</v>
      </c>
      <c r="AT1239" s="147" t="s">
        <v>179</v>
      </c>
      <c r="AU1239" s="60" t="s">
        <v>132</v>
      </c>
      <c r="AV1239" s="410" t="s">
        <v>7422</v>
      </c>
      <c r="AW1239" s="60" t="s">
        <v>134</v>
      </c>
      <c r="AY1239" s="60" t="s">
        <v>1455</v>
      </c>
    </row>
    <row r="1240" ht="15.75" customHeight="1">
      <c r="A1240" s="60" t="s">
        <v>143</v>
      </c>
      <c r="B1240" s="41" t="s">
        <v>107</v>
      </c>
      <c r="C1240" s="41" t="s">
        <v>1455</v>
      </c>
      <c r="E1240" s="147" t="s">
        <v>7423</v>
      </c>
      <c r="F1240" s="988" t="s">
        <v>7424</v>
      </c>
      <c r="G1240" s="147" t="s">
        <v>7425</v>
      </c>
      <c r="H1240" s="472">
        <v>45690.0</v>
      </c>
      <c r="I1240" s="1358">
        <v>45693.0</v>
      </c>
      <c r="J1240" s="60"/>
      <c r="K1240" s="60"/>
      <c r="L1240" s="1360" t="s">
        <v>7426</v>
      </c>
      <c r="M1240" s="412" t="s">
        <v>7427</v>
      </c>
      <c r="N1240" s="327">
        <v>1.0</v>
      </c>
      <c r="O1240" s="145" t="s">
        <v>7428</v>
      </c>
      <c r="P1240" s="48" t="str">
        <f t="array" ref="P1240">HYPERLINK(INDEX('File Links'!B:B, MATCH(O1240, 'File Links'!C:C, 0)))
</f>
        <v>https://drive.google.com/file/d/1EbrmM7VFUrWNPY8NxA_ziNU_qOGIUYVa/view?usp=drivesdk</v>
      </c>
      <c r="Q1240" s="147" t="s">
        <v>7429</v>
      </c>
      <c r="R1240" s="412" t="s">
        <v>7139</v>
      </c>
      <c r="S1240" s="60"/>
      <c r="T1240" s="327">
        <v>1.0</v>
      </c>
      <c r="U1240" s="145" t="s">
        <v>7140</v>
      </c>
      <c r="V1240" s="60" t="s">
        <v>155</v>
      </c>
      <c r="W1240" s="1361" t="s">
        <v>7430</v>
      </c>
      <c r="X1240" s="60"/>
      <c r="Y1240" s="60" t="s">
        <v>139</v>
      </c>
      <c r="Z1240" s="60" t="s">
        <v>7431</v>
      </c>
      <c r="AA1240" s="147" t="s">
        <v>7432</v>
      </c>
      <c r="AB1240" s="1374" t="s">
        <v>7433</v>
      </c>
      <c r="AC1240" s="60" t="s">
        <v>7434</v>
      </c>
      <c r="AD1240" s="327">
        <v>6.0</v>
      </c>
      <c r="AE1240" s="144">
        <v>24.0</v>
      </c>
      <c r="AF1240" s="327">
        <v>1.51</v>
      </c>
      <c r="AG1240" s="60" t="s">
        <v>166</v>
      </c>
      <c r="AH1240" s="60" t="s">
        <v>131</v>
      </c>
      <c r="AI1240" s="328">
        <v>0.001</v>
      </c>
      <c r="AJ1240" s="55" t="s">
        <v>127</v>
      </c>
      <c r="AK1240" s="55" t="s">
        <v>128</v>
      </c>
      <c r="AL1240" s="60" t="s">
        <v>129</v>
      </c>
      <c r="AM1240" s="1363" t="s">
        <v>165</v>
      </c>
      <c r="AN1240" s="327">
        <v>63.0</v>
      </c>
      <c r="AO1240" s="327">
        <v>0.224</v>
      </c>
      <c r="AP1240" s="60" t="s">
        <v>1785</v>
      </c>
      <c r="AQ1240" s="60" t="s">
        <v>505</v>
      </c>
      <c r="AR1240" s="327">
        <v>0.002</v>
      </c>
      <c r="AS1240" s="60" t="s">
        <v>164</v>
      </c>
      <c r="AT1240" s="60" t="s">
        <v>179</v>
      </c>
      <c r="AU1240" s="60" t="s">
        <v>129</v>
      </c>
      <c r="AV1240" s="410" t="s">
        <v>7435</v>
      </c>
      <c r="AW1240" s="60" t="s">
        <v>134</v>
      </c>
      <c r="AY1240" s="60" t="s">
        <v>1455</v>
      </c>
    </row>
    <row r="1241">
      <c r="A1241" s="60" t="s">
        <v>106</v>
      </c>
      <c r="B1241" s="41" t="s">
        <v>107</v>
      </c>
      <c r="C1241" s="41" t="s">
        <v>144</v>
      </c>
      <c r="E1241" s="147" t="s">
        <v>7423</v>
      </c>
      <c r="F1241" s="988" t="s">
        <v>7424</v>
      </c>
      <c r="G1241" s="147" t="s">
        <v>144</v>
      </c>
      <c r="H1241" s="472">
        <v>45690.0</v>
      </c>
      <c r="I1241" s="1358">
        <v>45693.0</v>
      </c>
      <c r="J1241" s="147" t="s">
        <v>7436</v>
      </c>
      <c r="K1241" s="60"/>
      <c r="L1241" s="356" t="s">
        <v>7426</v>
      </c>
      <c r="M1241" s="412" t="s">
        <v>7427</v>
      </c>
      <c r="N1241" s="144">
        <v>1.0</v>
      </c>
      <c r="O1241" s="145" t="s">
        <v>7428</v>
      </c>
      <c r="P1241" s="48" t="str">
        <f t="array" ref="P1241">HYPERLINK(INDEX('File Links'!B:B, MATCH(O1241, 'File Links'!C:C, 0)))
</f>
        <v>https://drive.google.com/file/d/1EbrmM7VFUrWNPY8NxA_ziNU_qOGIUYVa/view?usp=drivesdk</v>
      </c>
      <c r="Q1241" s="147" t="s">
        <v>7429</v>
      </c>
      <c r="R1241" s="412" t="s">
        <v>7139</v>
      </c>
      <c r="S1241" s="60"/>
      <c r="T1241" s="327">
        <v>1.0</v>
      </c>
      <c r="U1241" s="145" t="s">
        <v>7140</v>
      </c>
      <c r="V1241" s="147" t="s">
        <v>155</v>
      </c>
      <c r="W1241" s="50" t="str">
        <f t="array" ref="W1241">HYPERLINK(INDEX('File Links'!B:B, MATCH(U1241, 'File Links'!C:C, 0)))
</f>
        <v>https://drive.google.com/file/d/1UMAh9VGta6ExS2-Lb6GkDF4fmnI2EMeM/view?usp=drivesdk</v>
      </c>
      <c r="X1241" s="60"/>
      <c r="Y1241" s="147" t="s">
        <v>139</v>
      </c>
      <c r="Z1241" s="147" t="s">
        <v>7431</v>
      </c>
      <c r="AA1241" s="147" t="s">
        <v>7437</v>
      </c>
      <c r="AB1241" s="147" t="s">
        <v>7433</v>
      </c>
      <c r="AC1241" s="147" t="s">
        <v>7438</v>
      </c>
      <c r="AD1241" s="144">
        <v>6.0</v>
      </c>
      <c r="AE1241" s="144">
        <v>24.0</v>
      </c>
      <c r="AF1241" s="144">
        <v>1.51</v>
      </c>
      <c r="AG1241" s="147" t="s">
        <v>166</v>
      </c>
      <c r="AH1241" s="147" t="s">
        <v>131</v>
      </c>
      <c r="AI1241" s="646">
        <v>0.001</v>
      </c>
      <c r="AJ1241" s="52" t="s">
        <v>127</v>
      </c>
      <c r="AK1241" s="52" t="s">
        <v>128</v>
      </c>
      <c r="AL1241" s="60" t="s">
        <v>129</v>
      </c>
      <c r="AM1241" s="1363" t="s">
        <v>165</v>
      </c>
      <c r="AN1241" s="327">
        <v>63.0</v>
      </c>
      <c r="AO1241" s="327">
        <v>0.224</v>
      </c>
      <c r="AP1241" s="1371" t="s">
        <v>130</v>
      </c>
      <c r="AQ1241" s="147" t="s">
        <v>861</v>
      </c>
      <c r="AR1241" s="144">
        <v>0.002</v>
      </c>
      <c r="AS1241" s="147" t="s">
        <v>164</v>
      </c>
      <c r="AT1241" s="147" t="s">
        <v>179</v>
      </c>
      <c r="AU1241" s="60" t="s">
        <v>129</v>
      </c>
      <c r="AV1241" s="410" t="s">
        <v>7439</v>
      </c>
      <c r="AW1241" s="60" t="s">
        <v>134</v>
      </c>
      <c r="AY1241" s="60" t="s">
        <v>1455</v>
      </c>
    </row>
    <row r="1242">
      <c r="A1242" s="60" t="s">
        <v>143</v>
      </c>
      <c r="B1242" s="41" t="s">
        <v>107</v>
      </c>
      <c r="C1242" s="41" t="s">
        <v>1455</v>
      </c>
      <c r="E1242" s="147" t="s">
        <v>7440</v>
      </c>
      <c r="F1242" s="988" t="s">
        <v>7441</v>
      </c>
      <c r="G1242" s="147" t="s">
        <v>7442</v>
      </c>
      <c r="H1242" s="472">
        <v>45690.0</v>
      </c>
      <c r="I1242" s="1358">
        <v>45693.0</v>
      </c>
      <c r="J1242" s="60"/>
      <c r="K1242" s="60"/>
      <c r="L1242" s="1360" t="s">
        <v>7443</v>
      </c>
      <c r="M1242" s="147" t="s">
        <v>7444</v>
      </c>
      <c r="N1242" s="327">
        <v>5.0</v>
      </c>
      <c r="O1242" s="145" t="s">
        <v>7445</v>
      </c>
      <c r="P1242" s="48" t="str">
        <f t="array" ref="P1242">HYPERLINK(INDEX('File Links'!B:B, MATCH(O1242, 'File Links'!C:C, 0)))
</f>
        <v>https://drive.google.com/file/d/12OzFlZKms2M0ZvYy4yTBRvGof4FqM1Ud/view?usp=drivesdk</v>
      </c>
      <c r="Q1242" s="147" t="s">
        <v>7446</v>
      </c>
      <c r="R1242" s="147" t="s">
        <v>7139</v>
      </c>
      <c r="S1242" s="60"/>
      <c r="T1242" s="60" t="s">
        <v>7446</v>
      </c>
      <c r="U1242" s="145" t="s">
        <v>7140</v>
      </c>
      <c r="V1242" s="60" t="s">
        <v>155</v>
      </c>
      <c r="W1242" s="1361" t="s">
        <v>7447</v>
      </c>
      <c r="X1242" s="60"/>
      <c r="Y1242" s="60" t="s">
        <v>139</v>
      </c>
      <c r="Z1242" s="60" t="s">
        <v>7448</v>
      </c>
      <c r="AA1242" s="147" t="s">
        <v>7449</v>
      </c>
      <c r="AB1242" s="1365" t="s">
        <v>7450</v>
      </c>
      <c r="AC1242" s="60" t="s">
        <v>7451</v>
      </c>
      <c r="AD1242" s="327">
        <v>7.0</v>
      </c>
      <c r="AE1242" s="144">
        <v>16.0</v>
      </c>
      <c r="AF1242" s="327">
        <v>0.026</v>
      </c>
      <c r="AG1242" s="60" t="s">
        <v>130</v>
      </c>
      <c r="AH1242" s="60" t="s">
        <v>4365</v>
      </c>
      <c r="AI1242" s="328">
        <v>0.1</v>
      </c>
      <c r="AJ1242" s="55" t="s">
        <v>329</v>
      </c>
      <c r="AK1242" s="55" t="s">
        <v>179</v>
      </c>
      <c r="AL1242" s="60" t="s">
        <v>132</v>
      </c>
      <c r="AM1242" s="1363" t="s">
        <v>165</v>
      </c>
      <c r="AN1242" s="144">
        <v>20.0</v>
      </c>
      <c r="AO1242" s="327">
        <v>0.021</v>
      </c>
      <c r="AP1242" s="60" t="s">
        <v>130</v>
      </c>
      <c r="AQ1242" s="60" t="s">
        <v>505</v>
      </c>
      <c r="AR1242" s="327">
        <v>0.17</v>
      </c>
      <c r="AS1242" s="60" t="s">
        <v>164</v>
      </c>
      <c r="AT1242" s="60" t="s">
        <v>179</v>
      </c>
      <c r="AU1242" s="60" t="s">
        <v>132</v>
      </c>
      <c r="AV1242" s="410" t="s">
        <v>7452</v>
      </c>
      <c r="AW1242" s="60" t="s">
        <v>134</v>
      </c>
      <c r="AY1242" s="60" t="s">
        <v>1455</v>
      </c>
    </row>
    <row r="1243">
      <c r="A1243" s="60" t="s">
        <v>106</v>
      </c>
      <c r="B1243" s="41" t="s">
        <v>107</v>
      </c>
      <c r="C1243" s="41" t="s">
        <v>144</v>
      </c>
      <c r="E1243" s="147" t="s">
        <v>7440</v>
      </c>
      <c r="F1243" s="988" t="s">
        <v>7441</v>
      </c>
      <c r="G1243" s="147" t="s">
        <v>144</v>
      </c>
      <c r="H1243" s="472">
        <v>45690.0</v>
      </c>
      <c r="I1243" s="1358">
        <v>45693.0</v>
      </c>
      <c r="J1243" s="60"/>
      <c r="K1243" s="60"/>
      <c r="L1243" s="1360" t="s">
        <v>7443</v>
      </c>
      <c r="M1243" s="412" t="s">
        <v>7444</v>
      </c>
      <c r="N1243" s="144">
        <v>5.0</v>
      </c>
      <c r="O1243" s="145" t="s">
        <v>7445</v>
      </c>
      <c r="P1243" s="48" t="str">
        <f t="array" ref="P1243">HYPERLINK(INDEX('File Links'!B:B, MATCH(O1243, 'File Links'!C:C, 0)))
</f>
        <v>https://drive.google.com/file/d/12OzFlZKms2M0ZvYy4yTBRvGof4FqM1Ud/view?usp=drivesdk</v>
      </c>
      <c r="Q1243" s="147" t="s">
        <v>7446</v>
      </c>
      <c r="R1243" s="412" t="s">
        <v>7139</v>
      </c>
      <c r="S1243" s="60"/>
      <c r="T1243" s="327">
        <v>1.0</v>
      </c>
      <c r="U1243" s="145" t="s">
        <v>7140</v>
      </c>
      <c r="V1243" s="147" t="s">
        <v>155</v>
      </c>
      <c r="W1243" s="50" t="str">
        <f t="array" ref="W1243">HYPERLINK(INDEX('File Links'!B:B, MATCH(U1243, 'File Links'!C:C, 0)))
</f>
        <v>https://drive.google.com/file/d/1UMAh9VGta6ExS2-Lb6GkDF4fmnI2EMeM/view?usp=drivesdk</v>
      </c>
      <c r="X1243" s="60"/>
      <c r="Y1243" s="147" t="s">
        <v>139</v>
      </c>
      <c r="Z1243" s="147" t="s">
        <v>7453</v>
      </c>
      <c r="AA1243" s="147" t="s">
        <v>7454</v>
      </c>
      <c r="AB1243" s="147" t="s">
        <v>7450</v>
      </c>
      <c r="AC1243" s="147" t="s">
        <v>7455</v>
      </c>
      <c r="AD1243" s="144">
        <v>7.0</v>
      </c>
      <c r="AE1243" s="144">
        <v>16.0</v>
      </c>
      <c r="AF1243" s="1375">
        <v>0.02</v>
      </c>
      <c r="AG1243" s="147" t="s">
        <v>130</v>
      </c>
      <c r="AH1243" s="147" t="s">
        <v>125</v>
      </c>
      <c r="AI1243" s="646">
        <v>0.1</v>
      </c>
      <c r="AJ1243" s="52" t="s">
        <v>329</v>
      </c>
      <c r="AK1243" s="52" t="s">
        <v>179</v>
      </c>
      <c r="AL1243" s="60" t="s">
        <v>132</v>
      </c>
      <c r="AM1243" s="1363" t="s">
        <v>165</v>
      </c>
      <c r="AN1243" s="327">
        <v>20.0</v>
      </c>
      <c r="AO1243" s="327">
        <v>0.021</v>
      </c>
      <c r="AP1243" s="147" t="s">
        <v>130</v>
      </c>
      <c r="AQ1243" s="147" t="s">
        <v>210</v>
      </c>
      <c r="AR1243" s="144">
        <v>0.17</v>
      </c>
      <c r="AS1243" s="147" t="s">
        <v>164</v>
      </c>
      <c r="AT1243" s="147" t="s">
        <v>179</v>
      </c>
      <c r="AU1243" s="60" t="s">
        <v>132</v>
      </c>
      <c r="AV1243" s="410" t="s">
        <v>7452</v>
      </c>
      <c r="AW1243" s="60" t="s">
        <v>134</v>
      </c>
      <c r="AY1243" s="60" t="s">
        <v>1455</v>
      </c>
    </row>
    <row r="1244">
      <c r="A1244" s="60" t="s">
        <v>106</v>
      </c>
      <c r="B1244" s="41" t="s">
        <v>107</v>
      </c>
      <c r="C1244" s="41" t="s">
        <v>1455</v>
      </c>
      <c r="E1244" s="147" t="s">
        <v>7456</v>
      </c>
      <c r="F1244" s="988" t="s">
        <v>7457</v>
      </c>
      <c r="G1244" s="147" t="s">
        <v>7458</v>
      </c>
      <c r="H1244" s="472">
        <v>45690.0</v>
      </c>
      <c r="I1244" s="1358">
        <v>45693.0</v>
      </c>
      <c r="J1244" s="60"/>
      <c r="K1244" s="60" t="s">
        <v>7459</v>
      </c>
      <c r="L1244" s="1360" t="s">
        <v>7460</v>
      </c>
      <c r="M1244" s="412" t="s">
        <v>7461</v>
      </c>
      <c r="N1244" s="327">
        <v>4.0</v>
      </c>
      <c r="O1244" s="145" t="s">
        <v>7462</v>
      </c>
      <c r="P1244" s="48" t="str">
        <f t="array" ref="P1244">HYPERLINK(INDEX('File Links'!B:B, MATCH(O1244, 'File Links'!C:C, 0)))
</f>
        <v>https://drive.google.com/file/d/1ycY8rorKC9FDqVeTFdgVQQrTEuktcPox/view?usp=drivesdk</v>
      </c>
      <c r="Q1244" s="147" t="s">
        <v>7463</v>
      </c>
      <c r="R1244" s="412" t="s">
        <v>7139</v>
      </c>
      <c r="S1244" s="60"/>
      <c r="T1244" s="327">
        <v>1.0</v>
      </c>
      <c r="U1244" s="145" t="s">
        <v>7140</v>
      </c>
      <c r="V1244" s="60" t="s">
        <v>3501</v>
      </c>
      <c r="W1244" s="1361" t="s">
        <v>7464</v>
      </c>
      <c r="X1244" s="60"/>
      <c r="Y1244" s="60" t="s">
        <v>139</v>
      </c>
      <c r="Z1244" s="60" t="s">
        <v>7465</v>
      </c>
      <c r="AA1244" s="147" t="s">
        <v>7466</v>
      </c>
      <c r="AB1244" s="147" t="s">
        <v>7467</v>
      </c>
      <c r="AC1244" s="60" t="s">
        <v>7468</v>
      </c>
      <c r="AD1244" s="327">
        <v>9.0</v>
      </c>
      <c r="AE1244" s="144">
        <v>32.0</v>
      </c>
      <c r="AF1244" s="327">
        <v>0.14</v>
      </c>
      <c r="AG1244" s="60" t="s">
        <v>130</v>
      </c>
      <c r="AH1244" s="60" t="s">
        <v>625</v>
      </c>
      <c r="AI1244" s="328">
        <v>0.03</v>
      </c>
      <c r="AJ1244" s="55" t="s">
        <v>164</v>
      </c>
      <c r="AK1244" s="55" t="s">
        <v>179</v>
      </c>
      <c r="AL1244" s="60" t="s">
        <v>132</v>
      </c>
      <c r="AM1244" s="1363" t="s">
        <v>165</v>
      </c>
      <c r="AN1244" s="327">
        <v>71.0</v>
      </c>
      <c r="AO1244" s="1376" t="s">
        <v>7469</v>
      </c>
      <c r="AP1244" s="60" t="s">
        <v>162</v>
      </c>
      <c r="AQ1244" s="1376" t="s">
        <v>2401</v>
      </c>
      <c r="AR1244" s="327">
        <v>0.001</v>
      </c>
      <c r="AS1244" s="60" t="s">
        <v>164</v>
      </c>
      <c r="AT1244" s="60" t="s">
        <v>179</v>
      </c>
      <c r="AU1244" s="60" t="s">
        <v>132</v>
      </c>
      <c r="AV1244" s="115" t="s">
        <v>165</v>
      </c>
      <c r="AW1244" s="60" t="s">
        <v>134</v>
      </c>
      <c r="AY1244" s="60" t="s">
        <v>1455</v>
      </c>
    </row>
    <row r="1245">
      <c r="A1245" s="60" t="s">
        <v>143</v>
      </c>
      <c r="B1245" s="41" t="s">
        <v>107</v>
      </c>
      <c r="C1245" s="41" t="s">
        <v>144</v>
      </c>
      <c r="E1245" s="147" t="s">
        <v>7456</v>
      </c>
      <c r="F1245" s="988" t="s">
        <v>7457</v>
      </c>
      <c r="G1245" s="147" t="s">
        <v>144</v>
      </c>
      <c r="H1245" s="472">
        <v>45690.0</v>
      </c>
      <c r="I1245" s="1358">
        <v>45693.0</v>
      </c>
      <c r="J1245" s="147" t="s">
        <v>7470</v>
      </c>
      <c r="K1245" s="60"/>
      <c r="L1245" s="1360" t="s">
        <v>7460</v>
      </c>
      <c r="M1245" s="147" t="s">
        <v>7461</v>
      </c>
      <c r="N1245" s="144">
        <v>4.0</v>
      </c>
      <c r="O1245" s="145" t="s">
        <v>7462</v>
      </c>
      <c r="P1245" s="48" t="str">
        <f t="array" ref="P1245">HYPERLINK(INDEX('File Links'!B:B, MATCH(O1245, 'File Links'!C:C, 0)))
</f>
        <v>https://drive.google.com/file/d/1ycY8rorKC9FDqVeTFdgVQQrTEuktcPox/view?usp=drivesdk</v>
      </c>
      <c r="Q1245" s="147" t="s">
        <v>7463</v>
      </c>
      <c r="R1245" s="147" t="s">
        <v>7139</v>
      </c>
      <c r="S1245" s="60"/>
      <c r="T1245" s="327">
        <v>1.0</v>
      </c>
      <c r="U1245" s="145" t="s">
        <v>7140</v>
      </c>
      <c r="V1245" s="147" t="s">
        <v>3501</v>
      </c>
      <c r="W1245" s="1361" t="s">
        <v>7464</v>
      </c>
      <c r="X1245" s="60"/>
      <c r="Y1245" s="147" t="s">
        <v>139</v>
      </c>
      <c r="Z1245" s="147" t="s">
        <v>7471</v>
      </c>
      <c r="AA1245" s="147" t="s">
        <v>7472</v>
      </c>
      <c r="AB1245" s="147" t="s">
        <v>7473</v>
      </c>
      <c r="AC1245" s="1362" t="s">
        <v>7468</v>
      </c>
      <c r="AD1245" s="144">
        <v>9.0</v>
      </c>
      <c r="AE1245" s="144">
        <v>32.0</v>
      </c>
      <c r="AF1245" s="144">
        <v>0.14</v>
      </c>
      <c r="AG1245" s="147" t="s">
        <v>130</v>
      </c>
      <c r="AH1245" s="147" t="s">
        <v>625</v>
      </c>
      <c r="AI1245" s="328">
        <v>0.03</v>
      </c>
      <c r="AJ1245" s="52" t="s">
        <v>164</v>
      </c>
      <c r="AK1245" s="52" t="s">
        <v>179</v>
      </c>
      <c r="AL1245" s="60" t="s">
        <v>132</v>
      </c>
      <c r="AM1245" s="1363" t="s">
        <v>165</v>
      </c>
      <c r="AN1245" s="144">
        <v>71.0</v>
      </c>
      <c r="AO1245" s="147" t="s">
        <v>7474</v>
      </c>
      <c r="AP1245" s="147" t="s">
        <v>162</v>
      </c>
      <c r="AQ1245" s="147" t="s">
        <v>892</v>
      </c>
      <c r="AR1245" s="144">
        <v>0.001</v>
      </c>
      <c r="AS1245" s="147" t="s">
        <v>164</v>
      </c>
      <c r="AT1245" s="147" t="s">
        <v>179</v>
      </c>
      <c r="AU1245" s="60" t="s">
        <v>132</v>
      </c>
      <c r="AV1245" s="410" t="s">
        <v>7475</v>
      </c>
      <c r="AW1245" s="60" t="s">
        <v>134</v>
      </c>
      <c r="AY1245" s="60" t="s">
        <v>1455</v>
      </c>
    </row>
    <row r="1246">
      <c r="A1246" s="60" t="s">
        <v>143</v>
      </c>
      <c r="B1246" s="41" t="s">
        <v>107</v>
      </c>
      <c r="C1246" s="41" t="s">
        <v>1455</v>
      </c>
      <c r="E1246" s="147" t="s">
        <v>7476</v>
      </c>
      <c r="F1246" s="988" t="s">
        <v>7477</v>
      </c>
      <c r="G1246" s="147" t="s">
        <v>7478</v>
      </c>
      <c r="H1246" s="472">
        <v>45690.0</v>
      </c>
      <c r="I1246" s="1358">
        <v>45693.0</v>
      </c>
      <c r="J1246" s="60" t="s">
        <v>7479</v>
      </c>
      <c r="K1246" s="60"/>
      <c r="L1246" s="1360" t="s">
        <v>7480</v>
      </c>
      <c r="M1246" s="147" t="s">
        <v>7481</v>
      </c>
      <c r="N1246" s="327">
        <v>2.0</v>
      </c>
      <c r="O1246" s="145" t="s">
        <v>7482</v>
      </c>
      <c r="P1246" s="48" t="str">
        <f t="array" ref="P1246">HYPERLINK(INDEX('File Links'!B:B, MATCH(O1246, 'File Links'!C:C, 0)))
</f>
        <v>https://drive.google.com/file/d/1G9_olsUh3tpfcqhh1KX72VpE0keeAnj7/view?usp=drivesdk</v>
      </c>
      <c r="Q1246" s="147" t="s">
        <v>7483</v>
      </c>
      <c r="R1246" s="147" t="s">
        <v>7139</v>
      </c>
      <c r="S1246" s="60"/>
      <c r="T1246" s="327">
        <v>1.0</v>
      </c>
      <c r="U1246" s="145" t="s">
        <v>7140</v>
      </c>
      <c r="V1246" s="60" t="s">
        <v>3501</v>
      </c>
      <c r="W1246" s="1361" t="s">
        <v>7484</v>
      </c>
      <c r="X1246" s="60"/>
      <c r="Y1246" s="60" t="s">
        <v>139</v>
      </c>
      <c r="Z1246" s="60" t="s">
        <v>7485</v>
      </c>
      <c r="AA1246" s="147" t="s">
        <v>7486</v>
      </c>
      <c r="AB1246" s="1365" t="s">
        <v>7487</v>
      </c>
      <c r="AC1246" s="60" t="s">
        <v>7488</v>
      </c>
      <c r="AD1246" s="327">
        <v>4.0</v>
      </c>
      <c r="AE1246" s="144">
        <v>32.0</v>
      </c>
      <c r="AF1246" s="60" t="s">
        <v>7489</v>
      </c>
      <c r="AG1246" s="60" t="s">
        <v>162</v>
      </c>
      <c r="AH1246" s="60" t="s">
        <v>861</v>
      </c>
      <c r="AI1246" s="328">
        <v>0.06</v>
      </c>
      <c r="AJ1246" s="55" t="s">
        <v>127</v>
      </c>
      <c r="AK1246" s="55" t="s">
        <v>179</v>
      </c>
      <c r="AL1246" s="60" t="s">
        <v>129</v>
      </c>
      <c r="AM1246" s="1363" t="s">
        <v>165</v>
      </c>
      <c r="AN1246" s="144">
        <v>91.0</v>
      </c>
      <c r="AO1246" s="327">
        <v>0.011</v>
      </c>
      <c r="AP1246" s="60" t="s">
        <v>130</v>
      </c>
      <c r="AQ1246" s="147" t="s">
        <v>892</v>
      </c>
      <c r="AR1246" s="327">
        <v>0.33</v>
      </c>
      <c r="AS1246" s="60" t="s">
        <v>164</v>
      </c>
      <c r="AT1246" s="60" t="s">
        <v>179</v>
      </c>
      <c r="AU1246" s="60" t="s">
        <v>129</v>
      </c>
      <c r="AV1246" s="410" t="s">
        <v>7490</v>
      </c>
      <c r="AW1246" s="60" t="s">
        <v>134</v>
      </c>
      <c r="AY1246" s="60" t="s">
        <v>1455</v>
      </c>
    </row>
    <row r="1247">
      <c r="A1247" s="60" t="s">
        <v>106</v>
      </c>
      <c r="B1247" s="41" t="s">
        <v>107</v>
      </c>
      <c r="C1247" s="41" t="s">
        <v>144</v>
      </c>
      <c r="E1247" s="147" t="s">
        <v>7476</v>
      </c>
      <c r="F1247" s="988" t="s">
        <v>7477</v>
      </c>
      <c r="G1247" s="147" t="s">
        <v>144</v>
      </c>
      <c r="H1247" s="472">
        <v>45690.0</v>
      </c>
      <c r="I1247" s="1358">
        <v>45693.0</v>
      </c>
      <c r="J1247" s="60" t="s">
        <v>7491</v>
      </c>
      <c r="K1247" s="60"/>
      <c r="L1247" s="1377" t="s">
        <v>7480</v>
      </c>
      <c r="M1247" s="412" t="s">
        <v>7481</v>
      </c>
      <c r="N1247" s="1375">
        <v>1.0</v>
      </c>
      <c r="O1247" s="145" t="s">
        <v>7482</v>
      </c>
      <c r="P1247" s="48" t="str">
        <f t="array" ref="P1247">HYPERLINK(INDEX('File Links'!B:B, MATCH(O1247, 'File Links'!C:C, 0)))
</f>
        <v>https://drive.google.com/file/d/1G9_olsUh3tpfcqhh1KX72VpE0keeAnj7/view?usp=drivesdk</v>
      </c>
      <c r="Q1247" s="147" t="s">
        <v>7483</v>
      </c>
      <c r="R1247" s="412" t="s">
        <v>7139</v>
      </c>
      <c r="S1247" s="60"/>
      <c r="T1247" s="327">
        <v>1.0</v>
      </c>
      <c r="U1247" s="145" t="s">
        <v>7140</v>
      </c>
      <c r="V1247" s="147" t="s">
        <v>155</v>
      </c>
      <c r="W1247" s="50" t="str">
        <f t="array" ref="W1247">HYPERLINK(INDEX('File Links'!B:B, MATCH(U1247, 'File Links'!C:C, 0)))
</f>
        <v>https://drive.google.com/file/d/1UMAh9VGta6ExS2-Lb6GkDF4fmnI2EMeM/view?usp=drivesdk</v>
      </c>
      <c r="X1247" s="60"/>
      <c r="Y1247" s="147" t="s">
        <v>139</v>
      </c>
      <c r="Z1247" s="147" t="s">
        <v>7485</v>
      </c>
      <c r="AA1247" s="147" t="s">
        <v>7492</v>
      </c>
      <c r="AB1247" s="147" t="s">
        <v>7487</v>
      </c>
      <c r="AC1247" s="147" t="s">
        <v>7493</v>
      </c>
      <c r="AD1247" s="1370">
        <v>4.0</v>
      </c>
      <c r="AE1247" s="144">
        <v>32.0</v>
      </c>
      <c r="AF1247" s="144" t="s">
        <v>7494</v>
      </c>
      <c r="AG1247" s="147" t="s">
        <v>162</v>
      </c>
      <c r="AH1247" s="147" t="s">
        <v>861</v>
      </c>
      <c r="AI1247" s="328">
        <v>0.06</v>
      </c>
      <c r="AJ1247" s="52" t="s">
        <v>127</v>
      </c>
      <c r="AK1247" s="52" t="s">
        <v>179</v>
      </c>
      <c r="AL1247" s="60" t="s">
        <v>129</v>
      </c>
      <c r="AM1247" s="1363" t="s">
        <v>165</v>
      </c>
      <c r="AN1247" s="327">
        <v>91.0</v>
      </c>
      <c r="AO1247" s="327">
        <v>0.011</v>
      </c>
      <c r="AP1247" s="147" t="s">
        <v>130</v>
      </c>
      <c r="AQ1247" s="147" t="s">
        <v>892</v>
      </c>
      <c r="AR1247" s="144">
        <v>0.33</v>
      </c>
      <c r="AS1247" s="147" t="s">
        <v>164</v>
      </c>
      <c r="AT1247" s="147" t="s">
        <v>179</v>
      </c>
      <c r="AU1247" s="60" t="s">
        <v>129</v>
      </c>
      <c r="AV1247" s="410" t="s">
        <v>7490</v>
      </c>
      <c r="AW1247" s="60" t="s">
        <v>134</v>
      </c>
      <c r="AY1247" s="60" t="s">
        <v>1455</v>
      </c>
    </row>
    <row r="1248">
      <c r="A1248" s="60" t="s">
        <v>143</v>
      </c>
      <c r="B1248" s="41" t="s">
        <v>107</v>
      </c>
      <c r="C1248" s="41" t="s">
        <v>1455</v>
      </c>
      <c r="E1248" s="147" t="s">
        <v>7495</v>
      </c>
      <c r="F1248" s="988" t="s">
        <v>7496</v>
      </c>
      <c r="G1248" s="147" t="s">
        <v>7497</v>
      </c>
      <c r="H1248" s="472">
        <v>45690.0</v>
      </c>
      <c r="I1248" s="1358">
        <v>45693.0</v>
      </c>
      <c r="J1248" s="60"/>
      <c r="K1248" s="60" t="s">
        <v>7498</v>
      </c>
      <c r="L1248" s="1360" t="s">
        <v>7499</v>
      </c>
      <c r="M1248" s="147" t="s">
        <v>7500</v>
      </c>
      <c r="N1248" s="60" t="s">
        <v>6455</v>
      </c>
      <c r="O1248" s="145" t="s">
        <v>7501</v>
      </c>
      <c r="P1248" s="48" t="str">
        <f t="array" ref="P1248">HYPERLINK(INDEX('File Links'!B:B, MATCH(O1248, 'File Links'!C:C, 0)))
</f>
        <v>https://drive.google.com/file/d/1y0oKhgHFMs_nXH4ufYi5ZaxDoesUnD71/view?usp=drivesdk</v>
      </c>
      <c r="Q1248" s="147" t="s">
        <v>7502</v>
      </c>
      <c r="R1248" s="147" t="s">
        <v>7139</v>
      </c>
      <c r="S1248" s="60"/>
      <c r="T1248" s="327">
        <v>1.0</v>
      </c>
      <c r="U1248" s="145" t="s">
        <v>7140</v>
      </c>
      <c r="V1248" s="60" t="s">
        <v>155</v>
      </c>
      <c r="W1248" s="1361" t="s">
        <v>7503</v>
      </c>
      <c r="X1248" s="60"/>
      <c r="Y1248" s="60" t="s">
        <v>139</v>
      </c>
      <c r="Z1248" s="60" t="s">
        <v>7504</v>
      </c>
      <c r="AA1248" s="60" t="s">
        <v>7505</v>
      </c>
      <c r="AB1248" s="1365" t="s">
        <v>7506</v>
      </c>
      <c r="AC1248" s="60" t="s">
        <v>7507</v>
      </c>
      <c r="AD1248" s="327">
        <v>6.0</v>
      </c>
      <c r="AE1248" s="327">
        <v>8.0</v>
      </c>
      <c r="AF1248" s="327">
        <v>1.023</v>
      </c>
      <c r="AG1248" s="60" t="s">
        <v>166</v>
      </c>
      <c r="AH1248" s="60" t="s">
        <v>131</v>
      </c>
      <c r="AI1248" s="328">
        <v>0.023</v>
      </c>
      <c r="AJ1248" s="55" t="s">
        <v>164</v>
      </c>
      <c r="AK1248" s="55" t="s">
        <v>179</v>
      </c>
      <c r="AL1248" s="60" t="s">
        <v>129</v>
      </c>
      <c r="AM1248" s="1363" t="s">
        <v>165</v>
      </c>
      <c r="AN1248" s="327">
        <v>15.0</v>
      </c>
      <c r="AO1248" s="327">
        <v>0.957</v>
      </c>
      <c r="AP1248" s="60" t="s">
        <v>166</v>
      </c>
      <c r="AQ1248" s="60" t="s">
        <v>210</v>
      </c>
      <c r="AR1248" s="327">
        <v>0.002</v>
      </c>
      <c r="AS1248" s="60" t="s">
        <v>164</v>
      </c>
      <c r="AT1248" s="60" t="s">
        <v>179</v>
      </c>
      <c r="AU1248" s="60" t="s">
        <v>129</v>
      </c>
      <c r="AV1248" s="410" t="s">
        <v>7508</v>
      </c>
      <c r="AW1248" s="60" t="s">
        <v>134</v>
      </c>
      <c r="AY1248" s="60" t="s">
        <v>1455</v>
      </c>
    </row>
    <row r="1249">
      <c r="A1249" s="60" t="s">
        <v>106</v>
      </c>
      <c r="B1249" s="41" t="s">
        <v>107</v>
      </c>
      <c r="C1249" s="41" t="s">
        <v>144</v>
      </c>
      <c r="E1249" s="147" t="s">
        <v>7495</v>
      </c>
      <c r="F1249" s="988" t="s">
        <v>7496</v>
      </c>
      <c r="G1249" s="147" t="s">
        <v>144</v>
      </c>
      <c r="H1249" s="472">
        <v>45690.0</v>
      </c>
      <c r="I1249" s="1358">
        <v>45693.0</v>
      </c>
      <c r="J1249" s="147" t="s">
        <v>7509</v>
      </c>
      <c r="K1249" s="60"/>
      <c r="L1249" s="1360" t="s">
        <v>7499</v>
      </c>
      <c r="M1249" s="147" t="s">
        <v>7500</v>
      </c>
      <c r="N1249" s="147" t="s">
        <v>6455</v>
      </c>
      <c r="O1249" s="145" t="s">
        <v>7501</v>
      </c>
      <c r="P1249" s="48" t="str">
        <f t="array" ref="P1249">HYPERLINK(INDEX('File Links'!B:B, MATCH(O1249, 'File Links'!C:C, 0)))
</f>
        <v>https://drive.google.com/file/d/1y0oKhgHFMs_nXH4ufYi5ZaxDoesUnD71/view?usp=drivesdk</v>
      </c>
      <c r="Q1249" s="147" t="s">
        <v>7502</v>
      </c>
      <c r="R1249" s="147" t="s">
        <v>7139</v>
      </c>
      <c r="S1249" s="60"/>
      <c r="T1249" s="327">
        <v>1.0</v>
      </c>
      <c r="U1249" s="145" t="s">
        <v>7140</v>
      </c>
      <c r="V1249" s="147" t="s">
        <v>155</v>
      </c>
      <c r="W1249" s="50" t="str">
        <f t="array" ref="W1249">HYPERLINK(INDEX('File Links'!B:B, MATCH(U1249, 'File Links'!C:C, 0)))
</f>
        <v>https://drive.google.com/file/d/1UMAh9VGta6ExS2-Lb6GkDF4fmnI2EMeM/view?usp=drivesdk</v>
      </c>
      <c r="X1249" s="60"/>
      <c r="Y1249" s="147" t="s">
        <v>139</v>
      </c>
      <c r="Z1249" s="147" t="s">
        <v>7510</v>
      </c>
      <c r="AA1249" s="147" t="s">
        <v>7511</v>
      </c>
      <c r="AB1249" s="147" t="s">
        <v>7506</v>
      </c>
      <c r="AC1249" s="147" t="s">
        <v>7512</v>
      </c>
      <c r="AD1249" s="144">
        <v>6.0</v>
      </c>
      <c r="AE1249" s="144">
        <v>8.0</v>
      </c>
      <c r="AF1249" s="144">
        <v>1.023</v>
      </c>
      <c r="AG1249" s="147" t="s">
        <v>166</v>
      </c>
      <c r="AH1249" s="147" t="s">
        <v>131</v>
      </c>
      <c r="AI1249" s="328">
        <v>0.023</v>
      </c>
      <c r="AJ1249" s="52" t="s">
        <v>164</v>
      </c>
      <c r="AK1249" s="52" t="s">
        <v>179</v>
      </c>
      <c r="AL1249" s="60" t="s">
        <v>129</v>
      </c>
      <c r="AM1249" s="1363" t="s">
        <v>165</v>
      </c>
      <c r="AN1249" s="144">
        <v>15.0</v>
      </c>
      <c r="AO1249" s="144">
        <v>0.957</v>
      </c>
      <c r="AP1249" s="147" t="s">
        <v>166</v>
      </c>
      <c r="AQ1249" s="147" t="s">
        <v>210</v>
      </c>
      <c r="AR1249" s="144">
        <v>0.002</v>
      </c>
      <c r="AS1249" s="147" t="s">
        <v>164</v>
      </c>
      <c r="AT1249" s="147" t="s">
        <v>179</v>
      </c>
      <c r="AU1249" s="60" t="s">
        <v>129</v>
      </c>
      <c r="AV1249" s="410" t="s">
        <v>7508</v>
      </c>
      <c r="AW1249" s="1368" t="s">
        <v>142</v>
      </c>
      <c r="AY1249" s="60" t="s">
        <v>1455</v>
      </c>
    </row>
    <row r="1250">
      <c r="A1250" s="60" t="s">
        <v>143</v>
      </c>
      <c r="B1250" s="41" t="s">
        <v>107</v>
      </c>
      <c r="C1250" s="41" t="s">
        <v>1455</v>
      </c>
      <c r="E1250" s="147" t="s">
        <v>7513</v>
      </c>
      <c r="F1250" s="988" t="s">
        <v>7514</v>
      </c>
      <c r="G1250" s="147" t="s">
        <v>7515</v>
      </c>
      <c r="H1250" s="472">
        <v>45690.0</v>
      </c>
      <c r="I1250" s="1358">
        <v>45693.0</v>
      </c>
      <c r="J1250" s="60"/>
      <c r="K1250" s="60"/>
      <c r="L1250" s="1360" t="s">
        <v>7516</v>
      </c>
      <c r="M1250" s="147" t="s">
        <v>7517</v>
      </c>
      <c r="N1250" s="327">
        <v>4.0</v>
      </c>
      <c r="O1250" s="145" t="s">
        <v>7518</v>
      </c>
      <c r="P1250" s="48" t="str">
        <f t="array" ref="P1250">HYPERLINK(INDEX('File Links'!B:B, MATCH(O1250, 'File Links'!C:C, 0)))
</f>
        <v>https://drive.google.com/file/d/1NiPCpcI4sxnM3OTJQdqenG265Dkr8hRb/view?usp=drivesdk</v>
      </c>
      <c r="Q1250" s="147" t="s">
        <v>7519</v>
      </c>
      <c r="R1250" s="147" t="s">
        <v>7139</v>
      </c>
      <c r="S1250" s="60"/>
      <c r="T1250" s="327">
        <v>1.0</v>
      </c>
      <c r="U1250" s="145" t="s">
        <v>7140</v>
      </c>
      <c r="V1250" s="60" t="s">
        <v>3501</v>
      </c>
      <c r="W1250" s="1361" t="s">
        <v>7520</v>
      </c>
      <c r="X1250" s="60"/>
      <c r="Y1250" s="60" t="s">
        <v>139</v>
      </c>
      <c r="Z1250" s="147" t="s">
        <v>7521</v>
      </c>
      <c r="AA1250" s="147" t="s">
        <v>7522</v>
      </c>
      <c r="AB1250" s="1365" t="s">
        <v>7523</v>
      </c>
      <c r="AC1250" s="60" t="s">
        <v>7524</v>
      </c>
      <c r="AD1250" s="327">
        <v>11.0</v>
      </c>
      <c r="AE1250" s="144">
        <v>25.0</v>
      </c>
      <c r="AF1250" s="60" t="s">
        <v>7525</v>
      </c>
      <c r="AG1250" s="60" t="s">
        <v>162</v>
      </c>
      <c r="AH1250" s="60" t="s">
        <v>299</v>
      </c>
      <c r="AI1250" s="328">
        <v>0.05</v>
      </c>
      <c r="AJ1250" s="55" t="s">
        <v>127</v>
      </c>
      <c r="AK1250" s="55" t="s">
        <v>128</v>
      </c>
      <c r="AL1250" s="60" t="s">
        <v>129</v>
      </c>
      <c r="AM1250" s="1363" t="s">
        <v>165</v>
      </c>
      <c r="AN1250" s="144">
        <v>32.0</v>
      </c>
      <c r="AO1250" s="327">
        <v>0.046</v>
      </c>
      <c r="AP1250" s="60" t="s">
        <v>1785</v>
      </c>
      <c r="AQ1250" s="60" t="s">
        <v>892</v>
      </c>
      <c r="AR1250" s="327">
        <v>0.229</v>
      </c>
      <c r="AS1250" s="60" t="s">
        <v>164</v>
      </c>
      <c r="AT1250" s="60" t="s">
        <v>179</v>
      </c>
      <c r="AU1250" s="60" t="s">
        <v>129</v>
      </c>
      <c r="AV1250" s="410" t="s">
        <v>7526</v>
      </c>
      <c r="AW1250" s="60" t="s">
        <v>134</v>
      </c>
      <c r="AY1250" s="60" t="s">
        <v>1455</v>
      </c>
    </row>
    <row r="1251">
      <c r="A1251" s="60" t="s">
        <v>106</v>
      </c>
      <c r="B1251" s="41" t="s">
        <v>107</v>
      </c>
      <c r="C1251" s="41" t="s">
        <v>144</v>
      </c>
      <c r="E1251" s="147" t="s">
        <v>7513</v>
      </c>
      <c r="F1251" s="988" t="s">
        <v>7514</v>
      </c>
      <c r="G1251" s="147" t="s">
        <v>144</v>
      </c>
      <c r="H1251" s="472">
        <v>45690.0</v>
      </c>
      <c r="I1251" s="1358">
        <v>45693.0</v>
      </c>
      <c r="J1251" s="147" t="s">
        <v>7527</v>
      </c>
      <c r="K1251" s="60"/>
      <c r="L1251" s="1360" t="s">
        <v>7516</v>
      </c>
      <c r="M1251" s="147" t="s">
        <v>7517</v>
      </c>
      <c r="N1251" s="144">
        <v>4.0</v>
      </c>
      <c r="O1251" s="145" t="s">
        <v>7518</v>
      </c>
      <c r="P1251" s="48" t="str">
        <f t="array" ref="P1251">HYPERLINK(INDEX('File Links'!B:B, MATCH(O1251, 'File Links'!C:C, 0)))
</f>
        <v>https://drive.google.com/file/d/1NiPCpcI4sxnM3OTJQdqenG265Dkr8hRb/view?usp=drivesdk</v>
      </c>
      <c r="Q1251" s="147" t="s">
        <v>7519</v>
      </c>
      <c r="R1251" s="147" t="s">
        <v>7139</v>
      </c>
      <c r="S1251" s="60"/>
      <c r="T1251" s="327">
        <v>1.0</v>
      </c>
      <c r="U1251" s="145" t="s">
        <v>7140</v>
      </c>
      <c r="V1251" s="147" t="s">
        <v>3501</v>
      </c>
      <c r="W1251" s="50" t="str">
        <f t="array" ref="W1251">HYPERLINK(INDEX('File Links'!B:B, MATCH(U1251, 'File Links'!C:C, 0)))
</f>
        <v>https://drive.google.com/file/d/1UMAh9VGta6ExS2-Lb6GkDF4fmnI2EMeM/view?usp=drivesdk</v>
      </c>
      <c r="X1251" s="60"/>
      <c r="Y1251" s="147" t="s">
        <v>139</v>
      </c>
      <c r="Z1251" s="147" t="s">
        <v>7528</v>
      </c>
      <c r="AA1251" s="147" t="s">
        <v>7529</v>
      </c>
      <c r="AB1251" s="147" t="s">
        <v>7523</v>
      </c>
      <c r="AC1251" s="147" t="s">
        <v>7530</v>
      </c>
      <c r="AD1251" s="144">
        <v>11.0</v>
      </c>
      <c r="AE1251" s="144">
        <v>25.0</v>
      </c>
      <c r="AF1251" s="147" t="s">
        <v>7525</v>
      </c>
      <c r="AG1251" s="147" t="s">
        <v>162</v>
      </c>
      <c r="AH1251" s="147" t="s">
        <v>299</v>
      </c>
      <c r="AI1251" s="328">
        <v>0.05</v>
      </c>
      <c r="AJ1251" s="52" t="s">
        <v>127</v>
      </c>
      <c r="AK1251" s="52" t="s">
        <v>128</v>
      </c>
      <c r="AL1251" s="60" t="s">
        <v>129</v>
      </c>
      <c r="AM1251" s="1363" t="s">
        <v>165</v>
      </c>
      <c r="AN1251" s="144">
        <v>32.0</v>
      </c>
      <c r="AO1251" s="144">
        <v>0.046</v>
      </c>
      <c r="AP1251" s="1371" t="s">
        <v>130</v>
      </c>
      <c r="AQ1251" s="147" t="s">
        <v>892</v>
      </c>
      <c r="AR1251" s="144">
        <v>0.229</v>
      </c>
      <c r="AS1251" s="147" t="s">
        <v>164</v>
      </c>
      <c r="AT1251" s="147" t="s">
        <v>179</v>
      </c>
      <c r="AU1251" s="60" t="s">
        <v>129</v>
      </c>
      <c r="AV1251" s="410" t="s">
        <v>7526</v>
      </c>
      <c r="AW1251" s="60" t="s">
        <v>134</v>
      </c>
      <c r="AY1251" s="60" t="s">
        <v>1455</v>
      </c>
    </row>
    <row r="1252">
      <c r="A1252" s="60" t="s">
        <v>143</v>
      </c>
      <c r="B1252" s="41" t="s">
        <v>107</v>
      </c>
      <c r="C1252" s="41" t="s">
        <v>1455</v>
      </c>
      <c r="E1252" s="147" t="s">
        <v>7531</v>
      </c>
      <c r="F1252" s="988" t="s">
        <v>7532</v>
      </c>
      <c r="G1252" s="147" t="s">
        <v>7295</v>
      </c>
      <c r="H1252" s="472">
        <v>45690.0</v>
      </c>
      <c r="I1252" s="1358">
        <v>45693.0</v>
      </c>
      <c r="J1252" s="60"/>
      <c r="K1252" s="60"/>
      <c r="L1252" s="1360" t="s">
        <v>7533</v>
      </c>
      <c r="M1252" s="147" t="s">
        <v>7534</v>
      </c>
      <c r="N1252" s="327">
        <v>3.0</v>
      </c>
      <c r="O1252" s="145" t="s">
        <v>7535</v>
      </c>
      <c r="P1252" s="48" t="str">
        <f t="array" ref="P1252">HYPERLINK(INDEX('File Links'!B:B, MATCH(O1252, 'File Links'!C:C, 0)))
</f>
        <v>https://drive.google.com/file/d/1VkkAzt4eeAeZtV2ewwPlwMagejOBaOcs/view?usp=drivesdk</v>
      </c>
      <c r="Q1252" s="147" t="s">
        <v>7536</v>
      </c>
      <c r="R1252" s="147" t="s">
        <v>7139</v>
      </c>
      <c r="S1252" s="60"/>
      <c r="T1252" s="327">
        <v>1.0</v>
      </c>
      <c r="U1252" s="145" t="s">
        <v>7140</v>
      </c>
      <c r="V1252" s="60" t="s">
        <v>155</v>
      </c>
      <c r="W1252" s="1361" t="s">
        <v>7537</v>
      </c>
      <c r="X1252" s="60"/>
      <c r="Y1252" s="60" t="s">
        <v>139</v>
      </c>
      <c r="Z1252" s="60" t="s">
        <v>7538</v>
      </c>
      <c r="AA1252" s="147" t="s">
        <v>7539</v>
      </c>
      <c r="AB1252" s="1374" t="s">
        <v>7540</v>
      </c>
      <c r="AC1252" s="60" t="s">
        <v>7541</v>
      </c>
      <c r="AD1252" s="327">
        <v>7.0</v>
      </c>
      <c r="AE1252" s="144">
        <v>37.0</v>
      </c>
      <c r="AF1252" s="60" t="s">
        <v>7542</v>
      </c>
      <c r="AG1252" s="60" t="s">
        <v>162</v>
      </c>
      <c r="AH1252" s="60" t="s">
        <v>125</v>
      </c>
      <c r="AI1252" s="328">
        <v>0.001</v>
      </c>
      <c r="AJ1252" s="55" t="s">
        <v>127</v>
      </c>
      <c r="AK1252" s="55" t="s">
        <v>179</v>
      </c>
      <c r="AL1252" s="60" t="s">
        <v>132</v>
      </c>
      <c r="AM1252" s="1363" t="s">
        <v>165</v>
      </c>
      <c r="AN1252" s="144">
        <v>38.0</v>
      </c>
      <c r="AO1252" s="327">
        <v>0.23</v>
      </c>
      <c r="AP1252" s="60" t="s">
        <v>1785</v>
      </c>
      <c r="AQ1252" s="60" t="s">
        <v>210</v>
      </c>
      <c r="AR1252" s="327">
        <v>0.002</v>
      </c>
      <c r="AS1252" s="60" t="s">
        <v>164</v>
      </c>
      <c r="AT1252" s="60" t="s">
        <v>179</v>
      </c>
      <c r="AU1252" s="60" t="s">
        <v>132</v>
      </c>
      <c r="AV1252" s="1361" t="s">
        <v>7543</v>
      </c>
      <c r="AW1252" s="60" t="s">
        <v>134</v>
      </c>
      <c r="AY1252" s="60" t="s">
        <v>1455</v>
      </c>
    </row>
    <row r="1253">
      <c r="A1253" s="60" t="s">
        <v>106</v>
      </c>
      <c r="B1253" s="41" t="s">
        <v>107</v>
      </c>
      <c r="C1253" s="41" t="s">
        <v>144</v>
      </c>
      <c r="E1253" s="147" t="s">
        <v>7531</v>
      </c>
      <c r="F1253" s="988" t="s">
        <v>7532</v>
      </c>
      <c r="G1253" s="147" t="s">
        <v>7544</v>
      </c>
      <c r="H1253" s="472">
        <v>45690.0</v>
      </c>
      <c r="I1253" s="1358">
        <v>45693.0</v>
      </c>
      <c r="J1253" s="147" t="s">
        <v>7545</v>
      </c>
      <c r="K1253" s="60"/>
      <c r="L1253" s="1360" t="s">
        <v>7533</v>
      </c>
      <c r="M1253" s="147" t="s">
        <v>7534</v>
      </c>
      <c r="N1253" s="144">
        <v>3.0</v>
      </c>
      <c r="O1253" s="145" t="s">
        <v>7535</v>
      </c>
      <c r="P1253" s="48" t="str">
        <f t="array" ref="P1253">HYPERLINK(INDEX('File Links'!B:B, MATCH(O1253, 'File Links'!C:C, 0)))
</f>
        <v>https://drive.google.com/file/d/1VkkAzt4eeAeZtV2ewwPlwMagejOBaOcs/view?usp=drivesdk</v>
      </c>
      <c r="Q1253" s="147" t="s">
        <v>7536</v>
      </c>
      <c r="R1253" s="147" t="s">
        <v>7139</v>
      </c>
      <c r="S1253" s="60"/>
      <c r="T1253" s="327">
        <v>1.0</v>
      </c>
      <c r="U1253" s="145" t="s">
        <v>7140</v>
      </c>
      <c r="V1253" s="147" t="s">
        <v>155</v>
      </c>
      <c r="W1253" s="50" t="str">
        <f t="array" ref="W1253">HYPERLINK(INDEX('File Links'!B:B, MATCH(U1253, 'File Links'!C:C, 0)))
</f>
        <v>https://drive.google.com/file/d/1UMAh9VGta6ExS2-Lb6GkDF4fmnI2EMeM/view?usp=drivesdk</v>
      </c>
      <c r="X1253" s="60"/>
      <c r="Y1253" s="147" t="s">
        <v>139</v>
      </c>
      <c r="Z1253" s="147" t="s">
        <v>7538</v>
      </c>
      <c r="AA1253" s="147" t="s">
        <v>7546</v>
      </c>
      <c r="AB1253" s="147" t="s">
        <v>7540</v>
      </c>
      <c r="AC1253" s="147" t="s">
        <v>7547</v>
      </c>
      <c r="AD1253" s="144">
        <v>7.0</v>
      </c>
      <c r="AE1253" s="144">
        <v>37.0</v>
      </c>
      <c r="AF1253" s="147" t="s">
        <v>7542</v>
      </c>
      <c r="AG1253" s="147" t="s">
        <v>162</v>
      </c>
      <c r="AH1253" s="147" t="s">
        <v>125</v>
      </c>
      <c r="AI1253" s="328">
        <v>0.001</v>
      </c>
      <c r="AJ1253" s="52" t="s">
        <v>127</v>
      </c>
      <c r="AK1253" s="52" t="s">
        <v>179</v>
      </c>
      <c r="AL1253" s="1368" t="s">
        <v>129</v>
      </c>
      <c r="AM1253" s="1363" t="s">
        <v>165</v>
      </c>
      <c r="AN1253" s="144">
        <v>38.0</v>
      </c>
      <c r="AO1253" s="144">
        <v>0.23</v>
      </c>
      <c r="AP1253" s="1371" t="s">
        <v>130</v>
      </c>
      <c r="AQ1253" s="147" t="s">
        <v>210</v>
      </c>
      <c r="AR1253" s="144">
        <v>0.002</v>
      </c>
      <c r="AS1253" s="147" t="s">
        <v>164</v>
      </c>
      <c r="AT1253" s="147" t="s">
        <v>179</v>
      </c>
      <c r="AU1253" s="1368" t="s">
        <v>129</v>
      </c>
      <c r="AV1253" s="410" t="s">
        <v>7548</v>
      </c>
      <c r="AW1253" s="60" t="s">
        <v>134</v>
      </c>
      <c r="AY1253" s="60" t="s">
        <v>1455</v>
      </c>
    </row>
    <row r="1254">
      <c r="A1254" s="60" t="s">
        <v>143</v>
      </c>
      <c r="B1254" s="41" t="s">
        <v>107</v>
      </c>
      <c r="C1254" s="41" t="s">
        <v>1455</v>
      </c>
      <c r="E1254" s="147" t="s">
        <v>7549</v>
      </c>
      <c r="F1254" s="988" t="s">
        <v>7550</v>
      </c>
      <c r="G1254" s="147" t="s">
        <v>7177</v>
      </c>
      <c r="H1254" s="472">
        <v>45690.0</v>
      </c>
      <c r="I1254" s="1358">
        <v>45693.0</v>
      </c>
      <c r="J1254" s="60"/>
      <c r="K1254" s="60"/>
      <c r="L1254" s="1360" t="s">
        <v>7551</v>
      </c>
      <c r="M1254" s="412" t="s">
        <v>7552</v>
      </c>
      <c r="N1254" s="327">
        <v>2.0</v>
      </c>
      <c r="O1254" s="145" t="s">
        <v>7553</v>
      </c>
      <c r="P1254" s="48" t="str">
        <f t="array" ref="P1254">HYPERLINK(INDEX('File Links'!B:B, MATCH(O1254, 'File Links'!C:C, 0)))
</f>
        <v>https://drive.google.com/file/d/1Lf2mJhcl4k2IlhscpNWAcWIYn_DN1RLo/view?usp=drivesdk</v>
      </c>
      <c r="Q1254" s="147" t="s">
        <v>7554</v>
      </c>
      <c r="R1254" s="412" t="s">
        <v>7139</v>
      </c>
      <c r="S1254" s="60"/>
      <c r="T1254" s="327">
        <v>1.0</v>
      </c>
      <c r="U1254" s="145" t="s">
        <v>7140</v>
      </c>
      <c r="V1254" s="60" t="s">
        <v>155</v>
      </c>
      <c r="W1254" s="1361" t="s">
        <v>7555</v>
      </c>
      <c r="X1254" s="60"/>
      <c r="Y1254" s="60" t="s">
        <v>139</v>
      </c>
      <c r="Z1254" s="60" t="s">
        <v>7556</v>
      </c>
      <c r="AA1254" s="147" t="s">
        <v>7557</v>
      </c>
      <c r="AB1254" s="1374" t="s">
        <v>7558</v>
      </c>
      <c r="AC1254" s="60" t="s">
        <v>7559</v>
      </c>
      <c r="AD1254" s="327">
        <v>6.0</v>
      </c>
      <c r="AE1254" s="144">
        <v>40.0</v>
      </c>
      <c r="AF1254" s="327">
        <v>0.6</v>
      </c>
      <c r="AG1254" s="60" t="s">
        <v>166</v>
      </c>
      <c r="AH1254" s="60" t="s">
        <v>131</v>
      </c>
      <c r="AI1254" s="328">
        <v>0.001</v>
      </c>
      <c r="AJ1254" s="55" t="s">
        <v>164</v>
      </c>
      <c r="AK1254" s="55" t="s">
        <v>179</v>
      </c>
      <c r="AL1254" s="60" t="s">
        <v>132</v>
      </c>
      <c r="AM1254" s="1363" t="s">
        <v>165</v>
      </c>
      <c r="AN1254" s="327">
        <v>40.0</v>
      </c>
      <c r="AO1254" s="327">
        <v>0.37</v>
      </c>
      <c r="AP1254" s="60" t="s">
        <v>166</v>
      </c>
      <c r="AQ1254" s="60" t="s">
        <v>892</v>
      </c>
      <c r="AR1254" s="327">
        <v>0.044</v>
      </c>
      <c r="AS1254" s="60" t="s">
        <v>164</v>
      </c>
      <c r="AT1254" s="60" t="s">
        <v>179</v>
      </c>
      <c r="AU1254" s="60" t="s">
        <v>132</v>
      </c>
      <c r="AV1254" s="410" t="s">
        <v>7560</v>
      </c>
      <c r="AW1254" s="60" t="s">
        <v>134</v>
      </c>
      <c r="AY1254" s="60" t="s">
        <v>1455</v>
      </c>
    </row>
    <row r="1255">
      <c r="A1255" s="60" t="s">
        <v>106</v>
      </c>
      <c r="B1255" s="41" t="s">
        <v>107</v>
      </c>
      <c r="C1255" s="41" t="s">
        <v>144</v>
      </c>
      <c r="E1255" s="147" t="s">
        <v>7549</v>
      </c>
      <c r="F1255" s="988" t="s">
        <v>7550</v>
      </c>
      <c r="G1255" s="147" t="s">
        <v>144</v>
      </c>
      <c r="H1255" s="472">
        <v>45690.0</v>
      </c>
      <c r="I1255" s="1358">
        <v>45693.0</v>
      </c>
      <c r="J1255" s="60"/>
      <c r="K1255" s="60"/>
      <c r="L1255" s="1360" t="s">
        <v>7551</v>
      </c>
      <c r="M1255" s="147" t="s">
        <v>7552</v>
      </c>
      <c r="N1255" s="144">
        <v>2.0</v>
      </c>
      <c r="O1255" s="145" t="s">
        <v>7553</v>
      </c>
      <c r="P1255" s="48" t="str">
        <f t="array" ref="P1255">HYPERLINK(INDEX('File Links'!B:B, MATCH(O1255, 'File Links'!C:C, 0)))
</f>
        <v>https://drive.google.com/file/d/1Lf2mJhcl4k2IlhscpNWAcWIYn_DN1RLo/view?usp=drivesdk</v>
      </c>
      <c r="Q1255" s="147" t="s">
        <v>7554</v>
      </c>
      <c r="R1255" s="147" t="s">
        <v>7139</v>
      </c>
      <c r="S1255" s="60"/>
      <c r="T1255" s="327">
        <v>1.0</v>
      </c>
      <c r="U1255" s="145" t="s">
        <v>7140</v>
      </c>
      <c r="V1255" s="147" t="s">
        <v>155</v>
      </c>
      <c r="W1255" s="50" t="str">
        <f t="array" ref="W1255">HYPERLINK(INDEX('File Links'!B:B, MATCH(U1255, 'File Links'!C:C, 0)))
</f>
        <v>https://drive.google.com/file/d/1UMAh9VGta6ExS2-Lb6GkDF4fmnI2EMeM/view?usp=drivesdk</v>
      </c>
      <c r="X1255" s="60"/>
      <c r="Y1255" s="147" t="s">
        <v>139</v>
      </c>
      <c r="Z1255" s="147" t="s">
        <v>7561</v>
      </c>
      <c r="AA1255" s="147" t="s">
        <v>7562</v>
      </c>
      <c r="AB1255" s="147" t="s">
        <v>7558</v>
      </c>
      <c r="AC1255" s="147" t="s">
        <v>7563</v>
      </c>
      <c r="AD1255" s="1375">
        <v>11.0</v>
      </c>
      <c r="AE1255" s="144">
        <v>40.0</v>
      </c>
      <c r="AF1255" s="1375">
        <v>0.44</v>
      </c>
      <c r="AG1255" s="147" t="s">
        <v>166</v>
      </c>
      <c r="AH1255" s="1369" t="s">
        <v>299</v>
      </c>
      <c r="AI1255" s="328">
        <v>0.008</v>
      </c>
      <c r="AJ1255" s="52" t="s">
        <v>127</v>
      </c>
      <c r="AK1255" s="52" t="s">
        <v>179</v>
      </c>
      <c r="AL1255" s="1368" t="s">
        <v>129</v>
      </c>
      <c r="AM1255" s="1363" t="s">
        <v>165</v>
      </c>
      <c r="AN1255" s="144">
        <v>40.0</v>
      </c>
      <c r="AO1255" s="144">
        <v>0.37</v>
      </c>
      <c r="AP1255" s="147" t="s">
        <v>166</v>
      </c>
      <c r="AQ1255" s="147" t="s">
        <v>892</v>
      </c>
      <c r="AR1255" s="1375">
        <v>0.44</v>
      </c>
      <c r="AS1255" s="147" t="s">
        <v>164</v>
      </c>
      <c r="AT1255" s="147" t="s">
        <v>179</v>
      </c>
      <c r="AU1255" s="1368" t="s">
        <v>129</v>
      </c>
      <c r="AV1255" s="410" t="s">
        <v>7564</v>
      </c>
      <c r="AW1255" s="60" t="s">
        <v>134</v>
      </c>
      <c r="AY1255" s="60" t="s">
        <v>1455</v>
      </c>
    </row>
    <row r="1256">
      <c r="A1256" s="60" t="s">
        <v>143</v>
      </c>
      <c r="B1256" s="41" t="s">
        <v>107</v>
      </c>
      <c r="C1256" s="41" t="s">
        <v>1455</v>
      </c>
      <c r="E1256" s="147" t="s">
        <v>7565</v>
      </c>
      <c r="F1256" s="988" t="s">
        <v>7566</v>
      </c>
      <c r="G1256" s="60" t="s">
        <v>7567</v>
      </c>
      <c r="H1256" s="472">
        <v>45690.0</v>
      </c>
      <c r="I1256" s="1358">
        <v>45693.0</v>
      </c>
      <c r="J1256" s="60"/>
      <c r="K1256" s="60"/>
      <c r="L1256" s="1360" t="s">
        <v>7568</v>
      </c>
      <c r="M1256" s="147" t="s">
        <v>7569</v>
      </c>
      <c r="N1256" s="60" t="s">
        <v>6455</v>
      </c>
      <c r="O1256" s="145" t="s">
        <v>7570</v>
      </c>
      <c r="P1256" s="48" t="str">
        <f t="array" ref="P1256">HYPERLINK(INDEX('File Links'!B:B, MATCH(O1256, 'File Links'!C:C, 0)))
</f>
        <v>https://drive.google.com/file/d/16eIzUB6LjNl3GMULG3vB5p7EO1iC0SJ3/view?usp=drivesdk</v>
      </c>
      <c r="Q1256" s="147" t="s">
        <v>7571</v>
      </c>
      <c r="R1256" s="147" t="s">
        <v>7139</v>
      </c>
      <c r="S1256" s="60"/>
      <c r="T1256" s="327">
        <v>1.0</v>
      </c>
      <c r="U1256" s="145" t="s">
        <v>7140</v>
      </c>
      <c r="V1256" s="60" t="s">
        <v>155</v>
      </c>
      <c r="W1256" s="1361" t="s">
        <v>7572</v>
      </c>
      <c r="X1256" s="60"/>
      <c r="Y1256" s="60" t="s">
        <v>139</v>
      </c>
      <c r="Z1256" s="60" t="s">
        <v>7573</v>
      </c>
      <c r="AA1256" s="147" t="s">
        <v>7574</v>
      </c>
      <c r="AB1256" s="1365" t="s">
        <v>7575</v>
      </c>
      <c r="AC1256" s="60" t="s">
        <v>7576</v>
      </c>
      <c r="AD1256" s="327">
        <v>12.0</v>
      </c>
      <c r="AE1256" s="144">
        <v>24.0</v>
      </c>
      <c r="AF1256" s="327">
        <v>0.51</v>
      </c>
      <c r="AG1256" s="60" t="s">
        <v>1785</v>
      </c>
      <c r="AH1256" s="60" t="s">
        <v>609</v>
      </c>
      <c r="AI1256" s="328">
        <v>0.01</v>
      </c>
      <c r="AJ1256" s="55" t="s">
        <v>127</v>
      </c>
      <c r="AK1256" s="55" t="s">
        <v>179</v>
      </c>
      <c r="AL1256" s="60" t="s">
        <v>129</v>
      </c>
      <c r="AM1256" s="1363" t="s">
        <v>165</v>
      </c>
      <c r="AN1256" s="144">
        <v>24.0</v>
      </c>
      <c r="AO1256" s="327">
        <v>0.46</v>
      </c>
      <c r="AP1256" s="60" t="s">
        <v>1785</v>
      </c>
      <c r="AQ1256" s="60" t="s">
        <v>861</v>
      </c>
      <c r="AR1256" s="327">
        <v>0.001</v>
      </c>
      <c r="AS1256" s="60" t="s">
        <v>127</v>
      </c>
      <c r="AT1256" s="60" t="s">
        <v>179</v>
      </c>
      <c r="AU1256" s="60" t="s">
        <v>129</v>
      </c>
      <c r="AV1256" s="410" t="s">
        <v>7577</v>
      </c>
      <c r="AW1256" s="60" t="s">
        <v>134</v>
      </c>
      <c r="AY1256" s="60" t="s">
        <v>1455</v>
      </c>
    </row>
    <row r="1257">
      <c r="A1257" s="60" t="s">
        <v>106</v>
      </c>
      <c r="B1257" s="41" t="s">
        <v>107</v>
      </c>
      <c r="C1257" s="41" t="s">
        <v>144</v>
      </c>
      <c r="E1257" s="147" t="s">
        <v>7565</v>
      </c>
      <c r="F1257" s="988" t="s">
        <v>7566</v>
      </c>
      <c r="G1257" s="147" t="s">
        <v>144</v>
      </c>
      <c r="H1257" s="472">
        <v>45690.0</v>
      </c>
      <c r="I1257" s="1358">
        <v>45693.0</v>
      </c>
      <c r="J1257" s="147" t="s">
        <v>7578</v>
      </c>
      <c r="K1257" s="60"/>
      <c r="L1257" s="1360" t="s">
        <v>7568</v>
      </c>
      <c r="M1257" s="147" t="s">
        <v>7569</v>
      </c>
      <c r="N1257" s="147" t="s">
        <v>6455</v>
      </c>
      <c r="O1257" s="145" t="s">
        <v>7570</v>
      </c>
      <c r="P1257" s="48" t="str">
        <f t="array" ref="P1257">HYPERLINK(INDEX('File Links'!B:B, MATCH(O1257, 'File Links'!C:C, 0)))
</f>
        <v>https://drive.google.com/file/d/16eIzUB6LjNl3GMULG3vB5p7EO1iC0SJ3/view?usp=drivesdk</v>
      </c>
      <c r="Q1257" s="147" t="s">
        <v>7571</v>
      </c>
      <c r="R1257" s="147" t="s">
        <v>7139</v>
      </c>
      <c r="S1257" s="60"/>
      <c r="T1257" s="327">
        <v>1.0</v>
      </c>
      <c r="U1257" s="145" t="s">
        <v>7140</v>
      </c>
      <c r="V1257" s="147" t="s">
        <v>155</v>
      </c>
      <c r="W1257" s="50" t="str">
        <f t="array" ref="W1257">HYPERLINK(INDEX('File Links'!B:B, MATCH(U1257, 'File Links'!C:C, 0)))
</f>
        <v>https://drive.google.com/file/d/1UMAh9VGta6ExS2-Lb6GkDF4fmnI2EMeM/view?usp=drivesdk</v>
      </c>
      <c r="X1257" s="60"/>
      <c r="Y1257" s="147" t="s">
        <v>139</v>
      </c>
      <c r="Z1257" s="147" t="s">
        <v>7579</v>
      </c>
      <c r="AA1257" s="147" t="s">
        <v>7580</v>
      </c>
      <c r="AB1257" s="147" t="s">
        <v>7575</v>
      </c>
      <c r="AC1257" s="147" t="s">
        <v>7581</v>
      </c>
      <c r="AD1257" s="144">
        <v>12.0</v>
      </c>
      <c r="AE1257" s="144">
        <v>24.0</v>
      </c>
      <c r="AF1257" s="144">
        <v>0.51</v>
      </c>
      <c r="AG1257" s="1371" t="s">
        <v>130</v>
      </c>
      <c r="AH1257" s="147" t="s">
        <v>609</v>
      </c>
      <c r="AI1257" s="328">
        <v>0.01</v>
      </c>
      <c r="AJ1257" s="52" t="s">
        <v>127</v>
      </c>
      <c r="AK1257" s="52" t="s">
        <v>179</v>
      </c>
      <c r="AL1257" s="60" t="s">
        <v>129</v>
      </c>
      <c r="AM1257" s="1363" t="s">
        <v>165</v>
      </c>
      <c r="AN1257" s="144">
        <v>24.0</v>
      </c>
      <c r="AO1257" s="144">
        <v>0.46</v>
      </c>
      <c r="AP1257" s="1371" t="s">
        <v>130</v>
      </c>
      <c r="AQ1257" s="147" t="s">
        <v>861</v>
      </c>
      <c r="AR1257" s="144">
        <v>0.001</v>
      </c>
      <c r="AS1257" s="147" t="s">
        <v>127</v>
      </c>
      <c r="AT1257" s="147" t="s">
        <v>179</v>
      </c>
      <c r="AU1257" s="60" t="s">
        <v>129</v>
      </c>
      <c r="AV1257" s="410" t="s">
        <v>7582</v>
      </c>
      <c r="AW1257" s="60" t="s">
        <v>134</v>
      </c>
      <c r="AY1257" s="60" t="s">
        <v>1455</v>
      </c>
    </row>
    <row r="1258">
      <c r="A1258" s="60" t="s">
        <v>143</v>
      </c>
      <c r="B1258" s="41" t="s">
        <v>107</v>
      </c>
      <c r="C1258" s="41" t="s">
        <v>1455</v>
      </c>
      <c r="E1258" s="147" t="s">
        <v>7583</v>
      </c>
      <c r="F1258" s="988" t="s">
        <v>7584</v>
      </c>
      <c r="G1258" s="147" t="s">
        <v>7585</v>
      </c>
      <c r="H1258" s="472">
        <v>45690.0</v>
      </c>
      <c r="I1258" s="1358">
        <v>45693.0</v>
      </c>
      <c r="J1258" s="60" t="s">
        <v>7586</v>
      </c>
      <c r="K1258" s="60"/>
      <c r="L1258" s="1360" t="s">
        <v>7587</v>
      </c>
      <c r="M1258" s="412" t="s">
        <v>7588</v>
      </c>
      <c r="N1258" s="327">
        <v>3.0</v>
      </c>
      <c r="O1258" s="145" t="s">
        <v>7589</v>
      </c>
      <c r="P1258" s="48" t="str">
        <f t="array" ref="P1258">HYPERLINK(INDEX('File Links'!B:B, MATCH(O1258, 'File Links'!C:C, 0)))
</f>
        <v>https://drive.google.com/file/d/15LyeMLPtv2yK2REXBqDLC63QQhUXXDVm/view?usp=drivesdk</v>
      </c>
      <c r="Q1258" s="147" t="s">
        <v>7590</v>
      </c>
      <c r="R1258" s="412" t="s">
        <v>7139</v>
      </c>
      <c r="S1258" s="60"/>
      <c r="T1258" s="327">
        <v>1.0</v>
      </c>
      <c r="U1258" s="145" t="s">
        <v>7140</v>
      </c>
      <c r="V1258" s="60" t="s">
        <v>155</v>
      </c>
      <c r="W1258" s="1361" t="s">
        <v>7591</v>
      </c>
      <c r="X1258" s="60"/>
      <c r="Y1258" s="60" t="s">
        <v>139</v>
      </c>
      <c r="Z1258" s="60" t="s">
        <v>7592</v>
      </c>
      <c r="AA1258" s="147" t="s">
        <v>7593</v>
      </c>
      <c r="AB1258" s="147" t="s">
        <v>7594</v>
      </c>
      <c r="AC1258" s="60" t="s">
        <v>7595</v>
      </c>
      <c r="AD1258" s="327">
        <v>8.0</v>
      </c>
      <c r="AE1258" s="144">
        <v>12.0</v>
      </c>
      <c r="AF1258" s="60" t="s">
        <v>7596</v>
      </c>
      <c r="AG1258" s="60" t="s">
        <v>162</v>
      </c>
      <c r="AH1258" s="60" t="s">
        <v>601</v>
      </c>
      <c r="AI1258" s="328">
        <v>0.05</v>
      </c>
      <c r="AJ1258" s="55" t="s">
        <v>127</v>
      </c>
      <c r="AK1258" s="55" t="s">
        <v>179</v>
      </c>
      <c r="AL1258" s="60" t="s">
        <v>132</v>
      </c>
      <c r="AM1258" s="1363" t="s">
        <v>165</v>
      </c>
      <c r="AN1258" s="327">
        <v>18.0</v>
      </c>
      <c r="AO1258" s="327">
        <v>0.102</v>
      </c>
      <c r="AP1258" s="60" t="s">
        <v>166</v>
      </c>
      <c r="AQ1258" s="60" t="s">
        <v>210</v>
      </c>
      <c r="AR1258" s="327">
        <v>0.142</v>
      </c>
      <c r="AS1258" s="60" t="s">
        <v>164</v>
      </c>
      <c r="AT1258" s="60" t="s">
        <v>179</v>
      </c>
      <c r="AU1258" s="60" t="s">
        <v>132</v>
      </c>
      <c r="AV1258" s="410" t="s">
        <v>7597</v>
      </c>
      <c r="AW1258" s="60" t="s">
        <v>134</v>
      </c>
      <c r="AY1258" s="60" t="s">
        <v>1455</v>
      </c>
    </row>
    <row r="1259">
      <c r="A1259" s="60" t="s">
        <v>106</v>
      </c>
      <c r="B1259" s="41" t="s">
        <v>107</v>
      </c>
      <c r="C1259" s="41" t="s">
        <v>144</v>
      </c>
      <c r="E1259" s="147" t="s">
        <v>7583</v>
      </c>
      <c r="F1259" s="988" t="s">
        <v>7584</v>
      </c>
      <c r="G1259" s="147" t="s">
        <v>7598</v>
      </c>
      <c r="H1259" s="472">
        <v>45690.0</v>
      </c>
      <c r="I1259" s="1358">
        <v>45693.0</v>
      </c>
      <c r="J1259" s="60"/>
      <c r="K1259" s="60"/>
      <c r="L1259" s="1360" t="s">
        <v>7587</v>
      </c>
      <c r="M1259" s="147" t="s">
        <v>7588</v>
      </c>
      <c r="N1259" s="144">
        <v>3.0</v>
      </c>
      <c r="O1259" s="145" t="s">
        <v>7589</v>
      </c>
      <c r="P1259" s="48" t="str">
        <f t="array" ref="P1259">HYPERLINK(INDEX('File Links'!B:B, MATCH(O1259, 'File Links'!C:C, 0)))
</f>
        <v>https://drive.google.com/file/d/15LyeMLPtv2yK2REXBqDLC63QQhUXXDVm/view?usp=drivesdk</v>
      </c>
      <c r="Q1259" s="147" t="s">
        <v>7590</v>
      </c>
      <c r="R1259" s="147" t="s">
        <v>7139</v>
      </c>
      <c r="S1259" s="60"/>
      <c r="T1259" s="327">
        <v>1.0</v>
      </c>
      <c r="U1259" s="145" t="s">
        <v>7140</v>
      </c>
      <c r="V1259" s="147" t="s">
        <v>155</v>
      </c>
      <c r="W1259" s="50" t="str">
        <f t="array" ref="W1259">HYPERLINK(INDEX('File Links'!B:B, MATCH(U1259, 'File Links'!C:C, 0)))
</f>
        <v>https://drive.google.com/file/d/1UMAh9VGta6ExS2-Lb6GkDF4fmnI2EMeM/view?usp=drivesdk</v>
      </c>
      <c r="X1259" s="60"/>
      <c r="Y1259" s="147" t="s">
        <v>139</v>
      </c>
      <c r="Z1259" s="147" t="s">
        <v>7599</v>
      </c>
      <c r="AA1259" s="147" t="s">
        <v>7600</v>
      </c>
      <c r="AB1259" s="147" t="s">
        <v>7601</v>
      </c>
      <c r="AC1259" s="147" t="s">
        <v>7602</v>
      </c>
      <c r="AD1259" s="144">
        <v>8.0</v>
      </c>
      <c r="AE1259" s="144">
        <v>12.0</v>
      </c>
      <c r="AF1259" s="147" t="s">
        <v>7603</v>
      </c>
      <c r="AG1259" s="147" t="s">
        <v>162</v>
      </c>
      <c r="AH1259" s="147" t="s">
        <v>610</v>
      </c>
      <c r="AI1259" s="328">
        <v>0.05</v>
      </c>
      <c r="AJ1259" s="52" t="s">
        <v>127</v>
      </c>
      <c r="AK1259" s="52" t="s">
        <v>179</v>
      </c>
      <c r="AL1259" s="60" t="s">
        <v>132</v>
      </c>
      <c r="AM1259" s="1363" t="s">
        <v>165</v>
      </c>
      <c r="AN1259" s="144">
        <v>18.0</v>
      </c>
      <c r="AO1259" s="144">
        <v>0.102</v>
      </c>
      <c r="AP1259" s="147" t="s">
        <v>166</v>
      </c>
      <c r="AQ1259" s="147" t="s">
        <v>210</v>
      </c>
      <c r="AR1259" s="144">
        <v>0.142</v>
      </c>
      <c r="AS1259" s="147" t="s">
        <v>164</v>
      </c>
      <c r="AT1259" s="147" t="s">
        <v>179</v>
      </c>
      <c r="AU1259" s="60" t="s">
        <v>132</v>
      </c>
      <c r="AV1259" s="410" t="s">
        <v>7597</v>
      </c>
      <c r="AW1259" s="60" t="s">
        <v>134</v>
      </c>
      <c r="AY1259" s="60" t="s">
        <v>1455</v>
      </c>
    </row>
    <row r="1260">
      <c r="A1260" s="60" t="s">
        <v>143</v>
      </c>
      <c r="B1260" s="41" t="s">
        <v>107</v>
      </c>
      <c r="C1260" s="41" t="s">
        <v>1455</v>
      </c>
      <c r="E1260" s="147" t="s">
        <v>7604</v>
      </c>
      <c r="F1260" s="988" t="s">
        <v>7605</v>
      </c>
      <c r="G1260" s="147" t="s">
        <v>7606</v>
      </c>
      <c r="H1260" s="472">
        <v>45690.0</v>
      </c>
      <c r="I1260" s="1358">
        <v>45693.0</v>
      </c>
      <c r="J1260" s="60"/>
      <c r="K1260" s="60"/>
      <c r="L1260" s="1360" t="s">
        <v>7607</v>
      </c>
      <c r="M1260" s="147" t="s">
        <v>7608</v>
      </c>
      <c r="N1260" s="327">
        <v>1.0</v>
      </c>
      <c r="O1260" s="145" t="s">
        <v>7609</v>
      </c>
      <c r="P1260" s="48" t="str">
        <f t="array" ref="P1260">HYPERLINK(INDEX('File Links'!B:B, MATCH(O1260, 'File Links'!C:C, 0)))
</f>
        <v>https://drive.google.com/file/d/1fP-Dr1DLCnPl-2Ya6EGtFK2aCF6SWr93/view?usp=drivesdk</v>
      </c>
      <c r="Q1260" s="147" t="s">
        <v>7610</v>
      </c>
      <c r="R1260" s="147" t="s">
        <v>7139</v>
      </c>
      <c r="S1260" s="60"/>
      <c r="T1260" s="327">
        <v>1.0</v>
      </c>
      <c r="U1260" s="145" t="s">
        <v>7140</v>
      </c>
      <c r="V1260" s="60" t="s">
        <v>155</v>
      </c>
      <c r="W1260" s="1361" t="s">
        <v>7611</v>
      </c>
      <c r="X1260" s="60"/>
      <c r="Y1260" s="60" t="s">
        <v>139</v>
      </c>
      <c r="Z1260" s="60" t="s">
        <v>7612</v>
      </c>
      <c r="AA1260" s="147" t="s">
        <v>7613</v>
      </c>
      <c r="AB1260" s="147" t="s">
        <v>7614</v>
      </c>
      <c r="AC1260" s="60" t="s">
        <v>7615</v>
      </c>
      <c r="AD1260" s="327">
        <v>11.0</v>
      </c>
      <c r="AE1260" s="144">
        <v>68.0</v>
      </c>
      <c r="AF1260" s="115" t="s">
        <v>7616</v>
      </c>
      <c r="AG1260" s="60" t="s">
        <v>162</v>
      </c>
      <c r="AH1260" s="60" t="s">
        <v>299</v>
      </c>
      <c r="AI1260" s="328">
        <v>0.05</v>
      </c>
      <c r="AJ1260" s="55" t="s">
        <v>127</v>
      </c>
      <c r="AK1260" s="55" t="s">
        <v>179</v>
      </c>
      <c r="AL1260" s="60" t="s">
        <v>132</v>
      </c>
      <c r="AM1260" s="1363" t="s">
        <v>165</v>
      </c>
      <c r="AN1260" s="144">
        <v>153.0</v>
      </c>
      <c r="AO1260" s="60" t="s">
        <v>7617</v>
      </c>
      <c r="AP1260" s="60" t="s">
        <v>162</v>
      </c>
      <c r="AQ1260" s="60" t="s">
        <v>131</v>
      </c>
      <c r="AR1260" s="327">
        <v>0.21</v>
      </c>
      <c r="AS1260" s="60" t="s">
        <v>164</v>
      </c>
      <c r="AT1260" s="60" t="s">
        <v>128</v>
      </c>
      <c r="AU1260" s="60" t="s">
        <v>132</v>
      </c>
      <c r="AV1260" s="410" t="s">
        <v>7618</v>
      </c>
      <c r="AW1260" s="60" t="s">
        <v>134</v>
      </c>
      <c r="AY1260" s="60" t="s">
        <v>1455</v>
      </c>
    </row>
    <row r="1261">
      <c r="A1261" s="60" t="s">
        <v>106</v>
      </c>
      <c r="B1261" s="41" t="s">
        <v>107</v>
      </c>
      <c r="C1261" s="41" t="s">
        <v>144</v>
      </c>
      <c r="E1261" s="147" t="s">
        <v>7604</v>
      </c>
      <c r="F1261" s="988" t="s">
        <v>7605</v>
      </c>
      <c r="G1261" s="147" t="s">
        <v>144</v>
      </c>
      <c r="H1261" s="472">
        <v>45690.0</v>
      </c>
      <c r="I1261" s="1358">
        <v>45693.0</v>
      </c>
      <c r="J1261" s="147" t="s">
        <v>7619</v>
      </c>
      <c r="K1261" s="60"/>
      <c r="L1261" s="1360" t="s">
        <v>7607</v>
      </c>
      <c r="M1261" s="412" t="s">
        <v>7608</v>
      </c>
      <c r="N1261" s="144">
        <v>1.0</v>
      </c>
      <c r="O1261" s="145" t="s">
        <v>7609</v>
      </c>
      <c r="P1261" s="48" t="str">
        <f t="array" ref="P1261">HYPERLINK(INDEX('File Links'!B:B, MATCH(O1261, 'File Links'!C:C, 0)))
</f>
        <v>https://drive.google.com/file/d/1fP-Dr1DLCnPl-2Ya6EGtFK2aCF6SWr93/view?usp=drivesdk</v>
      </c>
      <c r="Q1261" s="147" t="s">
        <v>7610</v>
      </c>
      <c r="R1261" s="412" t="s">
        <v>7139</v>
      </c>
      <c r="S1261" s="60"/>
      <c r="T1261" s="327">
        <v>1.0</v>
      </c>
      <c r="U1261" s="145" t="s">
        <v>7140</v>
      </c>
      <c r="V1261" s="412" t="s">
        <v>155</v>
      </c>
      <c r="W1261" s="50" t="str">
        <f t="array" ref="W1261">HYPERLINK(INDEX('File Links'!B:B, MATCH(U1261, 'File Links'!C:C, 0)))
</f>
        <v>https://drive.google.com/file/d/1UMAh9VGta6ExS2-Lb6GkDF4fmnI2EMeM/view?usp=drivesdk</v>
      </c>
      <c r="X1261" s="60"/>
      <c r="Y1261" s="147" t="s">
        <v>139</v>
      </c>
      <c r="Z1261" s="147" t="s">
        <v>7620</v>
      </c>
      <c r="AA1261" s="147" t="s">
        <v>7621</v>
      </c>
      <c r="AB1261" s="60" t="s">
        <v>7622</v>
      </c>
      <c r="AC1261" s="147" t="s">
        <v>7623</v>
      </c>
      <c r="AD1261" s="327">
        <v>11.0</v>
      </c>
      <c r="AE1261" s="144">
        <v>68.0</v>
      </c>
      <c r="AF1261" s="327" t="s">
        <v>7624</v>
      </c>
      <c r="AG1261" s="147" t="s">
        <v>162</v>
      </c>
      <c r="AH1261" s="60" t="s">
        <v>299</v>
      </c>
      <c r="AI1261" s="328">
        <v>0.05</v>
      </c>
      <c r="AJ1261" s="52" t="s">
        <v>127</v>
      </c>
      <c r="AK1261" s="52" t="s">
        <v>179</v>
      </c>
      <c r="AL1261" s="1368" t="s">
        <v>129</v>
      </c>
      <c r="AM1261" s="1363" t="s">
        <v>165</v>
      </c>
      <c r="AN1261" s="327">
        <v>153.0</v>
      </c>
      <c r="AO1261" s="327" t="s">
        <v>7617</v>
      </c>
      <c r="AP1261" s="147" t="s">
        <v>162</v>
      </c>
      <c r="AQ1261" s="60" t="s">
        <v>131</v>
      </c>
      <c r="AR1261" s="327">
        <v>0.21</v>
      </c>
      <c r="AS1261" s="60" t="s">
        <v>164</v>
      </c>
      <c r="AT1261" s="147" t="s">
        <v>128</v>
      </c>
      <c r="AU1261" s="1368" t="s">
        <v>129</v>
      </c>
      <c r="AV1261" s="410" t="s">
        <v>7625</v>
      </c>
      <c r="AW1261" s="60" t="s">
        <v>134</v>
      </c>
      <c r="AY1261" s="60" t="s">
        <v>1455</v>
      </c>
    </row>
    <row r="1262">
      <c r="A1262" s="60" t="s">
        <v>143</v>
      </c>
      <c r="B1262" s="41" t="s">
        <v>107</v>
      </c>
      <c r="C1262" s="41" t="s">
        <v>1455</v>
      </c>
      <c r="E1262" s="147" t="s">
        <v>7626</v>
      </c>
      <c r="F1262" s="988" t="s">
        <v>7627</v>
      </c>
      <c r="G1262" s="147" t="s">
        <v>7628</v>
      </c>
      <c r="H1262" s="472">
        <v>45690.0</v>
      </c>
      <c r="I1262" s="1358">
        <v>45693.0</v>
      </c>
      <c r="J1262" s="60" t="s">
        <v>7629</v>
      </c>
      <c r="K1262" s="60" t="s">
        <v>7630</v>
      </c>
      <c r="L1262" s="1360" t="s">
        <v>7631</v>
      </c>
      <c r="M1262" s="412" t="s">
        <v>7632</v>
      </c>
      <c r="N1262" s="327">
        <v>1.0</v>
      </c>
      <c r="O1262" s="145" t="s">
        <v>7633</v>
      </c>
      <c r="P1262" s="48" t="str">
        <f t="array" ref="P1262">HYPERLINK(INDEX('File Links'!B:B, MATCH(O1262, 'File Links'!C:C, 0)))
</f>
        <v>https://drive.google.com/file/d/1iTGkXjtQ0EE8-v45xZZ-Yv9zhQVAt2Pn/view?usp=drivesdk</v>
      </c>
      <c r="Q1262" s="147" t="s">
        <v>7634</v>
      </c>
      <c r="R1262" s="412" t="s">
        <v>7139</v>
      </c>
      <c r="S1262" s="60"/>
      <c r="T1262" s="327">
        <v>1.0</v>
      </c>
      <c r="U1262" s="145" t="s">
        <v>7140</v>
      </c>
      <c r="V1262" s="60" t="s">
        <v>155</v>
      </c>
      <c r="W1262" s="1361" t="s">
        <v>7635</v>
      </c>
      <c r="X1262" s="60"/>
      <c r="Y1262" s="60" t="s">
        <v>139</v>
      </c>
      <c r="Z1262" s="60" t="s">
        <v>7636</v>
      </c>
      <c r="AA1262" s="147" t="s">
        <v>7637</v>
      </c>
      <c r="AB1262" s="147" t="s">
        <v>7638</v>
      </c>
      <c r="AC1262" s="60" t="s">
        <v>7639</v>
      </c>
      <c r="AD1262" s="327">
        <v>5.0</v>
      </c>
      <c r="AE1262" s="144">
        <v>240.0</v>
      </c>
      <c r="AF1262" s="60" t="s">
        <v>7640</v>
      </c>
      <c r="AG1262" s="60" t="s">
        <v>162</v>
      </c>
      <c r="AH1262" s="60" t="s">
        <v>892</v>
      </c>
      <c r="AI1262" s="328">
        <v>0.001</v>
      </c>
      <c r="AJ1262" s="55" t="s">
        <v>127</v>
      </c>
      <c r="AK1262" s="55" t="s">
        <v>179</v>
      </c>
      <c r="AL1262" s="60" t="s">
        <v>132</v>
      </c>
      <c r="AM1262" s="1363" t="s">
        <v>165</v>
      </c>
      <c r="AN1262" s="327">
        <v>270.0</v>
      </c>
      <c r="AO1262" s="327">
        <v>0.0</v>
      </c>
      <c r="AP1262" s="60" t="s">
        <v>1785</v>
      </c>
      <c r="AQ1262" s="60" t="s">
        <v>609</v>
      </c>
      <c r="AR1262" s="327">
        <v>0.991</v>
      </c>
      <c r="AS1262" s="60" t="s">
        <v>164</v>
      </c>
      <c r="AT1262" s="60" t="s">
        <v>179</v>
      </c>
      <c r="AU1262" s="60" t="s">
        <v>132</v>
      </c>
      <c r="AV1262" s="410" t="s">
        <v>7641</v>
      </c>
      <c r="AW1262" s="60" t="s">
        <v>134</v>
      </c>
      <c r="AY1262" s="60" t="s">
        <v>1455</v>
      </c>
    </row>
    <row r="1263">
      <c r="A1263" s="60" t="s">
        <v>106</v>
      </c>
      <c r="B1263" s="41" t="s">
        <v>107</v>
      </c>
      <c r="C1263" s="41" t="s">
        <v>144</v>
      </c>
      <c r="E1263" s="147" t="s">
        <v>7626</v>
      </c>
      <c r="F1263" s="988" t="s">
        <v>7627</v>
      </c>
      <c r="G1263" s="147" t="s">
        <v>144</v>
      </c>
      <c r="H1263" s="472">
        <v>45690.0</v>
      </c>
      <c r="I1263" s="1358">
        <v>45693.0</v>
      </c>
      <c r="J1263" s="147" t="s">
        <v>7642</v>
      </c>
      <c r="K1263" s="60"/>
      <c r="L1263" s="1360" t="s">
        <v>7631</v>
      </c>
      <c r="M1263" s="147" t="s">
        <v>7632</v>
      </c>
      <c r="N1263" s="144">
        <v>1.0</v>
      </c>
      <c r="O1263" s="145" t="s">
        <v>7633</v>
      </c>
      <c r="P1263" s="48" t="str">
        <f t="array" ref="P1263">HYPERLINK(INDEX('File Links'!B:B, MATCH(O1263, 'File Links'!C:C, 0)))
</f>
        <v>https://drive.google.com/file/d/1iTGkXjtQ0EE8-v45xZZ-Yv9zhQVAt2Pn/view?usp=drivesdk</v>
      </c>
      <c r="Q1263" s="147" t="s">
        <v>7634</v>
      </c>
      <c r="R1263" s="147" t="s">
        <v>7139</v>
      </c>
      <c r="S1263" s="60"/>
      <c r="T1263" s="327">
        <v>1.0</v>
      </c>
      <c r="U1263" s="145" t="s">
        <v>7140</v>
      </c>
      <c r="V1263" s="147" t="s">
        <v>155</v>
      </c>
      <c r="W1263" s="50" t="str">
        <f t="array" ref="W1263">HYPERLINK(INDEX('File Links'!B:B, MATCH(U1263, 'File Links'!C:C, 0)))
</f>
        <v>https://drive.google.com/file/d/1UMAh9VGta6ExS2-Lb6GkDF4fmnI2EMeM/view?usp=drivesdk</v>
      </c>
      <c r="X1263" s="60"/>
      <c r="Y1263" s="147" t="s">
        <v>139</v>
      </c>
      <c r="Z1263" s="147" t="s">
        <v>7636</v>
      </c>
      <c r="AA1263" s="147" t="s">
        <v>7643</v>
      </c>
      <c r="AB1263" s="147" t="s">
        <v>7644</v>
      </c>
      <c r="AC1263" s="147" t="s">
        <v>7645</v>
      </c>
      <c r="AD1263" s="144">
        <v>5.0</v>
      </c>
      <c r="AE1263" s="144">
        <v>240.0</v>
      </c>
      <c r="AF1263" s="147" t="s">
        <v>7646</v>
      </c>
      <c r="AG1263" s="147" t="s">
        <v>162</v>
      </c>
      <c r="AH1263" s="147" t="s">
        <v>892</v>
      </c>
      <c r="AI1263" s="328">
        <v>0.001</v>
      </c>
      <c r="AJ1263" s="52" t="s">
        <v>127</v>
      </c>
      <c r="AK1263" s="52" t="s">
        <v>179</v>
      </c>
      <c r="AL1263" s="60" t="s">
        <v>132</v>
      </c>
      <c r="AM1263" s="1363" t="s">
        <v>165</v>
      </c>
      <c r="AN1263" s="144">
        <v>270.0</v>
      </c>
      <c r="AO1263" s="144">
        <v>0.0</v>
      </c>
      <c r="AP1263" s="1371" t="s">
        <v>130</v>
      </c>
      <c r="AQ1263" s="147" t="s">
        <v>609</v>
      </c>
      <c r="AR1263" s="144">
        <v>0.991</v>
      </c>
      <c r="AS1263" s="147" t="s">
        <v>164</v>
      </c>
      <c r="AT1263" s="147" t="s">
        <v>179</v>
      </c>
      <c r="AU1263" s="60" t="s">
        <v>132</v>
      </c>
      <c r="AV1263" s="410" t="s">
        <v>7641</v>
      </c>
      <c r="AW1263" s="1368" t="s">
        <v>142</v>
      </c>
      <c r="AY1263" s="60" t="s">
        <v>1455</v>
      </c>
    </row>
    <row r="1264">
      <c r="A1264" s="60" t="s">
        <v>143</v>
      </c>
      <c r="B1264" s="41" t="s">
        <v>107</v>
      </c>
      <c r="C1264" s="41" t="s">
        <v>1455</v>
      </c>
      <c r="E1264" s="147" t="s">
        <v>7647</v>
      </c>
      <c r="F1264" s="988" t="s">
        <v>7648</v>
      </c>
      <c r="G1264" s="147" t="s">
        <v>7649</v>
      </c>
      <c r="H1264" s="472">
        <v>45690.0</v>
      </c>
      <c r="I1264" s="1358">
        <v>45693.0</v>
      </c>
      <c r="J1264" s="60" t="s">
        <v>7650</v>
      </c>
      <c r="K1264" s="60"/>
      <c r="L1264" s="1360" t="s">
        <v>7651</v>
      </c>
      <c r="M1264" s="412" t="s">
        <v>7105</v>
      </c>
      <c r="N1264" s="327">
        <v>4.0</v>
      </c>
      <c r="O1264" s="145" t="s">
        <v>7652</v>
      </c>
      <c r="P1264" s="48" t="str">
        <f t="array" ref="P1264">HYPERLINK(INDEX('File Links'!B:B, MATCH(O1264, 'File Links'!C:C, 0)))
</f>
        <v>https://drive.google.com/file/d/14KU35or-OxTWODmUyKwRoB3qwuTQZobO/view?usp=drivesdk</v>
      </c>
      <c r="Q1264" s="147" t="s">
        <v>7653</v>
      </c>
      <c r="R1264" s="412" t="s">
        <v>7139</v>
      </c>
      <c r="S1264" s="60"/>
      <c r="T1264" s="327" t="s">
        <v>7653</v>
      </c>
      <c r="U1264" s="145" t="s">
        <v>7140</v>
      </c>
      <c r="V1264" s="60" t="s">
        <v>155</v>
      </c>
      <c r="W1264" s="1361" t="s">
        <v>7654</v>
      </c>
      <c r="X1264" s="60"/>
      <c r="Y1264" s="60" t="s">
        <v>220</v>
      </c>
      <c r="Z1264" s="60" t="s">
        <v>7655</v>
      </c>
      <c r="AA1264" s="147" t="s">
        <v>7656</v>
      </c>
      <c r="AB1264" s="1374" t="s">
        <v>7657</v>
      </c>
      <c r="AC1264" s="60" t="s">
        <v>7658</v>
      </c>
      <c r="AD1264" s="327">
        <v>12.0</v>
      </c>
      <c r="AE1264" s="144">
        <v>67.0</v>
      </c>
      <c r="AF1264" s="60" t="s">
        <v>7659</v>
      </c>
      <c r="AG1264" s="60" t="s">
        <v>162</v>
      </c>
      <c r="AH1264" s="60" t="s">
        <v>299</v>
      </c>
      <c r="AI1264" s="328">
        <v>0.01</v>
      </c>
      <c r="AJ1264" s="55" t="s">
        <v>127</v>
      </c>
      <c r="AK1264" s="55" t="s">
        <v>179</v>
      </c>
      <c r="AL1264" s="60" t="s">
        <v>129</v>
      </c>
      <c r="AM1264" s="1363" t="s">
        <v>165</v>
      </c>
      <c r="AN1264" s="327">
        <v>75.0</v>
      </c>
      <c r="AO1264" s="60" t="s">
        <v>7660</v>
      </c>
      <c r="AP1264" s="60" t="s">
        <v>162</v>
      </c>
      <c r="AQ1264" s="60" t="s">
        <v>610</v>
      </c>
      <c r="AR1264" s="327">
        <v>0.1469</v>
      </c>
      <c r="AS1264" s="60" t="s">
        <v>164</v>
      </c>
      <c r="AT1264" s="60" t="s">
        <v>128</v>
      </c>
      <c r="AU1264" s="60" t="s">
        <v>129</v>
      </c>
      <c r="AV1264" s="1361" t="s">
        <v>7661</v>
      </c>
      <c r="AW1264" s="60" t="s">
        <v>134</v>
      </c>
      <c r="AY1264" s="60" t="s">
        <v>1455</v>
      </c>
    </row>
    <row r="1265">
      <c r="A1265" s="60" t="s">
        <v>106</v>
      </c>
      <c r="B1265" s="41" t="s">
        <v>107</v>
      </c>
      <c r="C1265" s="41" t="s">
        <v>144</v>
      </c>
      <c r="E1265" s="147" t="s">
        <v>7647</v>
      </c>
      <c r="F1265" s="988" t="s">
        <v>7662</v>
      </c>
      <c r="G1265" s="147" t="s">
        <v>144</v>
      </c>
      <c r="H1265" s="472">
        <v>45690.0</v>
      </c>
      <c r="I1265" s="1358">
        <v>45693.0</v>
      </c>
      <c r="J1265" s="147" t="s">
        <v>7663</v>
      </c>
      <c r="K1265" s="60"/>
      <c r="L1265" s="1360" t="s">
        <v>7651</v>
      </c>
      <c r="M1265" s="412" t="s">
        <v>7105</v>
      </c>
      <c r="N1265" s="144">
        <v>4.0</v>
      </c>
      <c r="O1265" s="145" t="s">
        <v>7652</v>
      </c>
      <c r="P1265" s="48" t="str">
        <f t="array" ref="P1265">HYPERLINK(INDEX('File Links'!B:B, MATCH(O1265, 'File Links'!C:C, 0)))
</f>
        <v>https://drive.google.com/file/d/14KU35or-OxTWODmUyKwRoB3qwuTQZobO/view?usp=drivesdk</v>
      </c>
      <c r="Q1265" s="147" t="s">
        <v>7653</v>
      </c>
      <c r="R1265" s="412" t="s">
        <v>7139</v>
      </c>
      <c r="S1265" s="60"/>
      <c r="T1265" s="327">
        <v>1.0</v>
      </c>
      <c r="U1265" s="145" t="s">
        <v>7140</v>
      </c>
      <c r="V1265" s="147" t="s">
        <v>155</v>
      </c>
      <c r="W1265" s="50" t="str">
        <f t="array" ref="W1265">HYPERLINK(INDEX('File Links'!B:B, MATCH(U1265, 'File Links'!C:C, 0)))
</f>
        <v>https://drive.google.com/file/d/1UMAh9VGta6ExS2-Lb6GkDF4fmnI2EMeM/view?usp=drivesdk</v>
      </c>
      <c r="X1265" s="60"/>
      <c r="Y1265" s="147" t="s">
        <v>220</v>
      </c>
      <c r="Z1265" s="147" t="s">
        <v>7664</v>
      </c>
      <c r="AA1265" s="147" t="s">
        <v>7665</v>
      </c>
      <c r="AB1265" s="147" t="s">
        <v>7657</v>
      </c>
      <c r="AC1265" s="147" t="s">
        <v>7666</v>
      </c>
      <c r="AD1265" s="144">
        <v>12.0</v>
      </c>
      <c r="AE1265" s="144">
        <v>67.0</v>
      </c>
      <c r="AF1265" s="144" t="s">
        <v>7659</v>
      </c>
      <c r="AG1265" s="147" t="s">
        <v>162</v>
      </c>
      <c r="AH1265" s="147" t="s">
        <v>299</v>
      </c>
      <c r="AI1265" s="646">
        <v>0.01</v>
      </c>
      <c r="AJ1265" s="52" t="s">
        <v>127</v>
      </c>
      <c r="AK1265" s="52" t="s">
        <v>179</v>
      </c>
      <c r="AL1265" s="60" t="s">
        <v>129</v>
      </c>
      <c r="AM1265" s="1363" t="s">
        <v>165</v>
      </c>
      <c r="AN1265" s="327">
        <v>75.0</v>
      </c>
      <c r="AO1265" s="327" t="s">
        <v>7660</v>
      </c>
      <c r="AP1265" s="1371" t="s">
        <v>166</v>
      </c>
      <c r="AQ1265" s="147" t="s">
        <v>299</v>
      </c>
      <c r="AR1265" s="1372">
        <v>0.05</v>
      </c>
      <c r="AS1265" s="147" t="s">
        <v>329</v>
      </c>
      <c r="AT1265" s="147" t="s">
        <v>128</v>
      </c>
      <c r="AU1265" s="60" t="s">
        <v>129</v>
      </c>
      <c r="AV1265" s="410" t="s">
        <v>7667</v>
      </c>
      <c r="AW1265" s="60" t="s">
        <v>134</v>
      </c>
      <c r="AY1265" s="60" t="s">
        <v>1455</v>
      </c>
    </row>
    <row r="1266">
      <c r="A1266" s="60" t="s">
        <v>106</v>
      </c>
      <c r="B1266" s="41" t="s">
        <v>107</v>
      </c>
      <c r="C1266" s="41" t="s">
        <v>1455</v>
      </c>
      <c r="E1266" s="147" t="s">
        <v>7668</v>
      </c>
      <c r="F1266" s="988" t="s">
        <v>7669</v>
      </c>
      <c r="G1266" s="147" t="s">
        <v>7670</v>
      </c>
      <c r="H1266" s="472">
        <v>45690.0</v>
      </c>
      <c r="I1266" s="1358">
        <v>45693.0</v>
      </c>
      <c r="J1266" s="60"/>
      <c r="K1266" s="60"/>
      <c r="L1266" s="1360" t="s">
        <v>7671</v>
      </c>
      <c r="M1266" s="147" t="s">
        <v>7672</v>
      </c>
      <c r="N1266" s="327">
        <v>4.0</v>
      </c>
      <c r="O1266" s="145" t="s">
        <v>7673</v>
      </c>
      <c r="P1266" s="48" t="str">
        <f t="array" ref="P1266">HYPERLINK(INDEX('File Links'!B:B, MATCH(O1266, 'File Links'!C:C, 0)))
</f>
        <v>https://drive.google.com/file/d/1yQorPB990ECp--s5Y810aRf0XfraQ5Wv/view?usp=drivesdk</v>
      </c>
      <c r="Q1266" s="147" t="s">
        <v>7674</v>
      </c>
      <c r="R1266" s="147" t="s">
        <v>7139</v>
      </c>
      <c r="S1266" s="60"/>
      <c r="T1266" s="327">
        <v>1.0</v>
      </c>
      <c r="U1266" s="145" t="s">
        <v>7140</v>
      </c>
      <c r="V1266" s="60" t="s">
        <v>155</v>
      </c>
      <c r="W1266" s="1361" t="s">
        <v>7675</v>
      </c>
      <c r="X1266" s="60"/>
      <c r="Y1266" s="60" t="s">
        <v>220</v>
      </c>
      <c r="Z1266" s="60" t="s">
        <v>7676</v>
      </c>
      <c r="AA1266" s="147" t="s">
        <v>7677</v>
      </c>
      <c r="AB1266" s="147" t="s">
        <v>7678</v>
      </c>
      <c r="AC1266" s="60" t="s">
        <v>7679</v>
      </c>
      <c r="AD1266" s="327">
        <v>13.0</v>
      </c>
      <c r="AE1266" s="144">
        <v>70.0</v>
      </c>
      <c r="AF1266" s="60" t="s">
        <v>7680</v>
      </c>
      <c r="AG1266" s="60" t="s">
        <v>162</v>
      </c>
      <c r="AH1266" s="60" t="s">
        <v>432</v>
      </c>
      <c r="AI1266" s="328">
        <v>0.01</v>
      </c>
      <c r="AJ1266" s="55" t="s">
        <v>127</v>
      </c>
      <c r="AK1266" s="55" t="s">
        <v>179</v>
      </c>
      <c r="AL1266" s="60" t="s">
        <v>132</v>
      </c>
      <c r="AM1266" s="1363" t="s">
        <v>165</v>
      </c>
      <c r="AN1266" s="144">
        <v>180.0</v>
      </c>
      <c r="AO1266" s="327">
        <v>0.016</v>
      </c>
      <c r="AP1266" s="60" t="s">
        <v>7681</v>
      </c>
      <c r="AQ1266" s="60" t="s">
        <v>892</v>
      </c>
      <c r="AR1266" s="327">
        <v>0.045</v>
      </c>
      <c r="AS1266" s="60" t="s">
        <v>164</v>
      </c>
      <c r="AT1266" s="60" t="s">
        <v>179</v>
      </c>
      <c r="AU1266" s="60" t="s">
        <v>132</v>
      </c>
      <c r="AV1266" s="115" t="s">
        <v>165</v>
      </c>
      <c r="AW1266" s="60" t="s">
        <v>134</v>
      </c>
      <c r="AY1266" s="60" t="s">
        <v>1455</v>
      </c>
    </row>
    <row r="1267">
      <c r="A1267" s="60" t="s">
        <v>143</v>
      </c>
      <c r="B1267" s="41" t="s">
        <v>107</v>
      </c>
      <c r="C1267" s="41" t="s">
        <v>144</v>
      </c>
      <c r="E1267" s="147" t="s">
        <v>7668</v>
      </c>
      <c r="F1267" s="988" t="s">
        <v>7682</v>
      </c>
      <c r="G1267" s="147" t="s">
        <v>144</v>
      </c>
      <c r="H1267" s="472">
        <v>45690.0</v>
      </c>
      <c r="I1267" s="1358">
        <v>45693.0</v>
      </c>
      <c r="J1267" s="60" t="s">
        <v>7683</v>
      </c>
      <c r="K1267" s="60"/>
      <c r="L1267" s="1360" t="s">
        <v>7671</v>
      </c>
      <c r="M1267" s="412" t="s">
        <v>7672</v>
      </c>
      <c r="N1267" s="144">
        <v>4.0</v>
      </c>
      <c r="O1267" s="145" t="s">
        <v>7673</v>
      </c>
      <c r="P1267" s="48" t="str">
        <f t="array" ref="P1267">HYPERLINK(INDEX('File Links'!B:B, MATCH(O1267, 'File Links'!C:C, 0)))
</f>
        <v>https://drive.google.com/file/d/1yQorPB990ECp--s5Y810aRf0XfraQ5Wv/view?usp=drivesdk</v>
      </c>
      <c r="Q1267" s="147" t="s">
        <v>7674</v>
      </c>
      <c r="R1267" s="412" t="s">
        <v>7139</v>
      </c>
      <c r="S1267" s="60"/>
      <c r="T1267" s="327">
        <v>1.0</v>
      </c>
      <c r="U1267" s="145" t="s">
        <v>7140</v>
      </c>
      <c r="V1267" s="147" t="s">
        <v>155</v>
      </c>
      <c r="W1267" s="1361" t="s">
        <v>7675</v>
      </c>
      <c r="X1267" s="60"/>
      <c r="Y1267" s="147" t="s">
        <v>220</v>
      </c>
      <c r="Z1267" s="147" t="s">
        <v>7684</v>
      </c>
      <c r="AA1267" s="147" t="s">
        <v>7685</v>
      </c>
      <c r="AB1267" s="147" t="s">
        <v>7686</v>
      </c>
      <c r="AC1267" s="1362" t="s">
        <v>7679</v>
      </c>
      <c r="AD1267" s="144">
        <v>13.0</v>
      </c>
      <c r="AE1267" s="144">
        <v>70.0</v>
      </c>
      <c r="AF1267" s="144" t="s">
        <v>7680</v>
      </c>
      <c r="AG1267" s="147" t="s">
        <v>162</v>
      </c>
      <c r="AH1267" s="147" t="s">
        <v>432</v>
      </c>
      <c r="AI1267" s="646">
        <v>0.01</v>
      </c>
      <c r="AJ1267" s="52" t="s">
        <v>127</v>
      </c>
      <c r="AK1267" s="52" t="s">
        <v>179</v>
      </c>
      <c r="AL1267" s="60" t="s">
        <v>132</v>
      </c>
      <c r="AM1267" s="1363" t="s">
        <v>165</v>
      </c>
      <c r="AN1267" s="327">
        <v>180.0</v>
      </c>
      <c r="AO1267" s="327">
        <v>0.016</v>
      </c>
      <c r="AP1267" s="147" t="s">
        <v>7687</v>
      </c>
      <c r="AQ1267" s="147" t="s">
        <v>892</v>
      </c>
      <c r="AR1267" s="144">
        <v>0.045</v>
      </c>
      <c r="AS1267" s="147" t="s">
        <v>164</v>
      </c>
      <c r="AT1267" s="147" t="s">
        <v>179</v>
      </c>
      <c r="AU1267" s="60" t="s">
        <v>132</v>
      </c>
      <c r="AV1267" s="410" t="s">
        <v>7688</v>
      </c>
      <c r="AW1267" s="60" t="s">
        <v>134</v>
      </c>
      <c r="AY1267" s="60" t="s">
        <v>1455</v>
      </c>
    </row>
    <row r="1268">
      <c r="A1268" s="60" t="s">
        <v>106</v>
      </c>
      <c r="B1268" s="41" t="s">
        <v>107</v>
      </c>
      <c r="C1268" s="41" t="s">
        <v>1455</v>
      </c>
      <c r="E1268" s="147" t="s">
        <v>7689</v>
      </c>
      <c r="F1268" s="988" t="s">
        <v>7690</v>
      </c>
      <c r="G1268" s="147" t="s">
        <v>7691</v>
      </c>
      <c r="H1268" s="472">
        <v>45690.0</v>
      </c>
      <c r="I1268" s="1358">
        <v>45693.0</v>
      </c>
      <c r="J1268" s="60" t="s">
        <v>7692</v>
      </c>
      <c r="K1268" s="60"/>
      <c r="L1268" s="1360" t="s">
        <v>7693</v>
      </c>
      <c r="M1268" s="412" t="s">
        <v>7694</v>
      </c>
      <c r="N1268" s="60"/>
      <c r="O1268" s="145" t="s">
        <v>7695</v>
      </c>
      <c r="P1268" s="48" t="str">
        <f t="array" ref="P1268">HYPERLINK(INDEX('File Links'!B:B, MATCH(O1268, 'File Links'!C:C, 0)))
</f>
        <v>https://drive.google.com/file/d/1_PDJ9HJdyc65HgAxy4hirK9FdTGjmJt6/view?usp=drivesdk</v>
      </c>
      <c r="Q1268" s="147" t="s">
        <v>7696</v>
      </c>
      <c r="R1268" s="412" t="s">
        <v>7139</v>
      </c>
      <c r="S1268" s="60"/>
      <c r="T1268" s="327">
        <v>1.0</v>
      </c>
      <c r="U1268" s="145" t="s">
        <v>7140</v>
      </c>
      <c r="V1268" s="60" t="s">
        <v>7697</v>
      </c>
      <c r="W1268" s="1361" t="s">
        <v>7698</v>
      </c>
      <c r="X1268" s="60"/>
      <c r="Y1268" s="60" t="s">
        <v>220</v>
      </c>
      <c r="Z1268" s="60" t="s">
        <v>7699</v>
      </c>
      <c r="AA1268" s="147" t="s">
        <v>7700</v>
      </c>
      <c r="AB1268" s="147" t="s">
        <v>7701</v>
      </c>
      <c r="AC1268" s="60" t="s">
        <v>7702</v>
      </c>
      <c r="AD1268" s="327">
        <v>7.0</v>
      </c>
      <c r="AE1268" s="144">
        <v>230047.0</v>
      </c>
      <c r="AF1268" s="60" t="s">
        <v>7703</v>
      </c>
      <c r="AG1268" s="60" t="s">
        <v>162</v>
      </c>
      <c r="AH1268" s="60" t="s">
        <v>125</v>
      </c>
      <c r="AI1268" s="328">
        <v>0.001</v>
      </c>
      <c r="AJ1268" s="55" t="s">
        <v>127</v>
      </c>
      <c r="AK1268" s="55" t="s">
        <v>211</v>
      </c>
      <c r="AL1268" s="60" t="s">
        <v>129</v>
      </c>
      <c r="AM1268" s="1363" t="s">
        <v>165</v>
      </c>
      <c r="AN1268" s="327">
        <v>455326.0</v>
      </c>
      <c r="AO1268" s="60" t="s">
        <v>7704</v>
      </c>
      <c r="AP1268" s="60" t="s">
        <v>162</v>
      </c>
      <c r="AQ1268" s="60" t="s">
        <v>210</v>
      </c>
      <c r="AR1268" s="327">
        <v>2.2E-16</v>
      </c>
      <c r="AS1268" s="60" t="s">
        <v>164</v>
      </c>
      <c r="AT1268" s="60" t="s">
        <v>179</v>
      </c>
      <c r="AU1268" s="60" t="s">
        <v>129</v>
      </c>
      <c r="AV1268" s="115" t="s">
        <v>165</v>
      </c>
      <c r="AW1268" s="60" t="s">
        <v>134</v>
      </c>
      <c r="AY1268" s="60" t="s">
        <v>1455</v>
      </c>
    </row>
    <row r="1269">
      <c r="A1269" s="60" t="s">
        <v>143</v>
      </c>
      <c r="B1269" s="41" t="s">
        <v>107</v>
      </c>
      <c r="C1269" s="41" t="s">
        <v>144</v>
      </c>
      <c r="E1269" s="147" t="s">
        <v>7689</v>
      </c>
      <c r="F1269" s="988" t="s">
        <v>7690</v>
      </c>
      <c r="G1269" s="147" t="s">
        <v>7705</v>
      </c>
      <c r="H1269" s="472">
        <v>45690.0</v>
      </c>
      <c r="I1269" s="1358">
        <v>45693.0</v>
      </c>
      <c r="J1269" s="147" t="s">
        <v>7706</v>
      </c>
      <c r="K1269" s="60"/>
      <c r="L1269" s="1360" t="s">
        <v>7693</v>
      </c>
      <c r="M1269" s="147" t="s">
        <v>7694</v>
      </c>
      <c r="N1269" s="144">
        <v>1.0</v>
      </c>
      <c r="O1269" s="145" t="s">
        <v>7695</v>
      </c>
      <c r="P1269" s="48" t="str">
        <f t="array" ref="P1269">HYPERLINK(INDEX('File Links'!B:B, MATCH(O1269, 'File Links'!C:C, 0)))
</f>
        <v>https://drive.google.com/file/d/1_PDJ9HJdyc65HgAxy4hirK9FdTGjmJt6/view?usp=drivesdk</v>
      </c>
      <c r="Q1269" s="147" t="s">
        <v>7696</v>
      </c>
      <c r="R1269" s="147" t="s">
        <v>7139</v>
      </c>
      <c r="S1269" s="60"/>
      <c r="T1269" s="327">
        <v>1.0</v>
      </c>
      <c r="U1269" s="145" t="s">
        <v>7140</v>
      </c>
      <c r="V1269" s="147" t="s">
        <v>7707</v>
      </c>
      <c r="W1269" s="1361" t="s">
        <v>7698</v>
      </c>
      <c r="X1269" s="60"/>
      <c r="Y1269" s="147" t="s">
        <v>220</v>
      </c>
      <c r="Z1269" s="147" t="s">
        <v>7708</v>
      </c>
      <c r="AA1269" s="147" t="s">
        <v>7709</v>
      </c>
      <c r="AB1269" s="147" t="s">
        <v>7710</v>
      </c>
      <c r="AC1269" s="147" t="s">
        <v>7711</v>
      </c>
      <c r="AD1269" s="144">
        <v>7.0</v>
      </c>
      <c r="AE1269" s="144">
        <v>230047.0</v>
      </c>
      <c r="AF1269" s="147" t="s">
        <v>7703</v>
      </c>
      <c r="AG1269" s="147" t="s">
        <v>162</v>
      </c>
      <c r="AH1269" s="147" t="s">
        <v>125</v>
      </c>
      <c r="AI1269" s="328">
        <v>0.001</v>
      </c>
      <c r="AJ1269" s="52" t="s">
        <v>127</v>
      </c>
      <c r="AK1269" s="52" t="s">
        <v>211</v>
      </c>
      <c r="AL1269" s="60" t="s">
        <v>129</v>
      </c>
      <c r="AM1269" s="1363" t="s">
        <v>165</v>
      </c>
      <c r="AN1269" s="144">
        <v>455326.0</v>
      </c>
      <c r="AO1269" s="147" t="s">
        <v>7704</v>
      </c>
      <c r="AP1269" s="147" t="s">
        <v>162</v>
      </c>
      <c r="AQ1269" s="147" t="s">
        <v>210</v>
      </c>
      <c r="AR1269" s="144">
        <v>0.0</v>
      </c>
      <c r="AS1269" s="147" t="s">
        <v>164</v>
      </c>
      <c r="AT1269" s="147" t="s">
        <v>179</v>
      </c>
      <c r="AU1269" s="60" t="s">
        <v>129</v>
      </c>
      <c r="AV1269" s="410" t="s">
        <v>7712</v>
      </c>
      <c r="AW1269" s="60" t="s">
        <v>142</v>
      </c>
      <c r="AY1269" s="60" t="s">
        <v>1455</v>
      </c>
    </row>
    <row r="1270">
      <c r="A1270" s="60" t="s">
        <v>143</v>
      </c>
      <c r="B1270" s="41" t="s">
        <v>107</v>
      </c>
      <c r="C1270" s="41" t="s">
        <v>1455</v>
      </c>
      <c r="E1270" s="147" t="s">
        <v>7713</v>
      </c>
      <c r="F1270" s="988" t="s">
        <v>7714</v>
      </c>
      <c r="G1270" s="147" t="s">
        <v>7715</v>
      </c>
      <c r="H1270" s="472">
        <v>45690.0</v>
      </c>
      <c r="I1270" s="1358">
        <v>45693.0</v>
      </c>
      <c r="J1270" s="60"/>
      <c r="K1270" s="60"/>
      <c r="L1270" s="1360" t="s">
        <v>7716</v>
      </c>
      <c r="M1270" s="147" t="s">
        <v>7717</v>
      </c>
      <c r="N1270" s="327">
        <v>6.0</v>
      </c>
      <c r="O1270" s="145" t="s">
        <v>7718</v>
      </c>
      <c r="P1270" s="48" t="str">
        <f t="array" ref="P1270">HYPERLINK(INDEX('File Links'!B:B, MATCH(O1270, 'File Links'!C:C, 0)))
</f>
        <v>https://drive.google.com/file/d/1uUa0wmROI0qE2xnTwxRVDmnwcW2lORPw/view?usp=drivesdk</v>
      </c>
      <c r="Q1270" s="147" t="s">
        <v>7719</v>
      </c>
      <c r="R1270" s="147" t="s">
        <v>7139</v>
      </c>
      <c r="S1270" s="60"/>
      <c r="T1270" s="327">
        <v>1.0</v>
      </c>
      <c r="U1270" s="145" t="s">
        <v>7140</v>
      </c>
      <c r="V1270" s="60" t="s">
        <v>3501</v>
      </c>
      <c r="W1270" s="1361" t="s">
        <v>7720</v>
      </c>
      <c r="X1270" s="60"/>
      <c r="Y1270" s="60" t="s">
        <v>220</v>
      </c>
      <c r="Z1270" s="60" t="s">
        <v>7721</v>
      </c>
      <c r="AA1270" s="147" t="s">
        <v>7722</v>
      </c>
      <c r="AB1270" s="1365" t="s">
        <v>7723</v>
      </c>
      <c r="AC1270" s="60" t="s">
        <v>7724</v>
      </c>
      <c r="AD1270" s="327">
        <v>16.0</v>
      </c>
      <c r="AE1270" s="144">
        <v>100.0</v>
      </c>
      <c r="AF1270" s="327">
        <v>-32.04</v>
      </c>
      <c r="AG1270" s="60" t="s">
        <v>1006</v>
      </c>
      <c r="AH1270" s="60" t="s">
        <v>7725</v>
      </c>
      <c r="AI1270" s="328">
        <v>0.03</v>
      </c>
      <c r="AJ1270" s="55" t="s">
        <v>164</v>
      </c>
      <c r="AK1270" s="55" t="s">
        <v>179</v>
      </c>
      <c r="AL1270" s="60" t="s">
        <v>132</v>
      </c>
      <c r="AM1270" s="1363" t="s">
        <v>165</v>
      </c>
      <c r="AN1270" s="144">
        <v>200.0</v>
      </c>
      <c r="AO1270" s="327">
        <v>0.05</v>
      </c>
      <c r="AP1270" s="60" t="s">
        <v>7726</v>
      </c>
      <c r="AQ1270" s="60" t="s">
        <v>625</v>
      </c>
      <c r="AR1270" s="327">
        <v>0.47</v>
      </c>
      <c r="AS1270" s="60" t="s">
        <v>164</v>
      </c>
      <c r="AT1270" s="60" t="s">
        <v>128</v>
      </c>
      <c r="AU1270" s="60" t="s">
        <v>132</v>
      </c>
      <c r="AV1270" s="410" t="s">
        <v>7727</v>
      </c>
      <c r="AW1270" s="60" t="s">
        <v>134</v>
      </c>
      <c r="AY1270" s="60" t="s">
        <v>1455</v>
      </c>
    </row>
    <row r="1271">
      <c r="A1271" s="60" t="s">
        <v>106</v>
      </c>
      <c r="B1271" s="41" t="s">
        <v>107</v>
      </c>
      <c r="C1271" s="41" t="s">
        <v>144</v>
      </c>
      <c r="E1271" s="147" t="s">
        <v>7713</v>
      </c>
      <c r="F1271" s="988" t="s">
        <v>7728</v>
      </c>
      <c r="G1271" s="147" t="s">
        <v>144</v>
      </c>
      <c r="H1271" s="472">
        <v>45690.0</v>
      </c>
      <c r="I1271" s="1358">
        <v>45693.0</v>
      </c>
      <c r="J1271" s="147" t="s">
        <v>7729</v>
      </c>
      <c r="K1271" s="60"/>
      <c r="L1271" s="1360" t="s">
        <v>7716</v>
      </c>
      <c r="M1271" s="147" t="s">
        <v>7717</v>
      </c>
      <c r="N1271" s="144">
        <v>6.0</v>
      </c>
      <c r="O1271" s="145" t="s">
        <v>7718</v>
      </c>
      <c r="P1271" s="48" t="str">
        <f t="array" ref="P1271">HYPERLINK(INDEX('File Links'!B:B, MATCH(O1271, 'File Links'!C:C, 0)))
</f>
        <v>https://drive.google.com/file/d/1uUa0wmROI0qE2xnTwxRVDmnwcW2lORPw/view?usp=drivesdk</v>
      </c>
      <c r="Q1271" s="147" t="s">
        <v>7719</v>
      </c>
      <c r="R1271" s="147" t="s">
        <v>7139</v>
      </c>
      <c r="S1271" s="60"/>
      <c r="T1271" s="327">
        <v>1.0</v>
      </c>
      <c r="U1271" s="145" t="s">
        <v>7140</v>
      </c>
      <c r="V1271" s="147" t="s">
        <v>3501</v>
      </c>
      <c r="W1271" s="50" t="str">
        <f t="array" ref="W1271">HYPERLINK(INDEX('File Links'!B:B, MATCH(U1271, 'File Links'!C:C, 0)))
</f>
        <v>https://drive.google.com/file/d/1UMAh9VGta6ExS2-Lb6GkDF4fmnI2EMeM/view?usp=drivesdk</v>
      </c>
      <c r="X1271" s="60"/>
      <c r="Y1271" s="147" t="s">
        <v>220</v>
      </c>
      <c r="Z1271" s="147" t="s">
        <v>7721</v>
      </c>
      <c r="AA1271" s="147" t="s">
        <v>7730</v>
      </c>
      <c r="AB1271" s="147" t="s">
        <v>7723</v>
      </c>
      <c r="AC1271" s="147" t="s">
        <v>7731</v>
      </c>
      <c r="AD1271" s="144">
        <v>16.0</v>
      </c>
      <c r="AE1271" s="144">
        <v>100.0</v>
      </c>
      <c r="AF1271" s="144">
        <v>-32.04</v>
      </c>
      <c r="AG1271" s="147" t="s">
        <v>1006</v>
      </c>
      <c r="AH1271" s="147" t="s">
        <v>175</v>
      </c>
      <c r="AI1271" s="328">
        <v>0.03</v>
      </c>
      <c r="AJ1271" s="52" t="s">
        <v>164</v>
      </c>
      <c r="AK1271" s="52" t="s">
        <v>179</v>
      </c>
      <c r="AL1271" s="1368" t="s">
        <v>129</v>
      </c>
      <c r="AM1271" s="1363" t="s">
        <v>165</v>
      </c>
      <c r="AN1271" s="144">
        <v>200.0</v>
      </c>
      <c r="AO1271" s="144">
        <v>0.05</v>
      </c>
      <c r="AP1271" s="147" t="s">
        <v>7732</v>
      </c>
      <c r="AQ1271" s="147" t="s">
        <v>625</v>
      </c>
      <c r="AR1271" s="144">
        <v>0.47</v>
      </c>
      <c r="AS1271" s="147" t="s">
        <v>164</v>
      </c>
      <c r="AT1271" s="147" t="s">
        <v>128</v>
      </c>
      <c r="AU1271" s="60" t="s">
        <v>132</v>
      </c>
      <c r="AV1271" s="410" t="s">
        <v>7727</v>
      </c>
      <c r="AW1271" s="60" t="s">
        <v>134</v>
      </c>
      <c r="AY1271" s="60" t="s">
        <v>1455</v>
      </c>
    </row>
    <row r="1272">
      <c r="A1272" s="60" t="s">
        <v>143</v>
      </c>
      <c r="B1272" s="41" t="s">
        <v>107</v>
      </c>
      <c r="C1272" s="41" t="s">
        <v>1455</v>
      </c>
      <c r="E1272" s="147" t="s">
        <v>7733</v>
      </c>
      <c r="F1272" s="988" t="s">
        <v>7734</v>
      </c>
      <c r="G1272" s="147" t="s">
        <v>7735</v>
      </c>
      <c r="H1272" s="472">
        <v>45690.0</v>
      </c>
      <c r="I1272" s="1358">
        <v>45693.0</v>
      </c>
      <c r="J1272" s="60"/>
      <c r="K1272" s="60" t="s">
        <v>7736</v>
      </c>
      <c r="L1272" s="1360" t="s">
        <v>7737</v>
      </c>
      <c r="M1272" s="412" t="s">
        <v>7738</v>
      </c>
      <c r="N1272" s="327">
        <v>5.0</v>
      </c>
      <c r="O1272" s="145" t="s">
        <v>7739</v>
      </c>
      <c r="P1272" s="48" t="str">
        <f t="array" ref="P1272">HYPERLINK(INDEX('File Links'!B:B, MATCH(O1272, 'File Links'!C:C, 0)))
</f>
        <v>https://drive.google.com/file/d/1HpcHlK2DyzZieaRbX6Fr0ov7Mf_R671v/view?usp=drivesdk</v>
      </c>
      <c r="Q1272" s="147" t="s">
        <v>7740</v>
      </c>
      <c r="R1272" s="412" t="s">
        <v>7139</v>
      </c>
      <c r="S1272" s="60"/>
      <c r="T1272" s="1378" t="s">
        <v>7741</v>
      </c>
      <c r="U1272" s="145" t="s">
        <v>7140</v>
      </c>
      <c r="V1272" s="60" t="s">
        <v>155</v>
      </c>
      <c r="W1272" s="1361" t="s">
        <v>7742</v>
      </c>
      <c r="X1272" s="60"/>
      <c r="Y1272" s="60" t="s">
        <v>220</v>
      </c>
      <c r="Z1272" s="60" t="s">
        <v>7743</v>
      </c>
      <c r="AA1272" s="147" t="s">
        <v>7744</v>
      </c>
      <c r="AB1272" s="1365" t="s">
        <v>7745</v>
      </c>
      <c r="AC1272" s="60" t="s">
        <v>7746</v>
      </c>
      <c r="AD1272" s="327">
        <v>8.0</v>
      </c>
      <c r="AE1272" s="144">
        <v>36.0</v>
      </c>
      <c r="AF1272" s="60" t="s">
        <v>7747</v>
      </c>
      <c r="AG1272" s="60" t="s">
        <v>162</v>
      </c>
      <c r="AH1272" s="60" t="s">
        <v>610</v>
      </c>
      <c r="AI1272" s="328">
        <v>0.02</v>
      </c>
      <c r="AJ1272" s="55" t="s">
        <v>164</v>
      </c>
      <c r="AK1272" s="55" t="s">
        <v>179</v>
      </c>
      <c r="AL1272" s="60" t="s">
        <v>129</v>
      </c>
      <c r="AM1272" s="1363" t="s">
        <v>165</v>
      </c>
      <c r="AN1272" s="327">
        <v>88.0</v>
      </c>
      <c r="AO1272" s="60" t="s">
        <v>7748</v>
      </c>
      <c r="AP1272" s="60" t="s">
        <v>162</v>
      </c>
      <c r="AQ1272" s="60" t="s">
        <v>861</v>
      </c>
      <c r="AR1272" s="327">
        <v>0.77</v>
      </c>
      <c r="AS1272" s="60" t="s">
        <v>164</v>
      </c>
      <c r="AT1272" s="60" t="s">
        <v>128</v>
      </c>
      <c r="AU1272" s="60" t="s">
        <v>129</v>
      </c>
      <c r="AV1272" s="410" t="s">
        <v>7749</v>
      </c>
      <c r="AW1272" s="60" t="s">
        <v>134</v>
      </c>
      <c r="AY1272" s="60" t="s">
        <v>1455</v>
      </c>
    </row>
    <row r="1273">
      <c r="A1273" s="60" t="s">
        <v>106</v>
      </c>
      <c r="B1273" s="41" t="s">
        <v>107</v>
      </c>
      <c r="C1273" s="41" t="s">
        <v>144</v>
      </c>
      <c r="E1273" s="147" t="s">
        <v>7733</v>
      </c>
      <c r="F1273" s="988" t="s">
        <v>7734</v>
      </c>
      <c r="G1273" s="147" t="s">
        <v>7750</v>
      </c>
      <c r="H1273" s="472">
        <v>45690.0</v>
      </c>
      <c r="I1273" s="1358">
        <v>45693.0</v>
      </c>
      <c r="J1273" s="147" t="s">
        <v>7751</v>
      </c>
      <c r="K1273" s="60"/>
      <c r="L1273" s="1360" t="s">
        <v>7737</v>
      </c>
      <c r="M1273" s="412" t="s">
        <v>7738</v>
      </c>
      <c r="N1273" s="144">
        <v>5.0</v>
      </c>
      <c r="O1273" s="145" t="s">
        <v>7739</v>
      </c>
      <c r="P1273" s="48" t="str">
        <f t="array" ref="P1273">HYPERLINK(INDEX('File Links'!B:B, MATCH(O1273, 'File Links'!C:C, 0)))
</f>
        <v>https://drive.google.com/file/d/1HpcHlK2DyzZieaRbX6Fr0ov7Mf_R671v/view?usp=drivesdk</v>
      </c>
      <c r="Q1273" s="147" t="s">
        <v>7740</v>
      </c>
      <c r="R1273" s="412" t="s">
        <v>7139</v>
      </c>
      <c r="S1273" s="60"/>
      <c r="T1273" s="327">
        <v>1.0</v>
      </c>
      <c r="U1273" s="145" t="s">
        <v>7140</v>
      </c>
      <c r="V1273" s="147" t="s">
        <v>155</v>
      </c>
      <c r="W1273" s="50" t="str">
        <f t="array" ref="W1273">HYPERLINK(INDEX('File Links'!B:B, MATCH(U1273, 'File Links'!C:C, 0)))
</f>
        <v>https://drive.google.com/file/d/1UMAh9VGta6ExS2-Lb6GkDF4fmnI2EMeM/view?usp=drivesdk</v>
      </c>
      <c r="X1273" s="60"/>
      <c r="Y1273" s="147" t="s">
        <v>220</v>
      </c>
      <c r="Z1273" s="147" t="s">
        <v>7752</v>
      </c>
      <c r="AA1273" s="147" t="s">
        <v>7753</v>
      </c>
      <c r="AB1273" s="147" t="s">
        <v>7745</v>
      </c>
      <c r="AC1273" s="147" t="s">
        <v>7754</v>
      </c>
      <c r="AD1273" s="327">
        <v>8.0</v>
      </c>
      <c r="AE1273" s="327">
        <v>36.0</v>
      </c>
      <c r="AF1273" s="327" t="s">
        <v>7747</v>
      </c>
      <c r="AG1273" s="147" t="s">
        <v>162</v>
      </c>
      <c r="AH1273" s="60" t="s">
        <v>610</v>
      </c>
      <c r="AI1273" s="328">
        <v>0.02</v>
      </c>
      <c r="AJ1273" s="52" t="s">
        <v>164</v>
      </c>
      <c r="AK1273" s="52" t="s">
        <v>179</v>
      </c>
      <c r="AL1273" s="60" t="s">
        <v>129</v>
      </c>
      <c r="AM1273" s="1363" t="s">
        <v>165</v>
      </c>
      <c r="AN1273" s="327">
        <v>88.0</v>
      </c>
      <c r="AO1273" s="327" t="s">
        <v>7755</v>
      </c>
      <c r="AP1273" s="147" t="s">
        <v>162</v>
      </c>
      <c r="AQ1273" s="60" t="s">
        <v>861</v>
      </c>
      <c r="AR1273" s="327">
        <v>0.77</v>
      </c>
      <c r="AS1273" s="147" t="s">
        <v>164</v>
      </c>
      <c r="AT1273" s="147" t="s">
        <v>128</v>
      </c>
      <c r="AU1273" s="60" t="s">
        <v>129</v>
      </c>
      <c r="AV1273" s="410" t="s">
        <v>7756</v>
      </c>
      <c r="AW1273" s="1368" t="s">
        <v>142</v>
      </c>
      <c r="AY1273" s="60" t="s">
        <v>1455</v>
      </c>
    </row>
    <row r="1274">
      <c r="A1274" s="60" t="s">
        <v>143</v>
      </c>
      <c r="B1274" s="41" t="s">
        <v>107</v>
      </c>
      <c r="C1274" s="41" t="s">
        <v>1455</v>
      </c>
      <c r="E1274" s="147" t="s">
        <v>7757</v>
      </c>
      <c r="F1274" s="988" t="s">
        <v>7758</v>
      </c>
      <c r="G1274" s="147" t="s">
        <v>7759</v>
      </c>
      <c r="H1274" s="472">
        <v>45690.0</v>
      </c>
      <c r="I1274" s="1358">
        <v>45693.0</v>
      </c>
      <c r="J1274" s="531" t="s">
        <v>7760</v>
      </c>
      <c r="K1274" s="60"/>
      <c r="L1274" s="1360" t="s">
        <v>7761</v>
      </c>
      <c r="M1274" s="147" t="s">
        <v>7762</v>
      </c>
      <c r="N1274" s="327">
        <v>2.0</v>
      </c>
      <c r="O1274" s="145" t="s">
        <v>7763</v>
      </c>
      <c r="P1274" s="48" t="str">
        <f t="array" ref="P1274">HYPERLINK(INDEX('File Links'!B:B, MATCH(O1274, 'File Links'!C:C, 0)))
</f>
        <v>https://drive.google.com/file/d/1YjgU1oCfPf7_yAtASpZhwJS4TVj_g8CU/view?usp=drivesdk</v>
      </c>
      <c r="Q1274" s="147" t="s">
        <v>7764</v>
      </c>
      <c r="R1274" s="147" t="s">
        <v>7139</v>
      </c>
      <c r="S1274" s="60"/>
      <c r="T1274" s="60" t="s">
        <v>7764</v>
      </c>
      <c r="U1274" s="145" t="s">
        <v>7140</v>
      </c>
      <c r="V1274" s="60" t="s">
        <v>155</v>
      </c>
      <c r="W1274" s="1361" t="s">
        <v>7765</v>
      </c>
      <c r="X1274" s="60"/>
      <c r="Y1274" s="60" t="s">
        <v>139</v>
      </c>
      <c r="Z1274" s="60" t="s">
        <v>7766</v>
      </c>
      <c r="AA1274" s="147" t="s">
        <v>7767</v>
      </c>
      <c r="AB1274" s="1365" t="s">
        <v>7768</v>
      </c>
      <c r="AC1274" s="60" t="s">
        <v>7769</v>
      </c>
      <c r="AD1274" s="327">
        <v>4.0</v>
      </c>
      <c r="AE1274" s="144">
        <v>32.0</v>
      </c>
      <c r="AF1274" s="60" t="s">
        <v>7770</v>
      </c>
      <c r="AG1274" s="60" t="s">
        <v>162</v>
      </c>
      <c r="AH1274" s="60" t="s">
        <v>861</v>
      </c>
      <c r="AI1274" s="329" t="s">
        <v>165</v>
      </c>
      <c r="AJ1274" s="55"/>
      <c r="AK1274" s="55" t="s">
        <v>128</v>
      </c>
      <c r="AL1274" s="60" t="s">
        <v>129</v>
      </c>
      <c r="AM1274" s="1363" t="s">
        <v>165</v>
      </c>
      <c r="AN1274" s="144">
        <v>48.0</v>
      </c>
      <c r="AO1274" s="327">
        <v>0.02</v>
      </c>
      <c r="AP1274" s="60" t="s">
        <v>1785</v>
      </c>
      <c r="AQ1274" s="60" t="s">
        <v>625</v>
      </c>
      <c r="AR1274" s="327">
        <v>0.335</v>
      </c>
      <c r="AS1274" s="60" t="s">
        <v>164</v>
      </c>
      <c r="AT1274" s="60" t="s">
        <v>128</v>
      </c>
      <c r="AU1274" s="60" t="s">
        <v>129</v>
      </c>
      <c r="AV1274" s="410" t="s">
        <v>7771</v>
      </c>
      <c r="AW1274" s="60" t="s">
        <v>134</v>
      </c>
      <c r="AY1274" s="60" t="s">
        <v>1455</v>
      </c>
    </row>
    <row r="1275">
      <c r="A1275" s="60" t="s">
        <v>106</v>
      </c>
      <c r="B1275" s="41" t="s">
        <v>107</v>
      </c>
      <c r="C1275" s="41" t="s">
        <v>144</v>
      </c>
      <c r="E1275" s="147" t="s">
        <v>7757</v>
      </c>
      <c r="F1275" s="988" t="s">
        <v>7758</v>
      </c>
      <c r="G1275" s="147" t="s">
        <v>144</v>
      </c>
      <c r="H1275" s="472">
        <v>45690.0</v>
      </c>
      <c r="I1275" s="1358">
        <v>45693.0</v>
      </c>
      <c r="J1275" s="147" t="s">
        <v>7772</v>
      </c>
      <c r="K1275" s="60"/>
      <c r="L1275" s="1360" t="s">
        <v>7761</v>
      </c>
      <c r="M1275" s="147" t="s">
        <v>7762</v>
      </c>
      <c r="N1275" s="144">
        <v>2.0</v>
      </c>
      <c r="O1275" s="145" t="s">
        <v>7763</v>
      </c>
      <c r="P1275" s="48" t="str">
        <f t="array" ref="P1275">HYPERLINK(INDEX('File Links'!B:B, MATCH(O1275, 'File Links'!C:C, 0)))
</f>
        <v>https://drive.google.com/file/d/1YjgU1oCfPf7_yAtASpZhwJS4TVj_g8CU/view?usp=drivesdk</v>
      </c>
      <c r="Q1275" s="147" t="s">
        <v>7764</v>
      </c>
      <c r="R1275" s="147" t="s">
        <v>7139</v>
      </c>
      <c r="S1275" s="60"/>
      <c r="T1275" s="327">
        <v>1.0</v>
      </c>
      <c r="U1275" s="145" t="s">
        <v>7140</v>
      </c>
      <c r="V1275" s="147" t="s">
        <v>155</v>
      </c>
      <c r="W1275" s="50" t="str">
        <f t="array" ref="W1275">HYPERLINK(INDEX('File Links'!B:B, MATCH(U1275, 'File Links'!C:C, 0)))
</f>
        <v>https://drive.google.com/file/d/1UMAh9VGta6ExS2-Lb6GkDF4fmnI2EMeM/view?usp=drivesdk</v>
      </c>
      <c r="X1275" s="60"/>
      <c r="Y1275" s="147" t="s">
        <v>139</v>
      </c>
      <c r="Z1275" s="147" t="s">
        <v>7773</v>
      </c>
      <c r="AA1275" s="147" t="s">
        <v>7774</v>
      </c>
      <c r="AB1275" s="147" t="s">
        <v>7768</v>
      </c>
      <c r="AC1275" s="147" t="s">
        <v>7775</v>
      </c>
      <c r="AD1275" s="144">
        <v>4.0</v>
      </c>
      <c r="AE1275" s="144">
        <v>32.0</v>
      </c>
      <c r="AF1275" s="147" t="s">
        <v>7776</v>
      </c>
      <c r="AG1275" s="147" t="s">
        <v>162</v>
      </c>
      <c r="AH1275" s="147" t="s">
        <v>861</v>
      </c>
      <c r="AI1275" s="329"/>
      <c r="AJ1275" s="55"/>
      <c r="AK1275" s="52" t="s">
        <v>128</v>
      </c>
      <c r="AL1275" s="60" t="s">
        <v>129</v>
      </c>
      <c r="AM1275" s="1363" t="s">
        <v>165</v>
      </c>
      <c r="AN1275" s="144">
        <v>48.0</v>
      </c>
      <c r="AO1275" s="144">
        <v>0.02</v>
      </c>
      <c r="AP1275" s="1371" t="s">
        <v>130</v>
      </c>
      <c r="AQ1275" s="147" t="s">
        <v>625</v>
      </c>
      <c r="AR1275" s="144">
        <v>0.335</v>
      </c>
      <c r="AS1275" s="147" t="s">
        <v>164</v>
      </c>
      <c r="AT1275" s="147" t="s">
        <v>128</v>
      </c>
      <c r="AU1275" s="60" t="s">
        <v>129</v>
      </c>
      <c r="AV1275" s="410" t="s">
        <v>7771</v>
      </c>
      <c r="AW1275" s="60" t="s">
        <v>134</v>
      </c>
      <c r="AY1275" s="60" t="s">
        <v>1455</v>
      </c>
    </row>
    <row r="1276">
      <c r="A1276" s="60" t="s">
        <v>143</v>
      </c>
      <c r="B1276" s="41" t="s">
        <v>107</v>
      </c>
      <c r="C1276" s="41" t="s">
        <v>1455</v>
      </c>
      <c r="E1276" s="147" t="s">
        <v>7777</v>
      </c>
      <c r="F1276" s="988" t="s">
        <v>7778</v>
      </c>
      <c r="G1276" s="147" t="s">
        <v>7779</v>
      </c>
      <c r="H1276" s="472">
        <v>45690.0</v>
      </c>
      <c r="I1276" s="1358">
        <v>45693.0</v>
      </c>
      <c r="J1276" s="60"/>
      <c r="K1276" s="60"/>
      <c r="L1276" s="1360" t="s">
        <v>7780</v>
      </c>
      <c r="M1276" s="147" t="s">
        <v>7738</v>
      </c>
      <c r="N1276" s="327">
        <v>7.0</v>
      </c>
      <c r="O1276" s="145" t="s">
        <v>7739</v>
      </c>
      <c r="P1276" s="48" t="str">
        <f t="array" ref="P1276">HYPERLINK(INDEX('File Links'!B:B, MATCH(O1276, 'File Links'!C:C, 0)))
</f>
        <v>https://drive.google.com/file/d/1HpcHlK2DyzZieaRbX6Fr0ov7Mf_R671v/view?usp=drivesdk</v>
      </c>
      <c r="Q1276" s="147" t="s">
        <v>7781</v>
      </c>
      <c r="R1276" s="147" t="s">
        <v>7139</v>
      </c>
      <c r="S1276" s="60"/>
      <c r="T1276" s="60" t="s">
        <v>7781</v>
      </c>
      <c r="U1276" s="145" t="s">
        <v>7140</v>
      </c>
      <c r="V1276" s="60" t="s">
        <v>155</v>
      </c>
      <c r="W1276" s="1361" t="s">
        <v>7782</v>
      </c>
      <c r="X1276" s="60"/>
      <c r="Y1276" s="60" t="s">
        <v>220</v>
      </c>
      <c r="Z1276" s="60" t="s">
        <v>7743</v>
      </c>
      <c r="AA1276" s="147" t="s">
        <v>7744</v>
      </c>
      <c r="AB1276" s="1365" t="s">
        <v>7783</v>
      </c>
      <c r="AC1276" s="60" t="s">
        <v>7784</v>
      </c>
      <c r="AD1276" s="327">
        <v>10.0</v>
      </c>
      <c r="AE1276" s="144">
        <v>98.0</v>
      </c>
      <c r="AF1276" s="60" t="s">
        <v>7785</v>
      </c>
      <c r="AG1276" s="60" t="s">
        <v>162</v>
      </c>
      <c r="AH1276" s="60" t="s">
        <v>629</v>
      </c>
      <c r="AI1276" s="328">
        <v>0.02</v>
      </c>
      <c r="AJ1276" s="55" t="s">
        <v>164</v>
      </c>
      <c r="AK1276" s="55" t="s">
        <v>179</v>
      </c>
      <c r="AL1276" s="60" t="s">
        <v>132</v>
      </c>
      <c r="AM1276" s="1363" t="s">
        <v>165</v>
      </c>
      <c r="AN1276" s="144">
        <v>105.0</v>
      </c>
      <c r="AO1276" s="327">
        <v>0.049</v>
      </c>
      <c r="AP1276" s="60" t="s">
        <v>1785</v>
      </c>
      <c r="AQ1276" s="60" t="s">
        <v>861</v>
      </c>
      <c r="AR1276" s="327">
        <v>0.085</v>
      </c>
      <c r="AS1276" s="60" t="s">
        <v>164</v>
      </c>
      <c r="AT1276" s="60" t="s">
        <v>179</v>
      </c>
      <c r="AU1276" s="60" t="s">
        <v>132</v>
      </c>
      <c r="AV1276" s="410" t="s">
        <v>7786</v>
      </c>
      <c r="AW1276" s="60" t="s">
        <v>134</v>
      </c>
      <c r="AY1276" s="60" t="s">
        <v>1455</v>
      </c>
    </row>
    <row r="1277">
      <c r="A1277" s="60" t="s">
        <v>106</v>
      </c>
      <c r="B1277" s="41" t="s">
        <v>107</v>
      </c>
      <c r="C1277" s="41" t="s">
        <v>144</v>
      </c>
      <c r="E1277" s="147" t="s">
        <v>7777</v>
      </c>
      <c r="F1277" s="988" t="s">
        <v>7778</v>
      </c>
      <c r="G1277" s="147" t="s">
        <v>144</v>
      </c>
      <c r="H1277" s="472">
        <v>45690.0</v>
      </c>
      <c r="I1277" s="1358">
        <v>45693.0</v>
      </c>
      <c r="J1277" s="60"/>
      <c r="K1277" s="60"/>
      <c r="L1277" s="1360" t="s">
        <v>7780</v>
      </c>
      <c r="M1277" s="147" t="s">
        <v>7738</v>
      </c>
      <c r="N1277" s="144">
        <v>7.0</v>
      </c>
      <c r="O1277" s="145" t="s">
        <v>7739</v>
      </c>
      <c r="P1277" s="48" t="str">
        <f t="array" ref="P1277">HYPERLINK(INDEX('File Links'!B:B, MATCH(O1277, 'File Links'!C:C, 0)))
</f>
        <v>https://drive.google.com/file/d/1HpcHlK2DyzZieaRbX6Fr0ov7Mf_R671v/view?usp=drivesdk</v>
      </c>
      <c r="Q1277" s="147" t="s">
        <v>7781</v>
      </c>
      <c r="R1277" s="147" t="s">
        <v>7139</v>
      </c>
      <c r="S1277" s="60"/>
      <c r="T1277" s="327">
        <v>1.0</v>
      </c>
      <c r="U1277" s="145" t="s">
        <v>7140</v>
      </c>
      <c r="V1277" s="147" t="s">
        <v>155</v>
      </c>
      <c r="W1277" s="50" t="str">
        <f t="array" ref="W1277">HYPERLINK(INDEX('File Links'!B:B, MATCH(U1277, 'File Links'!C:C, 0)))
</f>
        <v>https://drive.google.com/file/d/1UMAh9VGta6ExS2-Lb6GkDF4fmnI2EMeM/view?usp=drivesdk</v>
      </c>
      <c r="X1277" s="60"/>
      <c r="Y1277" s="147" t="s">
        <v>220</v>
      </c>
      <c r="Z1277" s="147" t="s">
        <v>7752</v>
      </c>
      <c r="AA1277" s="147" t="s">
        <v>7753</v>
      </c>
      <c r="AB1277" s="147" t="s">
        <v>7783</v>
      </c>
      <c r="AC1277" s="147" t="s">
        <v>7787</v>
      </c>
      <c r="AD1277" s="144">
        <v>10.0</v>
      </c>
      <c r="AE1277" s="144">
        <v>98.0</v>
      </c>
      <c r="AF1277" s="147" t="s">
        <v>7785</v>
      </c>
      <c r="AG1277" s="1371" t="s">
        <v>130</v>
      </c>
      <c r="AH1277" s="147" t="s">
        <v>629</v>
      </c>
      <c r="AI1277" s="328">
        <v>0.02</v>
      </c>
      <c r="AJ1277" s="52" t="s">
        <v>164</v>
      </c>
      <c r="AK1277" s="52" t="s">
        <v>179</v>
      </c>
      <c r="AL1277" s="60" t="s">
        <v>132</v>
      </c>
      <c r="AM1277" s="1363" t="s">
        <v>165</v>
      </c>
      <c r="AN1277" s="144">
        <v>105.0</v>
      </c>
      <c r="AO1277" s="144">
        <v>0.049</v>
      </c>
      <c r="AP1277" s="1371" t="s">
        <v>130</v>
      </c>
      <c r="AQ1277" s="147" t="s">
        <v>861</v>
      </c>
      <c r="AR1277" s="144">
        <v>0.085</v>
      </c>
      <c r="AS1277" s="147" t="s">
        <v>164</v>
      </c>
      <c r="AT1277" s="147" t="s">
        <v>179</v>
      </c>
      <c r="AU1277" s="60" t="s">
        <v>132</v>
      </c>
      <c r="AV1277" s="410" t="s">
        <v>7786</v>
      </c>
      <c r="AW1277" s="60" t="s">
        <v>134</v>
      </c>
      <c r="AY1277" s="60" t="s">
        <v>1455</v>
      </c>
    </row>
    <row r="1278">
      <c r="A1278" s="60" t="s">
        <v>106</v>
      </c>
      <c r="B1278" s="41" t="s">
        <v>107</v>
      </c>
      <c r="C1278" s="41" t="s">
        <v>1455</v>
      </c>
      <c r="E1278" s="147" t="s">
        <v>7788</v>
      </c>
      <c r="F1278" s="988" t="s">
        <v>7789</v>
      </c>
      <c r="G1278" s="147" t="s">
        <v>7790</v>
      </c>
      <c r="H1278" s="472">
        <v>45690.0</v>
      </c>
      <c r="I1278" s="1358">
        <v>45693.0</v>
      </c>
      <c r="J1278" s="60" t="s">
        <v>7791</v>
      </c>
      <c r="K1278" s="60"/>
      <c r="L1278" s="1360" t="s">
        <v>7792</v>
      </c>
      <c r="M1278" s="412" t="s">
        <v>7793</v>
      </c>
      <c r="N1278" s="327">
        <v>5.0</v>
      </c>
      <c r="O1278" s="145" t="s">
        <v>7794</v>
      </c>
      <c r="P1278" s="48" t="str">
        <f t="array" ref="P1278">HYPERLINK(INDEX('File Links'!B:B, MATCH(O1278, 'File Links'!C:C, 0)))
</f>
        <v>https://drive.google.com/file/d/17-wgGNPZwtL6rEYJQatdPfEg3Zj4LlVp/view?usp=drivesdk</v>
      </c>
      <c r="Q1278" s="147" t="s">
        <v>7795</v>
      </c>
      <c r="R1278" s="412" t="s">
        <v>7139</v>
      </c>
      <c r="S1278" s="60"/>
      <c r="T1278" s="327">
        <v>1.0</v>
      </c>
      <c r="U1278" s="145" t="s">
        <v>7140</v>
      </c>
      <c r="V1278" s="60" t="s">
        <v>155</v>
      </c>
      <c r="W1278" s="1361" t="s">
        <v>7796</v>
      </c>
      <c r="X1278" s="60"/>
      <c r="Y1278" s="60" t="s">
        <v>220</v>
      </c>
      <c r="Z1278" s="60" t="s">
        <v>7797</v>
      </c>
      <c r="AA1278" s="147" t="s">
        <v>7798</v>
      </c>
      <c r="AB1278" s="147" t="s">
        <v>7799</v>
      </c>
      <c r="AC1278" s="60" t="s">
        <v>7800</v>
      </c>
      <c r="AD1278" s="327">
        <v>14.0</v>
      </c>
      <c r="AE1278" s="144">
        <v>133.0</v>
      </c>
      <c r="AF1278" s="327">
        <v>0.04</v>
      </c>
      <c r="AG1278" s="60" t="s">
        <v>130</v>
      </c>
      <c r="AH1278" s="60" t="s">
        <v>2232</v>
      </c>
      <c r="AI1278" s="328">
        <v>0.02</v>
      </c>
      <c r="AJ1278" s="55" t="s">
        <v>127</v>
      </c>
      <c r="AK1278" s="55" t="s">
        <v>179</v>
      </c>
      <c r="AL1278" s="60" t="s">
        <v>132</v>
      </c>
      <c r="AM1278" s="1363" t="s">
        <v>165</v>
      </c>
      <c r="AN1278" s="327">
        <v>113.0</v>
      </c>
      <c r="AO1278" s="60" t="s">
        <v>7801</v>
      </c>
      <c r="AP1278" s="60" t="s">
        <v>162</v>
      </c>
      <c r="AQ1278" s="60" t="s">
        <v>131</v>
      </c>
      <c r="AR1278" s="327">
        <v>0.471</v>
      </c>
      <c r="AS1278" s="60" t="s">
        <v>164</v>
      </c>
      <c r="AT1278" s="60" t="s">
        <v>179</v>
      </c>
      <c r="AU1278" s="60" t="s">
        <v>132</v>
      </c>
      <c r="AV1278" s="410" t="s">
        <v>7802</v>
      </c>
      <c r="AW1278" s="60" t="s">
        <v>134</v>
      </c>
      <c r="AY1278" s="60" t="s">
        <v>1455</v>
      </c>
    </row>
    <row r="1279">
      <c r="A1279" s="60" t="s">
        <v>143</v>
      </c>
      <c r="B1279" s="41" t="s">
        <v>107</v>
      </c>
      <c r="C1279" s="41" t="s">
        <v>144</v>
      </c>
      <c r="E1279" s="147" t="s">
        <v>7788</v>
      </c>
      <c r="F1279" s="988" t="s">
        <v>7789</v>
      </c>
      <c r="G1279" s="147" t="s">
        <v>144</v>
      </c>
      <c r="H1279" s="472">
        <v>45690.0</v>
      </c>
      <c r="I1279" s="1358">
        <v>45693.0</v>
      </c>
      <c r="J1279" s="147" t="s">
        <v>7803</v>
      </c>
      <c r="K1279" s="60"/>
      <c r="L1279" s="1360" t="s">
        <v>7792</v>
      </c>
      <c r="M1279" s="147" t="s">
        <v>7793</v>
      </c>
      <c r="N1279" s="144">
        <v>5.0</v>
      </c>
      <c r="O1279" s="145" t="s">
        <v>7794</v>
      </c>
      <c r="P1279" s="48" t="str">
        <f t="array" ref="P1279">HYPERLINK(INDEX('File Links'!B:B, MATCH(O1279, 'File Links'!C:C, 0)))
</f>
        <v>https://drive.google.com/file/d/17-wgGNPZwtL6rEYJQatdPfEg3Zj4LlVp/view?usp=drivesdk</v>
      </c>
      <c r="Q1279" s="147" t="s">
        <v>7795</v>
      </c>
      <c r="R1279" s="147" t="s">
        <v>7139</v>
      </c>
      <c r="S1279" s="60"/>
      <c r="T1279" s="327">
        <v>1.0</v>
      </c>
      <c r="U1279" s="145" t="s">
        <v>7140</v>
      </c>
      <c r="V1279" s="147" t="s">
        <v>155</v>
      </c>
      <c r="W1279" s="1361" t="s">
        <v>7796</v>
      </c>
      <c r="X1279" s="60"/>
      <c r="Y1279" s="147" t="s">
        <v>220</v>
      </c>
      <c r="Z1279" s="147" t="s">
        <v>7797</v>
      </c>
      <c r="AA1279" s="147" t="s">
        <v>7804</v>
      </c>
      <c r="AB1279" s="147" t="s">
        <v>7805</v>
      </c>
      <c r="AC1279" s="1362" t="s">
        <v>7800</v>
      </c>
      <c r="AD1279" s="144">
        <v>14.0</v>
      </c>
      <c r="AE1279" s="144">
        <v>133.0</v>
      </c>
      <c r="AF1279" s="144">
        <v>0.04</v>
      </c>
      <c r="AG1279" s="147" t="s">
        <v>130</v>
      </c>
      <c r="AH1279" s="147" t="s">
        <v>2232</v>
      </c>
      <c r="AI1279" s="328">
        <v>0.02</v>
      </c>
      <c r="AJ1279" s="52" t="s">
        <v>127</v>
      </c>
      <c r="AK1279" s="52" t="s">
        <v>179</v>
      </c>
      <c r="AL1279" s="60" t="s">
        <v>132</v>
      </c>
      <c r="AM1279" s="1363" t="s">
        <v>165</v>
      </c>
      <c r="AN1279" s="144">
        <v>113.0</v>
      </c>
      <c r="AO1279" s="147" t="s">
        <v>7806</v>
      </c>
      <c r="AP1279" s="147" t="s">
        <v>162</v>
      </c>
      <c r="AQ1279" s="147" t="s">
        <v>131</v>
      </c>
      <c r="AR1279" s="144">
        <v>0.471</v>
      </c>
      <c r="AS1279" s="147" t="s">
        <v>164</v>
      </c>
      <c r="AT1279" s="147" t="s">
        <v>179</v>
      </c>
      <c r="AU1279" s="60" t="s">
        <v>132</v>
      </c>
      <c r="AV1279" s="410" t="s">
        <v>7802</v>
      </c>
      <c r="AW1279" s="60" t="s">
        <v>134</v>
      </c>
      <c r="AY1279" s="60" t="s">
        <v>1455</v>
      </c>
    </row>
    <row r="1280">
      <c r="A1280" s="60" t="s">
        <v>143</v>
      </c>
      <c r="B1280" s="41" t="s">
        <v>107</v>
      </c>
      <c r="C1280" s="41" t="s">
        <v>1455</v>
      </c>
      <c r="E1280" s="147" t="s">
        <v>7807</v>
      </c>
      <c r="F1280" s="988" t="s">
        <v>7808</v>
      </c>
      <c r="G1280" s="147" t="s">
        <v>7809</v>
      </c>
      <c r="H1280" s="472">
        <v>45690.0</v>
      </c>
      <c r="I1280" s="1358">
        <v>45693.0</v>
      </c>
      <c r="J1280" s="531" t="s">
        <v>7810</v>
      </c>
      <c r="K1280" s="60"/>
      <c r="L1280" s="1360" t="s">
        <v>7811</v>
      </c>
      <c r="M1280" s="147" t="s">
        <v>7812</v>
      </c>
      <c r="N1280" s="327">
        <v>2.0</v>
      </c>
      <c r="O1280" s="145" t="s">
        <v>7813</v>
      </c>
      <c r="P1280" s="48" t="str">
        <f t="array" ref="P1280">HYPERLINK(INDEX('File Links'!B:B, MATCH(O1280, 'File Links'!C:C, 0)))
</f>
        <v>https://drive.google.com/file/d/16Fdz5Q4hZTnIAAvzSPJ1UmDOOND5AaDe/view?usp=drivesdk</v>
      </c>
      <c r="Q1280" s="147" t="s">
        <v>7814</v>
      </c>
      <c r="R1280" s="147" t="s">
        <v>7139</v>
      </c>
      <c r="S1280" s="60"/>
      <c r="T1280" s="327">
        <v>1.0</v>
      </c>
      <c r="U1280" s="145" t="s">
        <v>7140</v>
      </c>
      <c r="V1280" s="60" t="s">
        <v>155</v>
      </c>
      <c r="W1280" s="1361" t="s">
        <v>7815</v>
      </c>
      <c r="X1280" s="60"/>
      <c r="Y1280" s="60" t="s">
        <v>220</v>
      </c>
      <c r="Z1280" s="60" t="s">
        <v>7816</v>
      </c>
      <c r="AA1280" s="147" t="s">
        <v>7817</v>
      </c>
      <c r="AB1280" s="1362" t="s">
        <v>7818</v>
      </c>
      <c r="AC1280" s="60" t="s">
        <v>7819</v>
      </c>
      <c r="AD1280" s="327">
        <v>12.0</v>
      </c>
      <c r="AE1280" s="144">
        <v>48.0</v>
      </c>
      <c r="AF1280" s="60" t="s">
        <v>7820</v>
      </c>
      <c r="AG1280" s="60" t="s">
        <v>162</v>
      </c>
      <c r="AH1280" s="60" t="s">
        <v>609</v>
      </c>
      <c r="AI1280" s="328">
        <v>0.03</v>
      </c>
      <c r="AJ1280" s="55" t="s">
        <v>164</v>
      </c>
      <c r="AK1280" s="55" t="s">
        <v>179</v>
      </c>
      <c r="AL1280" s="60" t="s">
        <v>132</v>
      </c>
      <c r="AM1280" s="1363" t="s">
        <v>165</v>
      </c>
      <c r="AN1280" s="144">
        <v>75.0</v>
      </c>
      <c r="AO1280" s="327">
        <v>0.006</v>
      </c>
      <c r="AP1280" s="60" t="s">
        <v>1785</v>
      </c>
      <c r="AQ1280" s="60" t="s">
        <v>125</v>
      </c>
      <c r="AR1280" s="327">
        <v>0.513</v>
      </c>
      <c r="AS1280" s="60" t="s">
        <v>164</v>
      </c>
      <c r="AT1280" s="60" t="s">
        <v>179</v>
      </c>
      <c r="AU1280" s="60" t="s">
        <v>132</v>
      </c>
      <c r="AV1280" s="410" t="s">
        <v>7821</v>
      </c>
      <c r="AW1280" s="60" t="s">
        <v>134</v>
      </c>
      <c r="AY1280" s="60" t="s">
        <v>1455</v>
      </c>
    </row>
    <row r="1281">
      <c r="A1281" s="60" t="s">
        <v>106</v>
      </c>
      <c r="B1281" s="41" t="s">
        <v>107</v>
      </c>
      <c r="C1281" s="41" t="s">
        <v>144</v>
      </c>
      <c r="E1281" s="147" t="s">
        <v>7807</v>
      </c>
      <c r="F1281" s="988" t="s">
        <v>7822</v>
      </c>
      <c r="G1281" s="147" t="s">
        <v>144</v>
      </c>
      <c r="H1281" s="472">
        <v>45690.0</v>
      </c>
      <c r="I1281" s="1358">
        <v>45693.0</v>
      </c>
      <c r="J1281" s="60" t="s">
        <v>7823</v>
      </c>
      <c r="K1281" s="60"/>
      <c r="L1281" s="1360" t="s">
        <v>7811</v>
      </c>
      <c r="M1281" s="147" t="s">
        <v>7812</v>
      </c>
      <c r="N1281" s="327">
        <v>2.0</v>
      </c>
      <c r="O1281" s="145" t="s">
        <v>7813</v>
      </c>
      <c r="P1281" s="48" t="str">
        <f t="array" ref="P1281">HYPERLINK(INDEX('File Links'!B:B, MATCH(O1281, 'File Links'!C:C, 0)))
</f>
        <v>https://drive.google.com/file/d/16Fdz5Q4hZTnIAAvzSPJ1UmDOOND5AaDe/view?usp=drivesdk</v>
      </c>
      <c r="Q1281" s="147" t="s">
        <v>7814</v>
      </c>
      <c r="R1281" s="147" t="s">
        <v>7139</v>
      </c>
      <c r="S1281" s="60"/>
      <c r="T1281" s="327">
        <v>1.0</v>
      </c>
      <c r="U1281" s="145" t="s">
        <v>7140</v>
      </c>
      <c r="V1281" s="147" t="s">
        <v>155</v>
      </c>
      <c r="W1281" s="50" t="str">
        <f t="array" ref="W1281">HYPERLINK(INDEX('File Links'!B:B, MATCH(U1281, 'File Links'!C:C, 0)))
</f>
        <v>https://drive.google.com/file/d/1UMAh9VGta6ExS2-Lb6GkDF4fmnI2EMeM/view?usp=drivesdk</v>
      </c>
      <c r="X1281" s="60"/>
      <c r="Y1281" s="147" t="s">
        <v>220</v>
      </c>
      <c r="Z1281" s="147" t="s">
        <v>7824</v>
      </c>
      <c r="AA1281" s="60" t="s">
        <v>7825</v>
      </c>
      <c r="AB1281" s="60" t="s">
        <v>7818</v>
      </c>
      <c r="AC1281" s="147" t="s">
        <v>7826</v>
      </c>
      <c r="AD1281" s="327">
        <v>12.0</v>
      </c>
      <c r="AE1281" s="327">
        <v>48.0</v>
      </c>
      <c r="AF1281" s="327" t="s">
        <v>7820</v>
      </c>
      <c r="AG1281" s="147" t="s">
        <v>162</v>
      </c>
      <c r="AH1281" s="60" t="s">
        <v>609</v>
      </c>
      <c r="AI1281" s="328">
        <v>0.03</v>
      </c>
      <c r="AJ1281" s="55" t="s">
        <v>164</v>
      </c>
      <c r="AK1281" s="55" t="s">
        <v>179</v>
      </c>
      <c r="AL1281" s="60" t="s">
        <v>132</v>
      </c>
      <c r="AM1281" s="1363" t="s">
        <v>165</v>
      </c>
      <c r="AN1281" s="327">
        <v>75.0</v>
      </c>
      <c r="AO1281" s="327">
        <v>0.006</v>
      </c>
      <c r="AP1281" s="1368" t="s">
        <v>130</v>
      </c>
      <c r="AQ1281" s="60" t="s">
        <v>125</v>
      </c>
      <c r="AR1281" s="327">
        <v>0.513</v>
      </c>
      <c r="AS1281" s="60" t="s">
        <v>164</v>
      </c>
      <c r="AT1281" s="60" t="s">
        <v>179</v>
      </c>
      <c r="AU1281" s="60" t="s">
        <v>132</v>
      </c>
      <c r="AV1281" s="410" t="s">
        <v>7821</v>
      </c>
      <c r="AW1281" s="60" t="s">
        <v>134</v>
      </c>
      <c r="AY1281" s="60" t="s">
        <v>1455</v>
      </c>
    </row>
    <row r="1282">
      <c r="A1282" s="60" t="s">
        <v>143</v>
      </c>
      <c r="B1282" s="41" t="s">
        <v>107</v>
      </c>
      <c r="C1282" s="41" t="s">
        <v>1455</v>
      </c>
      <c r="E1282" s="147" t="s">
        <v>7827</v>
      </c>
      <c r="F1282" s="988" t="s">
        <v>7828</v>
      </c>
      <c r="G1282" s="147" t="s">
        <v>7829</v>
      </c>
      <c r="H1282" s="472">
        <v>45690.0</v>
      </c>
      <c r="I1282" s="1358">
        <v>45693.0</v>
      </c>
      <c r="J1282" s="60"/>
      <c r="K1282" s="60"/>
      <c r="L1282" s="1360" t="s">
        <v>7830</v>
      </c>
      <c r="M1282" s="412" t="s">
        <v>7831</v>
      </c>
      <c r="N1282" s="327">
        <v>2.0</v>
      </c>
      <c r="O1282" s="145" t="s">
        <v>7832</v>
      </c>
      <c r="P1282" s="48" t="str">
        <f t="array" ref="P1282">HYPERLINK(INDEX('File Links'!B:B, MATCH(O1282, 'File Links'!C:C, 0)))
</f>
        <v>https://drive.google.com/file/d/1GCFNtGI_d_CgIPtrM02hpi0r-UNQaVqq/view?usp=drivesdk</v>
      </c>
      <c r="Q1282" s="147" t="s">
        <v>7833</v>
      </c>
      <c r="R1282" s="412" t="s">
        <v>7139</v>
      </c>
      <c r="S1282" s="60"/>
      <c r="T1282" s="327">
        <v>1.0</v>
      </c>
      <c r="U1282" s="145" t="s">
        <v>7140</v>
      </c>
      <c r="V1282" s="60" t="s">
        <v>3501</v>
      </c>
      <c r="W1282" s="1361" t="s">
        <v>7834</v>
      </c>
      <c r="X1282" s="60"/>
      <c r="Y1282" s="60" t="s">
        <v>220</v>
      </c>
      <c r="Z1282" s="60" t="s">
        <v>7835</v>
      </c>
      <c r="AA1282" s="147" t="s">
        <v>7836</v>
      </c>
      <c r="AB1282" s="1365" t="s">
        <v>7837</v>
      </c>
      <c r="AC1282" s="60" t="s">
        <v>7838</v>
      </c>
      <c r="AD1282" s="327">
        <v>9.0</v>
      </c>
      <c r="AE1282" s="144">
        <v>57.0</v>
      </c>
      <c r="AF1282" s="327">
        <v>0.11</v>
      </c>
      <c r="AG1282" s="60" t="s">
        <v>1785</v>
      </c>
      <c r="AH1282" s="60" t="s">
        <v>625</v>
      </c>
      <c r="AI1282" s="328">
        <v>0.05</v>
      </c>
      <c r="AJ1282" s="55" t="s">
        <v>127</v>
      </c>
      <c r="AK1282" s="55" t="s">
        <v>179</v>
      </c>
      <c r="AL1282" s="60" t="s">
        <v>132</v>
      </c>
      <c r="AM1282" s="1363" t="s">
        <v>165</v>
      </c>
      <c r="AN1282" s="327">
        <v>71.0</v>
      </c>
      <c r="AO1282" s="327">
        <v>0.01</v>
      </c>
      <c r="AP1282" s="60" t="s">
        <v>1785</v>
      </c>
      <c r="AQ1282" s="60" t="s">
        <v>892</v>
      </c>
      <c r="AR1282" s="327">
        <v>0.74</v>
      </c>
      <c r="AS1282" s="60" t="s">
        <v>164</v>
      </c>
      <c r="AT1282" s="60" t="s">
        <v>179</v>
      </c>
      <c r="AU1282" s="60" t="s">
        <v>132</v>
      </c>
      <c r="AV1282" s="410" t="s">
        <v>7839</v>
      </c>
      <c r="AW1282" s="60" t="s">
        <v>134</v>
      </c>
      <c r="AY1282" s="60" t="s">
        <v>1455</v>
      </c>
    </row>
    <row r="1283">
      <c r="A1283" s="60" t="s">
        <v>106</v>
      </c>
      <c r="B1283" s="41" t="s">
        <v>107</v>
      </c>
      <c r="C1283" s="41" t="s">
        <v>144</v>
      </c>
      <c r="E1283" s="147" t="s">
        <v>7827</v>
      </c>
      <c r="F1283" s="988" t="s">
        <v>7840</v>
      </c>
      <c r="G1283" s="147" t="s">
        <v>144</v>
      </c>
      <c r="H1283" s="472">
        <v>45690.0</v>
      </c>
      <c r="I1283" s="1358">
        <v>45693.0</v>
      </c>
      <c r="J1283" s="147" t="s">
        <v>7841</v>
      </c>
      <c r="K1283" s="60"/>
      <c r="L1283" s="1360" t="s">
        <v>7830</v>
      </c>
      <c r="M1283" s="412" t="s">
        <v>7831</v>
      </c>
      <c r="N1283" s="144">
        <v>2.0</v>
      </c>
      <c r="O1283" s="145" t="s">
        <v>7832</v>
      </c>
      <c r="P1283" s="48" t="str">
        <f t="array" ref="P1283">HYPERLINK(INDEX('File Links'!B:B, MATCH(O1283, 'File Links'!C:C, 0)))
</f>
        <v>https://drive.google.com/file/d/1GCFNtGI_d_CgIPtrM02hpi0r-UNQaVqq/view?usp=drivesdk</v>
      </c>
      <c r="Q1283" s="147" t="s">
        <v>7833</v>
      </c>
      <c r="R1283" s="412" t="s">
        <v>7139</v>
      </c>
      <c r="S1283" s="60"/>
      <c r="T1283" s="327">
        <v>1.0</v>
      </c>
      <c r="U1283" s="145" t="s">
        <v>7140</v>
      </c>
      <c r="V1283" s="147" t="s">
        <v>3501</v>
      </c>
      <c r="W1283" s="50" t="str">
        <f t="array" ref="W1283">HYPERLINK(INDEX('File Links'!B:B, MATCH(U1283, 'File Links'!C:C, 0)))
</f>
        <v>https://drive.google.com/file/d/1UMAh9VGta6ExS2-Lb6GkDF4fmnI2EMeM/view?usp=drivesdk</v>
      </c>
      <c r="X1283" s="60"/>
      <c r="Y1283" s="147" t="s">
        <v>220</v>
      </c>
      <c r="Z1283" s="147" t="s">
        <v>7842</v>
      </c>
      <c r="AA1283" s="147" t="s">
        <v>7843</v>
      </c>
      <c r="AB1283" s="147" t="s">
        <v>7837</v>
      </c>
      <c r="AC1283" s="147" t="s">
        <v>7844</v>
      </c>
      <c r="AD1283" s="144">
        <v>9.0</v>
      </c>
      <c r="AE1283" s="144">
        <v>57.0</v>
      </c>
      <c r="AF1283" s="144">
        <v>0.11</v>
      </c>
      <c r="AG1283" s="1371" t="s">
        <v>130</v>
      </c>
      <c r="AH1283" s="147" t="s">
        <v>625</v>
      </c>
      <c r="AI1283" s="646">
        <v>0.05</v>
      </c>
      <c r="AJ1283" s="52" t="s">
        <v>127</v>
      </c>
      <c r="AK1283" s="52" t="s">
        <v>179</v>
      </c>
      <c r="AL1283" s="60" t="s">
        <v>132</v>
      </c>
      <c r="AM1283" s="1363" t="s">
        <v>165</v>
      </c>
      <c r="AN1283" s="327">
        <v>71.0</v>
      </c>
      <c r="AO1283" s="327">
        <v>0.01</v>
      </c>
      <c r="AP1283" s="1371" t="s">
        <v>130</v>
      </c>
      <c r="AQ1283" s="147" t="s">
        <v>892</v>
      </c>
      <c r="AR1283" s="144">
        <v>0.74</v>
      </c>
      <c r="AS1283" s="147" t="s">
        <v>164</v>
      </c>
      <c r="AT1283" s="147" t="s">
        <v>179</v>
      </c>
      <c r="AU1283" s="60" t="s">
        <v>132</v>
      </c>
      <c r="AV1283" s="410" t="s">
        <v>7839</v>
      </c>
      <c r="AW1283" s="60" t="s">
        <v>134</v>
      </c>
      <c r="AY1283" s="60" t="s">
        <v>1455</v>
      </c>
    </row>
    <row r="1284">
      <c r="A1284" s="60" t="s">
        <v>143</v>
      </c>
      <c r="B1284" s="41" t="s">
        <v>107</v>
      </c>
      <c r="C1284" s="41" t="s">
        <v>1455</v>
      </c>
      <c r="E1284" s="147" t="s">
        <v>7845</v>
      </c>
      <c r="F1284" s="988" t="s">
        <v>7846</v>
      </c>
      <c r="G1284" s="147" t="s">
        <v>7847</v>
      </c>
      <c r="H1284" s="472">
        <v>45690.0</v>
      </c>
      <c r="I1284" s="1358">
        <v>45693.0</v>
      </c>
      <c r="J1284" s="60" t="s">
        <v>7848</v>
      </c>
      <c r="K1284" s="60" t="s">
        <v>7849</v>
      </c>
      <c r="L1284" s="1360" t="s">
        <v>7850</v>
      </c>
      <c r="M1284" s="147" t="s">
        <v>7851</v>
      </c>
      <c r="N1284" s="327">
        <v>3.0</v>
      </c>
      <c r="O1284" s="145" t="s">
        <v>7852</v>
      </c>
      <c r="P1284" s="48" t="str">
        <f t="array" ref="P1284">HYPERLINK(INDEX('File Links'!B:B, MATCH(O1284, 'File Links'!C:C, 0)))
</f>
        <v>https://drive.google.com/file/d/1UTh20eT7TkvvPfQekHv-og8JNZ7R1WP8/view?usp=drivesdk</v>
      </c>
      <c r="Q1284" s="147" t="s">
        <v>7853</v>
      </c>
      <c r="R1284" s="147" t="s">
        <v>7139</v>
      </c>
      <c r="S1284" s="60"/>
      <c r="T1284" s="327">
        <v>1.0</v>
      </c>
      <c r="U1284" s="145" t="s">
        <v>7140</v>
      </c>
      <c r="V1284" s="60" t="s">
        <v>3501</v>
      </c>
      <c r="W1284" s="1361" t="s">
        <v>7854</v>
      </c>
      <c r="X1284" s="60"/>
      <c r="Y1284" s="60" t="s">
        <v>220</v>
      </c>
      <c r="Z1284" s="60" t="s">
        <v>7855</v>
      </c>
      <c r="AA1284" s="147" t="s">
        <v>7856</v>
      </c>
      <c r="AB1284" s="1374" t="s">
        <v>7857</v>
      </c>
      <c r="AC1284" s="60" t="s">
        <v>7858</v>
      </c>
      <c r="AD1284" s="327">
        <v>10.0</v>
      </c>
      <c r="AE1284" s="144">
        <v>103.0</v>
      </c>
      <c r="AF1284" s="60" t="s">
        <v>7859</v>
      </c>
      <c r="AG1284" s="60" t="s">
        <v>162</v>
      </c>
      <c r="AH1284" s="60" t="s">
        <v>629</v>
      </c>
      <c r="AI1284" s="328">
        <v>1.0E-4</v>
      </c>
      <c r="AJ1284" s="55" t="s">
        <v>127</v>
      </c>
      <c r="AK1284" s="55" t="s">
        <v>179</v>
      </c>
      <c r="AL1284" s="60" t="s">
        <v>132</v>
      </c>
      <c r="AM1284" s="1363" t="s">
        <v>165</v>
      </c>
      <c r="AN1284" s="144">
        <v>83.0</v>
      </c>
      <c r="AO1284" s="327">
        <v>-0.08</v>
      </c>
      <c r="AP1284" s="60" t="s">
        <v>166</v>
      </c>
      <c r="AQ1284" s="60" t="s">
        <v>125</v>
      </c>
      <c r="AR1284" s="327">
        <v>0.8</v>
      </c>
      <c r="AS1284" s="60" t="s">
        <v>164</v>
      </c>
      <c r="AT1284" s="60" t="s">
        <v>128</v>
      </c>
      <c r="AU1284" s="60" t="s">
        <v>132</v>
      </c>
      <c r="AV1284" s="410" t="s">
        <v>7860</v>
      </c>
      <c r="AW1284" s="60" t="s">
        <v>134</v>
      </c>
      <c r="AY1284" s="60" t="s">
        <v>1455</v>
      </c>
    </row>
    <row r="1285">
      <c r="A1285" s="60" t="s">
        <v>106</v>
      </c>
      <c r="B1285" s="41" t="s">
        <v>107</v>
      </c>
      <c r="C1285" s="41" t="s">
        <v>144</v>
      </c>
      <c r="E1285" s="147" t="s">
        <v>7845</v>
      </c>
      <c r="F1285" s="988" t="s">
        <v>7846</v>
      </c>
      <c r="G1285" s="147" t="s">
        <v>7861</v>
      </c>
      <c r="H1285" s="472">
        <v>45690.0</v>
      </c>
      <c r="I1285" s="1358">
        <v>45693.0</v>
      </c>
      <c r="J1285" s="147" t="s">
        <v>7862</v>
      </c>
      <c r="K1285" s="60"/>
      <c r="L1285" s="1360" t="s">
        <v>7850</v>
      </c>
      <c r="M1285" s="412" t="s">
        <v>7851</v>
      </c>
      <c r="N1285" s="144">
        <v>3.0</v>
      </c>
      <c r="O1285" s="145" t="s">
        <v>7852</v>
      </c>
      <c r="P1285" s="48" t="str">
        <f t="array" ref="P1285">HYPERLINK(INDEX('File Links'!B:B, MATCH(O1285, 'File Links'!C:C, 0)))
</f>
        <v>https://drive.google.com/file/d/1UTh20eT7TkvvPfQekHv-og8JNZ7R1WP8/view?usp=drivesdk</v>
      </c>
      <c r="Q1285" s="147" t="s">
        <v>7853</v>
      </c>
      <c r="R1285" s="412" t="s">
        <v>7139</v>
      </c>
      <c r="S1285" s="60"/>
      <c r="T1285" s="327">
        <v>1.0</v>
      </c>
      <c r="U1285" s="145" t="s">
        <v>7140</v>
      </c>
      <c r="V1285" s="147" t="s">
        <v>3501</v>
      </c>
      <c r="W1285" s="50" t="str">
        <f t="array" ref="W1285">HYPERLINK(INDEX('File Links'!B:B, MATCH(U1285, 'File Links'!C:C, 0)))
</f>
        <v>https://drive.google.com/file/d/1UMAh9VGta6ExS2-Lb6GkDF4fmnI2EMeM/view?usp=drivesdk</v>
      </c>
      <c r="X1285" s="60"/>
      <c r="Y1285" s="147" t="s">
        <v>220</v>
      </c>
      <c r="Z1285" s="147" t="s">
        <v>7863</v>
      </c>
      <c r="AA1285" s="147" t="s">
        <v>7864</v>
      </c>
      <c r="AB1285" s="147" t="s">
        <v>7857</v>
      </c>
      <c r="AC1285" s="147" t="s">
        <v>7865</v>
      </c>
      <c r="AD1285" s="144">
        <v>10.0</v>
      </c>
      <c r="AE1285" s="144">
        <v>103.0</v>
      </c>
      <c r="AF1285" s="1372">
        <v>0.1433</v>
      </c>
      <c r="AG1285" s="1371" t="s">
        <v>130</v>
      </c>
      <c r="AH1285" s="147" t="s">
        <v>629</v>
      </c>
      <c r="AI1285" s="646">
        <v>1.0E-4</v>
      </c>
      <c r="AJ1285" s="52" t="s">
        <v>127</v>
      </c>
      <c r="AK1285" s="52" t="s">
        <v>179</v>
      </c>
      <c r="AL1285" s="1368" t="s">
        <v>129</v>
      </c>
      <c r="AM1285" s="1363" t="s">
        <v>165</v>
      </c>
      <c r="AN1285" s="327">
        <v>83.0</v>
      </c>
      <c r="AO1285" s="327">
        <v>-0.08</v>
      </c>
      <c r="AP1285" s="147" t="s">
        <v>166</v>
      </c>
      <c r="AQ1285" s="147" t="s">
        <v>125</v>
      </c>
      <c r="AR1285" s="144">
        <v>0.8</v>
      </c>
      <c r="AS1285" s="147" t="s">
        <v>164</v>
      </c>
      <c r="AT1285" s="147" t="s">
        <v>128</v>
      </c>
      <c r="AU1285" s="1368" t="s">
        <v>129</v>
      </c>
      <c r="AV1285" s="410" t="s">
        <v>7866</v>
      </c>
      <c r="AW1285" s="60" t="s">
        <v>142</v>
      </c>
      <c r="AY1285" s="60" t="s">
        <v>1455</v>
      </c>
    </row>
    <row r="1286">
      <c r="A1286" s="60" t="s">
        <v>106</v>
      </c>
      <c r="B1286" s="41" t="s">
        <v>107</v>
      </c>
      <c r="C1286" s="41" t="s">
        <v>1455</v>
      </c>
      <c r="E1286" s="147" t="s">
        <v>7867</v>
      </c>
      <c r="F1286" s="988" t="s">
        <v>7868</v>
      </c>
      <c r="G1286" s="147" t="s">
        <v>7869</v>
      </c>
      <c r="H1286" s="472">
        <v>45690.0</v>
      </c>
      <c r="I1286" s="1358">
        <v>45693.0</v>
      </c>
      <c r="J1286" s="60"/>
      <c r="K1286" s="60"/>
      <c r="L1286" s="1360" t="s">
        <v>7870</v>
      </c>
      <c r="M1286" s="412" t="s">
        <v>7871</v>
      </c>
      <c r="N1286" s="327">
        <v>5.0</v>
      </c>
      <c r="O1286" s="145" t="s">
        <v>7872</v>
      </c>
      <c r="P1286" s="48" t="str">
        <f t="array" ref="P1286">HYPERLINK(INDEX('File Links'!B:B, MATCH(O1286, 'File Links'!C:C, 0)))
</f>
        <v>https://drive.google.com/file/d/1EGlmFl81-d1oxiKpGgGytIRbyZhEQLuV/view?usp=drivesdk</v>
      </c>
      <c r="Q1286" s="147" t="s">
        <v>7873</v>
      </c>
      <c r="R1286" s="412" t="s">
        <v>7139</v>
      </c>
      <c r="S1286" s="60"/>
      <c r="T1286" s="327" t="s">
        <v>7873</v>
      </c>
      <c r="U1286" s="145" t="s">
        <v>7140</v>
      </c>
      <c r="V1286" s="60" t="s">
        <v>3501</v>
      </c>
      <c r="W1286" s="1361" t="s">
        <v>7874</v>
      </c>
      <c r="X1286" s="60"/>
      <c r="Y1286" s="60" t="s">
        <v>220</v>
      </c>
      <c r="Z1286" s="60" t="s">
        <v>7875</v>
      </c>
      <c r="AA1286" s="147" t="s">
        <v>7876</v>
      </c>
      <c r="AB1286" s="147" t="s">
        <v>7877</v>
      </c>
      <c r="AC1286" s="60" t="s">
        <v>7878</v>
      </c>
      <c r="AD1286" s="327">
        <v>16.0</v>
      </c>
      <c r="AE1286" s="144">
        <v>186.0</v>
      </c>
      <c r="AF1286" s="327">
        <v>0.03</v>
      </c>
      <c r="AG1286" s="60" t="s">
        <v>130</v>
      </c>
      <c r="AH1286" s="60" t="s">
        <v>175</v>
      </c>
      <c r="AI1286" s="328">
        <v>0.05</v>
      </c>
      <c r="AJ1286" s="55" t="s">
        <v>127</v>
      </c>
      <c r="AK1286" s="55" t="s">
        <v>179</v>
      </c>
      <c r="AL1286" s="60" t="s">
        <v>132</v>
      </c>
      <c r="AM1286" s="1363" t="s">
        <v>165</v>
      </c>
      <c r="AN1286" s="327">
        <v>280.0</v>
      </c>
      <c r="AO1286" s="327">
        <v>0.001</v>
      </c>
      <c r="AP1286" s="60" t="s">
        <v>130</v>
      </c>
      <c r="AQ1286" s="60" t="s">
        <v>892</v>
      </c>
      <c r="AR1286" s="327">
        <v>0.54</v>
      </c>
      <c r="AS1286" s="60" t="s">
        <v>164</v>
      </c>
      <c r="AT1286" s="60" t="s">
        <v>179</v>
      </c>
      <c r="AU1286" s="60" t="s">
        <v>132</v>
      </c>
      <c r="AV1286" s="115" t="s">
        <v>165</v>
      </c>
      <c r="AW1286" s="60" t="s">
        <v>134</v>
      </c>
      <c r="AY1286" s="60" t="s">
        <v>1455</v>
      </c>
    </row>
    <row r="1287">
      <c r="A1287" s="60" t="s">
        <v>143</v>
      </c>
      <c r="B1287" s="41" t="s">
        <v>107</v>
      </c>
      <c r="C1287" s="41" t="s">
        <v>144</v>
      </c>
      <c r="E1287" s="147" t="s">
        <v>7867</v>
      </c>
      <c r="F1287" s="988" t="s">
        <v>7868</v>
      </c>
      <c r="G1287" s="147" t="s">
        <v>7879</v>
      </c>
      <c r="H1287" s="472">
        <v>45690.0</v>
      </c>
      <c r="I1287" s="1358">
        <v>45693.0</v>
      </c>
      <c r="J1287" s="147" t="s">
        <v>7880</v>
      </c>
      <c r="K1287" s="60"/>
      <c r="L1287" s="1360" t="s">
        <v>7870</v>
      </c>
      <c r="M1287" s="412" t="s">
        <v>7871</v>
      </c>
      <c r="N1287" s="144">
        <v>5.0</v>
      </c>
      <c r="O1287" s="145" t="s">
        <v>7872</v>
      </c>
      <c r="P1287" s="48" t="str">
        <f t="array" ref="P1287">HYPERLINK(INDEX('File Links'!B:B, MATCH(O1287, 'File Links'!C:C, 0)))
</f>
        <v>https://drive.google.com/file/d/1EGlmFl81-d1oxiKpGgGytIRbyZhEQLuV/view?usp=drivesdk</v>
      </c>
      <c r="Q1287" s="147" t="s">
        <v>7873</v>
      </c>
      <c r="R1287" s="412" t="s">
        <v>7139</v>
      </c>
      <c r="S1287" s="60"/>
      <c r="T1287" s="327">
        <v>1.0</v>
      </c>
      <c r="U1287" s="147" t="s">
        <v>7140</v>
      </c>
      <c r="V1287" s="147" t="s">
        <v>3501</v>
      </c>
      <c r="W1287" s="1361" t="s">
        <v>7874</v>
      </c>
      <c r="X1287" s="60"/>
      <c r="Y1287" s="147" t="s">
        <v>220</v>
      </c>
      <c r="Z1287" s="147" t="s">
        <v>7881</v>
      </c>
      <c r="AA1287" s="147" t="s">
        <v>7882</v>
      </c>
      <c r="AB1287" s="147" t="s">
        <v>7883</v>
      </c>
      <c r="AC1287" s="1362" t="s">
        <v>7878</v>
      </c>
      <c r="AD1287" s="327">
        <v>16.0</v>
      </c>
      <c r="AE1287" s="144">
        <v>186.0</v>
      </c>
      <c r="AF1287" s="327">
        <v>0.03</v>
      </c>
      <c r="AG1287" s="147" t="s">
        <v>130</v>
      </c>
      <c r="AH1287" s="60" t="s">
        <v>175</v>
      </c>
      <c r="AI1287" s="328">
        <v>0.05</v>
      </c>
      <c r="AJ1287" s="52" t="s">
        <v>127</v>
      </c>
      <c r="AK1287" s="52" t="s">
        <v>179</v>
      </c>
      <c r="AL1287" s="60" t="s">
        <v>132</v>
      </c>
      <c r="AM1287" s="1363" t="s">
        <v>165</v>
      </c>
      <c r="AN1287" s="327">
        <v>280.0</v>
      </c>
      <c r="AO1287" s="327">
        <v>0.001</v>
      </c>
      <c r="AP1287" s="147" t="s">
        <v>130</v>
      </c>
      <c r="AQ1287" s="147" t="s">
        <v>892</v>
      </c>
      <c r="AR1287" s="327">
        <v>0.54</v>
      </c>
      <c r="AS1287" s="147" t="s">
        <v>164</v>
      </c>
      <c r="AT1287" s="147" t="s">
        <v>179</v>
      </c>
      <c r="AU1287" s="60" t="s">
        <v>132</v>
      </c>
      <c r="AV1287" s="410" t="s">
        <v>7884</v>
      </c>
      <c r="AW1287" s="60" t="s">
        <v>134</v>
      </c>
      <c r="AY1287" s="60" t="s">
        <v>1455</v>
      </c>
    </row>
    <row r="1288">
      <c r="A1288" s="60" t="s">
        <v>143</v>
      </c>
      <c r="B1288" s="41" t="s">
        <v>107</v>
      </c>
      <c r="C1288" s="41" t="s">
        <v>1455</v>
      </c>
      <c r="E1288" s="147" t="s">
        <v>7885</v>
      </c>
      <c r="F1288" s="988" t="s">
        <v>7886</v>
      </c>
      <c r="G1288" s="147" t="s">
        <v>7887</v>
      </c>
      <c r="H1288" s="472">
        <v>45690.0</v>
      </c>
      <c r="I1288" s="1358">
        <v>45693.0</v>
      </c>
      <c r="J1288" s="60"/>
      <c r="K1288" s="60"/>
      <c r="L1288" s="1360" t="s">
        <v>7888</v>
      </c>
      <c r="M1288" s="147" t="s">
        <v>7889</v>
      </c>
      <c r="N1288" s="327">
        <v>5.0</v>
      </c>
      <c r="O1288" s="145" t="s">
        <v>7890</v>
      </c>
      <c r="P1288" s="48" t="str">
        <f t="array" ref="P1288">HYPERLINK(INDEX('File Links'!B:B, MATCH(O1288, 'File Links'!C:C, 0)))
</f>
        <v>https://drive.google.com/file/d/1y8mrTT7_nUvHiOOj_Est9-y7QPFPn7bM/view?usp=drivesdk</v>
      </c>
      <c r="Q1288" s="147" t="s">
        <v>7891</v>
      </c>
      <c r="R1288" s="147" t="s">
        <v>7139</v>
      </c>
      <c r="S1288" s="60"/>
      <c r="T1288" s="327">
        <v>1.0</v>
      </c>
      <c r="U1288" s="145" t="s">
        <v>7140</v>
      </c>
      <c r="V1288" s="60" t="s">
        <v>3501</v>
      </c>
      <c r="W1288" s="1361" t="s">
        <v>7892</v>
      </c>
      <c r="X1288" s="60"/>
      <c r="Y1288" s="60" t="s">
        <v>220</v>
      </c>
      <c r="Z1288" s="60" t="s">
        <v>7893</v>
      </c>
      <c r="AA1288" s="147" t="s">
        <v>7894</v>
      </c>
      <c r="AB1288" s="1365" t="s">
        <v>7895</v>
      </c>
      <c r="AC1288" s="60" t="s">
        <v>7896</v>
      </c>
      <c r="AD1288" s="327">
        <v>18.0</v>
      </c>
      <c r="AE1288" s="144">
        <v>153.0</v>
      </c>
      <c r="AF1288" s="327">
        <v>0.68</v>
      </c>
      <c r="AG1288" s="60" t="s">
        <v>1006</v>
      </c>
      <c r="AH1288" s="60" t="s">
        <v>1574</v>
      </c>
      <c r="AI1288" s="328">
        <v>0.001</v>
      </c>
      <c r="AJ1288" s="55" t="s">
        <v>127</v>
      </c>
      <c r="AK1288" s="55" t="s">
        <v>128</v>
      </c>
      <c r="AL1288" s="60" t="s">
        <v>132</v>
      </c>
      <c r="AM1288" s="1363" t="s">
        <v>165</v>
      </c>
      <c r="AN1288" s="144">
        <v>216.0</v>
      </c>
      <c r="AO1288" s="327">
        <v>0.7</v>
      </c>
      <c r="AP1288" s="60" t="s">
        <v>1006</v>
      </c>
      <c r="AQ1288" s="60" t="s">
        <v>892</v>
      </c>
      <c r="AR1288" s="327">
        <v>1.0E-4</v>
      </c>
      <c r="AS1288" s="60" t="s">
        <v>127</v>
      </c>
      <c r="AT1288" s="60" t="s">
        <v>179</v>
      </c>
      <c r="AU1288" s="60" t="s">
        <v>129</v>
      </c>
      <c r="AV1288" s="410" t="s">
        <v>7897</v>
      </c>
      <c r="AW1288" s="60" t="s">
        <v>134</v>
      </c>
      <c r="AY1288" s="60" t="s">
        <v>1455</v>
      </c>
    </row>
    <row r="1289">
      <c r="A1289" s="60" t="s">
        <v>106</v>
      </c>
      <c r="B1289" s="41" t="s">
        <v>107</v>
      </c>
      <c r="C1289" s="41" t="s">
        <v>144</v>
      </c>
      <c r="E1289" s="147" t="s">
        <v>7885</v>
      </c>
      <c r="F1289" s="988" t="s">
        <v>7886</v>
      </c>
      <c r="G1289" s="147" t="s">
        <v>144</v>
      </c>
      <c r="H1289" s="472">
        <v>45690.0</v>
      </c>
      <c r="I1289" s="1358">
        <v>45693.0</v>
      </c>
      <c r="J1289" s="147" t="s">
        <v>7898</v>
      </c>
      <c r="K1289" s="60"/>
      <c r="L1289" s="1360" t="s">
        <v>7899</v>
      </c>
      <c r="M1289" s="147" t="s">
        <v>7889</v>
      </c>
      <c r="N1289" s="144">
        <v>5.0</v>
      </c>
      <c r="O1289" s="145" t="s">
        <v>7890</v>
      </c>
      <c r="P1289" s="48" t="str">
        <f t="array" ref="P1289">HYPERLINK(INDEX('File Links'!B:B, MATCH(O1289, 'File Links'!C:C, 0)))
</f>
        <v>https://drive.google.com/file/d/1y8mrTT7_nUvHiOOj_Est9-y7QPFPn7bM/view?usp=drivesdk</v>
      </c>
      <c r="Q1289" s="147" t="s">
        <v>7891</v>
      </c>
      <c r="R1289" s="147" t="s">
        <v>7139</v>
      </c>
      <c r="S1289" s="60"/>
      <c r="T1289" s="327">
        <v>1.0</v>
      </c>
      <c r="U1289" s="145" t="s">
        <v>7140</v>
      </c>
      <c r="V1289" s="147" t="s">
        <v>3501</v>
      </c>
      <c r="W1289" s="50" t="str">
        <f t="array" ref="W1289">HYPERLINK(INDEX('File Links'!B:B, MATCH(U1289, 'File Links'!C:C, 0)))
</f>
        <v>https://drive.google.com/file/d/1UMAh9VGta6ExS2-Lb6GkDF4fmnI2EMeM/view?usp=drivesdk</v>
      </c>
      <c r="X1289" s="60"/>
      <c r="Y1289" s="147" t="s">
        <v>220</v>
      </c>
      <c r="Z1289" s="147" t="s">
        <v>7900</v>
      </c>
      <c r="AA1289" s="147" t="s">
        <v>7901</v>
      </c>
      <c r="AB1289" s="147" t="s">
        <v>7895</v>
      </c>
      <c r="AC1289" s="147" t="s">
        <v>7902</v>
      </c>
      <c r="AD1289" s="144">
        <v>18.0</v>
      </c>
      <c r="AE1289" s="144">
        <v>153.0</v>
      </c>
      <c r="AF1289" s="144">
        <v>0.68</v>
      </c>
      <c r="AG1289" s="1371" t="s">
        <v>357</v>
      </c>
      <c r="AH1289" s="147" t="s">
        <v>1574</v>
      </c>
      <c r="AI1289" s="328">
        <v>0.001</v>
      </c>
      <c r="AJ1289" s="52" t="s">
        <v>127</v>
      </c>
      <c r="AK1289" s="52" t="s">
        <v>128</v>
      </c>
      <c r="AL1289" s="60" t="s">
        <v>132</v>
      </c>
      <c r="AM1289" s="1363" t="s">
        <v>165</v>
      </c>
      <c r="AN1289" s="144">
        <v>216.0</v>
      </c>
      <c r="AO1289" s="144">
        <v>0.7</v>
      </c>
      <c r="AP1289" s="1371" t="s">
        <v>357</v>
      </c>
      <c r="AQ1289" s="147" t="s">
        <v>892</v>
      </c>
      <c r="AR1289" s="144">
        <v>1.0E-4</v>
      </c>
      <c r="AS1289" s="147" t="s">
        <v>127</v>
      </c>
      <c r="AT1289" s="147" t="s">
        <v>179</v>
      </c>
      <c r="AU1289" s="60" t="s">
        <v>129</v>
      </c>
      <c r="AV1289" s="410" t="s">
        <v>7897</v>
      </c>
      <c r="AW1289" s="1368" t="s">
        <v>142</v>
      </c>
      <c r="AY1289" s="60" t="s">
        <v>1455</v>
      </c>
    </row>
    <row r="1290">
      <c r="A1290" s="60" t="s">
        <v>143</v>
      </c>
      <c r="B1290" s="41" t="s">
        <v>107</v>
      </c>
      <c r="C1290" s="41" t="s">
        <v>1455</v>
      </c>
      <c r="E1290" s="147" t="s">
        <v>7903</v>
      </c>
      <c r="F1290" s="988" t="s">
        <v>7904</v>
      </c>
      <c r="G1290" s="147" t="s">
        <v>7905</v>
      </c>
      <c r="H1290" s="472">
        <v>45690.0</v>
      </c>
      <c r="I1290" s="1358">
        <v>45693.0</v>
      </c>
      <c r="J1290" s="60"/>
      <c r="K1290" s="60" t="s">
        <v>7906</v>
      </c>
      <c r="L1290" s="1360" t="s">
        <v>7907</v>
      </c>
      <c r="M1290" s="412" t="s">
        <v>7908</v>
      </c>
      <c r="N1290" s="327">
        <v>1.0</v>
      </c>
      <c r="O1290" s="145" t="s">
        <v>7909</v>
      </c>
      <c r="P1290" s="48" t="str">
        <f t="array" ref="P1290">HYPERLINK(INDEX('File Links'!B:B, MATCH(O1290, 'File Links'!C:C, 0)))
</f>
        <v>https://drive.google.com/file/d/16CJXCd6Rzqik5rD_iyUPgxYh8MalzPm4/view?usp=drivesdk</v>
      </c>
      <c r="Q1290" s="147" t="s">
        <v>7910</v>
      </c>
      <c r="R1290" s="412" t="s">
        <v>7139</v>
      </c>
      <c r="S1290" s="60"/>
      <c r="T1290" s="327">
        <v>1.0</v>
      </c>
      <c r="U1290" s="145" t="s">
        <v>7140</v>
      </c>
      <c r="V1290" s="60" t="s">
        <v>3501</v>
      </c>
      <c r="W1290" s="1361" t="s">
        <v>7911</v>
      </c>
      <c r="X1290" s="60"/>
      <c r="Y1290" s="60" t="s">
        <v>139</v>
      </c>
      <c r="Z1290" s="60" t="s">
        <v>7912</v>
      </c>
      <c r="AA1290" s="147" t="s">
        <v>7913</v>
      </c>
      <c r="AB1290" s="147" t="s">
        <v>7914</v>
      </c>
      <c r="AC1290" s="60" t="s">
        <v>7915</v>
      </c>
      <c r="AD1290" s="327">
        <v>4.0</v>
      </c>
      <c r="AE1290" s="144">
        <v>24.0</v>
      </c>
      <c r="AF1290" s="60" t="s">
        <v>7916</v>
      </c>
      <c r="AG1290" s="60" t="s">
        <v>162</v>
      </c>
      <c r="AH1290" s="60" t="s">
        <v>861</v>
      </c>
      <c r="AI1290" s="328">
        <v>0.002</v>
      </c>
      <c r="AJ1290" s="55" t="s">
        <v>164</v>
      </c>
      <c r="AK1290" s="55" t="s">
        <v>128</v>
      </c>
      <c r="AL1290" s="60" t="s">
        <v>129</v>
      </c>
      <c r="AM1290" s="1363" t="s">
        <v>165</v>
      </c>
      <c r="AN1290" s="327">
        <v>32.0</v>
      </c>
      <c r="AO1290" s="60" t="s">
        <v>7917</v>
      </c>
      <c r="AP1290" s="60" t="s">
        <v>162</v>
      </c>
      <c r="AQ1290" s="60" t="s">
        <v>131</v>
      </c>
      <c r="AR1290" s="327">
        <v>0.023</v>
      </c>
      <c r="AS1290" s="60" t="s">
        <v>164</v>
      </c>
      <c r="AT1290" s="60" t="s">
        <v>128</v>
      </c>
      <c r="AU1290" s="60" t="s">
        <v>129</v>
      </c>
      <c r="AV1290" s="410" t="s">
        <v>7918</v>
      </c>
      <c r="AW1290" s="60" t="s">
        <v>134</v>
      </c>
      <c r="AY1290" s="60" t="s">
        <v>1455</v>
      </c>
    </row>
    <row r="1291">
      <c r="A1291" s="60" t="s">
        <v>106</v>
      </c>
      <c r="B1291" s="41" t="s">
        <v>107</v>
      </c>
      <c r="C1291" s="41" t="s">
        <v>144</v>
      </c>
      <c r="E1291" s="147" t="s">
        <v>7903</v>
      </c>
      <c r="F1291" s="988" t="s">
        <v>7904</v>
      </c>
      <c r="G1291" s="147" t="s">
        <v>144</v>
      </c>
      <c r="H1291" s="472">
        <v>45690.0</v>
      </c>
      <c r="I1291" s="1358">
        <v>45693.0</v>
      </c>
      <c r="J1291" s="147" t="s">
        <v>7919</v>
      </c>
      <c r="K1291" s="60"/>
      <c r="L1291" s="1360" t="s">
        <v>7907</v>
      </c>
      <c r="M1291" s="412" t="s">
        <v>7908</v>
      </c>
      <c r="N1291" s="144">
        <v>1.0</v>
      </c>
      <c r="O1291" s="145" t="s">
        <v>7909</v>
      </c>
      <c r="P1291" s="48" t="str">
        <f t="array" ref="P1291">HYPERLINK(INDEX('File Links'!B:B, MATCH(O1291, 'File Links'!C:C, 0)))
</f>
        <v>https://drive.google.com/file/d/16CJXCd6Rzqik5rD_iyUPgxYh8MalzPm4/view?usp=drivesdk</v>
      </c>
      <c r="Q1291" s="147" t="s">
        <v>7910</v>
      </c>
      <c r="R1291" s="412" t="s">
        <v>7139</v>
      </c>
      <c r="S1291" s="60"/>
      <c r="T1291" s="327">
        <v>1.0</v>
      </c>
      <c r="U1291" s="145" t="s">
        <v>7140</v>
      </c>
      <c r="V1291" s="147" t="s">
        <v>155</v>
      </c>
      <c r="W1291" s="50" t="str">
        <f t="array" ref="W1291">HYPERLINK(INDEX('File Links'!B:B, MATCH(U1291, 'File Links'!C:C, 0)))
</f>
        <v>https://drive.google.com/file/d/1UMAh9VGta6ExS2-Lb6GkDF4fmnI2EMeM/view?usp=drivesdk</v>
      </c>
      <c r="X1291" s="60"/>
      <c r="Y1291" s="147" t="s">
        <v>139</v>
      </c>
      <c r="Z1291" s="147" t="s">
        <v>7920</v>
      </c>
      <c r="AA1291" s="147" t="s">
        <v>7921</v>
      </c>
      <c r="AB1291" s="147" t="s">
        <v>7922</v>
      </c>
      <c r="AC1291" s="147" t="s">
        <v>7923</v>
      </c>
      <c r="AD1291" s="144">
        <v>4.0</v>
      </c>
      <c r="AE1291" s="144">
        <v>24.0</v>
      </c>
      <c r="AF1291" s="144" t="s">
        <v>7916</v>
      </c>
      <c r="AG1291" s="147" t="s">
        <v>162</v>
      </c>
      <c r="AH1291" s="147" t="s">
        <v>861</v>
      </c>
      <c r="AI1291" s="646">
        <v>0.002</v>
      </c>
      <c r="AJ1291" s="52" t="s">
        <v>164</v>
      </c>
      <c r="AK1291" s="52" t="s">
        <v>128</v>
      </c>
      <c r="AL1291" s="60" t="s">
        <v>129</v>
      </c>
      <c r="AM1291" s="1363" t="s">
        <v>165</v>
      </c>
      <c r="AN1291" s="327">
        <v>32.0</v>
      </c>
      <c r="AO1291" s="327" t="s">
        <v>7917</v>
      </c>
      <c r="AP1291" s="147" t="s">
        <v>162</v>
      </c>
      <c r="AQ1291" s="147" t="s">
        <v>131</v>
      </c>
      <c r="AR1291" s="144">
        <v>0.023</v>
      </c>
      <c r="AS1291" s="147" t="s">
        <v>164</v>
      </c>
      <c r="AT1291" s="147" t="s">
        <v>128</v>
      </c>
      <c r="AU1291" s="60" t="s">
        <v>129</v>
      </c>
      <c r="AV1291" s="410" t="s">
        <v>7918</v>
      </c>
      <c r="AW1291" s="1368" t="s">
        <v>142</v>
      </c>
      <c r="AY1291" s="60" t="s">
        <v>1455</v>
      </c>
    </row>
    <row r="1292">
      <c r="A1292" s="60" t="s">
        <v>106</v>
      </c>
      <c r="B1292" s="41" t="s">
        <v>107</v>
      </c>
      <c r="C1292" s="41" t="s">
        <v>1455</v>
      </c>
      <c r="E1292" s="147" t="s">
        <v>7924</v>
      </c>
      <c r="F1292" s="988" t="s">
        <v>7925</v>
      </c>
      <c r="G1292" s="147" t="s">
        <v>7926</v>
      </c>
      <c r="H1292" s="472">
        <v>45690.0</v>
      </c>
      <c r="I1292" s="1358">
        <v>45693.0</v>
      </c>
      <c r="J1292" s="60" t="s">
        <v>7927</v>
      </c>
      <c r="K1292" s="60"/>
      <c r="L1292" s="1360" t="s">
        <v>7928</v>
      </c>
      <c r="M1292" s="147" t="s">
        <v>7929</v>
      </c>
      <c r="N1292" s="327">
        <v>2.0</v>
      </c>
      <c r="O1292" s="145" t="s">
        <v>7930</v>
      </c>
      <c r="P1292" s="48" t="str">
        <f t="array" ref="P1292">HYPERLINK(INDEX('File Links'!B:B, MATCH(O1292, 'File Links'!C:C, 0)))
</f>
        <v>https://drive.google.com/file/d/1FHV-u9hbFTbf5tQRw4AZBWXvlnvbsJuW/view?usp=drivesdk</v>
      </c>
      <c r="Q1292" s="60" t="s">
        <v>7931</v>
      </c>
      <c r="R1292" s="147" t="s">
        <v>7139</v>
      </c>
      <c r="S1292" s="60"/>
      <c r="T1292" s="60" t="s">
        <v>7931</v>
      </c>
      <c r="U1292" s="145" t="s">
        <v>7140</v>
      </c>
      <c r="V1292" s="60" t="s">
        <v>155</v>
      </c>
      <c r="W1292" s="1361" t="s">
        <v>7932</v>
      </c>
      <c r="X1292" s="60"/>
      <c r="Y1292" s="60" t="s">
        <v>220</v>
      </c>
      <c r="Z1292" s="60" t="s">
        <v>7933</v>
      </c>
      <c r="AA1292" s="60" t="s">
        <v>7934</v>
      </c>
      <c r="AB1292" s="60" t="s">
        <v>7935</v>
      </c>
      <c r="AC1292" s="60" t="s">
        <v>7936</v>
      </c>
      <c r="AD1292" s="327">
        <v>7.0</v>
      </c>
      <c r="AE1292" s="327">
        <v>110.0</v>
      </c>
      <c r="AF1292" s="60" t="s">
        <v>7937</v>
      </c>
      <c r="AG1292" s="60" t="s">
        <v>162</v>
      </c>
      <c r="AH1292" s="60" t="s">
        <v>125</v>
      </c>
      <c r="AI1292" s="328">
        <v>0.05</v>
      </c>
      <c r="AJ1292" s="55" t="s">
        <v>127</v>
      </c>
      <c r="AK1292" s="55" t="s">
        <v>128</v>
      </c>
      <c r="AL1292" s="60" t="s">
        <v>129</v>
      </c>
      <c r="AM1292" s="1363" t="s">
        <v>165</v>
      </c>
      <c r="AN1292" s="327">
        <v>222.0</v>
      </c>
      <c r="AO1292" s="327">
        <v>0.01</v>
      </c>
      <c r="AP1292" s="60" t="s">
        <v>166</v>
      </c>
      <c r="AQ1292" s="60" t="s">
        <v>210</v>
      </c>
      <c r="AR1292" s="327">
        <v>0.94</v>
      </c>
      <c r="AS1292" s="60" t="s">
        <v>164</v>
      </c>
      <c r="AT1292" s="60" t="s">
        <v>128</v>
      </c>
      <c r="AU1292" s="60" t="s">
        <v>129</v>
      </c>
      <c r="AV1292" s="115" t="s">
        <v>165</v>
      </c>
      <c r="AW1292" s="60" t="s">
        <v>134</v>
      </c>
      <c r="AY1292" s="60" t="s">
        <v>1455</v>
      </c>
    </row>
    <row r="1293">
      <c r="A1293" s="60" t="s">
        <v>143</v>
      </c>
      <c r="B1293" s="41" t="s">
        <v>107</v>
      </c>
      <c r="C1293" s="41" t="s">
        <v>144</v>
      </c>
      <c r="E1293" s="147" t="s">
        <v>7924</v>
      </c>
      <c r="F1293" s="988" t="s">
        <v>7938</v>
      </c>
      <c r="G1293" s="147" t="s">
        <v>144</v>
      </c>
      <c r="H1293" s="472">
        <v>45690.0</v>
      </c>
      <c r="I1293" s="1358">
        <v>45693.0</v>
      </c>
      <c r="J1293" s="147" t="s">
        <v>7939</v>
      </c>
      <c r="K1293" s="60" t="s">
        <v>7940</v>
      </c>
      <c r="L1293" s="1360" t="s">
        <v>7928</v>
      </c>
      <c r="M1293" s="147" t="s">
        <v>7929</v>
      </c>
      <c r="N1293" s="144">
        <v>2.0</v>
      </c>
      <c r="O1293" s="145" t="s">
        <v>7930</v>
      </c>
      <c r="P1293" s="48" t="str">
        <f t="array" ref="P1293">HYPERLINK(INDEX('File Links'!B:B, MATCH(O1293, 'File Links'!C:C, 0)))
</f>
        <v>https://drive.google.com/file/d/1FHV-u9hbFTbf5tQRw4AZBWXvlnvbsJuW/view?usp=drivesdk</v>
      </c>
      <c r="Q1293" s="147" t="s">
        <v>7931</v>
      </c>
      <c r="R1293" s="147" t="s">
        <v>7139</v>
      </c>
      <c r="S1293" s="60"/>
      <c r="T1293" s="327">
        <v>1.0</v>
      </c>
      <c r="U1293" s="145" t="s">
        <v>7140</v>
      </c>
      <c r="V1293" s="147" t="s">
        <v>155</v>
      </c>
      <c r="W1293" s="1361" t="s">
        <v>7932</v>
      </c>
      <c r="X1293" s="60"/>
      <c r="Y1293" s="147" t="s">
        <v>220</v>
      </c>
      <c r="Z1293" s="1362" t="s">
        <v>7933</v>
      </c>
      <c r="AA1293" s="147" t="s">
        <v>7941</v>
      </c>
      <c r="AB1293" s="147" t="s">
        <v>7942</v>
      </c>
      <c r="AC1293" s="1362" t="s">
        <v>7936</v>
      </c>
      <c r="AD1293" s="144">
        <v>7.0</v>
      </c>
      <c r="AE1293" s="144">
        <v>110.0</v>
      </c>
      <c r="AF1293" s="147" t="s">
        <v>7937</v>
      </c>
      <c r="AG1293" s="147" t="s">
        <v>162</v>
      </c>
      <c r="AH1293" s="147" t="s">
        <v>125</v>
      </c>
      <c r="AI1293" s="328">
        <v>0.05</v>
      </c>
      <c r="AJ1293" s="52" t="s">
        <v>127</v>
      </c>
      <c r="AK1293" s="52" t="s">
        <v>128</v>
      </c>
      <c r="AL1293" s="60" t="s">
        <v>129</v>
      </c>
      <c r="AM1293" s="1363" t="s">
        <v>165</v>
      </c>
      <c r="AN1293" s="144">
        <v>222.0</v>
      </c>
      <c r="AO1293" s="144">
        <v>0.01</v>
      </c>
      <c r="AP1293" s="147" t="s">
        <v>166</v>
      </c>
      <c r="AQ1293" s="147" t="s">
        <v>210</v>
      </c>
      <c r="AR1293" s="144">
        <v>0.94</v>
      </c>
      <c r="AS1293" s="147" t="s">
        <v>164</v>
      </c>
      <c r="AT1293" s="147" t="s">
        <v>128</v>
      </c>
      <c r="AU1293" s="60" t="s">
        <v>129</v>
      </c>
      <c r="AV1293" s="410" t="s">
        <v>7943</v>
      </c>
      <c r="AW1293" s="60" t="s">
        <v>134</v>
      </c>
      <c r="AY1293" s="60" t="s">
        <v>1455</v>
      </c>
    </row>
    <row r="1294">
      <c r="A1294" s="60" t="s">
        <v>106</v>
      </c>
      <c r="B1294" s="41" t="s">
        <v>107</v>
      </c>
      <c r="C1294" s="41" t="s">
        <v>1455</v>
      </c>
      <c r="E1294" s="147" t="s">
        <v>7944</v>
      </c>
      <c r="F1294" s="988" t="s">
        <v>7945</v>
      </c>
      <c r="G1294" s="147" t="s">
        <v>7946</v>
      </c>
      <c r="H1294" s="472">
        <v>45690.0</v>
      </c>
      <c r="I1294" s="1358">
        <v>45693.0</v>
      </c>
      <c r="J1294" s="60" t="s">
        <v>7947</v>
      </c>
      <c r="K1294" s="60"/>
      <c r="L1294" s="1360" t="s">
        <v>7948</v>
      </c>
      <c r="M1294" s="147" t="s">
        <v>3932</v>
      </c>
      <c r="N1294" s="327">
        <v>2.0</v>
      </c>
      <c r="O1294" s="145" t="s">
        <v>3933</v>
      </c>
      <c r="P1294" s="48" t="str">
        <f t="array" ref="P1294">HYPERLINK(INDEX('File Links'!B:B, MATCH(O1294, 'File Links'!C:C, 0)))
</f>
        <v>https://drive.google.com/file/d/12hPE3_ROkrr-EwAg8DQR8e8OYrtwuoYT/view?usp=drivesdk</v>
      </c>
      <c r="Q1294" s="147" t="s">
        <v>7949</v>
      </c>
      <c r="R1294" s="147" t="s">
        <v>7139</v>
      </c>
      <c r="S1294" s="60"/>
      <c r="T1294" s="60" t="s">
        <v>7949</v>
      </c>
      <c r="U1294" s="145" t="s">
        <v>7140</v>
      </c>
      <c r="V1294" s="60" t="s">
        <v>3501</v>
      </c>
      <c r="W1294" s="1361" t="s">
        <v>7950</v>
      </c>
      <c r="X1294" s="60"/>
      <c r="Y1294" s="60" t="s">
        <v>220</v>
      </c>
      <c r="Z1294" s="60" t="s">
        <v>7951</v>
      </c>
      <c r="AA1294" s="147" t="s">
        <v>7952</v>
      </c>
      <c r="AB1294" s="147" t="s">
        <v>7953</v>
      </c>
      <c r="AC1294" s="60" t="s">
        <v>7954</v>
      </c>
      <c r="AD1294" s="327">
        <v>9.0</v>
      </c>
      <c r="AE1294" s="144">
        <v>71.0</v>
      </c>
      <c r="AF1294" s="60" t="s">
        <v>3946</v>
      </c>
      <c r="AG1294" s="60" t="s">
        <v>162</v>
      </c>
      <c r="AH1294" s="60" t="s">
        <v>625</v>
      </c>
      <c r="AI1294" s="328">
        <v>0.02</v>
      </c>
      <c r="AJ1294" s="55" t="s">
        <v>127</v>
      </c>
      <c r="AK1294" s="55" t="s">
        <v>179</v>
      </c>
      <c r="AL1294" s="60" t="s">
        <v>129</v>
      </c>
      <c r="AM1294" s="1363" t="s">
        <v>165</v>
      </c>
      <c r="AN1294" s="144">
        <v>148.0</v>
      </c>
      <c r="AO1294" s="327">
        <v>0.15</v>
      </c>
      <c r="AP1294" s="60" t="s">
        <v>166</v>
      </c>
      <c r="AQ1294" s="60" t="s">
        <v>892</v>
      </c>
      <c r="AR1294" s="327">
        <v>0.37</v>
      </c>
      <c r="AS1294" s="60" t="s">
        <v>329</v>
      </c>
      <c r="AT1294" s="60" t="s">
        <v>179</v>
      </c>
      <c r="AU1294" s="60" t="s">
        <v>129</v>
      </c>
      <c r="AV1294" s="115" t="s">
        <v>165</v>
      </c>
      <c r="AW1294" s="60" t="s">
        <v>142</v>
      </c>
      <c r="AY1294" s="60" t="s">
        <v>1455</v>
      </c>
    </row>
    <row r="1295">
      <c r="A1295" s="60" t="s">
        <v>143</v>
      </c>
      <c r="B1295" s="41" t="s">
        <v>107</v>
      </c>
      <c r="C1295" s="41" t="s">
        <v>144</v>
      </c>
      <c r="E1295" s="147" t="s">
        <v>7944</v>
      </c>
      <c r="F1295" s="988" t="s">
        <v>7955</v>
      </c>
      <c r="G1295" s="147" t="s">
        <v>144</v>
      </c>
      <c r="H1295" s="472">
        <v>45690.0</v>
      </c>
      <c r="I1295" s="1358">
        <v>45693.0</v>
      </c>
      <c r="J1295" s="147" t="s">
        <v>7956</v>
      </c>
      <c r="K1295" s="60"/>
      <c r="L1295" s="1360" t="s">
        <v>7948</v>
      </c>
      <c r="M1295" s="147" t="s">
        <v>3932</v>
      </c>
      <c r="N1295" s="144">
        <v>2.0</v>
      </c>
      <c r="O1295" s="145" t="s">
        <v>3933</v>
      </c>
      <c r="P1295" s="48" t="str">
        <f t="array" ref="P1295">HYPERLINK(INDEX('File Links'!B:B, MATCH(O1295, 'File Links'!C:C, 0)))
</f>
        <v>https://drive.google.com/file/d/12hPE3_ROkrr-EwAg8DQR8e8OYrtwuoYT/view?usp=drivesdk</v>
      </c>
      <c r="Q1295" s="147" t="s">
        <v>7949</v>
      </c>
      <c r="R1295" s="147" t="s">
        <v>7139</v>
      </c>
      <c r="S1295" s="60"/>
      <c r="T1295" s="327">
        <v>1.0</v>
      </c>
      <c r="U1295" s="145" t="s">
        <v>7140</v>
      </c>
      <c r="V1295" s="147" t="s">
        <v>3501</v>
      </c>
      <c r="W1295" s="1361" t="s">
        <v>7950</v>
      </c>
      <c r="X1295" s="60"/>
      <c r="Y1295" s="147" t="s">
        <v>220</v>
      </c>
      <c r="Z1295" s="147" t="s">
        <v>7951</v>
      </c>
      <c r="AA1295" s="147" t="s">
        <v>7957</v>
      </c>
      <c r="AB1295" s="147" t="s">
        <v>7958</v>
      </c>
      <c r="AC1295" s="147" t="s">
        <v>7959</v>
      </c>
      <c r="AD1295" s="144">
        <v>9.0</v>
      </c>
      <c r="AE1295" s="144">
        <v>71.0</v>
      </c>
      <c r="AF1295" s="147" t="s">
        <v>3946</v>
      </c>
      <c r="AG1295" s="147" t="s">
        <v>162</v>
      </c>
      <c r="AH1295" s="147" t="s">
        <v>625</v>
      </c>
      <c r="AI1295" s="328">
        <v>0.02</v>
      </c>
      <c r="AJ1295" s="52" t="s">
        <v>127</v>
      </c>
      <c r="AK1295" s="52" t="s">
        <v>179</v>
      </c>
      <c r="AL1295" s="60" t="s">
        <v>129</v>
      </c>
      <c r="AM1295" s="1363" t="s">
        <v>165</v>
      </c>
      <c r="AN1295" s="144">
        <v>148.0</v>
      </c>
      <c r="AO1295" s="144">
        <v>0.15</v>
      </c>
      <c r="AP1295" s="147" t="s">
        <v>166</v>
      </c>
      <c r="AQ1295" s="147" t="s">
        <v>892</v>
      </c>
      <c r="AR1295" s="144">
        <v>0.37</v>
      </c>
      <c r="AS1295" s="147" t="s">
        <v>329</v>
      </c>
      <c r="AT1295" s="147" t="s">
        <v>179</v>
      </c>
      <c r="AU1295" s="60" t="s">
        <v>129</v>
      </c>
      <c r="AV1295" s="410" t="s">
        <v>7960</v>
      </c>
      <c r="AW1295" s="60" t="s">
        <v>142</v>
      </c>
      <c r="AY1295" s="60" t="s">
        <v>1455</v>
      </c>
    </row>
    <row r="1296">
      <c r="A1296" s="60" t="s">
        <v>143</v>
      </c>
      <c r="B1296" s="41" t="s">
        <v>107</v>
      </c>
      <c r="C1296" s="41" t="s">
        <v>1455</v>
      </c>
      <c r="E1296" s="147" t="s">
        <v>7961</v>
      </c>
      <c r="F1296" s="988" t="s">
        <v>7962</v>
      </c>
      <c r="G1296" s="147" t="s">
        <v>7963</v>
      </c>
      <c r="H1296" s="472">
        <v>45690.0</v>
      </c>
      <c r="I1296" s="1358">
        <v>45693.0</v>
      </c>
      <c r="J1296" s="60"/>
      <c r="K1296" s="60"/>
      <c r="L1296" s="1360" t="s">
        <v>7964</v>
      </c>
      <c r="M1296" s="412" t="s">
        <v>7965</v>
      </c>
      <c r="N1296" s="327">
        <v>1.0</v>
      </c>
      <c r="O1296" s="145" t="s">
        <v>7966</v>
      </c>
      <c r="P1296" s="48" t="str">
        <f t="array" ref="P1296">HYPERLINK(INDEX('File Links'!B:B, MATCH(O1296, 'File Links'!C:C, 0)))
</f>
        <v>https://drive.google.com/file/d/1TnJyaUoRrpzVV53y8GXds5wdlyuM-9mX/view?usp=drivesdk</v>
      </c>
      <c r="Q1296" s="147" t="s">
        <v>7967</v>
      </c>
      <c r="R1296" s="412" t="s">
        <v>7139</v>
      </c>
      <c r="S1296" s="60"/>
      <c r="T1296" s="327">
        <v>1.0</v>
      </c>
      <c r="U1296" s="145" t="s">
        <v>7140</v>
      </c>
      <c r="V1296" s="60" t="s">
        <v>155</v>
      </c>
      <c r="W1296" s="1361" t="s">
        <v>7968</v>
      </c>
      <c r="X1296" s="60"/>
      <c r="Y1296" s="60" t="s">
        <v>220</v>
      </c>
      <c r="Z1296" s="60" t="s">
        <v>7969</v>
      </c>
      <c r="AA1296" s="147" t="s">
        <v>7970</v>
      </c>
      <c r="AB1296" s="1365" t="s">
        <v>7971</v>
      </c>
      <c r="AC1296" s="60" t="s">
        <v>7972</v>
      </c>
      <c r="AD1296" s="327">
        <v>5.0</v>
      </c>
      <c r="AE1296" s="144">
        <v>82.0</v>
      </c>
      <c r="AF1296" s="60" t="s">
        <v>7973</v>
      </c>
      <c r="AG1296" s="60" t="s">
        <v>162</v>
      </c>
      <c r="AH1296" s="60" t="s">
        <v>892</v>
      </c>
      <c r="AI1296" s="328">
        <v>1.0E-4</v>
      </c>
      <c r="AJ1296" s="55" t="s">
        <v>127</v>
      </c>
      <c r="AK1296" s="55" t="s">
        <v>179</v>
      </c>
      <c r="AL1296" s="60" t="s">
        <v>132</v>
      </c>
      <c r="AM1296" s="1363" t="s">
        <v>165</v>
      </c>
      <c r="AN1296" s="327">
        <v>71.0</v>
      </c>
      <c r="AO1296" s="327">
        <v>0.0259</v>
      </c>
      <c r="AP1296" s="60" t="s">
        <v>1785</v>
      </c>
      <c r="AQ1296" s="60" t="s">
        <v>892</v>
      </c>
      <c r="AR1296" s="327">
        <v>0.426</v>
      </c>
      <c r="AS1296" s="60" t="s">
        <v>164</v>
      </c>
      <c r="AT1296" s="60" t="s">
        <v>179</v>
      </c>
      <c r="AU1296" s="60" t="s">
        <v>132</v>
      </c>
      <c r="AV1296" s="410" t="s">
        <v>7974</v>
      </c>
      <c r="AW1296" s="60" t="s">
        <v>134</v>
      </c>
      <c r="AY1296" s="60" t="s">
        <v>1455</v>
      </c>
    </row>
    <row r="1297">
      <c r="A1297" s="60" t="s">
        <v>106</v>
      </c>
      <c r="B1297" s="41" t="s">
        <v>107</v>
      </c>
      <c r="C1297" s="41" t="s">
        <v>144</v>
      </c>
      <c r="E1297" s="147" t="s">
        <v>7961</v>
      </c>
      <c r="F1297" s="988" t="s">
        <v>7975</v>
      </c>
      <c r="G1297" s="147" t="s">
        <v>144</v>
      </c>
      <c r="H1297" s="472">
        <v>45690.0</v>
      </c>
      <c r="I1297" s="1358">
        <v>45693.0</v>
      </c>
      <c r="J1297" s="60" t="s">
        <v>7976</v>
      </c>
      <c r="K1297" s="60"/>
      <c r="L1297" s="1360" t="s">
        <v>7964</v>
      </c>
      <c r="M1297" s="412" t="s">
        <v>7965</v>
      </c>
      <c r="N1297" s="144">
        <v>1.0</v>
      </c>
      <c r="O1297" s="145" t="s">
        <v>7966</v>
      </c>
      <c r="P1297" s="48" t="str">
        <f t="array" ref="P1297">HYPERLINK(INDEX('File Links'!B:B, MATCH(O1297, 'File Links'!C:C, 0)))
</f>
        <v>https://drive.google.com/file/d/1TnJyaUoRrpzVV53y8GXds5wdlyuM-9mX/view?usp=drivesdk</v>
      </c>
      <c r="Q1297" s="147" t="s">
        <v>7967</v>
      </c>
      <c r="R1297" s="412" t="s">
        <v>7139</v>
      </c>
      <c r="S1297" s="60"/>
      <c r="T1297" s="327">
        <v>1.0</v>
      </c>
      <c r="U1297" s="145" t="s">
        <v>7140</v>
      </c>
      <c r="V1297" s="147" t="s">
        <v>155</v>
      </c>
      <c r="W1297" s="50" t="str">
        <f t="array" ref="W1297">HYPERLINK(INDEX('File Links'!B:B, MATCH(U1297, 'File Links'!C:C, 0)))
</f>
        <v>https://drive.google.com/file/d/1UMAh9VGta6ExS2-Lb6GkDF4fmnI2EMeM/view?usp=drivesdk</v>
      </c>
      <c r="X1297" s="60"/>
      <c r="Y1297" s="147" t="s">
        <v>220</v>
      </c>
      <c r="Z1297" s="147" t="s">
        <v>7977</v>
      </c>
      <c r="AA1297" s="147" t="s">
        <v>7978</v>
      </c>
      <c r="AB1297" s="147" t="s">
        <v>7971</v>
      </c>
      <c r="AC1297" s="147" t="s">
        <v>7979</v>
      </c>
      <c r="AD1297" s="144">
        <v>5.0</v>
      </c>
      <c r="AE1297" s="144">
        <v>82.0</v>
      </c>
      <c r="AF1297" s="144" t="s">
        <v>7973</v>
      </c>
      <c r="AG1297" s="147" t="s">
        <v>162</v>
      </c>
      <c r="AH1297" s="147" t="s">
        <v>894</v>
      </c>
      <c r="AI1297" s="646">
        <v>1.0E-4</v>
      </c>
      <c r="AJ1297" s="52" t="s">
        <v>127</v>
      </c>
      <c r="AK1297" s="52" t="s">
        <v>179</v>
      </c>
      <c r="AL1297" s="60" t="s">
        <v>132</v>
      </c>
      <c r="AM1297" s="1363" t="s">
        <v>165</v>
      </c>
      <c r="AN1297" s="327">
        <v>71.0</v>
      </c>
      <c r="AO1297" s="327">
        <v>0.0259</v>
      </c>
      <c r="AP1297" s="1371" t="s">
        <v>130</v>
      </c>
      <c r="AQ1297" s="147" t="s">
        <v>892</v>
      </c>
      <c r="AR1297" s="144">
        <v>0.426</v>
      </c>
      <c r="AS1297" s="147" t="s">
        <v>164</v>
      </c>
      <c r="AT1297" s="147" t="s">
        <v>179</v>
      </c>
      <c r="AU1297" s="60" t="s">
        <v>132</v>
      </c>
      <c r="AV1297" s="410" t="s">
        <v>7974</v>
      </c>
      <c r="AW1297" s="60" t="s">
        <v>134</v>
      </c>
      <c r="AY1297" s="60" t="s">
        <v>1455</v>
      </c>
    </row>
    <row r="1298">
      <c r="A1298" s="60" t="s">
        <v>106</v>
      </c>
      <c r="B1298" s="41" t="s">
        <v>107</v>
      </c>
      <c r="C1298" s="41" t="s">
        <v>1455</v>
      </c>
      <c r="E1298" s="147" t="s">
        <v>7980</v>
      </c>
      <c r="F1298" s="988" t="s">
        <v>7981</v>
      </c>
      <c r="G1298" s="147" t="s">
        <v>7982</v>
      </c>
      <c r="H1298" s="472">
        <v>45690.0</v>
      </c>
      <c r="I1298" s="1358">
        <v>45693.0</v>
      </c>
      <c r="J1298" s="60"/>
      <c r="K1298" s="60"/>
      <c r="L1298" s="1360" t="s">
        <v>7983</v>
      </c>
      <c r="M1298" s="147" t="s">
        <v>6239</v>
      </c>
      <c r="N1298" s="60"/>
      <c r="O1298" s="145" t="s">
        <v>7984</v>
      </c>
      <c r="P1298" s="48" t="str">
        <f t="array" ref="P1298">HYPERLINK(INDEX('File Links'!B:B, MATCH(O1298, 'File Links'!C:C, 0)))
</f>
        <v>https://drive.google.com/file/d/1sVDcE0S8Au1V2yPyjhNJC-dbCas3mbhd/view?usp=drivesdk</v>
      </c>
      <c r="Q1298" s="147" t="s">
        <v>7985</v>
      </c>
      <c r="R1298" s="147" t="s">
        <v>7139</v>
      </c>
      <c r="S1298" s="60"/>
      <c r="T1298" s="327">
        <v>1.0</v>
      </c>
      <c r="U1298" s="145" t="s">
        <v>7140</v>
      </c>
      <c r="V1298" s="60" t="s">
        <v>155</v>
      </c>
      <c r="W1298" s="1361" t="s">
        <v>7986</v>
      </c>
      <c r="X1298" s="60"/>
      <c r="Y1298" s="60" t="s">
        <v>220</v>
      </c>
      <c r="Z1298" s="60" t="s">
        <v>7987</v>
      </c>
      <c r="AA1298" s="147" t="s">
        <v>7988</v>
      </c>
      <c r="AB1298" s="147" t="s">
        <v>7989</v>
      </c>
      <c r="AC1298" s="60" t="s">
        <v>7990</v>
      </c>
      <c r="AD1298" s="327">
        <v>12.0</v>
      </c>
      <c r="AE1298" s="144">
        <v>45.0</v>
      </c>
      <c r="AF1298" s="327">
        <v>0.06</v>
      </c>
      <c r="AG1298" s="60" t="s">
        <v>130</v>
      </c>
      <c r="AH1298" s="60" t="s">
        <v>609</v>
      </c>
      <c r="AI1298" s="328">
        <v>0.01</v>
      </c>
      <c r="AJ1298" s="55" t="s">
        <v>127</v>
      </c>
      <c r="AK1298" s="55" t="s">
        <v>179</v>
      </c>
      <c r="AL1298" s="60" t="s">
        <v>132</v>
      </c>
      <c r="AM1298" s="1363" t="s">
        <v>165</v>
      </c>
      <c r="AN1298" s="144">
        <v>135.0</v>
      </c>
      <c r="AO1298" s="327">
        <v>0.001</v>
      </c>
      <c r="AP1298" s="60" t="s">
        <v>130</v>
      </c>
      <c r="AQ1298" s="60" t="s">
        <v>861</v>
      </c>
      <c r="AR1298" s="327">
        <v>0.89</v>
      </c>
      <c r="AS1298" s="60" t="s">
        <v>164</v>
      </c>
      <c r="AT1298" s="60" t="s">
        <v>179</v>
      </c>
      <c r="AU1298" s="60" t="s">
        <v>132</v>
      </c>
      <c r="AV1298" s="115" t="s">
        <v>165</v>
      </c>
      <c r="AW1298" s="60" t="s">
        <v>134</v>
      </c>
      <c r="AY1298" s="60" t="s">
        <v>1455</v>
      </c>
    </row>
    <row r="1299">
      <c r="A1299" s="60" t="s">
        <v>143</v>
      </c>
      <c r="B1299" s="41" t="s">
        <v>107</v>
      </c>
      <c r="C1299" s="41" t="s">
        <v>144</v>
      </c>
      <c r="E1299" s="147" t="s">
        <v>7980</v>
      </c>
      <c r="F1299" s="988" t="s">
        <v>7991</v>
      </c>
      <c r="G1299" s="147" t="s">
        <v>144</v>
      </c>
      <c r="H1299" s="472">
        <v>45690.0</v>
      </c>
      <c r="I1299" s="1358">
        <v>45693.0</v>
      </c>
      <c r="J1299" s="147" t="s">
        <v>7992</v>
      </c>
      <c r="K1299" s="60"/>
      <c r="L1299" s="1360" t="s">
        <v>7983</v>
      </c>
      <c r="M1299" s="147" t="s">
        <v>6239</v>
      </c>
      <c r="N1299" s="144">
        <v>7.0</v>
      </c>
      <c r="O1299" s="145" t="s">
        <v>7984</v>
      </c>
      <c r="P1299" s="48" t="str">
        <f t="array" ref="P1299">HYPERLINK(INDEX('File Links'!B:B, MATCH(O1299, 'File Links'!C:C, 0)))
</f>
        <v>https://drive.google.com/file/d/1sVDcE0S8Au1V2yPyjhNJC-dbCas3mbhd/view?usp=drivesdk</v>
      </c>
      <c r="Q1299" s="147" t="s">
        <v>7985</v>
      </c>
      <c r="R1299" s="147" t="s">
        <v>7139</v>
      </c>
      <c r="S1299" s="60"/>
      <c r="T1299" s="327">
        <v>1.0</v>
      </c>
      <c r="U1299" s="145" t="s">
        <v>7140</v>
      </c>
      <c r="V1299" s="147" t="s">
        <v>155</v>
      </c>
      <c r="W1299" s="1361" t="s">
        <v>7986</v>
      </c>
      <c r="X1299" s="60"/>
      <c r="Y1299" s="147" t="s">
        <v>220</v>
      </c>
      <c r="Z1299" s="147" t="s">
        <v>7993</v>
      </c>
      <c r="AA1299" s="147" t="s">
        <v>7994</v>
      </c>
      <c r="AB1299" s="147" t="s">
        <v>7995</v>
      </c>
      <c r="AC1299" s="147" t="s">
        <v>7996</v>
      </c>
      <c r="AD1299" s="144">
        <v>17.0</v>
      </c>
      <c r="AE1299" s="144">
        <v>45.0</v>
      </c>
      <c r="AF1299" s="144">
        <v>0.06</v>
      </c>
      <c r="AG1299" s="147" t="s">
        <v>130</v>
      </c>
      <c r="AH1299" s="147" t="s">
        <v>609</v>
      </c>
      <c r="AI1299" s="328">
        <v>0.01</v>
      </c>
      <c r="AJ1299" s="52" t="s">
        <v>127</v>
      </c>
      <c r="AK1299" s="52" t="s">
        <v>179</v>
      </c>
      <c r="AL1299" s="60" t="s">
        <v>132</v>
      </c>
      <c r="AM1299" s="1363" t="s">
        <v>165</v>
      </c>
      <c r="AN1299" s="144">
        <v>135.0</v>
      </c>
      <c r="AO1299" s="144">
        <v>0.001</v>
      </c>
      <c r="AP1299" s="147" t="s">
        <v>130</v>
      </c>
      <c r="AQ1299" s="147" t="s">
        <v>861</v>
      </c>
      <c r="AR1299" s="144">
        <v>0.89</v>
      </c>
      <c r="AS1299" s="147" t="s">
        <v>164</v>
      </c>
      <c r="AT1299" s="147" t="s">
        <v>179</v>
      </c>
      <c r="AU1299" s="60" t="s">
        <v>132</v>
      </c>
      <c r="AV1299" s="410" t="s">
        <v>7997</v>
      </c>
      <c r="AW1299" s="60" t="s">
        <v>134</v>
      </c>
      <c r="AY1299" s="60" t="s">
        <v>1455</v>
      </c>
    </row>
    <row r="1300">
      <c r="A1300" s="60" t="s">
        <v>143</v>
      </c>
      <c r="B1300" s="41" t="s">
        <v>107</v>
      </c>
      <c r="C1300" s="41" t="s">
        <v>1455</v>
      </c>
      <c r="E1300" s="147" t="s">
        <v>7998</v>
      </c>
      <c r="F1300" s="988" t="s">
        <v>7999</v>
      </c>
      <c r="G1300" s="147" t="s">
        <v>8000</v>
      </c>
      <c r="H1300" s="472">
        <v>45690.0</v>
      </c>
      <c r="I1300" s="1358">
        <v>45693.0</v>
      </c>
      <c r="J1300" s="531" t="s">
        <v>8001</v>
      </c>
      <c r="K1300" s="60" t="s">
        <v>8002</v>
      </c>
      <c r="L1300" s="1360" t="s">
        <v>8003</v>
      </c>
      <c r="M1300" s="412" t="s">
        <v>8004</v>
      </c>
      <c r="N1300" s="327">
        <v>6.0</v>
      </c>
      <c r="O1300" s="145" t="s">
        <v>8005</v>
      </c>
      <c r="P1300" s="48" t="str">
        <f t="array" ref="P1300">HYPERLINK(INDEX('File Links'!B:B, MATCH(O1300, 'File Links'!C:C, 0)))
</f>
        <v>https://drive.google.com/file/d/1Gkz07e_5xnoHy7zdKAHfWY6layqbA2lX/view?usp=drivesdk</v>
      </c>
      <c r="Q1300" s="60" t="s">
        <v>8006</v>
      </c>
      <c r="R1300" s="412" t="s">
        <v>7139</v>
      </c>
      <c r="S1300" s="60"/>
      <c r="T1300" s="327">
        <v>1.0</v>
      </c>
      <c r="U1300" s="145" t="s">
        <v>7140</v>
      </c>
      <c r="V1300" s="60" t="s">
        <v>155</v>
      </c>
      <c r="W1300" s="1361" t="s">
        <v>8007</v>
      </c>
      <c r="X1300" s="60"/>
      <c r="Y1300" s="60" t="s">
        <v>220</v>
      </c>
      <c r="Z1300" s="60" t="s">
        <v>8008</v>
      </c>
      <c r="AA1300" s="60" t="s">
        <v>8009</v>
      </c>
      <c r="AB1300" s="1379" t="s">
        <v>8010</v>
      </c>
      <c r="AC1300" s="60" t="s">
        <v>8011</v>
      </c>
      <c r="AD1300" s="327">
        <v>10.0</v>
      </c>
      <c r="AE1300" s="327">
        <v>122.0</v>
      </c>
      <c r="AF1300" s="60" t="s">
        <v>8012</v>
      </c>
      <c r="AG1300" s="60" t="s">
        <v>162</v>
      </c>
      <c r="AH1300" s="60" t="s">
        <v>629</v>
      </c>
      <c r="AI1300" s="328">
        <v>0.05</v>
      </c>
      <c r="AJ1300" s="55" t="s">
        <v>127</v>
      </c>
      <c r="AK1300" s="55" t="s">
        <v>179</v>
      </c>
      <c r="AL1300" s="60" t="s">
        <v>129</v>
      </c>
      <c r="AM1300" s="1363" t="s">
        <v>165</v>
      </c>
      <c r="AN1300" s="327">
        <v>226.0</v>
      </c>
      <c r="AO1300" s="60" t="s">
        <v>8013</v>
      </c>
      <c r="AP1300" s="60" t="s">
        <v>162</v>
      </c>
      <c r="AQ1300" s="60" t="s">
        <v>131</v>
      </c>
      <c r="AR1300" s="327">
        <v>0.961</v>
      </c>
      <c r="AS1300" s="60" t="s">
        <v>164</v>
      </c>
      <c r="AT1300" s="60" t="s">
        <v>179</v>
      </c>
      <c r="AU1300" s="60" t="s">
        <v>129</v>
      </c>
      <c r="AV1300" s="410" t="s">
        <v>8014</v>
      </c>
      <c r="AW1300" s="60" t="s">
        <v>134</v>
      </c>
      <c r="AY1300" s="60" t="s">
        <v>1455</v>
      </c>
    </row>
    <row r="1301">
      <c r="A1301" s="60" t="s">
        <v>106</v>
      </c>
      <c r="B1301" s="41" t="s">
        <v>107</v>
      </c>
      <c r="C1301" s="41" t="s">
        <v>144</v>
      </c>
      <c r="E1301" s="147" t="s">
        <v>7998</v>
      </c>
      <c r="F1301" s="988" t="s">
        <v>7999</v>
      </c>
      <c r="G1301" s="147" t="s">
        <v>144</v>
      </c>
      <c r="H1301" s="472">
        <v>45690.0</v>
      </c>
      <c r="I1301" s="1358">
        <v>45693.0</v>
      </c>
      <c r="J1301" s="147" t="s">
        <v>8015</v>
      </c>
      <c r="K1301" s="60"/>
      <c r="L1301" s="1360" t="s">
        <v>8003</v>
      </c>
      <c r="M1301" s="412" t="s">
        <v>8004</v>
      </c>
      <c r="N1301" s="144">
        <v>6.0</v>
      </c>
      <c r="O1301" s="145" t="s">
        <v>8005</v>
      </c>
      <c r="P1301" s="48" t="str">
        <f t="array" ref="P1301">HYPERLINK(INDEX('File Links'!B:B, MATCH(O1301, 'File Links'!C:C, 0)))
</f>
        <v>https://drive.google.com/file/d/1Gkz07e_5xnoHy7zdKAHfWY6layqbA2lX/view?usp=drivesdk</v>
      </c>
      <c r="Q1301" s="147" t="s">
        <v>8006</v>
      </c>
      <c r="R1301" s="412" t="s">
        <v>7139</v>
      </c>
      <c r="S1301" s="60"/>
      <c r="T1301" s="327">
        <v>1.0</v>
      </c>
      <c r="U1301" s="147" t="s">
        <v>7140</v>
      </c>
      <c r="V1301" s="147" t="s">
        <v>155</v>
      </c>
      <c r="W1301" s="50" t="str">
        <f t="array" ref="W1301">HYPERLINK(INDEX('File Links'!B:B, MATCH(U1301, 'File Links'!C:C, 0)))
</f>
        <v>https://drive.google.com/file/d/1UMAh9VGta6ExS2-Lb6GkDF4fmnI2EMeM/view?usp=drivesdk</v>
      </c>
      <c r="X1301" s="60"/>
      <c r="Y1301" s="147" t="s">
        <v>220</v>
      </c>
      <c r="Z1301" s="147" t="s">
        <v>8016</v>
      </c>
      <c r="AA1301" s="412" t="s">
        <v>8017</v>
      </c>
      <c r="AB1301" s="412" t="s">
        <v>8010</v>
      </c>
      <c r="AC1301" s="147" t="s">
        <v>8018</v>
      </c>
      <c r="AD1301" s="144">
        <v>10.0</v>
      </c>
      <c r="AE1301" s="144">
        <v>122.0</v>
      </c>
      <c r="AF1301" s="144" t="s">
        <v>8012</v>
      </c>
      <c r="AG1301" s="147" t="s">
        <v>162</v>
      </c>
      <c r="AH1301" s="147" t="s">
        <v>629</v>
      </c>
      <c r="AI1301" s="328">
        <v>0.05</v>
      </c>
      <c r="AJ1301" s="52" t="s">
        <v>127</v>
      </c>
      <c r="AK1301" s="52" t="s">
        <v>179</v>
      </c>
      <c r="AL1301" s="60" t="s">
        <v>132</v>
      </c>
      <c r="AM1301" s="1363" t="s">
        <v>165</v>
      </c>
      <c r="AN1301" s="327">
        <v>226.0</v>
      </c>
      <c r="AO1301" s="327" t="s">
        <v>8013</v>
      </c>
      <c r="AP1301" s="147" t="s">
        <v>162</v>
      </c>
      <c r="AQ1301" s="147" t="s">
        <v>131</v>
      </c>
      <c r="AR1301" s="144">
        <v>0.961</v>
      </c>
      <c r="AS1301" s="147" t="s">
        <v>164</v>
      </c>
      <c r="AT1301" s="147" t="s">
        <v>179</v>
      </c>
      <c r="AU1301" s="60" t="s">
        <v>132</v>
      </c>
      <c r="AV1301" s="410" t="s">
        <v>8019</v>
      </c>
      <c r="AW1301" s="60" t="s">
        <v>142</v>
      </c>
      <c r="AY1301" s="60" t="s">
        <v>1455</v>
      </c>
    </row>
    <row r="1302">
      <c r="A1302" s="60" t="s">
        <v>143</v>
      </c>
      <c r="B1302" s="41" t="s">
        <v>107</v>
      </c>
      <c r="C1302" s="41" t="s">
        <v>1455</v>
      </c>
      <c r="E1302" s="147" t="s">
        <v>8020</v>
      </c>
      <c r="F1302" s="988" t="s">
        <v>8021</v>
      </c>
      <c r="G1302" s="147" t="s">
        <v>8022</v>
      </c>
      <c r="H1302" s="472">
        <v>45690.0</v>
      </c>
      <c r="I1302" s="1358">
        <v>45693.0</v>
      </c>
      <c r="J1302" s="60"/>
      <c r="K1302" s="115" t="s">
        <v>8023</v>
      </c>
      <c r="L1302" s="1360" t="s">
        <v>8024</v>
      </c>
      <c r="M1302" s="147" t="s">
        <v>8025</v>
      </c>
      <c r="N1302" s="327">
        <v>4.0</v>
      </c>
      <c r="O1302" s="145" t="s">
        <v>8026</v>
      </c>
      <c r="P1302" s="48" t="str">
        <f t="array" ref="P1302">HYPERLINK(INDEX('File Links'!B:B, MATCH(O1302, 'File Links'!C:C, 0)))
</f>
        <v>https://drive.google.com/file/d/1IyaF2VJcgVfWLGGRX0Pw4RnInw7LvfCb/view?usp=drivesdk</v>
      </c>
      <c r="Q1302" s="147" t="s">
        <v>8027</v>
      </c>
      <c r="R1302" s="147" t="s">
        <v>7139</v>
      </c>
      <c r="S1302" s="60"/>
      <c r="T1302" s="60" t="s">
        <v>8027</v>
      </c>
      <c r="U1302" s="145" t="s">
        <v>7140</v>
      </c>
      <c r="V1302" s="60" t="s">
        <v>155</v>
      </c>
      <c r="W1302" s="1361" t="s">
        <v>8028</v>
      </c>
      <c r="X1302" s="60"/>
      <c r="Y1302" s="60" t="s">
        <v>220</v>
      </c>
      <c r="Z1302" s="60" t="s">
        <v>8029</v>
      </c>
      <c r="AA1302" s="147" t="s">
        <v>8030</v>
      </c>
      <c r="AB1302" s="147" t="s">
        <v>8031</v>
      </c>
      <c r="AC1302" s="60" t="s">
        <v>8032</v>
      </c>
      <c r="AD1302" s="327">
        <v>11.0</v>
      </c>
      <c r="AE1302" s="144">
        <v>211.0</v>
      </c>
      <c r="AF1302" s="60" t="s">
        <v>8033</v>
      </c>
      <c r="AG1302" s="60" t="s">
        <v>165</v>
      </c>
      <c r="AH1302" s="60" t="s">
        <v>299</v>
      </c>
      <c r="AI1302" s="328">
        <v>0.05</v>
      </c>
      <c r="AJ1302" s="55" t="s">
        <v>127</v>
      </c>
      <c r="AK1302" s="55" t="s">
        <v>128</v>
      </c>
      <c r="AL1302" s="60" t="s">
        <v>129</v>
      </c>
      <c r="AM1302" s="1363" t="s">
        <v>165</v>
      </c>
      <c r="AN1302" s="144">
        <v>333.0</v>
      </c>
      <c r="AO1302" s="60" t="s">
        <v>8034</v>
      </c>
      <c r="AP1302" s="60" t="s">
        <v>165</v>
      </c>
      <c r="AQ1302" s="60" t="s">
        <v>892</v>
      </c>
      <c r="AR1302" s="327">
        <v>0.05</v>
      </c>
      <c r="AS1302" s="60" t="s">
        <v>164</v>
      </c>
      <c r="AT1302" s="60" t="s">
        <v>179</v>
      </c>
      <c r="AU1302" s="60" t="s">
        <v>129</v>
      </c>
      <c r="AV1302" s="1380" t="s">
        <v>8035</v>
      </c>
      <c r="AW1302" s="60" t="s">
        <v>134</v>
      </c>
      <c r="AY1302" s="60" t="s">
        <v>1455</v>
      </c>
    </row>
    <row r="1303">
      <c r="A1303" s="60" t="s">
        <v>106</v>
      </c>
      <c r="B1303" s="41" t="s">
        <v>107</v>
      </c>
      <c r="C1303" s="41" t="s">
        <v>144</v>
      </c>
      <c r="E1303" s="147" t="s">
        <v>8020</v>
      </c>
      <c r="F1303" s="988" t="s">
        <v>8036</v>
      </c>
      <c r="G1303" s="147" t="s">
        <v>144</v>
      </c>
      <c r="H1303" s="472">
        <v>45690.0</v>
      </c>
      <c r="I1303" s="1358">
        <v>45693.0</v>
      </c>
      <c r="J1303" s="147" t="s">
        <v>8037</v>
      </c>
      <c r="K1303" s="60"/>
      <c r="L1303" s="1360" t="s">
        <v>8024</v>
      </c>
      <c r="M1303" s="147" t="s">
        <v>8025</v>
      </c>
      <c r="N1303" s="144">
        <v>4.0</v>
      </c>
      <c r="O1303" s="145" t="s">
        <v>8026</v>
      </c>
      <c r="P1303" s="48" t="str">
        <f t="array" ref="P1303">HYPERLINK(INDEX('File Links'!B:B, MATCH(O1303, 'File Links'!C:C, 0)))
</f>
        <v>https://drive.google.com/file/d/1IyaF2VJcgVfWLGGRX0Pw4RnInw7LvfCb/view?usp=drivesdk</v>
      </c>
      <c r="Q1303" s="147" t="s">
        <v>8027</v>
      </c>
      <c r="R1303" s="147" t="s">
        <v>7139</v>
      </c>
      <c r="S1303" s="60"/>
      <c r="T1303" s="327">
        <v>1.0</v>
      </c>
      <c r="U1303" s="145" t="s">
        <v>7140</v>
      </c>
      <c r="V1303" s="147" t="s">
        <v>155</v>
      </c>
      <c r="W1303" s="50" t="str">
        <f t="array" ref="W1303">HYPERLINK(INDEX('File Links'!B:B, MATCH(U1303, 'File Links'!C:C, 0)))
</f>
        <v>https://drive.google.com/file/d/1UMAh9VGta6ExS2-Lb6GkDF4fmnI2EMeM/view?usp=drivesdk</v>
      </c>
      <c r="X1303" s="60"/>
      <c r="Y1303" s="147" t="s">
        <v>220</v>
      </c>
      <c r="Z1303" s="147" t="s">
        <v>8038</v>
      </c>
      <c r="AA1303" s="147" t="s">
        <v>8039</v>
      </c>
      <c r="AB1303" s="147" t="s">
        <v>8040</v>
      </c>
      <c r="AC1303" s="147" t="s">
        <v>8041</v>
      </c>
      <c r="AD1303" s="1370">
        <v>11.0</v>
      </c>
      <c r="AE1303" s="144">
        <v>211.0</v>
      </c>
      <c r="AF1303" s="147" t="s">
        <v>8042</v>
      </c>
      <c r="AG1303" s="147" t="s">
        <v>162</v>
      </c>
      <c r="AH1303" s="147" t="s">
        <v>299</v>
      </c>
      <c r="AI1303" s="328">
        <v>0.05</v>
      </c>
      <c r="AJ1303" s="52" t="s">
        <v>127</v>
      </c>
      <c r="AK1303" s="52" t="s">
        <v>128</v>
      </c>
      <c r="AL1303" s="60" t="s">
        <v>129</v>
      </c>
      <c r="AM1303" s="1363" t="s">
        <v>165</v>
      </c>
      <c r="AN1303" s="144">
        <v>333.0</v>
      </c>
      <c r="AO1303" s="147" t="s">
        <v>8043</v>
      </c>
      <c r="AP1303" s="147" t="s">
        <v>162</v>
      </c>
      <c r="AQ1303" s="147" t="s">
        <v>892</v>
      </c>
      <c r="AR1303" s="144">
        <v>0.05</v>
      </c>
      <c r="AS1303" s="147" t="s">
        <v>164</v>
      </c>
      <c r="AT1303" s="147" t="s">
        <v>179</v>
      </c>
      <c r="AU1303" s="60" t="s">
        <v>129</v>
      </c>
      <c r="AV1303" s="410" t="s">
        <v>8035</v>
      </c>
      <c r="AW1303" s="60" t="s">
        <v>134</v>
      </c>
      <c r="AY1303" s="60" t="s">
        <v>1455</v>
      </c>
    </row>
    <row r="1304">
      <c r="A1304" s="60" t="s">
        <v>143</v>
      </c>
      <c r="B1304" s="41" t="s">
        <v>107</v>
      </c>
      <c r="C1304" s="41" t="s">
        <v>1455</v>
      </c>
      <c r="E1304" s="147" t="s">
        <v>8044</v>
      </c>
      <c r="F1304" s="988" t="s">
        <v>8045</v>
      </c>
      <c r="G1304" s="147" t="s">
        <v>8046</v>
      </c>
      <c r="H1304" s="472">
        <v>45690.0</v>
      </c>
      <c r="I1304" s="1358">
        <v>45693.0</v>
      </c>
      <c r="J1304" s="60" t="s">
        <v>8047</v>
      </c>
      <c r="K1304" s="60"/>
      <c r="L1304" s="1360" t="s">
        <v>8048</v>
      </c>
      <c r="M1304" s="147" t="s">
        <v>8049</v>
      </c>
      <c r="N1304" s="327">
        <v>2.0</v>
      </c>
      <c r="O1304" s="145" t="s">
        <v>8050</v>
      </c>
      <c r="P1304" s="48" t="str">
        <f t="array" ref="P1304">HYPERLINK(INDEX('File Links'!B:B, MATCH(O1304, 'File Links'!C:C, 0)))
</f>
        <v>https://drive.google.com/file/d/11evBHOPkYEq9tia_AUJzn9cHtIQOUcWa/view?usp=drivesdk</v>
      </c>
      <c r="Q1304" s="147" t="s">
        <v>8051</v>
      </c>
      <c r="R1304" s="147" t="s">
        <v>7139</v>
      </c>
      <c r="S1304" s="60"/>
      <c r="T1304" s="327">
        <v>1.0</v>
      </c>
      <c r="U1304" s="145" t="s">
        <v>7140</v>
      </c>
      <c r="V1304" s="60" t="s">
        <v>155</v>
      </c>
      <c r="W1304" s="1361" t="s">
        <v>8052</v>
      </c>
      <c r="X1304" s="60"/>
      <c r="Y1304" s="60" t="s">
        <v>139</v>
      </c>
      <c r="Z1304" s="60" t="s">
        <v>8053</v>
      </c>
      <c r="AA1304" s="147" t="s">
        <v>8054</v>
      </c>
      <c r="AB1304" s="1365" t="s">
        <v>8055</v>
      </c>
      <c r="AC1304" s="60" t="s">
        <v>8056</v>
      </c>
      <c r="AD1304" s="327">
        <v>5.0</v>
      </c>
      <c r="AE1304" s="144">
        <v>100.0</v>
      </c>
      <c r="AF1304" s="60" t="s">
        <v>8057</v>
      </c>
      <c r="AG1304" s="60" t="s">
        <v>162</v>
      </c>
      <c r="AH1304" s="60" t="s">
        <v>892</v>
      </c>
      <c r="AI1304" s="328">
        <v>0.05</v>
      </c>
      <c r="AJ1304" s="55" t="s">
        <v>127</v>
      </c>
      <c r="AK1304" s="55" t="s">
        <v>211</v>
      </c>
      <c r="AL1304" s="60" t="s">
        <v>129</v>
      </c>
      <c r="AM1304" s="1363" t="s">
        <v>165</v>
      </c>
      <c r="AN1304" s="144">
        <v>15.0</v>
      </c>
      <c r="AO1304" s="60" t="s">
        <v>8058</v>
      </c>
      <c r="AP1304" s="60" t="s">
        <v>162</v>
      </c>
      <c r="AQ1304" s="60" t="s">
        <v>861</v>
      </c>
      <c r="AR1304" s="327">
        <v>0.314</v>
      </c>
      <c r="AS1304" s="60" t="s">
        <v>164</v>
      </c>
      <c r="AT1304" s="60" t="s">
        <v>211</v>
      </c>
      <c r="AU1304" s="60" t="s">
        <v>129</v>
      </c>
      <c r="AV1304" s="410" t="s">
        <v>8059</v>
      </c>
      <c r="AW1304" s="60" t="s">
        <v>134</v>
      </c>
      <c r="AY1304" s="60" t="s">
        <v>1455</v>
      </c>
    </row>
    <row r="1305">
      <c r="A1305" s="60" t="s">
        <v>106</v>
      </c>
      <c r="B1305" s="41" t="s">
        <v>107</v>
      </c>
      <c r="C1305" s="41" t="s">
        <v>144</v>
      </c>
      <c r="E1305" s="147" t="s">
        <v>8044</v>
      </c>
      <c r="F1305" s="988" t="s">
        <v>8045</v>
      </c>
      <c r="G1305" s="147" t="s">
        <v>144</v>
      </c>
      <c r="H1305" s="472">
        <v>45690.0</v>
      </c>
      <c r="I1305" s="1358">
        <v>45693.0</v>
      </c>
      <c r="J1305" s="147" t="s">
        <v>8060</v>
      </c>
      <c r="K1305" s="60" t="s">
        <v>8061</v>
      </c>
      <c r="L1305" s="1360" t="s">
        <v>8048</v>
      </c>
      <c r="M1305" s="412" t="s">
        <v>8049</v>
      </c>
      <c r="N1305" s="144">
        <v>2.0</v>
      </c>
      <c r="O1305" s="145" t="s">
        <v>8050</v>
      </c>
      <c r="P1305" s="48" t="str">
        <f t="array" ref="P1305">HYPERLINK(INDEX('File Links'!B:B, MATCH(O1305, 'File Links'!C:C, 0)))
</f>
        <v>https://drive.google.com/file/d/11evBHOPkYEq9tia_AUJzn9cHtIQOUcWa/view?usp=drivesdk</v>
      </c>
      <c r="Q1305" s="147" t="s">
        <v>8051</v>
      </c>
      <c r="R1305" s="412" t="s">
        <v>7139</v>
      </c>
      <c r="S1305" s="60"/>
      <c r="T1305" s="327">
        <v>1.0</v>
      </c>
      <c r="U1305" s="145" t="s">
        <v>7140</v>
      </c>
      <c r="V1305" s="147" t="s">
        <v>155</v>
      </c>
      <c r="W1305" s="50" t="str">
        <f t="array" ref="W1305">HYPERLINK(INDEX('File Links'!B:B, MATCH(U1305, 'File Links'!C:C, 0)))
</f>
        <v>https://drive.google.com/file/d/1UMAh9VGta6ExS2-Lb6GkDF4fmnI2EMeM/view?usp=drivesdk</v>
      </c>
      <c r="X1305" s="60"/>
      <c r="Y1305" s="147" t="s">
        <v>139</v>
      </c>
      <c r="Z1305" s="147" t="s">
        <v>8062</v>
      </c>
      <c r="AA1305" s="147" t="s">
        <v>8063</v>
      </c>
      <c r="AB1305" s="147" t="s">
        <v>8055</v>
      </c>
      <c r="AC1305" s="147" t="s">
        <v>8064</v>
      </c>
      <c r="AD1305" s="144">
        <v>5.0</v>
      </c>
      <c r="AE1305" s="144">
        <v>100.0</v>
      </c>
      <c r="AF1305" s="144" t="s">
        <v>8065</v>
      </c>
      <c r="AG1305" s="147" t="s">
        <v>162</v>
      </c>
      <c r="AH1305" s="147" t="s">
        <v>892</v>
      </c>
      <c r="AI1305" s="646">
        <v>0.05</v>
      </c>
      <c r="AJ1305" s="52" t="s">
        <v>127</v>
      </c>
      <c r="AK1305" s="52" t="s">
        <v>211</v>
      </c>
      <c r="AL1305" s="60" t="s">
        <v>129</v>
      </c>
      <c r="AM1305" s="1363" t="s">
        <v>165</v>
      </c>
      <c r="AN1305" s="327">
        <v>15.0</v>
      </c>
      <c r="AO1305" s="1381">
        <v>0.091</v>
      </c>
      <c r="AP1305" s="525" t="s">
        <v>166</v>
      </c>
      <c r="AQ1305" s="147" t="s">
        <v>861</v>
      </c>
      <c r="AR1305" s="144">
        <v>0.314</v>
      </c>
      <c r="AS1305" s="147" t="s">
        <v>164</v>
      </c>
      <c r="AT1305" s="147" t="s">
        <v>211</v>
      </c>
      <c r="AU1305" s="60" t="s">
        <v>129</v>
      </c>
      <c r="AV1305" s="410" t="s">
        <v>8066</v>
      </c>
      <c r="AW1305" s="60" t="s">
        <v>134</v>
      </c>
      <c r="AY1305" s="60" t="s">
        <v>1455</v>
      </c>
    </row>
    <row r="1306">
      <c r="A1306" s="60" t="s">
        <v>106</v>
      </c>
      <c r="B1306" s="41" t="s">
        <v>107</v>
      </c>
      <c r="C1306" s="41" t="s">
        <v>1455</v>
      </c>
      <c r="E1306" s="147" t="s">
        <v>8067</v>
      </c>
      <c r="F1306" s="988" t="s">
        <v>8068</v>
      </c>
      <c r="G1306" s="147" t="s">
        <v>7869</v>
      </c>
      <c r="H1306" s="472">
        <v>45690.0</v>
      </c>
      <c r="I1306" s="1358">
        <v>45693.0</v>
      </c>
      <c r="J1306" s="60"/>
      <c r="K1306" s="60"/>
      <c r="L1306" s="1360" t="s">
        <v>8069</v>
      </c>
      <c r="M1306" s="412" t="s">
        <v>8070</v>
      </c>
      <c r="N1306" s="327">
        <v>8.0</v>
      </c>
      <c r="O1306" s="145" t="s">
        <v>8071</v>
      </c>
      <c r="P1306" s="48" t="str">
        <f t="array" ref="P1306">HYPERLINK(INDEX('File Links'!B:B, MATCH(O1306, 'File Links'!C:C, 0)))
</f>
        <v>https://drive.google.com/file/d/1mE5XaAsbpzpaVByGMY_Y-yHafY0h2G_x/view?usp=drivesdk</v>
      </c>
      <c r="Q1306" s="147" t="s">
        <v>8072</v>
      </c>
      <c r="R1306" s="412" t="s">
        <v>7139</v>
      </c>
      <c r="S1306" s="60"/>
      <c r="T1306" s="327" t="s">
        <v>8072</v>
      </c>
      <c r="U1306" s="145" t="s">
        <v>7140</v>
      </c>
      <c r="V1306" s="60" t="s">
        <v>3501</v>
      </c>
      <c r="W1306" s="1361" t="s">
        <v>8073</v>
      </c>
      <c r="X1306" s="60"/>
      <c r="Y1306" s="60" t="s">
        <v>220</v>
      </c>
      <c r="Z1306" s="60" t="s">
        <v>8074</v>
      </c>
      <c r="AA1306" s="147" t="s">
        <v>8075</v>
      </c>
      <c r="AB1306" s="1365" t="s">
        <v>8076</v>
      </c>
      <c r="AC1306" s="60" t="s">
        <v>8077</v>
      </c>
      <c r="AD1306" s="327">
        <v>14.0</v>
      </c>
      <c r="AE1306" s="144">
        <v>375.0</v>
      </c>
      <c r="AF1306" s="327">
        <v>0.493</v>
      </c>
      <c r="AG1306" s="60" t="s">
        <v>166</v>
      </c>
      <c r="AH1306" s="60" t="s">
        <v>2232</v>
      </c>
      <c r="AI1306" s="328">
        <v>0.001</v>
      </c>
      <c r="AJ1306" s="55" t="s">
        <v>127</v>
      </c>
      <c r="AK1306" s="55" t="s">
        <v>128</v>
      </c>
      <c r="AL1306" s="60" t="s">
        <v>129</v>
      </c>
      <c r="AM1306" s="1363" t="s">
        <v>165</v>
      </c>
      <c r="AN1306" s="327">
        <v>177.0</v>
      </c>
      <c r="AO1306" s="327">
        <v>0.15</v>
      </c>
      <c r="AP1306" s="60" t="s">
        <v>166</v>
      </c>
      <c r="AQ1306" s="60" t="s">
        <v>210</v>
      </c>
      <c r="AR1306" s="327">
        <v>0.332</v>
      </c>
      <c r="AS1306" s="60" t="s">
        <v>164</v>
      </c>
      <c r="AT1306" s="60" t="s">
        <v>128</v>
      </c>
      <c r="AU1306" s="60" t="s">
        <v>129</v>
      </c>
      <c r="AV1306" s="410" t="s">
        <v>8078</v>
      </c>
      <c r="AW1306" s="60" t="s">
        <v>134</v>
      </c>
      <c r="AY1306" s="60" t="s">
        <v>1455</v>
      </c>
    </row>
    <row r="1307">
      <c r="A1307" s="60" t="s">
        <v>143</v>
      </c>
      <c r="B1307" s="41" t="s">
        <v>107</v>
      </c>
      <c r="C1307" s="41" t="s">
        <v>144</v>
      </c>
      <c r="E1307" s="147" t="s">
        <v>8067</v>
      </c>
      <c r="F1307" s="988" t="s">
        <v>8079</v>
      </c>
      <c r="G1307" s="147" t="s">
        <v>144</v>
      </c>
      <c r="H1307" s="472">
        <v>45690.0</v>
      </c>
      <c r="I1307" s="1358">
        <v>45693.0</v>
      </c>
      <c r="J1307" s="412" t="s">
        <v>8080</v>
      </c>
      <c r="K1307" s="60"/>
      <c r="L1307" s="1360" t="s">
        <v>8069</v>
      </c>
      <c r="M1307" s="412" t="s">
        <v>8070</v>
      </c>
      <c r="N1307" s="144">
        <v>8.0</v>
      </c>
      <c r="O1307" s="145" t="s">
        <v>8071</v>
      </c>
      <c r="P1307" s="48" t="str">
        <f t="array" ref="P1307">HYPERLINK(INDEX('File Links'!B:B, MATCH(O1307, 'File Links'!C:C, 0)))
</f>
        <v>https://drive.google.com/file/d/1mE5XaAsbpzpaVByGMY_Y-yHafY0h2G_x/view?usp=drivesdk</v>
      </c>
      <c r="Q1307" s="147" t="s">
        <v>8072</v>
      </c>
      <c r="R1307" s="412" t="s">
        <v>7139</v>
      </c>
      <c r="S1307" s="60"/>
      <c r="T1307" s="327">
        <v>1.0</v>
      </c>
      <c r="U1307" s="147" t="s">
        <v>7140</v>
      </c>
      <c r="V1307" s="147" t="s">
        <v>3501</v>
      </c>
      <c r="W1307" s="1361" t="s">
        <v>8073</v>
      </c>
      <c r="X1307" s="60"/>
      <c r="Y1307" s="147" t="s">
        <v>220</v>
      </c>
      <c r="Z1307" s="147" t="s">
        <v>8074</v>
      </c>
      <c r="AA1307" s="412" t="s">
        <v>8081</v>
      </c>
      <c r="AB1307" s="147" t="s">
        <v>8076</v>
      </c>
      <c r="AC1307" s="1362" t="s">
        <v>8077</v>
      </c>
      <c r="AD1307" s="144">
        <v>14.0</v>
      </c>
      <c r="AE1307" s="144">
        <v>375.0</v>
      </c>
      <c r="AF1307" s="144">
        <v>0.493</v>
      </c>
      <c r="AG1307" s="147" t="s">
        <v>166</v>
      </c>
      <c r="AH1307" s="147" t="s">
        <v>2232</v>
      </c>
      <c r="AI1307" s="328">
        <v>0.001</v>
      </c>
      <c r="AJ1307" s="52" t="s">
        <v>127</v>
      </c>
      <c r="AK1307" s="52" t="s">
        <v>128</v>
      </c>
      <c r="AL1307" s="60" t="s">
        <v>129</v>
      </c>
      <c r="AM1307" s="1363" t="s">
        <v>165</v>
      </c>
      <c r="AN1307" s="327">
        <v>177.0</v>
      </c>
      <c r="AO1307" s="327">
        <v>0.15</v>
      </c>
      <c r="AP1307" s="147" t="s">
        <v>166</v>
      </c>
      <c r="AQ1307" s="60"/>
      <c r="AR1307" s="144">
        <v>0.332</v>
      </c>
      <c r="AS1307" s="147" t="s">
        <v>164</v>
      </c>
      <c r="AT1307" s="147" t="s">
        <v>128</v>
      </c>
      <c r="AU1307" s="60" t="s">
        <v>129</v>
      </c>
      <c r="AV1307" s="410" t="s">
        <v>8078</v>
      </c>
      <c r="AW1307" s="60" t="s">
        <v>134</v>
      </c>
      <c r="AY1307" s="60" t="s">
        <v>1455</v>
      </c>
    </row>
    <row r="1308">
      <c r="A1308" s="60" t="s">
        <v>143</v>
      </c>
      <c r="B1308" s="41" t="s">
        <v>107</v>
      </c>
      <c r="C1308" s="41" t="s">
        <v>1455</v>
      </c>
      <c r="E1308" s="147" t="s">
        <v>8082</v>
      </c>
      <c r="F1308" s="988" t="s">
        <v>8083</v>
      </c>
      <c r="G1308" s="147" t="s">
        <v>8084</v>
      </c>
      <c r="H1308" s="472">
        <v>45690.0</v>
      </c>
      <c r="I1308" s="1358">
        <v>45693.0</v>
      </c>
      <c r="J1308" s="1365" t="s">
        <v>8085</v>
      </c>
      <c r="K1308" s="60"/>
      <c r="L1308" s="1360" t="s">
        <v>8086</v>
      </c>
      <c r="M1308" s="147" t="s">
        <v>8087</v>
      </c>
      <c r="N1308" s="60" t="s">
        <v>8088</v>
      </c>
      <c r="O1308" s="145" t="s">
        <v>8089</v>
      </c>
      <c r="P1308" s="48" t="str">
        <f t="array" ref="P1308">HYPERLINK(INDEX('File Links'!B:B, MATCH(O1308, 'File Links'!C:C, 0)))
</f>
        <v>https://drive.google.com/file/d/1UKyZSyadeWWKlD03-UFjhlFvSy-jY0H-/view?usp=drivesdk</v>
      </c>
      <c r="Q1308" s="147" t="s">
        <v>8090</v>
      </c>
      <c r="R1308" s="147" t="s">
        <v>7139</v>
      </c>
      <c r="S1308" s="60"/>
      <c r="T1308" s="327">
        <v>1.0</v>
      </c>
      <c r="U1308" s="145" t="s">
        <v>7140</v>
      </c>
      <c r="V1308" s="60" t="s">
        <v>155</v>
      </c>
      <c r="W1308" s="1361" t="s">
        <v>8091</v>
      </c>
      <c r="X1308" s="60"/>
      <c r="Y1308" s="60" t="s">
        <v>220</v>
      </c>
      <c r="Z1308" s="60" t="s">
        <v>8092</v>
      </c>
      <c r="AA1308" s="147" t="s">
        <v>8093</v>
      </c>
      <c r="AB1308" s="1374" t="s">
        <v>8094</v>
      </c>
      <c r="AC1308" s="60" t="s">
        <v>8095</v>
      </c>
      <c r="AD1308" s="327">
        <v>13.0</v>
      </c>
      <c r="AE1308" s="144">
        <v>261.0</v>
      </c>
      <c r="AF1308" s="60" t="s">
        <v>8096</v>
      </c>
      <c r="AG1308" s="60" t="s">
        <v>162</v>
      </c>
      <c r="AH1308" s="60" t="s">
        <v>432</v>
      </c>
      <c r="AI1308" s="328">
        <v>0.002</v>
      </c>
      <c r="AJ1308" s="55" t="s">
        <v>164</v>
      </c>
      <c r="AK1308" s="55" t="s">
        <v>179</v>
      </c>
      <c r="AL1308" s="60" t="s">
        <v>132</v>
      </c>
      <c r="AM1308" s="1363" t="s">
        <v>165</v>
      </c>
      <c r="AN1308" s="144">
        <v>251.0</v>
      </c>
      <c r="AO1308" s="327">
        <v>0.002</v>
      </c>
      <c r="AP1308" s="60" t="s">
        <v>1785</v>
      </c>
      <c r="AQ1308" s="60" t="s">
        <v>861</v>
      </c>
      <c r="AR1308" s="327">
        <v>0.49</v>
      </c>
      <c r="AS1308" s="60" t="s">
        <v>164</v>
      </c>
      <c r="AT1308" s="60" t="s">
        <v>179</v>
      </c>
      <c r="AU1308" s="60" t="s">
        <v>132</v>
      </c>
      <c r="AV1308" s="410" t="s">
        <v>8097</v>
      </c>
      <c r="AW1308" s="60" t="s">
        <v>134</v>
      </c>
      <c r="AY1308" s="60" t="s">
        <v>1455</v>
      </c>
    </row>
    <row r="1309">
      <c r="A1309" s="60" t="s">
        <v>106</v>
      </c>
      <c r="B1309" s="41" t="s">
        <v>107</v>
      </c>
      <c r="C1309" s="41" t="s">
        <v>144</v>
      </c>
      <c r="E1309" s="147" t="s">
        <v>8082</v>
      </c>
      <c r="F1309" s="988" t="s">
        <v>8098</v>
      </c>
      <c r="G1309" s="147" t="s">
        <v>144</v>
      </c>
      <c r="H1309" s="472">
        <v>45690.0</v>
      </c>
      <c r="I1309" s="1358">
        <v>45693.0</v>
      </c>
      <c r="J1309" s="147" t="s">
        <v>8085</v>
      </c>
      <c r="K1309" s="60"/>
      <c r="L1309" s="1360" t="s">
        <v>8086</v>
      </c>
      <c r="M1309" s="147" t="s">
        <v>8087</v>
      </c>
      <c r="N1309" s="147" t="s">
        <v>8088</v>
      </c>
      <c r="O1309" s="145" t="s">
        <v>8089</v>
      </c>
      <c r="P1309" s="48" t="str">
        <f t="array" ref="P1309">HYPERLINK(INDEX('File Links'!B:B, MATCH(O1309, 'File Links'!C:C, 0)))
</f>
        <v>https://drive.google.com/file/d/1UKyZSyadeWWKlD03-UFjhlFvSy-jY0H-/view?usp=drivesdk</v>
      </c>
      <c r="Q1309" s="147" t="s">
        <v>8090</v>
      </c>
      <c r="R1309" s="147" t="s">
        <v>7139</v>
      </c>
      <c r="S1309" s="60"/>
      <c r="T1309" s="327">
        <v>1.0</v>
      </c>
      <c r="U1309" s="145" t="s">
        <v>7140</v>
      </c>
      <c r="V1309" s="147" t="s">
        <v>155</v>
      </c>
      <c r="W1309" s="50" t="str">
        <f t="array" ref="W1309">HYPERLINK(INDEX('File Links'!B:B, MATCH(U1309, 'File Links'!C:C, 0)))
</f>
        <v>https://drive.google.com/file/d/1UMAh9VGta6ExS2-Lb6GkDF4fmnI2EMeM/view?usp=drivesdk</v>
      </c>
      <c r="X1309" s="60"/>
      <c r="Y1309" s="147" t="s">
        <v>220</v>
      </c>
      <c r="Z1309" s="147" t="s">
        <v>8099</v>
      </c>
      <c r="AA1309" s="147" t="s">
        <v>8100</v>
      </c>
      <c r="AB1309" s="147" t="s">
        <v>8094</v>
      </c>
      <c r="AC1309" s="147" t="s">
        <v>8101</v>
      </c>
      <c r="AD1309" s="144">
        <v>14.0</v>
      </c>
      <c r="AE1309" s="144">
        <v>261.0</v>
      </c>
      <c r="AF1309" s="147" t="s">
        <v>8096</v>
      </c>
      <c r="AG1309" s="147" t="s">
        <v>162</v>
      </c>
      <c r="AH1309" s="147" t="s">
        <v>2232</v>
      </c>
      <c r="AI1309" s="328">
        <v>0.002</v>
      </c>
      <c r="AJ1309" s="52" t="s">
        <v>164</v>
      </c>
      <c r="AK1309" s="52" t="s">
        <v>179</v>
      </c>
      <c r="AL1309" s="60" t="s">
        <v>132</v>
      </c>
      <c r="AM1309" s="1363" t="s">
        <v>165</v>
      </c>
      <c r="AN1309" s="144">
        <v>251.0</v>
      </c>
      <c r="AO1309" s="144">
        <v>0.002</v>
      </c>
      <c r="AP1309" s="1371" t="s">
        <v>130</v>
      </c>
      <c r="AQ1309" s="147" t="s">
        <v>861</v>
      </c>
      <c r="AR1309" s="144">
        <v>0.49</v>
      </c>
      <c r="AS1309" s="147" t="s">
        <v>164</v>
      </c>
      <c r="AT1309" s="147" t="s">
        <v>179</v>
      </c>
      <c r="AU1309" s="60" t="s">
        <v>132</v>
      </c>
      <c r="AV1309" s="410" t="s">
        <v>8102</v>
      </c>
      <c r="AW1309" s="60" t="s">
        <v>134</v>
      </c>
      <c r="AY1309" s="60" t="s">
        <v>1455</v>
      </c>
    </row>
    <row r="1310">
      <c r="A1310" s="60" t="s">
        <v>106</v>
      </c>
      <c r="B1310" s="41" t="s">
        <v>107</v>
      </c>
      <c r="C1310" s="41" t="s">
        <v>1455</v>
      </c>
      <c r="E1310" s="147" t="s">
        <v>8103</v>
      </c>
      <c r="F1310" s="988" t="s">
        <v>8104</v>
      </c>
      <c r="G1310" s="147" t="s">
        <v>8105</v>
      </c>
      <c r="H1310" s="472">
        <v>45690.0</v>
      </c>
      <c r="I1310" s="1358">
        <v>45693.0</v>
      </c>
      <c r="J1310" s="60" t="s">
        <v>8106</v>
      </c>
      <c r="K1310" s="60"/>
      <c r="L1310" s="1360" t="s">
        <v>8107</v>
      </c>
      <c r="M1310" s="412" t="s">
        <v>8108</v>
      </c>
      <c r="N1310" s="327">
        <v>3.0</v>
      </c>
      <c r="O1310" s="145" t="s">
        <v>8109</v>
      </c>
      <c r="P1310" s="48" t="str">
        <f t="array" ref="P1310">HYPERLINK(INDEX('File Links'!B:B, MATCH(O1310, 'File Links'!C:C, 0)))
</f>
        <v>https://drive.google.com/file/d/1n-xkjkrGpKzc0Ew4FDfG-BXhbw4Koezu/view?usp=drivesdk</v>
      </c>
      <c r="Q1310" s="60" t="s">
        <v>8110</v>
      </c>
      <c r="R1310" s="412" t="s">
        <v>7139</v>
      </c>
      <c r="S1310" s="60"/>
      <c r="T1310" s="327" t="s">
        <v>8110</v>
      </c>
      <c r="U1310" s="145" t="s">
        <v>7140</v>
      </c>
      <c r="V1310" s="60" t="s">
        <v>155</v>
      </c>
      <c r="W1310" s="1361" t="s">
        <v>8111</v>
      </c>
      <c r="X1310" s="60"/>
      <c r="Y1310" s="60" t="s">
        <v>220</v>
      </c>
      <c r="Z1310" s="60" t="s">
        <v>8112</v>
      </c>
      <c r="AA1310" s="147" t="s">
        <v>8113</v>
      </c>
      <c r="AB1310" s="147" t="s">
        <v>8114</v>
      </c>
      <c r="AC1310" s="60" t="s">
        <v>8115</v>
      </c>
      <c r="AD1310" s="327">
        <v>9.0</v>
      </c>
      <c r="AE1310" s="144">
        <v>37.0</v>
      </c>
      <c r="AF1310" s="60" t="s">
        <v>8116</v>
      </c>
      <c r="AG1310" s="60" t="s">
        <v>162</v>
      </c>
      <c r="AH1310" s="60" t="s">
        <v>625</v>
      </c>
      <c r="AI1310" s="328">
        <v>0.05</v>
      </c>
      <c r="AJ1310" s="55" t="s">
        <v>127</v>
      </c>
      <c r="AK1310" s="55" t="s">
        <v>179</v>
      </c>
      <c r="AL1310" s="60" t="s">
        <v>129</v>
      </c>
      <c r="AM1310" s="1363" t="s">
        <v>165</v>
      </c>
      <c r="AN1310" s="327">
        <v>120.0</v>
      </c>
      <c r="AO1310" s="327">
        <v>0.2</v>
      </c>
      <c r="AP1310" s="60" t="s">
        <v>8117</v>
      </c>
      <c r="AQ1310" s="60" t="s">
        <v>894</v>
      </c>
      <c r="AR1310" s="327">
        <v>0.028</v>
      </c>
      <c r="AS1310" s="60" t="s">
        <v>164</v>
      </c>
      <c r="AT1310" s="60" t="s">
        <v>179</v>
      </c>
      <c r="AU1310" s="60" t="s">
        <v>129</v>
      </c>
      <c r="AV1310" s="115" t="s">
        <v>165</v>
      </c>
      <c r="AW1310" s="60" t="s">
        <v>134</v>
      </c>
      <c r="AY1310" s="60" t="s">
        <v>1455</v>
      </c>
    </row>
    <row r="1311">
      <c r="A1311" s="60" t="s">
        <v>143</v>
      </c>
      <c r="B1311" s="41" t="s">
        <v>107</v>
      </c>
      <c r="C1311" s="41" t="s">
        <v>144</v>
      </c>
      <c r="E1311" s="147" t="s">
        <v>8103</v>
      </c>
      <c r="F1311" s="988" t="s">
        <v>8104</v>
      </c>
      <c r="G1311" s="147" t="s">
        <v>144</v>
      </c>
      <c r="H1311" s="472">
        <v>45690.0</v>
      </c>
      <c r="I1311" s="1358">
        <v>45693.0</v>
      </c>
      <c r="J1311" s="147" t="s">
        <v>8118</v>
      </c>
      <c r="K1311" s="60"/>
      <c r="L1311" s="1360" t="s">
        <v>8107</v>
      </c>
      <c r="M1311" s="412" t="s">
        <v>8108</v>
      </c>
      <c r="N1311" s="144">
        <v>3.0</v>
      </c>
      <c r="O1311" s="145" t="s">
        <v>8109</v>
      </c>
      <c r="P1311" s="48" t="str">
        <f t="array" ref="P1311">HYPERLINK(INDEX('File Links'!B:B, MATCH(O1311, 'File Links'!C:C, 0)))
</f>
        <v>https://drive.google.com/file/d/1n-xkjkrGpKzc0Ew4FDfG-BXhbw4Koezu/view?usp=drivesdk</v>
      </c>
      <c r="Q1311" s="147" t="s">
        <v>8110</v>
      </c>
      <c r="R1311" s="412" t="s">
        <v>7139</v>
      </c>
      <c r="S1311" s="60"/>
      <c r="T1311" s="327">
        <v>1.0</v>
      </c>
      <c r="U1311" s="145" t="s">
        <v>7140</v>
      </c>
      <c r="V1311" s="412" t="s">
        <v>155</v>
      </c>
      <c r="W1311" s="50" t="str">
        <f t="array" ref="W1311">HYPERLINK(INDEX('File Links'!B:B, MATCH(U1311, 'File Links'!C:C, 0)))
</f>
        <v>https://drive.google.com/file/d/1UMAh9VGta6ExS2-Lb6GkDF4fmnI2EMeM/view?usp=drivesdk</v>
      </c>
      <c r="X1311" s="60"/>
      <c r="Y1311" s="147" t="s">
        <v>220</v>
      </c>
      <c r="Z1311" s="147" t="s">
        <v>8119</v>
      </c>
      <c r="AA1311" s="412" t="s">
        <v>8120</v>
      </c>
      <c r="AB1311" s="147" t="s">
        <v>8121</v>
      </c>
      <c r="AC1311" s="147" t="s">
        <v>8122</v>
      </c>
      <c r="AD1311" s="327">
        <v>9.0</v>
      </c>
      <c r="AE1311" s="327">
        <v>37.0</v>
      </c>
      <c r="AF1311" s="327" t="s">
        <v>8123</v>
      </c>
      <c r="AG1311" s="147" t="s">
        <v>162</v>
      </c>
      <c r="AH1311" s="60" t="s">
        <v>625</v>
      </c>
      <c r="AI1311" s="328">
        <v>0.05</v>
      </c>
      <c r="AJ1311" s="52" t="s">
        <v>127</v>
      </c>
      <c r="AK1311" s="52" t="s">
        <v>179</v>
      </c>
      <c r="AL1311" s="60" t="s">
        <v>129</v>
      </c>
      <c r="AM1311" s="1363" t="s">
        <v>165</v>
      </c>
      <c r="AN1311" s="327">
        <v>120.0</v>
      </c>
      <c r="AO1311" s="327">
        <v>0.2</v>
      </c>
      <c r="AP1311" s="147" t="s">
        <v>8117</v>
      </c>
      <c r="AQ1311" s="147" t="s">
        <v>892</v>
      </c>
      <c r="AR1311" s="327">
        <v>0.028</v>
      </c>
      <c r="AS1311" s="147" t="s">
        <v>164</v>
      </c>
      <c r="AT1311" s="147" t="s">
        <v>179</v>
      </c>
      <c r="AU1311" s="60" t="s">
        <v>129</v>
      </c>
      <c r="AV1311" s="410" t="s">
        <v>8124</v>
      </c>
      <c r="AW1311" s="60" t="s">
        <v>134</v>
      </c>
      <c r="AY1311" s="60" t="s">
        <v>1455</v>
      </c>
    </row>
    <row r="1312" hidden="1">
      <c r="A1312" s="60" t="s">
        <v>143</v>
      </c>
      <c r="B1312" s="41" t="s">
        <v>107</v>
      </c>
      <c r="C1312" s="41" t="s">
        <v>1455</v>
      </c>
      <c r="E1312" s="356" t="s">
        <v>8125</v>
      </c>
      <c r="F1312" s="43" t="s">
        <v>8126</v>
      </c>
      <c r="G1312" s="356" t="s">
        <v>8127</v>
      </c>
      <c r="H1312" s="472">
        <v>45690.0</v>
      </c>
      <c r="I1312" s="1358">
        <v>45693.0</v>
      </c>
      <c r="J1312" s="42" t="s">
        <v>8128</v>
      </c>
      <c r="K1312" s="42"/>
      <c r="L1312" s="1360" t="s">
        <v>8129</v>
      </c>
      <c r="M1312" s="356" t="s">
        <v>8130</v>
      </c>
      <c r="N1312" s="358">
        <v>4.0</v>
      </c>
      <c r="O1312" s="356" t="s">
        <v>8131</v>
      </c>
      <c r="P1312" s="48" t="str">
        <f t="array" ref="P1312">HYPERLINK(INDEX('File Links'!B:B, MATCH(O1312, 'File Links'!C:C, 0)))
</f>
        <v>https://drive.google.com/file/d/19DaZ3U3kDTGt8DNgyBPYTrh0pbrw_vwe/view?usp=drivesdk</v>
      </c>
      <c r="Q1312" s="356" t="s">
        <v>8132</v>
      </c>
      <c r="R1312" s="356" t="s">
        <v>7139</v>
      </c>
      <c r="S1312" s="42"/>
      <c r="T1312" s="42" t="s">
        <v>8132</v>
      </c>
      <c r="U1312" s="356" t="s">
        <v>7140</v>
      </c>
      <c r="V1312" s="42" t="s">
        <v>3501</v>
      </c>
      <c r="W1312" s="1382" t="s">
        <v>8133</v>
      </c>
      <c r="X1312" s="42" t="s">
        <v>8134</v>
      </c>
      <c r="Y1312" s="42" t="s">
        <v>220</v>
      </c>
      <c r="Z1312" s="42" t="s">
        <v>8135</v>
      </c>
      <c r="AA1312" s="356" t="s">
        <v>8136</v>
      </c>
      <c r="AB1312" s="1365" t="s">
        <v>8137</v>
      </c>
      <c r="AC1312" s="42" t="s">
        <v>8138</v>
      </c>
      <c r="AD1312" s="358">
        <v>10.0</v>
      </c>
      <c r="AE1312" s="360">
        <v>246.0</v>
      </c>
      <c r="AF1312" s="42" t="s">
        <v>8139</v>
      </c>
      <c r="AG1312" s="42" t="s">
        <v>162</v>
      </c>
      <c r="AH1312" s="42" t="s">
        <v>629</v>
      </c>
      <c r="AI1312" s="49">
        <v>0.01</v>
      </c>
      <c r="AJ1312" s="45" t="s">
        <v>127</v>
      </c>
      <c r="AK1312" s="45" t="s">
        <v>179</v>
      </c>
      <c r="AL1312" s="42" t="s">
        <v>129</v>
      </c>
      <c r="AM1312" s="1363" t="s">
        <v>165</v>
      </c>
      <c r="AN1312" s="360">
        <v>768703.0</v>
      </c>
      <c r="AO1312" s="358">
        <v>0.4695</v>
      </c>
      <c r="AP1312" s="42" t="s">
        <v>357</v>
      </c>
      <c r="AQ1312" s="42" t="s">
        <v>131</v>
      </c>
      <c r="AR1312" s="358">
        <v>0.758</v>
      </c>
      <c r="AS1312" s="42" t="s">
        <v>164</v>
      </c>
      <c r="AT1312" s="42" t="s">
        <v>179</v>
      </c>
      <c r="AU1312" s="42" t="s">
        <v>129</v>
      </c>
      <c r="AV1312" s="410" t="s">
        <v>8140</v>
      </c>
      <c r="AW1312" s="42" t="s">
        <v>134</v>
      </c>
      <c r="AY1312" s="60" t="s">
        <v>1455</v>
      </c>
    </row>
    <row r="1313" hidden="1">
      <c r="A1313" s="60" t="s">
        <v>106</v>
      </c>
      <c r="B1313" s="41" t="s">
        <v>107</v>
      </c>
      <c r="C1313" s="41" t="s">
        <v>144</v>
      </c>
      <c r="E1313" s="147" t="s">
        <v>8125</v>
      </c>
      <c r="F1313" s="988" t="s">
        <v>8141</v>
      </c>
      <c r="G1313" s="147" t="s">
        <v>144</v>
      </c>
      <c r="H1313" s="472">
        <v>45690.0</v>
      </c>
      <c r="I1313" s="1358">
        <v>45693.0</v>
      </c>
      <c r="J1313" s="147" t="s">
        <v>8142</v>
      </c>
      <c r="K1313" s="60"/>
      <c r="L1313" s="1360" t="s">
        <v>8129</v>
      </c>
      <c r="M1313" s="147" t="s">
        <v>8130</v>
      </c>
      <c r="N1313" s="144">
        <v>4.0</v>
      </c>
      <c r="O1313" s="145" t="s">
        <v>8131</v>
      </c>
      <c r="P1313" s="48" t="str">
        <f t="array" ref="P1313">HYPERLINK(INDEX('File Links'!B:B, MATCH(O1313, 'File Links'!C:C, 0)))
</f>
        <v>https://drive.google.com/file/d/19DaZ3U3kDTGt8DNgyBPYTrh0pbrw_vwe/view?usp=drivesdk</v>
      </c>
      <c r="Q1313" s="147" t="s">
        <v>8132</v>
      </c>
      <c r="R1313" s="147" t="s">
        <v>7139</v>
      </c>
      <c r="S1313" s="60"/>
      <c r="T1313" s="327">
        <v>1.0</v>
      </c>
      <c r="U1313" s="145" t="s">
        <v>7140</v>
      </c>
      <c r="V1313" s="147" t="s">
        <v>3501</v>
      </c>
      <c r="W1313" s="50" t="str">
        <f t="array" ref="W1313">HYPERLINK(INDEX('File Links'!B:B, MATCH(U1313, 'File Links'!C:C, 0)))
</f>
        <v>https://drive.google.com/file/d/1UMAh9VGta6ExS2-Lb6GkDF4fmnI2EMeM/view?usp=drivesdk</v>
      </c>
      <c r="X1313" s="60" t="s">
        <v>8143</v>
      </c>
      <c r="Y1313" s="147" t="s">
        <v>220</v>
      </c>
      <c r="Z1313" s="60"/>
      <c r="AA1313" s="147" t="s">
        <v>8144</v>
      </c>
      <c r="AB1313" s="147" t="s">
        <v>8137</v>
      </c>
      <c r="AC1313" s="147" t="s">
        <v>8145</v>
      </c>
      <c r="AD1313" s="144">
        <v>10.0</v>
      </c>
      <c r="AE1313" s="144">
        <v>246.0</v>
      </c>
      <c r="AF1313" s="147" t="s">
        <v>8139</v>
      </c>
      <c r="AG1313" s="147" t="s">
        <v>162</v>
      </c>
      <c r="AH1313" s="147" t="s">
        <v>629</v>
      </c>
      <c r="AI1313" s="328">
        <v>0.01</v>
      </c>
      <c r="AJ1313" s="52" t="s">
        <v>127</v>
      </c>
      <c r="AK1313" s="52" t="s">
        <v>179</v>
      </c>
      <c r="AL1313" s="1368" t="s">
        <v>132</v>
      </c>
      <c r="AM1313" s="1363" t="s">
        <v>165</v>
      </c>
      <c r="AN1313" s="144">
        <v>768703.0</v>
      </c>
      <c r="AO1313" s="144">
        <v>0.4695</v>
      </c>
      <c r="AP1313" s="147" t="s">
        <v>1006</v>
      </c>
      <c r="AQ1313" s="147" t="s">
        <v>131</v>
      </c>
      <c r="AR1313" s="144">
        <v>0.758</v>
      </c>
      <c r="AS1313" s="147" t="s">
        <v>164</v>
      </c>
      <c r="AT1313" s="147" t="s">
        <v>179</v>
      </c>
      <c r="AU1313" s="1368" t="s">
        <v>132</v>
      </c>
      <c r="AV1313" s="410" t="s">
        <v>8140</v>
      </c>
      <c r="AW1313" s="60" t="s">
        <v>134</v>
      </c>
      <c r="AY1313" s="60" t="s">
        <v>1455</v>
      </c>
    </row>
    <row r="1314">
      <c r="A1314" s="60" t="s">
        <v>143</v>
      </c>
      <c r="B1314" s="41" t="s">
        <v>107</v>
      </c>
      <c r="C1314" s="41" t="s">
        <v>1455</v>
      </c>
      <c r="E1314" s="147" t="s">
        <v>8146</v>
      </c>
      <c r="F1314" s="988" t="s">
        <v>8147</v>
      </c>
      <c r="G1314" s="147" t="s">
        <v>8148</v>
      </c>
      <c r="H1314" s="472">
        <v>45690.0</v>
      </c>
      <c r="I1314" s="1358">
        <v>45693.0</v>
      </c>
      <c r="J1314" s="60"/>
      <c r="K1314" s="60"/>
      <c r="L1314" s="1360" t="s">
        <v>8149</v>
      </c>
      <c r="M1314" s="412" t="s">
        <v>8150</v>
      </c>
      <c r="N1314" s="327">
        <v>3.0</v>
      </c>
      <c r="O1314" s="145" t="s">
        <v>8151</v>
      </c>
      <c r="P1314" s="48" t="str">
        <f t="array" ref="P1314">HYPERLINK(INDEX('File Links'!B:B, MATCH(O1314, 'File Links'!C:C, 0)))
</f>
        <v>https://drive.google.com/file/d/12RwvQLmV6wPAqPP_X6JgA8Qo27g_8SJK/view?usp=drivesdk</v>
      </c>
      <c r="Q1314" s="147" t="s">
        <v>8152</v>
      </c>
      <c r="R1314" s="412" t="s">
        <v>7139</v>
      </c>
      <c r="S1314" s="60"/>
      <c r="T1314" s="327">
        <v>1.0</v>
      </c>
      <c r="U1314" s="145" t="s">
        <v>7140</v>
      </c>
      <c r="V1314" s="60" t="s">
        <v>3501</v>
      </c>
      <c r="W1314" s="1361" t="s">
        <v>8153</v>
      </c>
      <c r="X1314" s="60"/>
      <c r="Y1314" s="60" t="s">
        <v>139</v>
      </c>
      <c r="Z1314" s="60" t="s">
        <v>8154</v>
      </c>
      <c r="AA1314" s="147" t="s">
        <v>8155</v>
      </c>
      <c r="AB1314" s="1383" t="s">
        <v>8156</v>
      </c>
      <c r="AC1314" s="60" t="s">
        <v>8157</v>
      </c>
      <c r="AD1314" s="327">
        <v>13.0</v>
      </c>
      <c r="AE1314" s="144">
        <v>39.0</v>
      </c>
      <c r="AF1314" s="327">
        <v>0.32</v>
      </c>
      <c r="AG1314" s="60" t="s">
        <v>130</v>
      </c>
      <c r="AH1314" s="60" t="s">
        <v>432</v>
      </c>
      <c r="AI1314" s="328">
        <v>0.001</v>
      </c>
      <c r="AJ1314" s="55" t="s">
        <v>127</v>
      </c>
      <c r="AK1314" s="55" t="s">
        <v>179</v>
      </c>
      <c r="AL1314" s="60" t="s">
        <v>129</v>
      </c>
      <c r="AM1314" s="1363" t="s">
        <v>165</v>
      </c>
      <c r="AN1314" s="327">
        <v>33.0</v>
      </c>
      <c r="AO1314" s="60" t="s">
        <v>8158</v>
      </c>
      <c r="AP1314" s="60" t="s">
        <v>162</v>
      </c>
      <c r="AQ1314" s="60" t="s">
        <v>892</v>
      </c>
      <c r="AR1314" s="327">
        <v>0.54</v>
      </c>
      <c r="AS1314" s="60" t="s">
        <v>164</v>
      </c>
      <c r="AT1314" s="60" t="s">
        <v>179</v>
      </c>
      <c r="AU1314" s="60" t="s">
        <v>129</v>
      </c>
      <c r="AV1314" s="410" t="s">
        <v>8159</v>
      </c>
      <c r="AW1314" s="60" t="s">
        <v>134</v>
      </c>
      <c r="AY1314" s="60" t="s">
        <v>1455</v>
      </c>
    </row>
    <row r="1315">
      <c r="A1315" s="60" t="s">
        <v>106</v>
      </c>
      <c r="B1315" s="41" t="s">
        <v>107</v>
      </c>
      <c r="C1315" s="41" t="s">
        <v>144</v>
      </c>
      <c r="E1315" s="147" t="s">
        <v>8146</v>
      </c>
      <c r="F1315" s="988" t="s">
        <v>8147</v>
      </c>
      <c r="G1315" s="147" t="s">
        <v>144</v>
      </c>
      <c r="H1315" s="472">
        <v>45690.0</v>
      </c>
      <c r="I1315" s="1358">
        <v>45693.0</v>
      </c>
      <c r="J1315" s="60" t="s">
        <v>8160</v>
      </c>
      <c r="K1315" s="60"/>
      <c r="L1315" s="1360" t="s">
        <v>8149</v>
      </c>
      <c r="M1315" s="147" t="s">
        <v>8150</v>
      </c>
      <c r="N1315" s="327">
        <v>3.0</v>
      </c>
      <c r="O1315" s="145" t="s">
        <v>8151</v>
      </c>
      <c r="P1315" s="48" t="str">
        <f t="array" ref="P1315">HYPERLINK(INDEX('File Links'!B:B, MATCH(O1315, 'File Links'!C:C, 0)))
</f>
        <v>https://drive.google.com/file/d/12RwvQLmV6wPAqPP_X6JgA8Qo27g_8SJK/view?usp=drivesdk</v>
      </c>
      <c r="Q1315" s="147" t="s">
        <v>8152</v>
      </c>
      <c r="R1315" s="147" t="s">
        <v>7139</v>
      </c>
      <c r="S1315" s="60"/>
      <c r="T1315" s="327">
        <v>1.0</v>
      </c>
      <c r="U1315" s="145" t="s">
        <v>7140</v>
      </c>
      <c r="V1315" s="147" t="s">
        <v>3501</v>
      </c>
      <c r="W1315" s="50" t="str">
        <f t="array" ref="W1315">HYPERLINK(INDEX('File Links'!B:B, MATCH(U1315, 'File Links'!C:C, 0)))
</f>
        <v>https://drive.google.com/file/d/1UMAh9VGta6ExS2-Lb6GkDF4fmnI2EMeM/view?usp=drivesdk</v>
      </c>
      <c r="X1315" s="60"/>
      <c r="Y1315" s="147" t="s">
        <v>139</v>
      </c>
      <c r="Z1315" s="147" t="s">
        <v>8161</v>
      </c>
      <c r="AA1315" s="60" t="s">
        <v>8162</v>
      </c>
      <c r="AB1315" s="60" t="s">
        <v>8156</v>
      </c>
      <c r="AC1315" s="147" t="s">
        <v>8163</v>
      </c>
      <c r="AD1315" s="327">
        <v>13.0</v>
      </c>
      <c r="AE1315" s="327">
        <v>39.0</v>
      </c>
      <c r="AF1315" s="327">
        <v>0.32</v>
      </c>
      <c r="AG1315" s="147" t="s">
        <v>130</v>
      </c>
      <c r="AH1315" s="60" t="s">
        <v>432</v>
      </c>
      <c r="AI1315" s="328">
        <v>0.001</v>
      </c>
      <c r="AJ1315" s="55" t="s">
        <v>127</v>
      </c>
      <c r="AK1315" s="55" t="s">
        <v>179</v>
      </c>
      <c r="AL1315" s="1368" t="s">
        <v>132</v>
      </c>
      <c r="AM1315" s="1363" t="s">
        <v>165</v>
      </c>
      <c r="AN1315" s="327">
        <v>33.0</v>
      </c>
      <c r="AO1315" s="327" t="s">
        <v>8164</v>
      </c>
      <c r="AP1315" s="60" t="s">
        <v>162</v>
      </c>
      <c r="AQ1315" s="60" t="s">
        <v>892</v>
      </c>
      <c r="AR1315" s="327">
        <v>0.54</v>
      </c>
      <c r="AS1315" s="60" t="s">
        <v>164</v>
      </c>
      <c r="AT1315" s="60" t="s">
        <v>179</v>
      </c>
      <c r="AU1315" s="1368" t="s">
        <v>132</v>
      </c>
      <c r="AV1315" s="410" t="s">
        <v>8159</v>
      </c>
      <c r="AW1315" s="60" t="s">
        <v>134</v>
      </c>
      <c r="AY1315" s="60" t="s">
        <v>1455</v>
      </c>
    </row>
    <row r="1316">
      <c r="A1316" s="60" t="s">
        <v>143</v>
      </c>
      <c r="B1316" s="41" t="s">
        <v>107</v>
      </c>
      <c r="C1316" s="41" t="s">
        <v>1455</v>
      </c>
      <c r="E1316" s="147" t="s">
        <v>8165</v>
      </c>
      <c r="F1316" s="988" t="s">
        <v>8166</v>
      </c>
      <c r="G1316" s="147" t="s">
        <v>8167</v>
      </c>
      <c r="H1316" s="472">
        <v>45690.0</v>
      </c>
      <c r="I1316" s="1358">
        <v>45693.0</v>
      </c>
      <c r="J1316" s="531" t="s">
        <v>8168</v>
      </c>
      <c r="K1316" s="60"/>
      <c r="L1316" s="1360" t="s">
        <v>8169</v>
      </c>
      <c r="M1316" s="412" t="s">
        <v>6550</v>
      </c>
      <c r="N1316" s="327">
        <v>5.0</v>
      </c>
      <c r="O1316" s="145" t="s">
        <v>8170</v>
      </c>
      <c r="P1316" s="48" t="str">
        <f t="array" ref="P1316">HYPERLINK(INDEX('File Links'!B:B, MATCH(O1316, 'File Links'!C:C, 0)))
</f>
        <v>https://drive.google.com/file/d/11YlCMyN4uuL8Bm15aAIWE8inJeqhHaiW/view?usp=drivesdk</v>
      </c>
      <c r="Q1316" s="147" t="s">
        <v>8171</v>
      </c>
      <c r="R1316" s="412" t="s">
        <v>7139</v>
      </c>
      <c r="S1316" s="60"/>
      <c r="T1316" s="327" t="s">
        <v>8171</v>
      </c>
      <c r="U1316" s="145" t="s">
        <v>7140</v>
      </c>
      <c r="V1316" s="60" t="s">
        <v>155</v>
      </c>
      <c r="W1316" s="1361" t="s">
        <v>8172</v>
      </c>
      <c r="X1316" s="60"/>
      <c r="Y1316" s="60" t="s">
        <v>220</v>
      </c>
      <c r="Z1316" s="60" t="s">
        <v>8173</v>
      </c>
      <c r="AA1316" s="147" t="s">
        <v>8174</v>
      </c>
      <c r="AB1316" s="1365" t="s">
        <v>8175</v>
      </c>
      <c r="AC1316" s="60" t="s">
        <v>8176</v>
      </c>
      <c r="AD1316" s="327">
        <v>11.0</v>
      </c>
      <c r="AE1316" s="144">
        <v>46.0</v>
      </c>
      <c r="AF1316" s="60" t="s">
        <v>8177</v>
      </c>
      <c r="AG1316" s="60" t="s">
        <v>162</v>
      </c>
      <c r="AH1316" s="60" t="s">
        <v>299</v>
      </c>
      <c r="AI1316" s="328">
        <v>0.05</v>
      </c>
      <c r="AJ1316" s="55" t="s">
        <v>127</v>
      </c>
      <c r="AK1316" s="55" t="s">
        <v>179</v>
      </c>
      <c r="AL1316" s="60" t="s">
        <v>132</v>
      </c>
      <c r="AM1316" s="1363" t="s">
        <v>165</v>
      </c>
      <c r="AN1316" s="327">
        <v>70.0</v>
      </c>
      <c r="AO1316" s="60" t="s">
        <v>8178</v>
      </c>
      <c r="AP1316" s="60" t="s">
        <v>162</v>
      </c>
      <c r="AQ1316" s="60" t="s">
        <v>861</v>
      </c>
      <c r="AR1316" s="327">
        <v>0.19</v>
      </c>
      <c r="AS1316" s="60" t="s">
        <v>164</v>
      </c>
      <c r="AT1316" s="60" t="s">
        <v>179</v>
      </c>
      <c r="AU1316" s="60" t="s">
        <v>132</v>
      </c>
      <c r="AV1316" s="410" t="s">
        <v>8179</v>
      </c>
      <c r="AW1316" s="60" t="s">
        <v>134</v>
      </c>
      <c r="AY1316" s="60" t="s">
        <v>1455</v>
      </c>
    </row>
    <row r="1317">
      <c r="A1317" s="60" t="s">
        <v>106</v>
      </c>
      <c r="B1317" s="41" t="s">
        <v>107</v>
      </c>
      <c r="C1317" s="41" t="s">
        <v>144</v>
      </c>
      <c r="E1317" s="147" t="s">
        <v>8165</v>
      </c>
      <c r="F1317" s="988" t="s">
        <v>8180</v>
      </c>
      <c r="G1317" s="147" t="s">
        <v>144</v>
      </c>
      <c r="H1317" s="472">
        <v>45690.0</v>
      </c>
      <c r="I1317" s="1358">
        <v>45693.0</v>
      </c>
      <c r="J1317" s="147" t="s">
        <v>8181</v>
      </c>
      <c r="K1317" s="60"/>
      <c r="L1317" s="1377" t="s">
        <v>8169</v>
      </c>
      <c r="M1317" s="412" t="s">
        <v>6550</v>
      </c>
      <c r="N1317" s="144">
        <v>5.0</v>
      </c>
      <c r="O1317" s="147" t="s">
        <v>8170</v>
      </c>
      <c r="P1317" s="48" t="str">
        <f t="array" ref="P1317">HYPERLINK(INDEX('File Links'!B:B, MATCH(O1317, 'File Links'!C:C, 0)))
</f>
        <v>https://drive.google.com/file/d/11YlCMyN4uuL8Bm15aAIWE8inJeqhHaiW/view?usp=drivesdk</v>
      </c>
      <c r="Q1317" s="147" t="s">
        <v>8171</v>
      </c>
      <c r="R1317" s="412" t="s">
        <v>7139</v>
      </c>
      <c r="S1317" s="60"/>
      <c r="T1317" s="60"/>
      <c r="U1317" s="147" t="s">
        <v>7140</v>
      </c>
      <c r="V1317" s="147" t="s">
        <v>155</v>
      </c>
      <c r="W1317" s="50" t="str">
        <f t="array" ref="W1317">HYPERLINK(INDEX('File Links'!B:B, MATCH(U1317, 'File Links'!C:C, 0)))
</f>
        <v>https://drive.google.com/file/d/1UMAh9VGta6ExS2-Lb6GkDF4fmnI2EMeM/view?usp=drivesdk</v>
      </c>
      <c r="X1317" s="60"/>
      <c r="Y1317" s="147" t="s">
        <v>220</v>
      </c>
      <c r="Z1317" s="147" t="s">
        <v>8182</v>
      </c>
      <c r="AA1317" s="147" t="s">
        <v>8183</v>
      </c>
      <c r="AB1317" s="147" t="s">
        <v>8175</v>
      </c>
      <c r="AC1317" s="147" t="s">
        <v>8184</v>
      </c>
      <c r="AD1317" s="144">
        <v>11.0</v>
      </c>
      <c r="AE1317" s="144">
        <v>46.0</v>
      </c>
      <c r="AF1317" s="144" t="s">
        <v>8177</v>
      </c>
      <c r="AG1317" s="147" t="s">
        <v>162</v>
      </c>
      <c r="AH1317" s="147" t="s">
        <v>299</v>
      </c>
      <c r="AI1317" s="646">
        <v>0.05</v>
      </c>
      <c r="AJ1317" s="52" t="s">
        <v>127</v>
      </c>
      <c r="AK1317" s="52" t="s">
        <v>179</v>
      </c>
      <c r="AL1317" s="1368" t="s">
        <v>129</v>
      </c>
      <c r="AM1317" s="1363" t="s">
        <v>165</v>
      </c>
      <c r="AN1317" s="327">
        <v>70.0</v>
      </c>
      <c r="AO1317" s="327" t="s">
        <v>8178</v>
      </c>
      <c r="AP1317" s="147" t="s">
        <v>162</v>
      </c>
      <c r="AQ1317" s="147" t="s">
        <v>861</v>
      </c>
      <c r="AR1317" s="144">
        <v>0.19</v>
      </c>
      <c r="AS1317" s="147" t="s">
        <v>164</v>
      </c>
      <c r="AT1317" s="147" t="s">
        <v>179</v>
      </c>
      <c r="AU1317" s="1368" t="s">
        <v>129</v>
      </c>
      <c r="AV1317" s="410" t="s">
        <v>8179</v>
      </c>
      <c r="AW1317" s="60" t="s">
        <v>134</v>
      </c>
      <c r="AY1317" s="60" t="s">
        <v>1455</v>
      </c>
    </row>
    <row r="1318">
      <c r="A1318" s="60" t="s">
        <v>143</v>
      </c>
      <c r="B1318" s="41" t="s">
        <v>107</v>
      </c>
      <c r="C1318" s="41" t="s">
        <v>1455</v>
      </c>
      <c r="E1318" s="147" t="s">
        <v>8185</v>
      </c>
      <c r="F1318" s="988" t="s">
        <v>8186</v>
      </c>
      <c r="G1318" s="147" t="s">
        <v>8187</v>
      </c>
      <c r="H1318" s="472">
        <v>45690.0</v>
      </c>
      <c r="I1318" s="1358">
        <v>45693.0</v>
      </c>
      <c r="J1318" s="60" t="s">
        <v>8188</v>
      </c>
      <c r="K1318" s="60"/>
      <c r="L1318" s="1360" t="s">
        <v>8189</v>
      </c>
      <c r="M1318" s="147" t="s">
        <v>8190</v>
      </c>
      <c r="N1318" s="327">
        <v>4.0</v>
      </c>
      <c r="O1318" s="145" t="s">
        <v>8191</v>
      </c>
      <c r="P1318" s="48" t="str">
        <f t="array" ref="P1318">HYPERLINK(INDEX('File Links'!B:B, MATCH(O1318, 'File Links'!C:C, 0)))
</f>
        <v>https://drive.google.com/file/d/1je9cw-vS4o0h7s6-W5SXMCb_uEat2QOt/view?usp=drivesdk</v>
      </c>
      <c r="Q1318" s="147" t="s">
        <v>8192</v>
      </c>
      <c r="R1318" s="147" t="s">
        <v>7139</v>
      </c>
      <c r="S1318" s="60"/>
      <c r="T1318" s="327">
        <v>1.0</v>
      </c>
      <c r="U1318" s="145" t="s">
        <v>7140</v>
      </c>
      <c r="V1318" s="60" t="s">
        <v>155</v>
      </c>
      <c r="W1318" s="1361" t="s">
        <v>8193</v>
      </c>
      <c r="X1318" s="60"/>
      <c r="Y1318" s="60" t="s">
        <v>220</v>
      </c>
      <c r="Z1318" s="60" t="s">
        <v>8194</v>
      </c>
      <c r="AA1318" s="147" t="s">
        <v>8195</v>
      </c>
      <c r="AB1318" s="1362" t="s">
        <v>8196</v>
      </c>
      <c r="AC1318" s="60" t="s">
        <v>8197</v>
      </c>
      <c r="AD1318" s="327">
        <v>14.0</v>
      </c>
      <c r="AE1318" s="144">
        <v>94.0</v>
      </c>
      <c r="AF1318" s="327">
        <v>0.07</v>
      </c>
      <c r="AG1318" s="60" t="s">
        <v>130</v>
      </c>
      <c r="AH1318" s="60" t="s">
        <v>2232</v>
      </c>
      <c r="AI1318" s="328">
        <v>0.01</v>
      </c>
      <c r="AJ1318" s="55" t="s">
        <v>127</v>
      </c>
      <c r="AK1318" s="55" t="s">
        <v>179</v>
      </c>
      <c r="AL1318" s="60" t="s">
        <v>132</v>
      </c>
      <c r="AM1318" s="1363" t="s">
        <v>165</v>
      </c>
      <c r="AN1318" s="144">
        <v>141.0</v>
      </c>
      <c r="AO1318" s="60" t="s">
        <v>8198</v>
      </c>
      <c r="AP1318" s="60" t="s">
        <v>162</v>
      </c>
      <c r="AQ1318" s="60" t="s">
        <v>861</v>
      </c>
      <c r="AR1318" s="327">
        <v>0.235</v>
      </c>
      <c r="AS1318" s="60" t="s">
        <v>164</v>
      </c>
      <c r="AT1318" s="60" t="s">
        <v>179</v>
      </c>
      <c r="AU1318" s="60" t="s">
        <v>132</v>
      </c>
      <c r="AV1318" s="410" t="s">
        <v>8199</v>
      </c>
      <c r="AW1318" s="60" t="s">
        <v>142</v>
      </c>
      <c r="AY1318" s="60" t="s">
        <v>1455</v>
      </c>
    </row>
    <row r="1319">
      <c r="A1319" s="60" t="s">
        <v>106</v>
      </c>
      <c r="B1319" s="41" t="s">
        <v>107</v>
      </c>
      <c r="C1319" s="41" t="s">
        <v>144</v>
      </c>
      <c r="E1319" s="147" t="s">
        <v>8185</v>
      </c>
      <c r="F1319" s="988" t="s">
        <v>8200</v>
      </c>
      <c r="G1319" s="147" t="s">
        <v>144</v>
      </c>
      <c r="H1319" s="472">
        <v>45690.0</v>
      </c>
      <c r="I1319" s="1358">
        <v>45693.0</v>
      </c>
      <c r="J1319" s="147" t="s">
        <v>8201</v>
      </c>
      <c r="K1319" s="60" t="s">
        <v>8202</v>
      </c>
      <c r="L1319" s="1360" t="s">
        <v>8189</v>
      </c>
      <c r="M1319" s="412" t="s">
        <v>8190</v>
      </c>
      <c r="N1319" s="144">
        <v>4.0</v>
      </c>
      <c r="O1319" s="145" t="s">
        <v>8191</v>
      </c>
      <c r="P1319" s="48" t="str">
        <f t="array" ref="P1319">HYPERLINK(INDEX('File Links'!B:B, MATCH(O1319, 'File Links'!C:C, 0)))
</f>
        <v>https://drive.google.com/file/d/1je9cw-vS4o0h7s6-W5SXMCb_uEat2QOt/view?usp=drivesdk</v>
      </c>
      <c r="Q1319" s="147" t="s">
        <v>8192</v>
      </c>
      <c r="R1319" s="412" t="s">
        <v>7139</v>
      </c>
      <c r="S1319" s="60"/>
      <c r="T1319" s="327">
        <v>1.0</v>
      </c>
      <c r="U1319" s="145" t="s">
        <v>7140</v>
      </c>
      <c r="V1319" s="147" t="s">
        <v>155</v>
      </c>
      <c r="W1319" s="50" t="str">
        <f t="array" ref="W1319">HYPERLINK(INDEX('File Links'!B:B, MATCH(U1319, 'File Links'!C:C, 0)))
</f>
        <v>https://drive.google.com/file/d/1UMAh9VGta6ExS2-Lb6GkDF4fmnI2EMeM/view?usp=drivesdk</v>
      </c>
      <c r="X1319" s="60"/>
      <c r="Y1319" s="147" t="s">
        <v>220</v>
      </c>
      <c r="Z1319" s="147" t="s">
        <v>8203</v>
      </c>
      <c r="AA1319" s="147" t="s">
        <v>8204</v>
      </c>
      <c r="AB1319" s="60" t="s">
        <v>8196</v>
      </c>
      <c r="AC1319" s="147" t="s">
        <v>8205</v>
      </c>
      <c r="AD1319" s="327">
        <v>14.0</v>
      </c>
      <c r="AE1319" s="327">
        <v>94.0</v>
      </c>
      <c r="AF1319" s="327">
        <v>0.07</v>
      </c>
      <c r="AG1319" s="147" t="s">
        <v>130</v>
      </c>
      <c r="AH1319" s="147" t="s">
        <v>2232</v>
      </c>
      <c r="AI1319" s="328">
        <v>0.05</v>
      </c>
      <c r="AJ1319" s="52" t="s">
        <v>127</v>
      </c>
      <c r="AK1319" s="52" t="s">
        <v>179</v>
      </c>
      <c r="AL1319" s="60" t="s">
        <v>132</v>
      </c>
      <c r="AM1319" s="1363" t="s">
        <v>165</v>
      </c>
      <c r="AN1319" s="327">
        <v>141.0</v>
      </c>
      <c r="AO1319" s="1384" t="s">
        <v>8206</v>
      </c>
      <c r="AP1319" s="147" t="s">
        <v>162</v>
      </c>
      <c r="AQ1319" s="60" t="s">
        <v>861</v>
      </c>
      <c r="AR1319" s="327">
        <v>0.235</v>
      </c>
      <c r="AS1319" s="147" t="s">
        <v>164</v>
      </c>
      <c r="AT1319" s="147" t="s">
        <v>179</v>
      </c>
      <c r="AU1319" s="60" t="s">
        <v>132</v>
      </c>
      <c r="AV1319" s="410" t="s">
        <v>8199</v>
      </c>
      <c r="AW1319" s="60" t="s">
        <v>142</v>
      </c>
      <c r="AY1319" s="60" t="s">
        <v>1455</v>
      </c>
    </row>
    <row r="1320">
      <c r="A1320" s="60" t="s">
        <v>143</v>
      </c>
      <c r="B1320" s="41" t="s">
        <v>107</v>
      </c>
      <c r="C1320" s="41" t="s">
        <v>1455</v>
      </c>
      <c r="E1320" s="147" t="s">
        <v>8207</v>
      </c>
      <c r="F1320" s="988" t="s">
        <v>8208</v>
      </c>
      <c r="G1320" s="147" t="s">
        <v>8209</v>
      </c>
      <c r="H1320" s="472">
        <v>45690.0</v>
      </c>
      <c r="I1320" s="1358">
        <v>45693.0</v>
      </c>
      <c r="J1320" s="60"/>
      <c r="K1320" s="60" t="s">
        <v>8210</v>
      </c>
      <c r="L1320" s="1360" t="s">
        <v>8211</v>
      </c>
      <c r="M1320" s="147" t="s">
        <v>8212</v>
      </c>
      <c r="N1320" s="327">
        <v>1.0</v>
      </c>
      <c r="O1320" s="145" t="s">
        <v>8213</v>
      </c>
      <c r="P1320" s="48" t="str">
        <f t="array" ref="P1320">HYPERLINK(INDEX('File Links'!B:B, MATCH(O1320, 'File Links'!C:C, 0)))
</f>
        <v>https://drive.google.com/file/d/1TOZ9euIliRhkN1zDzYb6v8ankkIXs-ya/view?usp=drivesdk</v>
      </c>
      <c r="Q1320" s="147" t="s">
        <v>8214</v>
      </c>
      <c r="R1320" s="147" t="s">
        <v>7139</v>
      </c>
      <c r="S1320" s="60"/>
      <c r="T1320" s="327" t="s">
        <v>8214</v>
      </c>
      <c r="U1320" s="145" t="s">
        <v>7140</v>
      </c>
      <c r="V1320" s="60" t="s">
        <v>155</v>
      </c>
      <c r="W1320" s="1361" t="s">
        <v>8215</v>
      </c>
      <c r="X1320" s="60"/>
      <c r="Y1320" s="60" t="s">
        <v>220</v>
      </c>
      <c r="Z1320" s="60" t="s">
        <v>8216</v>
      </c>
      <c r="AA1320" s="60" t="s">
        <v>8217</v>
      </c>
      <c r="AB1320" s="1365" t="s">
        <v>8218</v>
      </c>
      <c r="AC1320" s="60" t="s">
        <v>8219</v>
      </c>
      <c r="AD1320" s="327">
        <v>2.0</v>
      </c>
      <c r="AE1320" s="327">
        <v>50.0</v>
      </c>
      <c r="AF1320" s="327">
        <v>0.3</v>
      </c>
      <c r="AG1320" s="60" t="s">
        <v>208</v>
      </c>
      <c r="AH1320" s="60" t="s">
        <v>886</v>
      </c>
      <c r="AI1320" s="328">
        <v>0.05</v>
      </c>
      <c r="AJ1320" s="55" t="s">
        <v>127</v>
      </c>
      <c r="AK1320" s="55" t="s">
        <v>179</v>
      </c>
      <c r="AL1320" s="60" t="s">
        <v>129</v>
      </c>
      <c r="AM1320" s="1363" t="s">
        <v>165</v>
      </c>
      <c r="AN1320" s="327">
        <v>50.0</v>
      </c>
      <c r="AO1320" s="327">
        <v>0.27</v>
      </c>
      <c r="AP1320" s="60" t="s">
        <v>208</v>
      </c>
      <c r="AQ1320" s="60" t="s">
        <v>892</v>
      </c>
      <c r="AR1320" s="327">
        <v>0.086</v>
      </c>
      <c r="AS1320" s="60" t="s">
        <v>164</v>
      </c>
      <c r="AT1320" s="60" t="s">
        <v>128</v>
      </c>
      <c r="AU1320" s="60" t="s">
        <v>132</v>
      </c>
      <c r="AV1320" s="410" t="s">
        <v>8220</v>
      </c>
      <c r="AW1320" s="60" t="s">
        <v>134</v>
      </c>
      <c r="AY1320" s="60" t="s">
        <v>1455</v>
      </c>
    </row>
    <row r="1321">
      <c r="A1321" s="60" t="s">
        <v>106</v>
      </c>
      <c r="B1321" s="41" t="s">
        <v>107</v>
      </c>
      <c r="C1321" s="41" t="s">
        <v>144</v>
      </c>
      <c r="E1321" s="147" t="s">
        <v>8207</v>
      </c>
      <c r="F1321" s="988" t="s">
        <v>8208</v>
      </c>
      <c r="G1321" s="147" t="s">
        <v>144</v>
      </c>
      <c r="H1321" s="472">
        <v>45690.0</v>
      </c>
      <c r="I1321" s="1358">
        <v>45693.0</v>
      </c>
      <c r="J1321" s="60"/>
      <c r="K1321" s="60"/>
      <c r="L1321" s="1360" t="s">
        <v>8211</v>
      </c>
      <c r="M1321" s="412" t="s">
        <v>8212</v>
      </c>
      <c r="N1321" s="144">
        <v>1.0</v>
      </c>
      <c r="O1321" s="145" t="s">
        <v>8213</v>
      </c>
      <c r="P1321" s="48" t="str">
        <f t="array" ref="P1321">HYPERLINK(INDEX('File Links'!B:B, MATCH(O1321, 'File Links'!C:C, 0)))
</f>
        <v>https://drive.google.com/file/d/1TOZ9euIliRhkN1zDzYb6v8ankkIXs-ya/view?usp=drivesdk</v>
      </c>
      <c r="Q1321" s="147" t="s">
        <v>8214</v>
      </c>
      <c r="R1321" s="412" t="s">
        <v>7139</v>
      </c>
      <c r="S1321" s="60"/>
      <c r="T1321" s="327">
        <v>1.0</v>
      </c>
      <c r="U1321" s="145" t="s">
        <v>7140</v>
      </c>
      <c r="V1321" s="147" t="s">
        <v>155</v>
      </c>
      <c r="W1321" s="50" t="str">
        <f t="array" ref="W1321">HYPERLINK(INDEX('File Links'!B:B, MATCH(U1321, 'File Links'!C:C, 0)))
</f>
        <v>https://drive.google.com/file/d/1UMAh9VGta6ExS2-Lb6GkDF4fmnI2EMeM/view?usp=drivesdk</v>
      </c>
      <c r="X1321" s="60"/>
      <c r="Y1321" s="147" t="s">
        <v>220</v>
      </c>
      <c r="Z1321" s="147" t="s">
        <v>7824</v>
      </c>
      <c r="AA1321" s="147" t="s">
        <v>8221</v>
      </c>
      <c r="AB1321" s="147" t="s">
        <v>8218</v>
      </c>
      <c r="AC1321" s="147" t="s">
        <v>8222</v>
      </c>
      <c r="AD1321" s="144">
        <v>2.0</v>
      </c>
      <c r="AE1321" s="144">
        <v>50.0</v>
      </c>
      <c r="AF1321" s="144" t="s">
        <v>8223</v>
      </c>
      <c r="AG1321" s="147" t="s">
        <v>208</v>
      </c>
      <c r="AH1321" s="147" t="s">
        <v>886</v>
      </c>
      <c r="AI1321" s="646">
        <v>0.025</v>
      </c>
      <c r="AJ1321" s="52" t="s">
        <v>127</v>
      </c>
      <c r="AK1321" s="52" t="s">
        <v>179</v>
      </c>
      <c r="AL1321" s="1368" t="s">
        <v>129</v>
      </c>
      <c r="AM1321" s="1363" t="s">
        <v>165</v>
      </c>
      <c r="AN1321" s="327">
        <v>50.0</v>
      </c>
      <c r="AO1321" s="327" t="s">
        <v>8224</v>
      </c>
      <c r="AP1321" s="147" t="s">
        <v>208</v>
      </c>
      <c r="AQ1321" s="147" t="s">
        <v>892</v>
      </c>
      <c r="AR1321" s="144">
        <v>0.086</v>
      </c>
      <c r="AS1321" s="147" t="s">
        <v>164</v>
      </c>
      <c r="AT1321" s="147" t="s">
        <v>128</v>
      </c>
      <c r="AU1321" s="1368" t="s">
        <v>129</v>
      </c>
      <c r="AV1321" s="410" t="s">
        <v>8225</v>
      </c>
      <c r="AW1321" s="60" t="s">
        <v>134</v>
      </c>
      <c r="AY1321" s="60" t="s">
        <v>1455</v>
      </c>
    </row>
    <row r="1322">
      <c r="A1322" s="60" t="s">
        <v>143</v>
      </c>
      <c r="B1322" s="41" t="s">
        <v>107</v>
      </c>
      <c r="C1322" s="41" t="s">
        <v>1455</v>
      </c>
      <c r="E1322" s="147" t="s">
        <v>8226</v>
      </c>
      <c r="F1322" s="988" t="s">
        <v>8227</v>
      </c>
      <c r="G1322" s="147" t="s">
        <v>8228</v>
      </c>
      <c r="H1322" s="472">
        <v>45690.0</v>
      </c>
      <c r="I1322" s="1358">
        <v>45693.0</v>
      </c>
      <c r="J1322" s="60"/>
      <c r="K1322" s="60" t="s">
        <v>8229</v>
      </c>
      <c r="L1322" s="1360" t="s">
        <v>8230</v>
      </c>
      <c r="M1322" s="147" t="s">
        <v>6274</v>
      </c>
      <c r="N1322" s="327">
        <v>4.0</v>
      </c>
      <c r="O1322" s="145" t="s">
        <v>8231</v>
      </c>
      <c r="P1322" s="48" t="str">
        <f t="array" ref="P1322">HYPERLINK(INDEX('File Links'!B:B, MATCH(O1322, 'File Links'!C:C, 0)))
</f>
        <v>https://drive.google.com/file/d/15DQQpECVr9NdJZ7O7RNWRdNwXQ6KQeXe/view?usp=drivesdk</v>
      </c>
      <c r="Q1322" s="147" t="s">
        <v>8232</v>
      </c>
      <c r="R1322" s="147" t="s">
        <v>7139</v>
      </c>
      <c r="S1322" s="60"/>
      <c r="T1322" s="327">
        <v>1.0</v>
      </c>
      <c r="U1322" s="145" t="s">
        <v>7140</v>
      </c>
      <c r="V1322" s="60" t="s">
        <v>155</v>
      </c>
      <c r="W1322" s="1361" t="s">
        <v>8233</v>
      </c>
      <c r="X1322" s="60"/>
      <c r="Y1322" s="60" t="s">
        <v>220</v>
      </c>
      <c r="Z1322" s="60" t="s">
        <v>8234</v>
      </c>
      <c r="AA1322" s="147" t="s">
        <v>8235</v>
      </c>
      <c r="AB1322" s="1365" t="s">
        <v>8236</v>
      </c>
      <c r="AC1322" s="60" t="s">
        <v>8237</v>
      </c>
      <c r="AD1322" s="327">
        <v>11.0</v>
      </c>
      <c r="AE1322" s="144">
        <v>52.0</v>
      </c>
      <c r="AF1322" s="60" t="s">
        <v>8238</v>
      </c>
      <c r="AG1322" s="60" t="s">
        <v>162</v>
      </c>
      <c r="AH1322" s="60" t="s">
        <v>299</v>
      </c>
      <c r="AI1322" s="328">
        <v>0.001</v>
      </c>
      <c r="AJ1322" s="55" t="s">
        <v>164</v>
      </c>
      <c r="AK1322" s="55" t="s">
        <v>179</v>
      </c>
      <c r="AL1322" s="60" t="s">
        <v>132</v>
      </c>
      <c r="AM1322" s="1363" t="s">
        <v>165</v>
      </c>
      <c r="AN1322" s="144">
        <v>150.0</v>
      </c>
      <c r="AO1322" s="60" t="s">
        <v>8239</v>
      </c>
      <c r="AP1322" s="60" t="s">
        <v>162</v>
      </c>
      <c r="AQ1322" s="60" t="s">
        <v>861</v>
      </c>
      <c r="AR1322" s="327">
        <v>0.008</v>
      </c>
      <c r="AS1322" s="60" t="s">
        <v>164</v>
      </c>
      <c r="AT1322" s="60" t="s">
        <v>179</v>
      </c>
      <c r="AU1322" s="60" t="s">
        <v>132</v>
      </c>
      <c r="AV1322" s="410" t="s">
        <v>8240</v>
      </c>
      <c r="AW1322" s="60" t="s">
        <v>134</v>
      </c>
      <c r="AY1322" s="60" t="s">
        <v>1455</v>
      </c>
    </row>
    <row r="1323">
      <c r="A1323" s="60" t="s">
        <v>106</v>
      </c>
      <c r="B1323" s="41" t="s">
        <v>107</v>
      </c>
      <c r="C1323" s="41" t="s">
        <v>144</v>
      </c>
      <c r="E1323" s="147" t="s">
        <v>8226</v>
      </c>
      <c r="F1323" s="988" t="s">
        <v>8227</v>
      </c>
      <c r="G1323" s="147" t="s">
        <v>8241</v>
      </c>
      <c r="H1323" s="472">
        <v>45690.0</v>
      </c>
      <c r="I1323" s="1358">
        <v>45693.0</v>
      </c>
      <c r="J1323" s="147" t="s">
        <v>8242</v>
      </c>
      <c r="K1323" s="60"/>
      <c r="L1323" s="1360" t="s">
        <v>8230</v>
      </c>
      <c r="M1323" s="147" t="s">
        <v>6274</v>
      </c>
      <c r="N1323" s="144">
        <v>4.0</v>
      </c>
      <c r="O1323" s="145" t="s">
        <v>8231</v>
      </c>
      <c r="P1323" s="48" t="str">
        <f t="array" ref="P1323">HYPERLINK(INDEX('File Links'!B:B, MATCH(O1323, 'File Links'!C:C, 0)))
</f>
        <v>https://drive.google.com/file/d/15DQQpECVr9NdJZ7O7RNWRdNwXQ6KQeXe/view?usp=drivesdk</v>
      </c>
      <c r="Q1323" s="147" t="s">
        <v>8232</v>
      </c>
      <c r="R1323" s="147" t="s">
        <v>7139</v>
      </c>
      <c r="S1323" s="60"/>
      <c r="T1323" s="327">
        <v>1.0</v>
      </c>
      <c r="U1323" s="145" t="s">
        <v>7140</v>
      </c>
      <c r="V1323" s="147" t="s">
        <v>155</v>
      </c>
      <c r="W1323" s="50" t="str">
        <f t="array" ref="W1323">HYPERLINK(INDEX('File Links'!B:B, MATCH(U1323, 'File Links'!C:C, 0)))
</f>
        <v>https://drive.google.com/file/d/1UMAh9VGta6ExS2-Lb6GkDF4fmnI2EMeM/view?usp=drivesdk</v>
      </c>
      <c r="X1323" s="60"/>
      <c r="Y1323" s="147" t="s">
        <v>220</v>
      </c>
      <c r="Z1323" s="147" t="s">
        <v>8243</v>
      </c>
      <c r="AA1323" s="147" t="s">
        <v>8244</v>
      </c>
      <c r="AB1323" s="147" t="s">
        <v>8236</v>
      </c>
      <c r="AC1323" s="147" t="s">
        <v>8245</v>
      </c>
      <c r="AD1323" s="144">
        <v>11.0</v>
      </c>
      <c r="AE1323" s="144">
        <v>52.0</v>
      </c>
      <c r="AF1323" s="147" t="s">
        <v>8246</v>
      </c>
      <c r="AG1323" s="147" t="s">
        <v>162</v>
      </c>
      <c r="AH1323" s="147" t="s">
        <v>299</v>
      </c>
      <c r="AI1323" s="328">
        <v>0.001</v>
      </c>
      <c r="AJ1323" s="52" t="s">
        <v>164</v>
      </c>
      <c r="AK1323" s="52" t="s">
        <v>179</v>
      </c>
      <c r="AL1323" s="1368" t="s">
        <v>129</v>
      </c>
      <c r="AM1323" s="1363" t="s">
        <v>165</v>
      </c>
      <c r="AN1323" s="144">
        <v>150.0</v>
      </c>
      <c r="AO1323" s="147" t="s">
        <v>8247</v>
      </c>
      <c r="AP1323" s="147" t="s">
        <v>162</v>
      </c>
      <c r="AQ1323" s="147" t="s">
        <v>861</v>
      </c>
      <c r="AR1323" s="144">
        <v>0.008</v>
      </c>
      <c r="AS1323" s="147" t="s">
        <v>164</v>
      </c>
      <c r="AT1323" s="147" t="s">
        <v>179</v>
      </c>
      <c r="AU1323" s="1368" t="s">
        <v>129</v>
      </c>
      <c r="AV1323" s="410" t="s">
        <v>8248</v>
      </c>
      <c r="AW1323" s="60" t="s">
        <v>142</v>
      </c>
      <c r="AY1323" s="60" t="s">
        <v>1455</v>
      </c>
    </row>
    <row r="1324">
      <c r="A1324" s="60" t="s">
        <v>106</v>
      </c>
      <c r="B1324" s="41" t="s">
        <v>107</v>
      </c>
      <c r="C1324" s="41" t="s">
        <v>1455</v>
      </c>
      <c r="E1324" s="147" t="s">
        <v>8249</v>
      </c>
      <c r="F1324" s="988" t="s">
        <v>8250</v>
      </c>
      <c r="G1324" s="147" t="s">
        <v>8251</v>
      </c>
      <c r="H1324" s="472">
        <v>45690.0</v>
      </c>
      <c r="I1324" s="1358">
        <v>45693.0</v>
      </c>
      <c r="J1324" s="531" t="s">
        <v>8252</v>
      </c>
      <c r="K1324" s="60"/>
      <c r="L1324" s="1360" t="s">
        <v>8253</v>
      </c>
      <c r="M1324" s="412" t="s">
        <v>8254</v>
      </c>
      <c r="N1324" s="327">
        <v>2.0</v>
      </c>
      <c r="O1324" s="145" t="s">
        <v>8255</v>
      </c>
      <c r="P1324" s="48" t="str">
        <f t="array" ref="P1324">HYPERLINK(INDEX('File Links'!B:B, MATCH(O1324, 'File Links'!C:C, 0)))
</f>
        <v>https://drive.google.com/file/d/1HdBN17kLB5Dti11EcyS-dTKrGQBVVhsc/view?usp=drivesdk</v>
      </c>
      <c r="Q1324" s="147" t="s">
        <v>8256</v>
      </c>
      <c r="R1324" s="412" t="s">
        <v>7139</v>
      </c>
      <c r="S1324" s="60"/>
      <c r="T1324" s="327" t="s">
        <v>8256</v>
      </c>
      <c r="U1324" s="145" t="s">
        <v>7140</v>
      </c>
      <c r="V1324" s="60" t="s">
        <v>155</v>
      </c>
      <c r="W1324" s="1361" t="s">
        <v>8257</v>
      </c>
      <c r="X1324" s="60"/>
      <c r="Y1324" s="60" t="s">
        <v>220</v>
      </c>
      <c r="Z1324" s="60" t="s">
        <v>8258</v>
      </c>
      <c r="AA1324" s="147" t="s">
        <v>8259</v>
      </c>
      <c r="AB1324" s="147" t="s">
        <v>8260</v>
      </c>
      <c r="AC1324" s="60" t="s">
        <v>8261</v>
      </c>
      <c r="AD1324" s="327">
        <v>6.0</v>
      </c>
      <c r="AE1324" s="144">
        <v>85.0</v>
      </c>
      <c r="AF1324" s="327">
        <v>0.09</v>
      </c>
      <c r="AG1324" s="60" t="s">
        <v>130</v>
      </c>
      <c r="AH1324" s="60" t="s">
        <v>131</v>
      </c>
      <c r="AI1324" s="328">
        <v>0.02</v>
      </c>
      <c r="AJ1324" s="55" t="s">
        <v>127</v>
      </c>
      <c r="AK1324" s="55" t="s">
        <v>179</v>
      </c>
      <c r="AL1324" s="60" t="s">
        <v>129</v>
      </c>
      <c r="AM1324" s="1363" t="s">
        <v>165</v>
      </c>
      <c r="AN1324" s="327">
        <v>140.0</v>
      </c>
      <c r="AO1324" s="327">
        <v>0.01</v>
      </c>
      <c r="AP1324" s="60" t="s">
        <v>130</v>
      </c>
      <c r="AQ1324" s="60" t="s">
        <v>892</v>
      </c>
      <c r="AR1324" s="327">
        <v>0.7</v>
      </c>
      <c r="AS1324" s="60" t="s">
        <v>164</v>
      </c>
      <c r="AT1324" s="60" t="s">
        <v>179</v>
      </c>
      <c r="AU1324" s="60" t="s">
        <v>132</v>
      </c>
      <c r="AV1324" s="115" t="s">
        <v>165</v>
      </c>
      <c r="AW1324" s="60" t="s">
        <v>134</v>
      </c>
      <c r="AY1324" s="60" t="s">
        <v>1455</v>
      </c>
    </row>
    <row r="1325">
      <c r="A1325" s="60" t="s">
        <v>143</v>
      </c>
      <c r="B1325" s="41" t="s">
        <v>107</v>
      </c>
      <c r="C1325" s="41" t="s">
        <v>144</v>
      </c>
      <c r="E1325" s="147" t="s">
        <v>8249</v>
      </c>
      <c r="F1325" s="988" t="s">
        <v>8262</v>
      </c>
      <c r="G1325" s="147" t="s">
        <v>144</v>
      </c>
      <c r="H1325" s="472">
        <v>45690.0</v>
      </c>
      <c r="I1325" s="1358">
        <v>45693.0</v>
      </c>
      <c r="J1325" s="147" t="s">
        <v>8263</v>
      </c>
      <c r="K1325" s="60"/>
      <c r="L1325" s="1360" t="s">
        <v>8253</v>
      </c>
      <c r="M1325" s="412" t="s">
        <v>8254</v>
      </c>
      <c r="N1325" s="144">
        <v>2.0</v>
      </c>
      <c r="O1325" s="145" t="s">
        <v>8255</v>
      </c>
      <c r="P1325" s="48" t="str">
        <f t="array" ref="P1325">HYPERLINK(INDEX('File Links'!B:B, MATCH(O1325, 'File Links'!C:C, 0)))
</f>
        <v>https://drive.google.com/file/d/1HdBN17kLB5Dti11EcyS-dTKrGQBVVhsc/view?usp=drivesdk</v>
      </c>
      <c r="Q1325" s="147" t="s">
        <v>8256</v>
      </c>
      <c r="R1325" s="412" t="s">
        <v>7139</v>
      </c>
      <c r="S1325" s="60"/>
      <c r="T1325" s="327">
        <v>1.0</v>
      </c>
      <c r="U1325" s="145" t="s">
        <v>7140</v>
      </c>
      <c r="V1325" s="147" t="s">
        <v>155</v>
      </c>
      <c r="W1325" s="1361" t="s">
        <v>8257</v>
      </c>
      <c r="X1325" s="60"/>
      <c r="Y1325" s="147" t="s">
        <v>220</v>
      </c>
      <c r="Z1325" s="147" t="s">
        <v>8264</v>
      </c>
      <c r="AA1325" s="147" t="s">
        <v>8265</v>
      </c>
      <c r="AB1325" s="147" t="s">
        <v>8266</v>
      </c>
      <c r="AC1325" s="1362" t="s">
        <v>8261</v>
      </c>
      <c r="AD1325" s="327">
        <v>6.0</v>
      </c>
      <c r="AE1325" s="327">
        <v>85.0</v>
      </c>
      <c r="AF1325" s="327">
        <v>0.09</v>
      </c>
      <c r="AG1325" s="147" t="s">
        <v>130</v>
      </c>
      <c r="AH1325" s="60" t="s">
        <v>131</v>
      </c>
      <c r="AI1325" s="328">
        <v>0.02</v>
      </c>
      <c r="AJ1325" s="52" t="s">
        <v>127</v>
      </c>
      <c r="AK1325" s="52" t="s">
        <v>179</v>
      </c>
      <c r="AL1325" s="60" t="s">
        <v>129</v>
      </c>
      <c r="AM1325" s="1363" t="s">
        <v>165</v>
      </c>
      <c r="AN1325" s="327">
        <v>140.0</v>
      </c>
      <c r="AO1325" s="327">
        <v>0.01</v>
      </c>
      <c r="AP1325" s="147" t="s">
        <v>130</v>
      </c>
      <c r="AQ1325" s="60" t="s">
        <v>892</v>
      </c>
      <c r="AR1325" s="327">
        <v>0.7</v>
      </c>
      <c r="AS1325" s="147" t="s">
        <v>164</v>
      </c>
      <c r="AT1325" s="147" t="s">
        <v>179</v>
      </c>
      <c r="AU1325" s="60" t="s">
        <v>132</v>
      </c>
      <c r="AV1325" s="410" t="s">
        <v>8267</v>
      </c>
      <c r="AW1325" s="60" t="s">
        <v>134</v>
      </c>
      <c r="AY1325" s="60" t="s">
        <v>1455</v>
      </c>
    </row>
    <row r="1326">
      <c r="A1326" s="60" t="s">
        <v>143</v>
      </c>
      <c r="B1326" s="41" t="s">
        <v>107</v>
      </c>
      <c r="C1326" s="41" t="s">
        <v>1455</v>
      </c>
      <c r="E1326" s="147" t="s">
        <v>8268</v>
      </c>
      <c r="F1326" s="988" t="s">
        <v>8269</v>
      </c>
      <c r="G1326" s="147" t="s">
        <v>8270</v>
      </c>
      <c r="H1326" s="472">
        <v>45690.0</v>
      </c>
      <c r="I1326" s="1358">
        <v>45693.0</v>
      </c>
      <c r="J1326" s="60" t="s">
        <v>8271</v>
      </c>
      <c r="K1326" s="60"/>
      <c r="L1326" s="1360" t="s">
        <v>8272</v>
      </c>
      <c r="M1326" s="147" t="s">
        <v>8273</v>
      </c>
      <c r="N1326" s="327">
        <v>4.0</v>
      </c>
      <c r="O1326" s="145" t="s">
        <v>8274</v>
      </c>
      <c r="P1326" s="48" t="str">
        <f t="array" ref="P1326">HYPERLINK(INDEX('File Links'!B:B, MATCH(O1326, 'File Links'!C:C, 0)))
</f>
        <v>https://drive.google.com/file/d/1Ic6aADz9FFftbyqRAxUFmh-o53coOang/view?usp=drivesdk</v>
      </c>
      <c r="Q1326" s="147" t="s">
        <v>8275</v>
      </c>
      <c r="R1326" s="147" t="s">
        <v>7139</v>
      </c>
      <c r="S1326" s="60"/>
      <c r="T1326" s="327">
        <v>1.0</v>
      </c>
      <c r="U1326" s="145" t="s">
        <v>7140</v>
      </c>
      <c r="V1326" s="60" t="s">
        <v>155</v>
      </c>
      <c r="W1326" s="1361" t="s">
        <v>8276</v>
      </c>
      <c r="X1326" s="60"/>
      <c r="Y1326" s="60" t="s">
        <v>220</v>
      </c>
      <c r="Z1326" s="60" t="s">
        <v>8277</v>
      </c>
      <c r="AA1326" s="147" t="s">
        <v>8278</v>
      </c>
      <c r="AB1326" s="1385" t="s">
        <v>8279</v>
      </c>
      <c r="AC1326" s="60" t="s">
        <v>8280</v>
      </c>
      <c r="AD1326" s="327">
        <v>12.0</v>
      </c>
      <c r="AE1326" s="144">
        <v>55.0</v>
      </c>
      <c r="AF1326" s="327">
        <v>0.16</v>
      </c>
      <c r="AG1326" s="60" t="s">
        <v>130</v>
      </c>
      <c r="AH1326" s="60" t="s">
        <v>609</v>
      </c>
      <c r="AI1326" s="328">
        <v>0.01</v>
      </c>
      <c r="AJ1326" s="55" t="s">
        <v>127</v>
      </c>
      <c r="AK1326" s="55" t="s">
        <v>179</v>
      </c>
      <c r="AL1326" s="60" t="s">
        <v>129</v>
      </c>
      <c r="AM1326" s="1363" t="s">
        <v>165</v>
      </c>
      <c r="AN1326" s="144">
        <v>51.0</v>
      </c>
      <c r="AO1326" s="60" t="s">
        <v>8281</v>
      </c>
      <c r="AP1326" s="60" t="s">
        <v>162</v>
      </c>
      <c r="AQ1326" s="60" t="s">
        <v>131</v>
      </c>
      <c r="AR1326" s="327">
        <v>0.93</v>
      </c>
      <c r="AS1326" s="60" t="s">
        <v>164</v>
      </c>
      <c r="AT1326" s="60" t="s">
        <v>179</v>
      </c>
      <c r="AU1326" s="60" t="s">
        <v>129</v>
      </c>
      <c r="AV1326" s="410" t="s">
        <v>8282</v>
      </c>
      <c r="AW1326" s="60" t="s">
        <v>142</v>
      </c>
      <c r="AY1326" s="60" t="s">
        <v>1455</v>
      </c>
    </row>
    <row r="1327">
      <c r="A1327" s="60" t="s">
        <v>106</v>
      </c>
      <c r="B1327" s="41" t="s">
        <v>107</v>
      </c>
      <c r="C1327" s="41" t="s">
        <v>144</v>
      </c>
      <c r="E1327" s="147" t="s">
        <v>8268</v>
      </c>
      <c r="F1327" s="988" t="s">
        <v>8283</v>
      </c>
      <c r="G1327" s="147" t="s">
        <v>144</v>
      </c>
      <c r="H1327" s="472">
        <v>45690.0</v>
      </c>
      <c r="I1327" s="1358">
        <v>45693.0</v>
      </c>
      <c r="J1327" s="147" t="s">
        <v>8284</v>
      </c>
      <c r="K1327" s="60"/>
      <c r="L1327" s="1360" t="s">
        <v>8272</v>
      </c>
      <c r="M1327" s="412" t="s">
        <v>8273</v>
      </c>
      <c r="N1327" s="144">
        <v>4.0</v>
      </c>
      <c r="O1327" s="145" t="s">
        <v>8274</v>
      </c>
      <c r="P1327" s="48" t="str">
        <f t="array" ref="P1327">HYPERLINK(INDEX('File Links'!B:B, MATCH(O1327, 'File Links'!C:C, 0)))
</f>
        <v>https://drive.google.com/file/d/1Ic6aADz9FFftbyqRAxUFmh-o53coOang/view?usp=drivesdk</v>
      </c>
      <c r="Q1327" s="147" t="s">
        <v>8275</v>
      </c>
      <c r="R1327" s="412" t="s">
        <v>7139</v>
      </c>
      <c r="S1327" s="60"/>
      <c r="T1327" s="327">
        <v>1.0</v>
      </c>
      <c r="U1327" s="147" t="s">
        <v>7140</v>
      </c>
      <c r="V1327" s="147" t="s">
        <v>155</v>
      </c>
      <c r="W1327" s="50" t="str">
        <f t="array" ref="W1327">HYPERLINK(INDEX('File Links'!B:B, MATCH(U1327, 'File Links'!C:C, 0)))
</f>
        <v>https://drive.google.com/file/d/1UMAh9VGta6ExS2-Lb6GkDF4fmnI2EMeM/view?usp=drivesdk</v>
      </c>
      <c r="X1327" s="60"/>
      <c r="Y1327" s="147" t="s">
        <v>220</v>
      </c>
      <c r="Z1327" s="147" t="s">
        <v>8285</v>
      </c>
      <c r="AA1327" s="412" t="s">
        <v>8286</v>
      </c>
      <c r="AB1327" s="412" t="s">
        <v>8279</v>
      </c>
      <c r="AC1327" s="147" t="s">
        <v>8287</v>
      </c>
      <c r="AD1327" s="144">
        <v>12.0</v>
      </c>
      <c r="AE1327" s="144">
        <v>55.0</v>
      </c>
      <c r="AF1327" s="144">
        <v>0.16</v>
      </c>
      <c r="AG1327" s="147" t="s">
        <v>130</v>
      </c>
      <c r="AH1327" s="147" t="s">
        <v>609</v>
      </c>
      <c r="AI1327" s="328">
        <v>0.01</v>
      </c>
      <c r="AJ1327" s="52" t="s">
        <v>127</v>
      </c>
      <c r="AK1327" s="52" t="s">
        <v>179</v>
      </c>
      <c r="AL1327" s="1368" t="s">
        <v>132</v>
      </c>
      <c r="AM1327" s="1363" t="s">
        <v>165</v>
      </c>
      <c r="AN1327" s="327">
        <v>51.0</v>
      </c>
      <c r="AO1327" s="327" t="s">
        <v>8288</v>
      </c>
      <c r="AP1327" s="147" t="s">
        <v>162</v>
      </c>
      <c r="AQ1327" s="147" t="s">
        <v>131</v>
      </c>
      <c r="AR1327" s="144">
        <v>0.93</v>
      </c>
      <c r="AS1327" s="147" t="s">
        <v>164</v>
      </c>
      <c r="AT1327" s="147" t="s">
        <v>179</v>
      </c>
      <c r="AU1327" s="1368" t="s">
        <v>132</v>
      </c>
      <c r="AV1327" s="410" t="s">
        <v>8282</v>
      </c>
      <c r="AW1327" s="60" t="s">
        <v>142</v>
      </c>
      <c r="AY1327" s="60" t="s">
        <v>1455</v>
      </c>
    </row>
    <row r="1328">
      <c r="A1328" s="60" t="s">
        <v>143</v>
      </c>
      <c r="B1328" s="177" t="s">
        <v>107</v>
      </c>
      <c r="C1328" s="177" t="s">
        <v>1455</v>
      </c>
      <c r="D1328" s="178"/>
      <c r="E1328" s="188" t="s">
        <v>8289</v>
      </c>
      <c r="F1328" s="180" t="s">
        <v>8290</v>
      </c>
      <c r="G1328" s="188" t="s">
        <v>8291</v>
      </c>
      <c r="H1328" s="1306">
        <v>45690.0</v>
      </c>
      <c r="I1328" s="1358">
        <v>45693.0</v>
      </c>
      <c r="J1328" s="179" t="s">
        <v>8292</v>
      </c>
      <c r="K1328" s="350" t="s">
        <v>8293</v>
      </c>
      <c r="L1328" s="1386" t="s">
        <v>8294</v>
      </c>
      <c r="M1328" s="345" t="s">
        <v>8295</v>
      </c>
      <c r="N1328" s="1387">
        <v>1.0</v>
      </c>
      <c r="O1328" s="188" t="s">
        <v>8296</v>
      </c>
      <c r="P1328" s="48" t="str">
        <f t="array" ref="P1328">HYPERLINK(INDEX('File Links'!B:B, MATCH(O1328, 'File Links'!C:C, 0)))
</f>
        <v>https://drive.google.com/file/d/1eQcmhUZAM11qxH-mwM6jAouV_rCECXvM/view?usp=drivesdk</v>
      </c>
      <c r="Q1328" s="188" t="s">
        <v>8297</v>
      </c>
      <c r="R1328" s="345" t="s">
        <v>7139</v>
      </c>
      <c r="S1328" s="179"/>
      <c r="T1328" s="687" t="s">
        <v>8297</v>
      </c>
      <c r="U1328" s="188" t="s">
        <v>7140</v>
      </c>
      <c r="V1328" s="179" t="s">
        <v>155</v>
      </c>
      <c r="W1328" s="1388" t="s">
        <v>8298</v>
      </c>
      <c r="X1328" s="179"/>
      <c r="Y1328" s="179" t="s">
        <v>220</v>
      </c>
      <c r="Z1328" s="179" t="s">
        <v>8299</v>
      </c>
      <c r="AA1328" s="508" t="s">
        <v>8300</v>
      </c>
      <c r="AB1328" s="188" t="s">
        <v>8301</v>
      </c>
      <c r="AC1328" s="179" t="s">
        <v>8302</v>
      </c>
      <c r="AD1328" s="687">
        <v>9.0</v>
      </c>
      <c r="AE1328" s="695">
        <v>163.0</v>
      </c>
      <c r="AF1328" s="687">
        <v>-0.04</v>
      </c>
      <c r="AG1328" s="179" t="s">
        <v>208</v>
      </c>
      <c r="AH1328" s="179" t="s">
        <v>625</v>
      </c>
      <c r="AI1328" s="1307">
        <v>0.48</v>
      </c>
      <c r="AJ1328" s="183" t="s">
        <v>164</v>
      </c>
      <c r="AK1328" s="183" t="s">
        <v>179</v>
      </c>
      <c r="AL1328" s="179" t="s">
        <v>129</v>
      </c>
      <c r="AM1328" s="1389" t="s">
        <v>165</v>
      </c>
      <c r="AN1328" s="687">
        <v>304.0</v>
      </c>
      <c r="AO1328" s="1390" t="s">
        <v>8303</v>
      </c>
      <c r="AP1328" s="179" t="s">
        <v>208</v>
      </c>
      <c r="AQ1328" s="188" t="s">
        <v>624</v>
      </c>
      <c r="AR1328" s="1391">
        <v>0.42</v>
      </c>
      <c r="AS1328" s="179" t="s">
        <v>164</v>
      </c>
      <c r="AT1328" s="179" t="s">
        <v>179</v>
      </c>
      <c r="AU1328" s="179" t="s">
        <v>129</v>
      </c>
      <c r="AV1328" s="829" t="s">
        <v>8304</v>
      </c>
      <c r="AW1328" s="179" t="s">
        <v>134</v>
      </c>
      <c r="AX1328" s="178"/>
      <c r="AY1328" s="350" t="s">
        <v>8305</v>
      </c>
      <c r="AZ1328" s="178"/>
      <c r="BA1328" s="178"/>
      <c r="BB1328" s="178"/>
      <c r="BC1328" s="178"/>
      <c r="BD1328" s="178"/>
      <c r="BE1328" s="178"/>
      <c r="BF1328" s="178"/>
      <c r="BG1328" s="178"/>
      <c r="BH1328" s="178"/>
      <c r="BI1328" s="178"/>
      <c r="BJ1328" s="178"/>
      <c r="BK1328" s="178"/>
      <c r="BL1328" s="178"/>
      <c r="BM1328" s="178"/>
      <c r="BN1328" s="178"/>
      <c r="BO1328" s="178"/>
      <c r="BP1328" s="178"/>
      <c r="BQ1328" s="178"/>
      <c r="BR1328" s="178"/>
      <c r="BS1328" s="178"/>
      <c r="BT1328" s="178"/>
      <c r="BU1328" s="178"/>
      <c r="BV1328" s="178"/>
      <c r="BW1328" s="178"/>
      <c r="BX1328" s="178"/>
      <c r="BY1328" s="178"/>
      <c r="BZ1328" s="178"/>
      <c r="CA1328" s="178"/>
      <c r="CB1328" s="178"/>
      <c r="CC1328" s="178"/>
      <c r="CD1328" s="178"/>
      <c r="CE1328" s="178"/>
      <c r="CF1328" s="178"/>
      <c r="CG1328" s="178"/>
      <c r="CH1328" s="178"/>
      <c r="CI1328" s="178"/>
      <c r="CJ1328" s="178"/>
      <c r="CK1328" s="178"/>
      <c r="CL1328" s="178"/>
      <c r="CM1328" s="178"/>
      <c r="CN1328" s="178"/>
      <c r="CO1328" s="178"/>
      <c r="CP1328" s="178"/>
      <c r="CQ1328" s="178"/>
      <c r="CR1328" s="178"/>
      <c r="CS1328" s="178"/>
      <c r="CT1328" s="178"/>
      <c r="CU1328" s="178"/>
      <c r="CV1328" s="178"/>
      <c r="CW1328" s="178"/>
      <c r="CX1328" s="178"/>
      <c r="CY1328" s="178"/>
      <c r="CZ1328" s="178"/>
      <c r="DA1328" s="178"/>
      <c r="DB1328" s="178"/>
      <c r="DC1328" s="178"/>
      <c r="DD1328" s="178"/>
      <c r="DE1328" s="178"/>
      <c r="DF1328" s="178"/>
      <c r="DG1328" s="178"/>
    </row>
    <row r="1329">
      <c r="A1329" s="60" t="s">
        <v>106</v>
      </c>
      <c r="B1329" s="177" t="s">
        <v>107</v>
      </c>
      <c r="C1329" s="177" t="s">
        <v>144</v>
      </c>
      <c r="D1329" s="178"/>
      <c r="E1329" s="188" t="s">
        <v>8289</v>
      </c>
      <c r="F1329" s="180" t="s">
        <v>8306</v>
      </c>
      <c r="G1329" s="188" t="s">
        <v>144</v>
      </c>
      <c r="H1329" s="1306">
        <v>45690.0</v>
      </c>
      <c r="I1329" s="1358">
        <v>45693.0</v>
      </c>
      <c r="J1329" s="179" t="s">
        <v>8307</v>
      </c>
      <c r="K1329" s="179" t="s">
        <v>8308</v>
      </c>
      <c r="L1329" s="1386" t="s">
        <v>8294</v>
      </c>
      <c r="M1329" s="345" t="s">
        <v>8295</v>
      </c>
      <c r="N1329" s="695">
        <v>1.0</v>
      </c>
      <c r="O1329" s="188" t="s">
        <v>8296</v>
      </c>
      <c r="P1329" s="48" t="str">
        <f t="array" ref="P1329">HYPERLINK(INDEX('File Links'!B:B, MATCH(O1329, 'File Links'!C:C, 0)))
</f>
        <v>https://drive.google.com/file/d/1eQcmhUZAM11qxH-mwM6jAouV_rCECXvM/view?usp=drivesdk</v>
      </c>
      <c r="Q1329" s="188" t="s">
        <v>8297</v>
      </c>
      <c r="R1329" s="345" t="s">
        <v>7139</v>
      </c>
      <c r="S1329" s="179"/>
      <c r="T1329" s="687" t="s">
        <v>8297</v>
      </c>
      <c r="U1329" s="188" t="s">
        <v>7140</v>
      </c>
      <c r="V1329" s="188" t="s">
        <v>155</v>
      </c>
      <c r="W1329" s="1388" t="s">
        <v>8298</v>
      </c>
      <c r="X1329" s="179"/>
      <c r="Y1329" s="188" t="s">
        <v>220</v>
      </c>
      <c r="Z1329" s="188" t="s">
        <v>8309</v>
      </c>
      <c r="AA1329" s="188" t="s">
        <v>8310</v>
      </c>
      <c r="AB1329" s="188" t="s">
        <v>8311</v>
      </c>
      <c r="AC1329" s="188" t="s">
        <v>8312</v>
      </c>
      <c r="AD1329" s="695">
        <v>9.0</v>
      </c>
      <c r="AE1329" s="695">
        <v>163.0</v>
      </c>
      <c r="AF1329" s="695">
        <v>-0.04</v>
      </c>
      <c r="AG1329" s="188" t="s">
        <v>208</v>
      </c>
      <c r="AH1329" s="188" t="s">
        <v>625</v>
      </c>
      <c r="AI1329" s="827">
        <v>0.48</v>
      </c>
      <c r="AJ1329" s="180" t="s">
        <v>164</v>
      </c>
      <c r="AK1329" s="180" t="s">
        <v>179</v>
      </c>
      <c r="AL1329" s="179" t="s">
        <v>129</v>
      </c>
      <c r="AM1329" s="1389" t="s">
        <v>165</v>
      </c>
      <c r="AN1329" s="687">
        <v>304.0</v>
      </c>
      <c r="AO1329" s="1392">
        <v>0.19</v>
      </c>
      <c r="AP1329" s="188" t="s">
        <v>208</v>
      </c>
      <c r="AQ1329" s="188" t="s">
        <v>624</v>
      </c>
      <c r="AR1329" s="1393">
        <v>0.05</v>
      </c>
      <c r="AS1329" s="188" t="s">
        <v>329</v>
      </c>
      <c r="AT1329" s="188" t="s">
        <v>179</v>
      </c>
      <c r="AU1329" s="179" t="s">
        <v>129</v>
      </c>
      <c r="AV1329" s="829" t="s">
        <v>8304</v>
      </c>
      <c r="AW1329" s="179" t="s">
        <v>142</v>
      </c>
      <c r="AX1329" s="178"/>
      <c r="AY1329" s="350" t="s">
        <v>8305</v>
      </c>
      <c r="AZ1329" s="178"/>
      <c r="BA1329" s="178"/>
      <c r="BB1329" s="178"/>
      <c r="BC1329" s="178"/>
      <c r="BD1329" s="178"/>
      <c r="BE1329" s="178"/>
      <c r="BF1329" s="178"/>
      <c r="BG1329" s="178"/>
      <c r="BH1329" s="178"/>
      <c r="BI1329" s="178"/>
      <c r="BJ1329" s="178"/>
      <c r="BK1329" s="178"/>
      <c r="BL1329" s="178"/>
      <c r="BM1329" s="178"/>
      <c r="BN1329" s="178"/>
      <c r="BO1329" s="178"/>
      <c r="BP1329" s="178"/>
      <c r="BQ1329" s="178"/>
      <c r="BR1329" s="178"/>
      <c r="BS1329" s="178"/>
      <c r="BT1329" s="178"/>
      <c r="BU1329" s="178"/>
      <c r="BV1329" s="178"/>
      <c r="BW1329" s="178"/>
      <c r="BX1329" s="178"/>
      <c r="BY1329" s="178"/>
      <c r="BZ1329" s="178"/>
      <c r="CA1329" s="178"/>
      <c r="CB1329" s="178"/>
      <c r="CC1329" s="178"/>
      <c r="CD1329" s="178"/>
      <c r="CE1329" s="178"/>
      <c r="CF1329" s="178"/>
      <c r="CG1329" s="178"/>
      <c r="CH1329" s="178"/>
      <c r="CI1329" s="178"/>
      <c r="CJ1329" s="178"/>
      <c r="CK1329" s="178"/>
      <c r="CL1329" s="178"/>
      <c r="CM1329" s="178"/>
      <c r="CN1329" s="178"/>
      <c r="CO1329" s="178"/>
      <c r="CP1329" s="178"/>
      <c r="CQ1329" s="178"/>
      <c r="CR1329" s="178"/>
      <c r="CS1329" s="178"/>
      <c r="CT1329" s="178"/>
      <c r="CU1329" s="178"/>
      <c r="CV1329" s="178"/>
      <c r="CW1329" s="178"/>
      <c r="CX1329" s="178"/>
      <c r="CY1329" s="178"/>
      <c r="CZ1329" s="178"/>
      <c r="DA1329" s="178"/>
      <c r="DB1329" s="178"/>
      <c r="DC1329" s="178"/>
      <c r="DD1329" s="178"/>
      <c r="DE1329" s="178"/>
      <c r="DF1329" s="178"/>
      <c r="DG1329" s="178"/>
    </row>
    <row r="1330" hidden="1">
      <c r="A1330" s="115" t="s">
        <v>106</v>
      </c>
      <c r="B1330" s="41" t="s">
        <v>107</v>
      </c>
      <c r="C1330" s="41" t="s">
        <v>1455</v>
      </c>
      <c r="E1330" s="356" t="s">
        <v>8313</v>
      </c>
      <c r="F1330" s="43" t="s">
        <v>8314</v>
      </c>
      <c r="G1330" s="356" t="s">
        <v>8315</v>
      </c>
      <c r="H1330" s="472">
        <v>45690.0</v>
      </c>
      <c r="I1330" s="1358">
        <v>45693.0</v>
      </c>
      <c r="J1330" s="42"/>
      <c r="K1330" s="356" t="s">
        <v>8316</v>
      </c>
      <c r="L1330" s="1360" t="s">
        <v>8317</v>
      </c>
      <c r="M1330" s="356" t="s">
        <v>8318</v>
      </c>
      <c r="N1330" s="42"/>
      <c r="O1330" s="356" t="s">
        <v>8319</v>
      </c>
      <c r="P1330" s="48" t="str">
        <f t="array" ref="P1330">HYPERLINK(INDEX('File Links'!B:B, MATCH(O1330, 'File Links'!C:C, 0)))
</f>
        <v>https://drive.google.com/file/d/1ILNp7MaC4OusbPANu-7wOS3KK98RWdcz/view?usp=drivesdk</v>
      </c>
      <c r="Q1330" s="356" t="s">
        <v>8320</v>
      </c>
      <c r="R1330" s="356" t="s">
        <v>7139</v>
      </c>
      <c r="S1330" s="42"/>
      <c r="T1330" s="42" t="s">
        <v>8320</v>
      </c>
      <c r="U1330" s="356" t="s">
        <v>7140</v>
      </c>
      <c r="V1330" s="42"/>
      <c r="W1330" s="50" t="str">
        <f t="array" ref="W1330">HYPERLINK(INDEX('File Links'!B:B, MATCH(U1330, 'File Links'!C:C, 0)))
</f>
        <v>https://drive.google.com/file/d/1UMAh9VGta6ExS2-Lb6GkDF4fmnI2EMeM/view?usp=drivesdk</v>
      </c>
      <c r="X1330" s="42" t="s">
        <v>8321</v>
      </c>
      <c r="Y1330" s="42"/>
      <c r="Z1330" s="42"/>
      <c r="AA1330" s="356" t="s">
        <v>8322</v>
      </c>
      <c r="AB1330" s="356" t="s">
        <v>8323</v>
      </c>
      <c r="AC1330" s="42"/>
      <c r="AD1330" s="42"/>
      <c r="AE1330" s="360">
        <v>118.0</v>
      </c>
      <c r="AF1330" s="42"/>
      <c r="AG1330" s="42"/>
      <c r="AH1330" s="42"/>
      <c r="AI1330" s="51"/>
      <c r="AJ1330" s="45"/>
      <c r="AK1330" s="45"/>
      <c r="AL1330" s="42"/>
      <c r="AM1330" s="1363" t="s">
        <v>165</v>
      </c>
      <c r="AN1330" s="42"/>
      <c r="AO1330" s="42"/>
      <c r="AP1330" s="42"/>
      <c r="AQ1330" s="42"/>
      <c r="AR1330" s="42"/>
      <c r="AS1330" s="42"/>
      <c r="AT1330" s="42"/>
      <c r="AU1330" s="42"/>
      <c r="AV1330" s="954" t="s">
        <v>165</v>
      </c>
      <c r="AW1330" s="42"/>
      <c r="AY1330" s="60" t="s">
        <v>1455</v>
      </c>
    </row>
    <row r="1331" hidden="1">
      <c r="A1331" s="60" t="s">
        <v>106</v>
      </c>
      <c r="B1331" s="41" t="s">
        <v>107</v>
      </c>
      <c r="C1331" s="41" t="s">
        <v>144</v>
      </c>
      <c r="E1331" s="147" t="s">
        <v>8313</v>
      </c>
      <c r="F1331" s="988" t="s">
        <v>8314</v>
      </c>
      <c r="G1331" s="147" t="s">
        <v>144</v>
      </c>
      <c r="H1331" s="472">
        <v>45690.0</v>
      </c>
      <c r="I1331" s="1358">
        <v>45693.0</v>
      </c>
      <c r="J1331" s="147" t="s">
        <v>8324</v>
      </c>
      <c r="K1331" s="147" t="s">
        <v>8316</v>
      </c>
      <c r="L1331" s="1360" t="s">
        <v>8317</v>
      </c>
      <c r="M1331" s="147" t="s">
        <v>8318</v>
      </c>
      <c r="N1331" s="144">
        <v>4.0</v>
      </c>
      <c r="O1331" s="145" t="s">
        <v>8319</v>
      </c>
      <c r="P1331" s="48" t="str">
        <f t="array" ref="P1331">HYPERLINK(INDEX('File Links'!B:B, MATCH(O1331, 'File Links'!C:C, 0)))
</f>
        <v>https://drive.google.com/file/d/1ILNp7MaC4OusbPANu-7wOS3KK98RWdcz/view?usp=drivesdk</v>
      </c>
      <c r="Q1331" s="147" t="s">
        <v>8320</v>
      </c>
      <c r="R1331" s="147" t="s">
        <v>7139</v>
      </c>
      <c r="S1331" s="60"/>
      <c r="T1331" s="327">
        <v>1.0</v>
      </c>
      <c r="U1331" s="145" t="s">
        <v>7140</v>
      </c>
      <c r="V1331" s="147" t="s">
        <v>155</v>
      </c>
      <c r="W1331" s="50" t="str">
        <f t="array" ref="W1331">HYPERLINK(INDEX('File Links'!B:B, MATCH(U1331, 'File Links'!C:C, 0)))
</f>
        <v>https://drive.google.com/file/d/1UMAh9VGta6ExS2-Lb6GkDF4fmnI2EMeM/view?usp=drivesdk</v>
      </c>
      <c r="X1331" s="60" t="s">
        <v>8325</v>
      </c>
      <c r="Y1331" s="60"/>
      <c r="Z1331" s="60"/>
      <c r="AA1331" s="60"/>
      <c r="AB1331" s="60"/>
      <c r="AC1331" s="60"/>
      <c r="AD1331" s="60"/>
      <c r="AE1331" s="60"/>
      <c r="AF1331" s="60"/>
      <c r="AG1331" s="60"/>
      <c r="AH1331" s="60"/>
      <c r="AI1331" s="329"/>
      <c r="AJ1331" s="55"/>
      <c r="AK1331" s="55"/>
      <c r="AL1331" s="60"/>
      <c r="AM1331" s="1363" t="s">
        <v>165</v>
      </c>
      <c r="AN1331" s="60"/>
      <c r="AO1331" s="60"/>
      <c r="AP1331" s="60"/>
      <c r="AQ1331" s="60"/>
      <c r="AR1331" s="60"/>
      <c r="AS1331" s="60"/>
      <c r="AT1331" s="60"/>
      <c r="AU1331" s="60"/>
      <c r="AV1331" s="115" t="s">
        <v>165</v>
      </c>
      <c r="AW1331" s="60" t="s">
        <v>134</v>
      </c>
      <c r="AY1331" s="60" t="s">
        <v>1455</v>
      </c>
    </row>
    <row r="1332">
      <c r="A1332" s="60" t="s">
        <v>143</v>
      </c>
      <c r="B1332" s="136" t="s">
        <v>107</v>
      </c>
      <c r="C1332" s="136" t="s">
        <v>1455</v>
      </c>
      <c r="D1332" s="64"/>
      <c r="E1332" s="108" t="s">
        <v>8326</v>
      </c>
      <c r="F1332" s="99" t="s">
        <v>8327</v>
      </c>
      <c r="G1332" s="108" t="s">
        <v>8328</v>
      </c>
      <c r="H1332" s="1309">
        <v>45690.0</v>
      </c>
      <c r="I1332" s="1358">
        <v>45693.0</v>
      </c>
      <c r="J1332" s="98" t="s">
        <v>8329</v>
      </c>
      <c r="K1332" s="134" t="s">
        <v>8330</v>
      </c>
      <c r="L1332" s="1394" t="s">
        <v>8331</v>
      </c>
      <c r="M1332" s="108" t="s">
        <v>8332</v>
      </c>
      <c r="N1332" s="98"/>
      <c r="O1332" s="108" t="s">
        <v>8333</v>
      </c>
      <c r="P1332" s="1395" t="str">
        <f t="array" ref="P1332">HYPERLINK(INDEX('File Links'!B:B, MATCH(O1332, 'File Links'!C:C, 0)))
</f>
        <v>https://drive.google.com/file/d/1pIRTLjdO33Sfa_G2JWHQXUfeh-daVV5W/view?usp=drivesdk</v>
      </c>
      <c r="Q1332" s="108" t="s">
        <v>8334</v>
      </c>
      <c r="R1332" s="108" t="s">
        <v>7139</v>
      </c>
      <c r="S1332" s="98"/>
      <c r="T1332" s="98" t="s">
        <v>8334</v>
      </c>
      <c r="U1332" s="108" t="s">
        <v>7140</v>
      </c>
      <c r="V1332" s="98" t="s">
        <v>3501</v>
      </c>
      <c r="W1332" s="1396" t="s">
        <v>8335</v>
      </c>
      <c r="X1332" s="98"/>
      <c r="Y1332" s="98" t="s">
        <v>220</v>
      </c>
      <c r="Z1332" s="98" t="s">
        <v>8336</v>
      </c>
      <c r="AA1332" s="108" t="s">
        <v>8337</v>
      </c>
      <c r="AB1332" s="1397" t="s">
        <v>8338</v>
      </c>
      <c r="AC1332" s="98" t="s">
        <v>8339</v>
      </c>
      <c r="AD1332" s="1398">
        <v>24.0</v>
      </c>
      <c r="AE1332" s="482">
        <v>91.0</v>
      </c>
      <c r="AF1332" s="1034">
        <v>0.59</v>
      </c>
      <c r="AG1332" s="98" t="s">
        <v>357</v>
      </c>
      <c r="AH1332" s="98" t="s">
        <v>2297</v>
      </c>
      <c r="AI1332" s="1399">
        <v>0.01</v>
      </c>
      <c r="AJ1332" s="101" t="s">
        <v>127</v>
      </c>
      <c r="AK1332" s="101" t="s">
        <v>179</v>
      </c>
      <c r="AL1332" s="98" t="s">
        <v>132</v>
      </c>
      <c r="AM1332" s="432" t="s">
        <v>165</v>
      </c>
      <c r="AN1332" s="482">
        <v>76.0</v>
      </c>
      <c r="AO1332" s="134" t="s">
        <v>8340</v>
      </c>
      <c r="AP1332" s="98" t="s">
        <v>162</v>
      </c>
      <c r="AQ1332" s="134" t="s">
        <v>629</v>
      </c>
      <c r="AR1332" s="999" t="s">
        <v>165</v>
      </c>
      <c r="AS1332" s="128" t="s">
        <v>165</v>
      </c>
      <c r="AT1332" s="98" t="s">
        <v>179</v>
      </c>
      <c r="AU1332" s="98" t="s">
        <v>132</v>
      </c>
      <c r="AV1332" s="595" t="s">
        <v>8341</v>
      </c>
      <c r="AW1332" s="98" t="s">
        <v>134</v>
      </c>
      <c r="AX1332" s="64"/>
      <c r="AY1332" s="134" t="s">
        <v>8305</v>
      </c>
      <c r="AZ1332" s="64"/>
      <c r="BA1332" s="64"/>
      <c r="BB1332" s="64"/>
      <c r="BC1332" s="64"/>
      <c r="BD1332" s="64"/>
      <c r="BE1332" s="64"/>
      <c r="BF1332" s="64"/>
      <c r="BG1332" s="64"/>
      <c r="BH1332" s="64"/>
      <c r="BI1332" s="64"/>
      <c r="BJ1332" s="64"/>
      <c r="BK1332" s="64"/>
      <c r="BL1332" s="64"/>
      <c r="BM1332" s="64"/>
      <c r="BN1332" s="64"/>
      <c r="BO1332" s="64"/>
      <c r="BP1332" s="64"/>
      <c r="BQ1332" s="64"/>
      <c r="BR1332" s="64"/>
      <c r="BS1332" s="64"/>
      <c r="BT1332" s="64"/>
      <c r="BU1332" s="64"/>
      <c r="BV1332" s="64"/>
      <c r="BW1332" s="64"/>
      <c r="BX1332" s="64"/>
      <c r="BY1332" s="64"/>
      <c r="BZ1332" s="64"/>
      <c r="CA1332" s="64"/>
      <c r="CB1332" s="64"/>
      <c r="CC1332" s="64"/>
      <c r="CD1332" s="64"/>
      <c r="CE1332" s="64"/>
      <c r="CF1332" s="64"/>
      <c r="CG1332" s="64"/>
      <c r="CH1332" s="64"/>
      <c r="CI1332" s="64"/>
      <c r="CJ1332" s="64"/>
      <c r="CK1332" s="64"/>
      <c r="CL1332" s="64"/>
      <c r="CM1332" s="64"/>
      <c r="CN1332" s="64"/>
      <c r="CO1332" s="64"/>
      <c r="CP1332" s="64"/>
      <c r="CQ1332" s="64"/>
      <c r="CR1332" s="64"/>
      <c r="CS1332" s="64"/>
      <c r="CT1332" s="64"/>
      <c r="CU1332" s="64"/>
      <c r="CV1332" s="64"/>
      <c r="CW1332" s="64"/>
      <c r="CX1332" s="64"/>
      <c r="CY1332" s="64"/>
      <c r="CZ1332" s="64"/>
      <c r="DA1332" s="64"/>
      <c r="DB1332" s="64"/>
      <c r="DC1332" s="64"/>
      <c r="DD1332" s="64"/>
      <c r="DE1332" s="64"/>
      <c r="DF1332" s="64"/>
      <c r="DG1332" s="64"/>
    </row>
    <row r="1333">
      <c r="A1333" s="60" t="s">
        <v>143</v>
      </c>
      <c r="B1333" s="136" t="s">
        <v>107</v>
      </c>
      <c r="C1333" s="136" t="s">
        <v>144</v>
      </c>
      <c r="D1333" s="64"/>
      <c r="E1333" s="108" t="s">
        <v>8326</v>
      </c>
      <c r="F1333" s="99" t="s">
        <v>8342</v>
      </c>
      <c r="G1333" s="108" t="s">
        <v>144</v>
      </c>
      <c r="H1333" s="1309">
        <v>45690.0</v>
      </c>
      <c r="I1333" s="1358">
        <v>45693.0</v>
      </c>
      <c r="J1333" s="108" t="s">
        <v>8343</v>
      </c>
      <c r="K1333" s="98"/>
      <c r="L1333" s="1394" t="s">
        <v>8331</v>
      </c>
      <c r="M1333" s="208" t="s">
        <v>8332</v>
      </c>
      <c r="N1333" s="482">
        <v>8.0</v>
      </c>
      <c r="O1333" s="108" t="s">
        <v>8333</v>
      </c>
      <c r="P1333" s="1395" t="str">
        <f t="array" ref="P1333">HYPERLINK(INDEX('File Links'!B:B, MATCH(O1333, 'File Links'!C:C, 0)))
</f>
        <v>https://drive.google.com/file/d/1pIRTLjdO33Sfa_G2JWHQXUfeh-daVV5W/view?usp=drivesdk</v>
      </c>
      <c r="Q1333" s="108" t="s">
        <v>8334</v>
      </c>
      <c r="R1333" s="208" t="s">
        <v>7139</v>
      </c>
      <c r="S1333" s="98"/>
      <c r="T1333" s="98" t="s">
        <v>8334</v>
      </c>
      <c r="U1333" s="108" t="s">
        <v>7140</v>
      </c>
      <c r="V1333" s="108" t="s">
        <v>3501</v>
      </c>
      <c r="W1333" s="1400" t="str">
        <f t="array" ref="W1333">HYPERLINK(INDEX('File Links'!B:B, MATCH(U1333, 'File Links'!C:C, 0)))
</f>
        <v>https://drive.google.com/file/d/1UMAh9VGta6ExS2-Lb6GkDF4fmnI2EMeM/view?usp=drivesdk</v>
      </c>
      <c r="X1333" s="98"/>
      <c r="Y1333" s="108" t="s">
        <v>220</v>
      </c>
      <c r="Z1333" s="108" t="s">
        <v>8344</v>
      </c>
      <c r="AA1333" s="208" t="s">
        <v>8345</v>
      </c>
      <c r="AB1333" s="108" t="s">
        <v>8338</v>
      </c>
      <c r="AC1333" s="108" t="s">
        <v>8346</v>
      </c>
      <c r="AD1333" s="1034">
        <v>24.0</v>
      </c>
      <c r="AE1333" s="1034">
        <v>91.0</v>
      </c>
      <c r="AF1333" s="1034">
        <v>0.59</v>
      </c>
      <c r="AG1333" s="1172" t="s">
        <v>357</v>
      </c>
      <c r="AH1333" s="98" t="s">
        <v>2297</v>
      </c>
      <c r="AI1333" s="1399">
        <v>0.01</v>
      </c>
      <c r="AJ1333" s="99" t="s">
        <v>127</v>
      </c>
      <c r="AK1333" s="99" t="s">
        <v>179</v>
      </c>
      <c r="AL1333" s="98" t="s">
        <v>132</v>
      </c>
      <c r="AM1333" s="432" t="s">
        <v>165</v>
      </c>
      <c r="AN1333" s="1034">
        <v>76.0</v>
      </c>
      <c r="AO1333" s="1034">
        <v>0.9</v>
      </c>
      <c r="AP1333" s="1172" t="s">
        <v>1006</v>
      </c>
      <c r="AQ1333" s="98" t="s">
        <v>629</v>
      </c>
      <c r="AR1333" s="98"/>
      <c r="AS1333" s="128" t="s">
        <v>165</v>
      </c>
      <c r="AT1333" s="108" t="s">
        <v>179</v>
      </c>
      <c r="AU1333" s="98" t="s">
        <v>132</v>
      </c>
      <c r="AV1333" s="595" t="s">
        <v>8341</v>
      </c>
      <c r="AW1333" s="98" t="s">
        <v>134</v>
      </c>
      <c r="AX1333" s="64"/>
      <c r="AY1333" s="98" t="s">
        <v>1455</v>
      </c>
      <c r="AZ1333" s="64"/>
      <c r="BA1333" s="64"/>
      <c r="BB1333" s="64"/>
      <c r="BC1333" s="64"/>
      <c r="BD1333" s="64"/>
      <c r="BE1333" s="64"/>
      <c r="BF1333" s="64"/>
      <c r="BG1333" s="64"/>
      <c r="BH1333" s="64"/>
      <c r="BI1333" s="64"/>
      <c r="BJ1333" s="64"/>
      <c r="BK1333" s="64"/>
      <c r="BL1333" s="64"/>
      <c r="BM1333" s="64"/>
      <c r="BN1333" s="64"/>
      <c r="BO1333" s="64"/>
      <c r="BP1333" s="64"/>
      <c r="BQ1333" s="64"/>
      <c r="BR1333" s="64"/>
      <c r="BS1333" s="64"/>
      <c r="BT1333" s="64"/>
      <c r="BU1333" s="64"/>
      <c r="BV1333" s="64"/>
      <c r="BW1333" s="64"/>
      <c r="BX1333" s="64"/>
      <c r="BY1333" s="64"/>
      <c r="BZ1333" s="64"/>
      <c r="CA1333" s="64"/>
      <c r="CB1333" s="64"/>
      <c r="CC1333" s="64"/>
      <c r="CD1333" s="64"/>
      <c r="CE1333" s="64"/>
      <c r="CF1333" s="64"/>
      <c r="CG1333" s="64"/>
      <c r="CH1333" s="64"/>
      <c r="CI1333" s="64"/>
      <c r="CJ1333" s="64"/>
      <c r="CK1333" s="64"/>
      <c r="CL1333" s="64"/>
      <c r="CM1333" s="64"/>
      <c r="CN1333" s="64"/>
      <c r="CO1333" s="64"/>
      <c r="CP1333" s="64"/>
      <c r="CQ1333" s="64"/>
      <c r="CR1333" s="64"/>
      <c r="CS1333" s="64"/>
      <c r="CT1333" s="64"/>
      <c r="CU1333" s="64"/>
      <c r="CV1333" s="64"/>
      <c r="CW1333" s="64"/>
      <c r="CX1333" s="64"/>
      <c r="CY1333" s="64"/>
      <c r="CZ1333" s="64"/>
      <c r="DA1333" s="64"/>
      <c r="DB1333" s="64"/>
      <c r="DC1333" s="64"/>
      <c r="DD1333" s="64"/>
      <c r="DE1333" s="64"/>
      <c r="DF1333" s="64"/>
      <c r="DG1333" s="64"/>
    </row>
    <row r="1334">
      <c r="A1334" s="60" t="s">
        <v>143</v>
      </c>
      <c r="B1334" s="41" t="s">
        <v>107</v>
      </c>
      <c r="C1334" s="41" t="s">
        <v>1455</v>
      </c>
      <c r="E1334" s="147" t="s">
        <v>8347</v>
      </c>
      <c r="F1334" s="988" t="s">
        <v>8348</v>
      </c>
      <c r="G1334" s="147" t="s">
        <v>7458</v>
      </c>
      <c r="H1334" s="472">
        <v>45690.0</v>
      </c>
      <c r="I1334" s="1358">
        <v>45693.0</v>
      </c>
      <c r="J1334" s="60" t="s">
        <v>8349</v>
      </c>
      <c r="K1334" s="115" t="s">
        <v>8350</v>
      </c>
      <c r="L1334" s="1360" t="s">
        <v>8351</v>
      </c>
      <c r="M1334" s="412" t="s">
        <v>8352</v>
      </c>
      <c r="N1334" s="327">
        <v>5.0</v>
      </c>
      <c r="O1334" s="145" t="s">
        <v>8353</v>
      </c>
      <c r="P1334" s="48" t="str">
        <f t="array" ref="P1334">HYPERLINK(INDEX('File Links'!B:B, MATCH(O1334, 'File Links'!C:C, 0)))
</f>
        <v>https://drive.google.com/file/d/1a05JoYmLdyaqZqx1lMlnobPSBoVtshdG/view?usp=drivesdk</v>
      </c>
      <c r="Q1334" s="147" t="s">
        <v>8354</v>
      </c>
      <c r="R1334" s="412" t="s">
        <v>7139</v>
      </c>
      <c r="S1334" s="60"/>
      <c r="T1334" s="327" t="s">
        <v>8354</v>
      </c>
      <c r="U1334" s="145" t="s">
        <v>7140</v>
      </c>
      <c r="V1334" s="60" t="s">
        <v>3501</v>
      </c>
      <c r="W1334" s="1361" t="s">
        <v>8355</v>
      </c>
      <c r="X1334" s="60"/>
      <c r="Y1334" s="60" t="s">
        <v>220</v>
      </c>
      <c r="Z1334" s="60" t="s">
        <v>8356</v>
      </c>
      <c r="AA1334" s="147" t="s">
        <v>8357</v>
      </c>
      <c r="AB1334" s="1365" t="s">
        <v>8358</v>
      </c>
      <c r="AC1334" s="60" t="s">
        <v>8359</v>
      </c>
      <c r="AD1334" s="327">
        <v>14.0</v>
      </c>
      <c r="AE1334" s="144">
        <v>28.0</v>
      </c>
      <c r="AF1334" s="327">
        <v>0.12</v>
      </c>
      <c r="AG1334" s="60" t="s">
        <v>130</v>
      </c>
      <c r="AH1334" s="60" t="s">
        <v>624</v>
      </c>
      <c r="AI1334" s="328">
        <v>0.05</v>
      </c>
      <c r="AJ1334" s="55" t="s">
        <v>127</v>
      </c>
      <c r="AK1334" s="55" t="s">
        <v>211</v>
      </c>
      <c r="AL1334" s="60" t="s">
        <v>129</v>
      </c>
      <c r="AM1334" s="1363" t="s">
        <v>165</v>
      </c>
      <c r="AN1334" s="327">
        <v>61.0</v>
      </c>
      <c r="AO1334" s="60" t="s">
        <v>8360</v>
      </c>
      <c r="AP1334" s="60" t="s">
        <v>162</v>
      </c>
      <c r="AQ1334" s="147" t="s">
        <v>210</v>
      </c>
      <c r="AR1334" s="327">
        <v>0.01175</v>
      </c>
      <c r="AS1334" s="60" t="s">
        <v>164</v>
      </c>
      <c r="AT1334" s="60" t="s">
        <v>211</v>
      </c>
      <c r="AU1334" s="60" t="s">
        <v>129</v>
      </c>
      <c r="AV1334" s="410" t="s">
        <v>8361</v>
      </c>
      <c r="AW1334" s="60" t="s">
        <v>134</v>
      </c>
      <c r="AY1334" s="60" t="s">
        <v>1455</v>
      </c>
    </row>
    <row r="1335">
      <c r="A1335" s="60" t="s">
        <v>106</v>
      </c>
      <c r="B1335" s="41" t="s">
        <v>107</v>
      </c>
      <c r="C1335" s="41" t="s">
        <v>144</v>
      </c>
      <c r="E1335" s="147" t="s">
        <v>8347</v>
      </c>
      <c r="F1335" s="988" t="s">
        <v>8348</v>
      </c>
      <c r="G1335" s="147" t="s">
        <v>144</v>
      </c>
      <c r="H1335" s="472">
        <v>45690.0</v>
      </c>
      <c r="I1335" s="1358">
        <v>45693.0</v>
      </c>
      <c r="J1335" s="60"/>
      <c r="K1335" s="60"/>
      <c r="L1335" s="1360" t="s">
        <v>8351</v>
      </c>
      <c r="M1335" s="147" t="s">
        <v>8352</v>
      </c>
      <c r="N1335" s="144">
        <v>5.0</v>
      </c>
      <c r="O1335" s="145" t="s">
        <v>8353</v>
      </c>
      <c r="P1335" s="48" t="str">
        <f t="array" ref="P1335">HYPERLINK(INDEX('File Links'!B:B, MATCH(O1335, 'File Links'!C:C, 0)))
</f>
        <v>https://drive.google.com/file/d/1a05JoYmLdyaqZqx1lMlnobPSBoVtshdG/view?usp=drivesdk</v>
      </c>
      <c r="Q1335" s="147" t="s">
        <v>8354</v>
      </c>
      <c r="R1335" s="147" t="s">
        <v>7139</v>
      </c>
      <c r="S1335" s="60"/>
      <c r="T1335" s="1401" t="s">
        <v>8354</v>
      </c>
      <c r="U1335" s="145" t="s">
        <v>7140</v>
      </c>
      <c r="V1335" s="147" t="s">
        <v>8362</v>
      </c>
      <c r="W1335" s="1402" t="s">
        <v>8355</v>
      </c>
      <c r="X1335" s="60"/>
      <c r="Y1335" s="147" t="s">
        <v>220</v>
      </c>
      <c r="Z1335" s="147" t="s">
        <v>8363</v>
      </c>
      <c r="AA1335" s="147" t="s">
        <v>8364</v>
      </c>
      <c r="AB1335" s="147" t="s">
        <v>8358</v>
      </c>
      <c r="AC1335" s="147" t="s">
        <v>8365</v>
      </c>
      <c r="AD1335" s="144">
        <v>14.0</v>
      </c>
      <c r="AE1335" s="144">
        <v>28.0</v>
      </c>
      <c r="AF1335" s="144">
        <v>0.12</v>
      </c>
      <c r="AG1335" s="147" t="s">
        <v>130</v>
      </c>
      <c r="AH1335" s="147" t="s">
        <v>624</v>
      </c>
      <c r="AI1335" s="328">
        <v>0.05</v>
      </c>
      <c r="AJ1335" s="52" t="s">
        <v>127</v>
      </c>
      <c r="AK1335" s="52" t="s">
        <v>211</v>
      </c>
      <c r="AL1335" s="60" t="s">
        <v>129</v>
      </c>
      <c r="AM1335" s="1363" t="s">
        <v>165</v>
      </c>
      <c r="AN1335" s="144">
        <v>61.0</v>
      </c>
      <c r="AO1335" s="147" t="s">
        <v>8366</v>
      </c>
      <c r="AP1335" s="147" t="s">
        <v>162</v>
      </c>
      <c r="AQ1335" s="147" t="s">
        <v>210</v>
      </c>
      <c r="AR1335" s="144">
        <v>0.01175</v>
      </c>
      <c r="AS1335" s="147" t="s">
        <v>164</v>
      </c>
      <c r="AT1335" s="147" t="s">
        <v>211</v>
      </c>
      <c r="AU1335" s="60" t="s">
        <v>129</v>
      </c>
      <c r="AV1335" s="410" t="s">
        <v>8361</v>
      </c>
      <c r="AW1335" s="60" t="s">
        <v>134</v>
      </c>
      <c r="AY1335" s="60" t="s">
        <v>1455</v>
      </c>
    </row>
    <row r="1336">
      <c r="A1336" s="60" t="s">
        <v>106</v>
      </c>
      <c r="B1336" s="41" t="s">
        <v>107</v>
      </c>
      <c r="C1336" s="41" t="s">
        <v>1455</v>
      </c>
      <c r="E1336" s="147" t="s">
        <v>8367</v>
      </c>
      <c r="F1336" s="988" t="s">
        <v>8368</v>
      </c>
      <c r="G1336" s="147" t="s">
        <v>8369</v>
      </c>
      <c r="H1336" s="472">
        <v>45690.0</v>
      </c>
      <c r="I1336" s="1358">
        <v>45693.0</v>
      </c>
      <c r="J1336" s="60"/>
      <c r="K1336" s="60"/>
      <c r="L1336" s="1360" t="s">
        <v>8370</v>
      </c>
      <c r="M1336" s="147" t="s">
        <v>8371</v>
      </c>
      <c r="N1336" s="327">
        <v>3.0</v>
      </c>
      <c r="O1336" s="145" t="s">
        <v>8372</v>
      </c>
      <c r="P1336" s="48" t="str">
        <f t="array" ref="P1336">HYPERLINK(INDEX('File Links'!B:B, MATCH(O1336, 'File Links'!C:C, 0)))
</f>
        <v>https://drive.google.com/file/d/1VyZodnC88TkBiX9hwQqLISstx0--OlF9/view?usp=drivesdk</v>
      </c>
      <c r="Q1336" s="147" t="s">
        <v>8373</v>
      </c>
      <c r="R1336" s="147" t="s">
        <v>8374</v>
      </c>
      <c r="S1336" s="60"/>
      <c r="T1336" s="60" t="s">
        <v>8373</v>
      </c>
      <c r="U1336" s="145" t="s">
        <v>8375</v>
      </c>
      <c r="V1336" s="60" t="s">
        <v>5272</v>
      </c>
      <c r="W1336" s="1361" t="s">
        <v>8376</v>
      </c>
      <c r="X1336" s="60"/>
      <c r="Y1336" s="60" t="s">
        <v>220</v>
      </c>
      <c r="Z1336" s="60" t="s">
        <v>8377</v>
      </c>
      <c r="AA1336" s="147" t="s">
        <v>8378</v>
      </c>
      <c r="AB1336" s="147" t="s">
        <v>8379</v>
      </c>
      <c r="AC1336" s="60" t="s">
        <v>8380</v>
      </c>
      <c r="AD1336" s="327">
        <v>11.0</v>
      </c>
      <c r="AE1336" s="144">
        <v>90.0</v>
      </c>
      <c r="AF1336" s="60" t="s">
        <v>8381</v>
      </c>
      <c r="AG1336" s="60" t="s">
        <v>162</v>
      </c>
      <c r="AH1336" s="60" t="s">
        <v>299</v>
      </c>
      <c r="AI1336" s="328">
        <v>0.001</v>
      </c>
      <c r="AJ1336" s="55" t="s">
        <v>164</v>
      </c>
      <c r="AK1336" s="55" t="s">
        <v>179</v>
      </c>
      <c r="AL1336" s="60" t="s">
        <v>132</v>
      </c>
      <c r="AM1336" s="1363" t="s">
        <v>165</v>
      </c>
      <c r="AN1336" s="144">
        <v>1490.0</v>
      </c>
      <c r="AO1336" s="327">
        <v>0.001</v>
      </c>
      <c r="AP1336" s="60" t="s">
        <v>1785</v>
      </c>
      <c r="AQ1336" s="60" t="s">
        <v>610</v>
      </c>
      <c r="AR1336" s="327">
        <v>0.154</v>
      </c>
      <c r="AS1336" s="60" t="s">
        <v>164</v>
      </c>
      <c r="AT1336" s="60" t="s">
        <v>128</v>
      </c>
      <c r="AU1336" s="60" t="s">
        <v>132</v>
      </c>
      <c r="AV1336" s="115" t="s">
        <v>165</v>
      </c>
      <c r="AW1336" s="60" t="s">
        <v>134</v>
      </c>
      <c r="AY1336" s="60" t="s">
        <v>1455</v>
      </c>
    </row>
    <row r="1337">
      <c r="A1337" s="60" t="s">
        <v>143</v>
      </c>
      <c r="B1337" s="41" t="s">
        <v>107</v>
      </c>
      <c r="C1337" s="41" t="s">
        <v>144</v>
      </c>
      <c r="E1337" s="147" t="s">
        <v>8367</v>
      </c>
      <c r="F1337" s="988" t="s">
        <v>8382</v>
      </c>
      <c r="G1337" s="147" t="s">
        <v>144</v>
      </c>
      <c r="H1337" s="472">
        <v>45690.0</v>
      </c>
      <c r="I1337" s="1358">
        <v>45693.0</v>
      </c>
      <c r="J1337" s="60" t="s">
        <v>8383</v>
      </c>
      <c r="K1337" s="60" t="s">
        <v>8384</v>
      </c>
      <c r="L1337" s="356" t="s">
        <v>8370</v>
      </c>
      <c r="M1337" s="412" t="s">
        <v>8371</v>
      </c>
      <c r="N1337" s="144">
        <v>3.0</v>
      </c>
      <c r="O1337" s="145" t="s">
        <v>8372</v>
      </c>
      <c r="P1337" s="48" t="str">
        <f t="array" ref="P1337">HYPERLINK(INDEX('File Links'!B:B, MATCH(O1337, 'File Links'!C:C, 0)))
</f>
        <v>https://drive.google.com/file/d/1VyZodnC88TkBiX9hwQqLISstx0--OlF9/view?usp=drivesdk</v>
      </c>
      <c r="Q1337" s="147" t="s">
        <v>8373</v>
      </c>
      <c r="R1337" s="412" t="s">
        <v>8374</v>
      </c>
      <c r="S1337" s="60"/>
      <c r="T1337" s="327">
        <v>1.0</v>
      </c>
      <c r="U1337" s="145" t="s">
        <v>8375</v>
      </c>
      <c r="V1337" s="147" t="s">
        <v>5272</v>
      </c>
      <c r="W1337" s="1361" t="s">
        <v>8376</v>
      </c>
      <c r="X1337" s="60"/>
      <c r="Y1337" s="147" t="s">
        <v>220</v>
      </c>
      <c r="Z1337" s="147" t="s">
        <v>8385</v>
      </c>
      <c r="AA1337" s="147" t="s">
        <v>8386</v>
      </c>
      <c r="AB1337" s="147" t="s">
        <v>8387</v>
      </c>
      <c r="AC1337" s="1362" t="s">
        <v>8380</v>
      </c>
      <c r="AD1337" s="327">
        <v>11.0</v>
      </c>
      <c r="AE1337" s="144">
        <v>90.0</v>
      </c>
      <c r="AF1337" s="144" t="s">
        <v>8381</v>
      </c>
      <c r="AG1337" s="147" t="s">
        <v>162</v>
      </c>
      <c r="AH1337" s="147" t="s">
        <v>299</v>
      </c>
      <c r="AI1337" s="646">
        <v>0.001</v>
      </c>
      <c r="AJ1337" s="52" t="s">
        <v>164</v>
      </c>
      <c r="AK1337" s="52" t="s">
        <v>179</v>
      </c>
      <c r="AL1337" s="60" t="s">
        <v>132</v>
      </c>
      <c r="AM1337" s="1363" t="s">
        <v>165</v>
      </c>
      <c r="AN1337" s="327">
        <v>1490.0</v>
      </c>
      <c r="AO1337" s="327">
        <v>0.001</v>
      </c>
      <c r="AP1337" s="1403" t="s">
        <v>1785</v>
      </c>
      <c r="AQ1337" s="147" t="s">
        <v>610</v>
      </c>
      <c r="AR1337" s="144">
        <v>0.154</v>
      </c>
      <c r="AS1337" s="147" t="s">
        <v>164</v>
      </c>
      <c r="AT1337" s="147" t="s">
        <v>128</v>
      </c>
      <c r="AU1337" s="60" t="s">
        <v>132</v>
      </c>
      <c r="AV1337" s="410" t="s">
        <v>8388</v>
      </c>
      <c r="AW1337" s="60" t="s">
        <v>142</v>
      </c>
      <c r="AY1337" s="60" t="s">
        <v>1455</v>
      </c>
    </row>
    <row r="1338">
      <c r="A1338" s="41" t="s">
        <v>279</v>
      </c>
      <c r="B1338" s="41" t="s">
        <v>107</v>
      </c>
      <c r="C1338" s="41" t="s">
        <v>1471</v>
      </c>
      <c r="E1338" s="734" t="s">
        <v>2638</v>
      </c>
      <c r="F1338" s="736" t="s">
        <v>2639</v>
      </c>
      <c r="G1338" s="734" t="s">
        <v>1530</v>
      </c>
      <c r="H1338" s="737">
        <v>45472.0</v>
      </c>
      <c r="I1338" s="737">
        <v>45685.0</v>
      </c>
      <c r="J1338" s="734" t="s">
        <v>8389</v>
      </c>
      <c r="K1338" s="738"/>
      <c r="L1338" s="932" t="s">
        <v>8390</v>
      </c>
      <c r="M1338" s="734" t="s">
        <v>2643</v>
      </c>
      <c r="N1338" s="738"/>
      <c r="O1338" s="734" t="s">
        <v>2644</v>
      </c>
      <c r="P1338" s="48" t="str">
        <f t="array" ref="P1338">HYPERLINK(INDEX('File Links'!B:B, MATCH(O1338, 'File Links'!C:C, 0)))
</f>
        <v>https://drive.google.com/file/d/1qyGORRGdQy-kyOSM_2vtKP7-BEAhuKWX/view?usp=drivesdk</v>
      </c>
      <c r="Q1338" s="734" t="s">
        <v>8391</v>
      </c>
      <c r="R1338" s="734" t="s">
        <v>2646</v>
      </c>
      <c r="S1338" s="738"/>
      <c r="T1338" s="738"/>
      <c r="U1338" s="734" t="s">
        <v>8392</v>
      </c>
      <c r="V1338" s="1404" t="str">
        <f> hyperlink(vlookup(lower(R1338),'File Links'!D:E, 2, FALSE), "LINK")</f>
        <v>LINK</v>
      </c>
      <c r="W1338" s="734" t="s">
        <v>202</v>
      </c>
      <c r="X1338" s="738"/>
      <c r="Y1338" s="734" t="s">
        <v>220</v>
      </c>
      <c r="Z1338" s="734" t="s">
        <v>8393</v>
      </c>
      <c r="AA1338" s="734" t="s">
        <v>2648</v>
      </c>
      <c r="AB1338" s="734" t="s">
        <v>8394</v>
      </c>
      <c r="AC1338" s="734" t="s">
        <v>8395</v>
      </c>
      <c r="AD1338" s="694">
        <v>4.0</v>
      </c>
      <c r="AE1338" s="739">
        <v>1068.0</v>
      </c>
      <c r="AF1338" s="734" t="s">
        <v>8396</v>
      </c>
      <c r="AG1338" s="734" t="s">
        <v>162</v>
      </c>
      <c r="AH1338" s="734" t="s">
        <v>494</v>
      </c>
      <c r="AI1338" s="838">
        <v>0.01</v>
      </c>
      <c r="AJ1338" s="736" t="s">
        <v>127</v>
      </c>
      <c r="AK1338" s="736" t="s">
        <v>179</v>
      </c>
      <c r="AL1338" s="738" t="s">
        <v>132</v>
      </c>
      <c r="AM1338" s="741"/>
      <c r="AN1338" s="739">
        <v>533.0</v>
      </c>
      <c r="AO1338" s="738" t="s">
        <v>8397</v>
      </c>
      <c r="AP1338" s="734" t="s">
        <v>162</v>
      </c>
      <c r="AQ1338" s="734" t="s">
        <v>494</v>
      </c>
      <c r="AR1338" s="739">
        <v>0.001</v>
      </c>
      <c r="AS1338" s="734" t="s">
        <v>127</v>
      </c>
      <c r="AT1338" s="734" t="s">
        <v>179</v>
      </c>
      <c r="AU1338" s="738" t="s">
        <v>132</v>
      </c>
      <c r="AV1338" s="738"/>
      <c r="AW1338" s="738" t="s">
        <v>134</v>
      </c>
    </row>
    <row r="1339">
      <c r="A1339" s="41" t="s">
        <v>279</v>
      </c>
      <c r="B1339" s="41" t="s">
        <v>107</v>
      </c>
      <c r="C1339" s="41" t="s">
        <v>1471</v>
      </c>
      <c r="E1339" s="734" t="s">
        <v>2638</v>
      </c>
      <c r="F1339" s="736" t="s">
        <v>2662</v>
      </c>
      <c r="G1339" s="734" t="s">
        <v>1530</v>
      </c>
      <c r="H1339" s="1405"/>
      <c r="I1339" s="737">
        <v>45685.0</v>
      </c>
      <c r="J1339" s="738"/>
      <c r="K1339" s="738"/>
      <c r="L1339" s="734" t="s">
        <v>2656</v>
      </c>
      <c r="M1339" s="734" t="s">
        <v>2643</v>
      </c>
      <c r="N1339" s="738"/>
      <c r="O1339" s="734" t="s">
        <v>2644</v>
      </c>
      <c r="P1339" s="48" t="str">
        <f t="array" ref="P1339">HYPERLINK(INDEX('File Links'!B:B, MATCH(O1339, 'File Links'!C:C, 0)))
</f>
        <v>https://drive.google.com/file/d/1qyGORRGdQy-kyOSM_2vtKP7-BEAhuKWX/view?usp=drivesdk</v>
      </c>
      <c r="Q1339" s="734" t="s">
        <v>8391</v>
      </c>
      <c r="R1339" s="734" t="s">
        <v>2646</v>
      </c>
      <c r="S1339" s="738"/>
      <c r="T1339" s="738"/>
      <c r="U1339" s="734" t="s">
        <v>8392</v>
      </c>
      <c r="V1339" s="734" t="s">
        <v>202</v>
      </c>
      <c r="W1339" s="45" t="str">
        <f t="array" ref="W1339">HYPERLINK(INDEX('File Links'!B:B, MATCH(U1339, 'File Links'!C:C, 0)))
</f>
        <v>#N/A</v>
      </c>
      <c r="X1339" s="738"/>
      <c r="Y1339" s="734" t="s">
        <v>220</v>
      </c>
      <c r="Z1339" s="734" t="s">
        <v>8393</v>
      </c>
      <c r="AA1339" s="734" t="s">
        <v>2648</v>
      </c>
      <c r="AB1339" s="734" t="s">
        <v>8394</v>
      </c>
      <c r="AC1339" s="734" t="s">
        <v>8398</v>
      </c>
      <c r="AD1339" s="739">
        <v>4.0</v>
      </c>
      <c r="AE1339" s="739">
        <v>1068.0</v>
      </c>
      <c r="AF1339" s="734" t="s">
        <v>8399</v>
      </c>
      <c r="AG1339" s="734" t="s">
        <v>162</v>
      </c>
      <c r="AH1339" s="734" t="s">
        <v>494</v>
      </c>
      <c r="AI1339" s="838">
        <v>0.01</v>
      </c>
      <c r="AJ1339" s="736" t="s">
        <v>127</v>
      </c>
      <c r="AK1339" s="736" t="s">
        <v>179</v>
      </c>
      <c r="AL1339" s="738" t="s">
        <v>132</v>
      </c>
      <c r="AM1339" s="741"/>
      <c r="AN1339" s="739">
        <v>533.0</v>
      </c>
      <c r="AO1339" s="734" t="s">
        <v>8400</v>
      </c>
      <c r="AP1339" s="734" t="s">
        <v>162</v>
      </c>
      <c r="AQ1339" s="734" t="s">
        <v>494</v>
      </c>
      <c r="AR1339" s="739">
        <v>0.001</v>
      </c>
      <c r="AS1339" s="734" t="s">
        <v>127</v>
      </c>
      <c r="AT1339" s="734" t="s">
        <v>179</v>
      </c>
      <c r="AU1339" s="738" t="s">
        <v>132</v>
      </c>
      <c r="AV1339" s="738"/>
      <c r="AW1339" s="738" t="s">
        <v>134</v>
      </c>
    </row>
    <row r="1340">
      <c r="A1340" s="41" t="s">
        <v>279</v>
      </c>
      <c r="B1340" s="41" t="s">
        <v>107</v>
      </c>
      <c r="C1340" s="41" t="s">
        <v>1471</v>
      </c>
      <c r="E1340" s="734" t="s">
        <v>2638</v>
      </c>
      <c r="F1340" s="736" t="s">
        <v>2665</v>
      </c>
      <c r="G1340" s="734" t="s">
        <v>1530</v>
      </c>
      <c r="H1340" s="1405"/>
      <c r="I1340" s="737">
        <v>45685.0</v>
      </c>
      <c r="J1340" s="738"/>
      <c r="K1340" s="738"/>
      <c r="L1340" s="734" t="s">
        <v>2656</v>
      </c>
      <c r="M1340" s="734" t="s">
        <v>2643</v>
      </c>
      <c r="N1340" s="738"/>
      <c r="O1340" s="734" t="s">
        <v>2644</v>
      </c>
      <c r="P1340" s="48" t="str">
        <f t="array" ref="P1340">HYPERLINK(INDEX('File Links'!B:B, MATCH(O1340, 'File Links'!C:C, 0)))
</f>
        <v>https://drive.google.com/file/d/1qyGORRGdQy-kyOSM_2vtKP7-BEAhuKWX/view?usp=drivesdk</v>
      </c>
      <c r="Q1340" s="734" t="s">
        <v>8391</v>
      </c>
      <c r="R1340" s="734" t="s">
        <v>2646</v>
      </c>
      <c r="S1340" s="738"/>
      <c r="T1340" s="738"/>
      <c r="U1340" s="734" t="s">
        <v>8392</v>
      </c>
      <c r="V1340" s="734" t="s">
        <v>202</v>
      </c>
      <c r="W1340" s="45" t="str">
        <f t="array" ref="W1340">HYPERLINK(INDEX('File Links'!B:B, MATCH(U1340, 'File Links'!C:C, 0)))
</f>
        <v>#N/A</v>
      </c>
      <c r="X1340" s="738"/>
      <c r="Y1340" s="734" t="s">
        <v>220</v>
      </c>
      <c r="Z1340" s="734" t="s">
        <v>8393</v>
      </c>
      <c r="AA1340" s="734" t="s">
        <v>2648</v>
      </c>
      <c r="AB1340" s="734" t="s">
        <v>8394</v>
      </c>
      <c r="AC1340" s="734" t="s">
        <v>8401</v>
      </c>
      <c r="AD1340" s="739">
        <v>4.0</v>
      </c>
      <c r="AE1340" s="739">
        <v>1068.0</v>
      </c>
      <c r="AF1340" s="734" t="s">
        <v>8402</v>
      </c>
      <c r="AG1340" s="734" t="s">
        <v>162</v>
      </c>
      <c r="AH1340" s="734" t="s">
        <v>494</v>
      </c>
      <c r="AI1340" s="838">
        <v>0.01</v>
      </c>
      <c r="AJ1340" s="736" t="s">
        <v>127</v>
      </c>
      <c r="AK1340" s="736" t="s">
        <v>179</v>
      </c>
      <c r="AL1340" s="738" t="s">
        <v>132</v>
      </c>
      <c r="AM1340" s="741"/>
      <c r="AN1340" s="739">
        <v>533.0</v>
      </c>
      <c r="AO1340" s="738" t="s">
        <v>8403</v>
      </c>
      <c r="AP1340" s="734" t="s">
        <v>162</v>
      </c>
      <c r="AQ1340" s="734" t="s">
        <v>494</v>
      </c>
      <c r="AR1340" s="739">
        <v>0.001</v>
      </c>
      <c r="AS1340" s="734" t="s">
        <v>127</v>
      </c>
      <c r="AT1340" s="734" t="s">
        <v>179</v>
      </c>
      <c r="AU1340" s="738" t="s">
        <v>132</v>
      </c>
      <c r="AV1340" s="738"/>
      <c r="AW1340" s="738" t="s">
        <v>134</v>
      </c>
    </row>
    <row r="1341">
      <c r="A1341" s="41" t="s">
        <v>279</v>
      </c>
      <c r="B1341" s="41" t="s">
        <v>107</v>
      </c>
      <c r="C1341" s="41" t="s">
        <v>1471</v>
      </c>
      <c r="E1341" s="734" t="s">
        <v>2638</v>
      </c>
      <c r="F1341" s="736" t="s">
        <v>2668</v>
      </c>
      <c r="G1341" s="734" t="s">
        <v>1530</v>
      </c>
      <c r="H1341" s="1405"/>
      <c r="I1341" s="737">
        <v>45685.0</v>
      </c>
      <c r="J1341" s="734" t="s">
        <v>8404</v>
      </c>
      <c r="K1341" s="738"/>
      <c r="L1341" s="734" t="s">
        <v>2656</v>
      </c>
      <c r="M1341" s="734" t="s">
        <v>2643</v>
      </c>
      <c r="N1341" s="738"/>
      <c r="O1341" s="734" t="s">
        <v>2644</v>
      </c>
      <c r="P1341" s="48" t="str">
        <f t="array" ref="P1341">HYPERLINK(INDEX('File Links'!B:B, MATCH(O1341, 'File Links'!C:C, 0)))
</f>
        <v>https://drive.google.com/file/d/1qyGORRGdQy-kyOSM_2vtKP7-BEAhuKWX/view?usp=drivesdk</v>
      </c>
      <c r="Q1341" s="734" t="s">
        <v>8391</v>
      </c>
      <c r="R1341" s="734" t="s">
        <v>2646</v>
      </c>
      <c r="S1341" s="738"/>
      <c r="T1341" s="738"/>
      <c r="U1341" s="734" t="s">
        <v>8392</v>
      </c>
      <c r="V1341" s="734" t="s">
        <v>202</v>
      </c>
      <c r="W1341" s="45" t="str">
        <f t="array" ref="W1341">HYPERLINK(INDEX('File Links'!B:B, MATCH(U1341, 'File Links'!C:C, 0)))
</f>
        <v>#N/A</v>
      </c>
      <c r="X1341" s="738"/>
      <c r="Y1341" s="734" t="s">
        <v>220</v>
      </c>
      <c r="Z1341" s="734" t="s">
        <v>8393</v>
      </c>
      <c r="AA1341" s="734" t="s">
        <v>2648</v>
      </c>
      <c r="AB1341" s="734" t="s">
        <v>8394</v>
      </c>
      <c r="AC1341" s="738"/>
      <c r="AD1341" s="738"/>
      <c r="AE1341" s="738"/>
      <c r="AF1341" s="738"/>
      <c r="AG1341" s="738"/>
      <c r="AH1341" s="738"/>
      <c r="AI1341" s="740"/>
      <c r="AJ1341" s="741"/>
      <c r="AK1341" s="741"/>
      <c r="AL1341" s="738"/>
      <c r="AM1341" s="741"/>
      <c r="AN1341" s="739">
        <v>533.0</v>
      </c>
      <c r="AO1341" s="738" t="s">
        <v>8405</v>
      </c>
      <c r="AP1341" s="734" t="s">
        <v>162</v>
      </c>
      <c r="AQ1341" s="734" t="s">
        <v>894</v>
      </c>
      <c r="AR1341" s="739">
        <v>0.001</v>
      </c>
      <c r="AS1341" s="734" t="s">
        <v>127</v>
      </c>
      <c r="AT1341" s="734" t="s">
        <v>179</v>
      </c>
      <c r="AU1341" s="738" t="s">
        <v>132</v>
      </c>
      <c r="AV1341" s="738"/>
      <c r="AW1341" s="738" t="s">
        <v>142</v>
      </c>
    </row>
    <row r="1342">
      <c r="A1342" s="41" t="s">
        <v>279</v>
      </c>
      <c r="B1342" s="41" t="s">
        <v>107</v>
      </c>
      <c r="C1342" s="41" t="s">
        <v>1471</v>
      </c>
      <c r="E1342" s="734" t="s">
        <v>2638</v>
      </c>
      <c r="F1342" s="736" t="s">
        <v>8406</v>
      </c>
      <c r="G1342" s="734" t="s">
        <v>1530</v>
      </c>
      <c r="H1342" s="1405"/>
      <c r="I1342" s="737">
        <v>45685.0</v>
      </c>
      <c r="J1342" s="734" t="s">
        <v>8407</v>
      </c>
      <c r="K1342" s="738"/>
      <c r="L1342" s="734" t="s">
        <v>2656</v>
      </c>
      <c r="M1342" s="734" t="s">
        <v>2643</v>
      </c>
      <c r="N1342" s="738"/>
      <c r="O1342" s="734" t="s">
        <v>2644</v>
      </c>
      <c r="P1342" s="48" t="str">
        <f t="array" ref="P1342">HYPERLINK(INDEX('File Links'!B:B, MATCH(O1342, 'File Links'!C:C, 0)))
</f>
        <v>https://drive.google.com/file/d/1qyGORRGdQy-kyOSM_2vtKP7-BEAhuKWX/view?usp=drivesdk</v>
      </c>
      <c r="Q1342" s="734" t="s">
        <v>8391</v>
      </c>
      <c r="R1342" s="734" t="s">
        <v>2646</v>
      </c>
      <c r="S1342" s="738"/>
      <c r="T1342" s="738"/>
      <c r="U1342" s="734" t="s">
        <v>8392</v>
      </c>
      <c r="V1342" s="734" t="s">
        <v>202</v>
      </c>
      <c r="W1342" s="45" t="str">
        <f t="array" ref="W1342">HYPERLINK(INDEX('File Links'!B:B, MATCH(U1342, 'File Links'!C:C, 0)))
</f>
        <v>#N/A</v>
      </c>
      <c r="X1342" s="738"/>
      <c r="Y1342" s="734" t="s">
        <v>220</v>
      </c>
      <c r="Z1342" s="734" t="s">
        <v>8393</v>
      </c>
      <c r="AA1342" s="734" t="s">
        <v>2648</v>
      </c>
      <c r="AB1342" s="734" t="s">
        <v>8394</v>
      </c>
      <c r="AC1342" s="738"/>
      <c r="AD1342" s="738"/>
      <c r="AE1342" s="738"/>
      <c r="AF1342" s="738"/>
      <c r="AG1342" s="738"/>
      <c r="AH1342" s="738"/>
      <c r="AI1342" s="740"/>
      <c r="AJ1342" s="741"/>
      <c r="AK1342" s="741"/>
      <c r="AL1342" s="738"/>
      <c r="AM1342" s="741"/>
      <c r="AN1342" s="739">
        <v>533.0</v>
      </c>
      <c r="AO1342" s="738" t="s">
        <v>8408</v>
      </c>
      <c r="AP1342" s="734" t="s">
        <v>162</v>
      </c>
      <c r="AQ1342" s="734" t="s">
        <v>894</v>
      </c>
      <c r="AR1342" s="739">
        <v>0.01</v>
      </c>
      <c r="AS1342" s="734" t="s">
        <v>127</v>
      </c>
      <c r="AT1342" s="734" t="s">
        <v>179</v>
      </c>
      <c r="AU1342" s="738" t="s">
        <v>132</v>
      </c>
      <c r="AV1342" s="738"/>
      <c r="AW1342" s="738" t="s">
        <v>142</v>
      </c>
    </row>
    <row r="1343">
      <c r="A1343" s="41" t="s">
        <v>279</v>
      </c>
      <c r="B1343" s="41" t="s">
        <v>107</v>
      </c>
      <c r="C1343" s="41" t="s">
        <v>1471</v>
      </c>
      <c r="E1343" s="734" t="s">
        <v>2638</v>
      </c>
      <c r="F1343" s="736" t="s">
        <v>8409</v>
      </c>
      <c r="G1343" s="734" t="s">
        <v>1530</v>
      </c>
      <c r="H1343" s="1405"/>
      <c r="I1343" s="737">
        <v>45685.0</v>
      </c>
      <c r="J1343" s="734" t="s">
        <v>8410</v>
      </c>
      <c r="K1343" s="738"/>
      <c r="L1343" s="734" t="s">
        <v>2656</v>
      </c>
      <c r="M1343" s="734" t="s">
        <v>2643</v>
      </c>
      <c r="N1343" s="738"/>
      <c r="O1343" s="734" t="s">
        <v>2644</v>
      </c>
      <c r="P1343" s="48" t="str">
        <f t="array" ref="P1343">HYPERLINK(INDEX('File Links'!B:B, MATCH(O1343, 'File Links'!C:C, 0)))
</f>
        <v>https://drive.google.com/file/d/1qyGORRGdQy-kyOSM_2vtKP7-BEAhuKWX/view?usp=drivesdk</v>
      </c>
      <c r="Q1343" s="734" t="s">
        <v>8391</v>
      </c>
      <c r="R1343" s="734" t="s">
        <v>2646</v>
      </c>
      <c r="S1343" s="738"/>
      <c r="T1343" s="738"/>
      <c r="U1343" s="734" t="s">
        <v>8392</v>
      </c>
      <c r="V1343" s="734" t="s">
        <v>202</v>
      </c>
      <c r="W1343" s="45" t="str">
        <f t="array" ref="W1343">HYPERLINK(INDEX('File Links'!B:B, MATCH(U1343, 'File Links'!C:C, 0)))
</f>
        <v>#N/A</v>
      </c>
      <c r="X1343" s="738"/>
      <c r="Y1343" s="734" t="s">
        <v>220</v>
      </c>
      <c r="Z1343" s="734" t="s">
        <v>8393</v>
      </c>
      <c r="AA1343" s="734" t="s">
        <v>2648</v>
      </c>
      <c r="AB1343" s="734" t="s">
        <v>8394</v>
      </c>
      <c r="AC1343" s="738"/>
      <c r="AD1343" s="738"/>
      <c r="AE1343" s="738"/>
      <c r="AF1343" s="738"/>
      <c r="AG1343" s="738"/>
      <c r="AH1343" s="738"/>
      <c r="AI1343" s="740"/>
      <c r="AJ1343" s="741"/>
      <c r="AK1343" s="741"/>
      <c r="AL1343" s="738"/>
      <c r="AM1343" s="741"/>
      <c r="AN1343" s="739">
        <v>533.0</v>
      </c>
      <c r="AO1343" s="738" t="s">
        <v>8411</v>
      </c>
      <c r="AP1343" s="734" t="s">
        <v>162</v>
      </c>
      <c r="AQ1343" s="734" t="s">
        <v>894</v>
      </c>
      <c r="AR1343" s="739">
        <v>0.001</v>
      </c>
      <c r="AS1343" s="734" t="s">
        <v>127</v>
      </c>
      <c r="AT1343" s="734" t="s">
        <v>179</v>
      </c>
      <c r="AU1343" s="738" t="s">
        <v>132</v>
      </c>
      <c r="AV1343" s="738"/>
      <c r="AW1343" s="738" t="s">
        <v>142</v>
      </c>
    </row>
    <row r="1344">
      <c r="A1344" s="41" t="s">
        <v>279</v>
      </c>
      <c r="B1344" s="41" t="s">
        <v>107</v>
      </c>
      <c r="C1344" s="41" t="s">
        <v>1471</v>
      </c>
      <c r="E1344" s="669" t="s">
        <v>2671</v>
      </c>
      <c r="F1344" s="175" t="s">
        <v>2672</v>
      </c>
      <c r="G1344" s="669" t="s">
        <v>1530</v>
      </c>
      <c r="H1344" s="670">
        <v>45472.0</v>
      </c>
      <c r="I1344" s="670">
        <v>45685.0</v>
      </c>
      <c r="J1344" s="669" t="s">
        <v>8389</v>
      </c>
      <c r="K1344" s="169"/>
      <c r="L1344" s="669" t="s">
        <v>2656</v>
      </c>
      <c r="M1344" s="669" t="s">
        <v>2643</v>
      </c>
      <c r="N1344" s="169"/>
      <c r="O1344" s="669" t="s">
        <v>2644</v>
      </c>
      <c r="P1344" s="48" t="str">
        <f t="array" ref="P1344">HYPERLINK(INDEX('File Links'!B:B, MATCH(O1344, 'File Links'!C:C, 0)))
</f>
        <v>https://drive.google.com/file/d/1qyGORRGdQy-kyOSM_2vtKP7-BEAhuKWX/view?usp=drivesdk</v>
      </c>
      <c r="Q1344" s="669" t="s">
        <v>8412</v>
      </c>
      <c r="R1344" s="669" t="s">
        <v>2674</v>
      </c>
      <c r="S1344" s="169"/>
      <c r="T1344" s="669" t="s">
        <v>2674</v>
      </c>
      <c r="U1344" s="669" t="s">
        <v>8413</v>
      </c>
      <c r="V1344" s="169" t="s">
        <v>8414</v>
      </c>
      <c r="W1344" s="45" t="str">
        <f t="array" ref="W1344">HYPERLINK(INDEX('File Links'!B:B, MATCH(U1344, 'File Links'!C:C, 0)))
</f>
        <v>#N/A</v>
      </c>
      <c r="X1344" s="169"/>
      <c r="Y1344" s="669" t="s">
        <v>220</v>
      </c>
      <c r="Z1344" s="669" t="s">
        <v>8393</v>
      </c>
      <c r="AA1344" s="669" t="s">
        <v>2648</v>
      </c>
      <c r="AB1344" s="669" t="s">
        <v>8394</v>
      </c>
      <c r="AC1344" s="669" t="s">
        <v>8398</v>
      </c>
      <c r="AD1344" s="172">
        <v>4.0</v>
      </c>
      <c r="AE1344" s="172">
        <v>1068.0</v>
      </c>
      <c r="AF1344" s="669" t="s">
        <v>8399</v>
      </c>
      <c r="AG1344" s="669" t="s">
        <v>162</v>
      </c>
      <c r="AH1344" s="669" t="s">
        <v>494</v>
      </c>
      <c r="AI1344" s="1087">
        <v>0.01</v>
      </c>
      <c r="AJ1344" s="175" t="s">
        <v>127</v>
      </c>
      <c r="AK1344" s="175" t="s">
        <v>179</v>
      </c>
      <c r="AL1344" s="169" t="s">
        <v>132</v>
      </c>
      <c r="AM1344" s="674"/>
      <c r="AN1344" s="172">
        <v>600.0</v>
      </c>
      <c r="AO1344" s="669" t="s">
        <v>8415</v>
      </c>
      <c r="AP1344" s="669" t="s">
        <v>162</v>
      </c>
      <c r="AQ1344" s="669" t="s">
        <v>494</v>
      </c>
      <c r="AR1344" s="172">
        <v>0.001</v>
      </c>
      <c r="AS1344" s="669" t="s">
        <v>127</v>
      </c>
      <c r="AT1344" s="669" t="s">
        <v>179</v>
      </c>
      <c r="AU1344" s="169" t="s">
        <v>132</v>
      </c>
      <c r="AV1344" s="169"/>
      <c r="AW1344" s="169" t="s">
        <v>134</v>
      </c>
    </row>
    <row r="1345">
      <c r="A1345" s="41" t="s">
        <v>279</v>
      </c>
      <c r="B1345" s="41" t="s">
        <v>107</v>
      </c>
      <c r="C1345" s="41" t="s">
        <v>1471</v>
      </c>
      <c r="E1345" s="669" t="s">
        <v>2671</v>
      </c>
      <c r="F1345" s="175" t="s">
        <v>8416</v>
      </c>
      <c r="G1345" s="669" t="s">
        <v>1530</v>
      </c>
      <c r="H1345" s="1406"/>
      <c r="I1345" s="670">
        <v>45685.0</v>
      </c>
      <c r="J1345" s="669" t="s">
        <v>8417</v>
      </c>
      <c r="K1345" s="169"/>
      <c r="L1345" s="669" t="s">
        <v>2656</v>
      </c>
      <c r="M1345" s="669" t="s">
        <v>2643</v>
      </c>
      <c r="N1345" s="169"/>
      <c r="O1345" s="669" t="s">
        <v>2644</v>
      </c>
      <c r="P1345" s="48" t="str">
        <f t="array" ref="P1345">HYPERLINK(INDEX('File Links'!B:B, MATCH(O1345, 'File Links'!C:C, 0)))
</f>
        <v>https://drive.google.com/file/d/1qyGORRGdQy-kyOSM_2vtKP7-BEAhuKWX/view?usp=drivesdk</v>
      </c>
      <c r="Q1345" s="669" t="s">
        <v>8412</v>
      </c>
      <c r="R1345" s="669" t="s">
        <v>2674</v>
      </c>
      <c r="S1345" s="169"/>
      <c r="T1345" s="669" t="s">
        <v>2674</v>
      </c>
      <c r="U1345" s="669" t="s">
        <v>8413</v>
      </c>
      <c r="V1345" s="169" t="s">
        <v>8414</v>
      </c>
      <c r="W1345" s="45" t="str">
        <f t="array" ref="W1345">HYPERLINK(INDEX('File Links'!B:B, MATCH(U1345, 'File Links'!C:C, 0)))
</f>
        <v>#N/A</v>
      </c>
      <c r="X1345" s="169"/>
      <c r="Y1345" s="669" t="s">
        <v>220</v>
      </c>
      <c r="Z1345" s="669" t="s">
        <v>8393</v>
      </c>
      <c r="AA1345" s="669" t="s">
        <v>2648</v>
      </c>
      <c r="AB1345" s="669" t="s">
        <v>8394</v>
      </c>
      <c r="AC1345" s="169"/>
      <c r="AD1345" s="169"/>
      <c r="AE1345" s="169"/>
      <c r="AF1345" s="169"/>
      <c r="AG1345" s="169"/>
      <c r="AH1345" s="169"/>
      <c r="AI1345" s="677"/>
      <c r="AJ1345" s="674"/>
      <c r="AK1345" s="674"/>
      <c r="AL1345" s="169"/>
      <c r="AM1345" s="674"/>
      <c r="AN1345" s="172">
        <v>600.0</v>
      </c>
      <c r="AO1345" s="669" t="s">
        <v>8418</v>
      </c>
      <c r="AP1345" s="669" t="s">
        <v>162</v>
      </c>
      <c r="AQ1345" s="669" t="s">
        <v>494</v>
      </c>
      <c r="AR1345" s="172">
        <v>0.001</v>
      </c>
      <c r="AS1345" s="669" t="s">
        <v>127</v>
      </c>
      <c r="AT1345" s="669" t="s">
        <v>179</v>
      </c>
      <c r="AU1345" s="169" t="s">
        <v>132</v>
      </c>
      <c r="AV1345" s="169"/>
      <c r="AW1345" s="169" t="s">
        <v>142</v>
      </c>
    </row>
    <row r="1346">
      <c r="A1346" s="41" t="s">
        <v>279</v>
      </c>
      <c r="B1346" s="41" t="s">
        <v>107</v>
      </c>
      <c r="C1346" s="41" t="s">
        <v>1471</v>
      </c>
      <c r="E1346" s="669" t="s">
        <v>2671</v>
      </c>
      <c r="F1346" s="175" t="s">
        <v>8419</v>
      </c>
      <c r="G1346" s="669" t="s">
        <v>1530</v>
      </c>
      <c r="H1346" s="1406"/>
      <c r="I1346" s="670">
        <v>45685.0</v>
      </c>
      <c r="J1346" s="669" t="s">
        <v>8420</v>
      </c>
      <c r="K1346" s="169"/>
      <c r="L1346" s="669" t="s">
        <v>2656</v>
      </c>
      <c r="M1346" s="669" t="s">
        <v>2643</v>
      </c>
      <c r="N1346" s="169"/>
      <c r="O1346" s="669" t="s">
        <v>2644</v>
      </c>
      <c r="P1346" s="48" t="str">
        <f t="array" ref="P1346">HYPERLINK(INDEX('File Links'!B:B, MATCH(O1346, 'File Links'!C:C, 0)))
</f>
        <v>https://drive.google.com/file/d/1qyGORRGdQy-kyOSM_2vtKP7-BEAhuKWX/view?usp=drivesdk</v>
      </c>
      <c r="Q1346" s="669" t="s">
        <v>8412</v>
      </c>
      <c r="R1346" s="669" t="s">
        <v>2674</v>
      </c>
      <c r="S1346" s="169"/>
      <c r="T1346" s="669" t="s">
        <v>2674</v>
      </c>
      <c r="U1346" s="669" t="s">
        <v>8413</v>
      </c>
      <c r="V1346" s="169" t="s">
        <v>8414</v>
      </c>
      <c r="W1346" s="45" t="str">
        <f t="array" ref="W1346">HYPERLINK(INDEX('File Links'!B:B, MATCH(U1346, 'File Links'!C:C, 0)))
</f>
        <v>#N/A</v>
      </c>
      <c r="X1346" s="169"/>
      <c r="Y1346" s="669" t="s">
        <v>220</v>
      </c>
      <c r="Z1346" s="669" t="s">
        <v>8393</v>
      </c>
      <c r="AA1346" s="669" t="s">
        <v>2648</v>
      </c>
      <c r="AB1346" s="669" t="s">
        <v>8394</v>
      </c>
      <c r="AC1346" s="169"/>
      <c r="AD1346" s="169"/>
      <c r="AE1346" s="169"/>
      <c r="AF1346" s="169"/>
      <c r="AG1346" s="169"/>
      <c r="AH1346" s="169"/>
      <c r="AI1346" s="677"/>
      <c r="AJ1346" s="674"/>
      <c r="AK1346" s="674"/>
      <c r="AL1346" s="169"/>
      <c r="AM1346" s="674"/>
      <c r="AN1346" s="172">
        <v>600.0</v>
      </c>
      <c r="AO1346" s="669" t="s">
        <v>8421</v>
      </c>
      <c r="AP1346" s="669" t="s">
        <v>162</v>
      </c>
      <c r="AQ1346" s="669" t="s">
        <v>494</v>
      </c>
      <c r="AR1346" s="172">
        <v>0.001</v>
      </c>
      <c r="AS1346" s="669" t="s">
        <v>127</v>
      </c>
      <c r="AT1346" s="669" t="s">
        <v>179</v>
      </c>
      <c r="AU1346" s="169" t="s">
        <v>132</v>
      </c>
      <c r="AV1346" s="169"/>
      <c r="AW1346" s="169" t="s">
        <v>142</v>
      </c>
    </row>
    <row r="1347">
      <c r="A1347" s="41" t="s">
        <v>279</v>
      </c>
      <c r="B1347" s="41" t="s">
        <v>107</v>
      </c>
      <c r="C1347" s="41" t="s">
        <v>1471</v>
      </c>
      <c r="E1347" s="669" t="s">
        <v>2671</v>
      </c>
      <c r="F1347" s="175" t="s">
        <v>8422</v>
      </c>
      <c r="G1347" s="669" t="s">
        <v>1530</v>
      </c>
      <c r="H1347" s="1406"/>
      <c r="I1347" s="670">
        <v>45685.0</v>
      </c>
      <c r="J1347" s="669" t="s">
        <v>8423</v>
      </c>
      <c r="K1347" s="169"/>
      <c r="L1347" s="669" t="s">
        <v>2656</v>
      </c>
      <c r="M1347" s="669" t="s">
        <v>2643</v>
      </c>
      <c r="N1347" s="169"/>
      <c r="O1347" s="669" t="s">
        <v>2644</v>
      </c>
      <c r="P1347" s="48" t="str">
        <f t="array" ref="P1347">HYPERLINK(INDEX('File Links'!B:B, MATCH(O1347, 'File Links'!C:C, 0)))
</f>
        <v>https://drive.google.com/file/d/1qyGORRGdQy-kyOSM_2vtKP7-BEAhuKWX/view?usp=drivesdk</v>
      </c>
      <c r="Q1347" s="669" t="s">
        <v>8412</v>
      </c>
      <c r="R1347" s="669" t="s">
        <v>2674</v>
      </c>
      <c r="S1347" s="169"/>
      <c r="T1347" s="669" t="s">
        <v>2674</v>
      </c>
      <c r="U1347" s="669" t="s">
        <v>8413</v>
      </c>
      <c r="V1347" s="169" t="s">
        <v>8414</v>
      </c>
      <c r="W1347" s="45" t="str">
        <f t="array" ref="W1347">HYPERLINK(INDEX('File Links'!B:B, MATCH(U1347, 'File Links'!C:C, 0)))
</f>
        <v>#N/A</v>
      </c>
      <c r="X1347" s="169"/>
      <c r="Y1347" s="669" t="s">
        <v>220</v>
      </c>
      <c r="Z1347" s="669" t="s">
        <v>8393</v>
      </c>
      <c r="AA1347" s="669" t="s">
        <v>2648</v>
      </c>
      <c r="AB1347" s="669" t="s">
        <v>8394</v>
      </c>
      <c r="AC1347" s="169"/>
      <c r="AD1347" s="169"/>
      <c r="AE1347" s="169"/>
      <c r="AF1347" s="169"/>
      <c r="AG1347" s="169"/>
      <c r="AH1347" s="169"/>
      <c r="AI1347" s="677"/>
      <c r="AJ1347" s="674"/>
      <c r="AK1347" s="674"/>
      <c r="AL1347" s="169"/>
      <c r="AM1347" s="674"/>
      <c r="AN1347" s="172">
        <v>600.0</v>
      </c>
      <c r="AO1347" s="669" t="s">
        <v>8424</v>
      </c>
      <c r="AP1347" s="669" t="s">
        <v>162</v>
      </c>
      <c r="AQ1347" s="669" t="s">
        <v>494</v>
      </c>
      <c r="AR1347" s="172">
        <v>0.001</v>
      </c>
      <c r="AS1347" s="669" t="s">
        <v>127</v>
      </c>
      <c r="AT1347" s="669" t="s">
        <v>179</v>
      </c>
      <c r="AU1347" s="169" t="s">
        <v>132</v>
      </c>
      <c r="AV1347" s="169"/>
      <c r="AW1347" s="169" t="s">
        <v>142</v>
      </c>
    </row>
    <row r="1348">
      <c r="A1348" s="41" t="s">
        <v>279</v>
      </c>
      <c r="B1348" s="41" t="s">
        <v>107</v>
      </c>
      <c r="C1348" s="41" t="s">
        <v>1471</v>
      </c>
      <c r="E1348" s="111" t="s">
        <v>8425</v>
      </c>
      <c r="F1348" s="112" t="s">
        <v>8426</v>
      </c>
      <c r="G1348" s="127" t="s">
        <v>1530</v>
      </c>
      <c r="H1348" s="1407" t="s">
        <v>112</v>
      </c>
      <c r="I1348" s="310">
        <v>45683.0</v>
      </c>
      <c r="J1348" s="127" t="s">
        <v>8427</v>
      </c>
      <c r="K1348" s="127" t="s">
        <v>3765</v>
      </c>
      <c r="L1348" s="127" t="s">
        <v>8428</v>
      </c>
      <c r="M1348" s="127" t="s">
        <v>8429</v>
      </c>
      <c r="N1348" s="720">
        <v>5.0</v>
      </c>
      <c r="O1348" s="127" t="s">
        <v>8430</v>
      </c>
      <c r="P1348" s="48" t="str">
        <f t="array" ref="P1348">HYPERLINK(INDEX('File Links'!B:B, MATCH(O1348, 'File Links'!C:C, 0)))
</f>
        <v>https://drive.google.com/file/d/1r4PVlL83grqiq4UZ0to7L57VLrbdB9hi/view?usp=drivesdk</v>
      </c>
      <c r="Q1348" s="127" t="s">
        <v>8431</v>
      </c>
      <c r="R1348" s="127" t="s">
        <v>8432</v>
      </c>
      <c r="S1348" s="111"/>
      <c r="T1348" s="111"/>
      <c r="U1348" s="127" t="s">
        <v>8433</v>
      </c>
      <c r="V1348" s="127" t="s">
        <v>8434</v>
      </c>
      <c r="W1348" s="45" t="str">
        <f t="array" ref="W1348">HYPERLINK(INDEX('File Links'!B:B, MATCH(U1348, 'File Links'!C:C, 0)))
</f>
        <v>#N/A</v>
      </c>
      <c r="X1348" s="111"/>
      <c r="Y1348" s="127" t="s">
        <v>220</v>
      </c>
      <c r="Z1348" s="127" t="s">
        <v>8435</v>
      </c>
      <c r="AA1348" s="127" t="s">
        <v>8436</v>
      </c>
      <c r="AB1348" s="127" t="s">
        <v>8437</v>
      </c>
      <c r="AC1348" s="127" t="s">
        <v>8438</v>
      </c>
      <c r="AD1348" s="720">
        <v>2.0</v>
      </c>
      <c r="AE1348" s="720">
        <v>80.0</v>
      </c>
      <c r="AF1348" s="720">
        <v>0.05</v>
      </c>
      <c r="AG1348" s="127" t="s">
        <v>8439</v>
      </c>
      <c r="AH1348" s="127" t="s">
        <v>8440</v>
      </c>
      <c r="AI1348" s="120">
        <v>0.01</v>
      </c>
      <c r="AJ1348" s="112" t="s">
        <v>164</v>
      </c>
      <c r="AK1348" s="112" t="s">
        <v>179</v>
      </c>
      <c r="AL1348" s="111" t="s">
        <v>129</v>
      </c>
      <c r="AM1348" s="119"/>
      <c r="AN1348" s="720">
        <v>300.0</v>
      </c>
      <c r="AO1348" s="720">
        <v>0.07</v>
      </c>
      <c r="AP1348" s="127" t="s">
        <v>166</v>
      </c>
      <c r="AQ1348" s="127" t="s">
        <v>894</v>
      </c>
      <c r="AR1348" s="720">
        <v>0.775</v>
      </c>
      <c r="AS1348" s="127" t="s">
        <v>164</v>
      </c>
      <c r="AT1348" s="127" t="s">
        <v>179</v>
      </c>
      <c r="AU1348" s="111" t="s">
        <v>129</v>
      </c>
      <c r="AV1348" s="111"/>
      <c r="AW1348" s="111" t="s">
        <v>134</v>
      </c>
    </row>
    <row r="1349">
      <c r="A1349" s="41" t="s">
        <v>279</v>
      </c>
      <c r="B1349" s="41" t="s">
        <v>107</v>
      </c>
      <c r="C1349" s="41" t="s">
        <v>1471</v>
      </c>
      <c r="E1349" s="111" t="s">
        <v>8425</v>
      </c>
      <c r="F1349" s="112" t="s">
        <v>8441</v>
      </c>
      <c r="G1349" s="127" t="s">
        <v>1530</v>
      </c>
      <c r="H1349" s="1408"/>
      <c r="I1349" s="310">
        <v>45683.0</v>
      </c>
      <c r="J1349" s="127" t="s">
        <v>8442</v>
      </c>
      <c r="K1349" s="127" t="s">
        <v>3765</v>
      </c>
      <c r="L1349" s="127" t="s">
        <v>8428</v>
      </c>
      <c r="M1349" s="127" t="s">
        <v>8429</v>
      </c>
      <c r="N1349" s="720">
        <v>5.0</v>
      </c>
      <c r="O1349" s="127" t="s">
        <v>8430</v>
      </c>
      <c r="P1349" s="48" t="str">
        <f t="array" ref="P1349">HYPERLINK(INDEX('File Links'!B:B, MATCH(O1349, 'File Links'!C:C, 0)))
</f>
        <v>https://drive.google.com/file/d/1r4PVlL83grqiq4UZ0to7L57VLrbdB9hi/view?usp=drivesdk</v>
      </c>
      <c r="Q1349" s="127" t="s">
        <v>8431</v>
      </c>
      <c r="R1349" s="127" t="s">
        <v>8432</v>
      </c>
      <c r="S1349" s="111"/>
      <c r="T1349" s="111"/>
      <c r="U1349" s="127" t="s">
        <v>8433</v>
      </c>
      <c r="V1349" s="127" t="s">
        <v>8434</v>
      </c>
      <c r="W1349" s="45" t="str">
        <f t="array" ref="W1349">HYPERLINK(INDEX('File Links'!B:B, MATCH(U1349, 'File Links'!C:C, 0)))
</f>
        <v>#N/A</v>
      </c>
      <c r="X1349" s="111"/>
      <c r="Y1349" s="127" t="s">
        <v>220</v>
      </c>
      <c r="Z1349" s="127" t="s">
        <v>8435</v>
      </c>
      <c r="AA1349" s="127" t="s">
        <v>8436</v>
      </c>
      <c r="AB1349" s="127" t="s">
        <v>8437</v>
      </c>
      <c r="AC1349" s="127" t="s">
        <v>8443</v>
      </c>
      <c r="AD1349" s="720">
        <v>2.0</v>
      </c>
      <c r="AE1349" s="720">
        <v>80.0</v>
      </c>
      <c r="AF1349" s="720">
        <v>0.13</v>
      </c>
      <c r="AG1349" s="127" t="s">
        <v>8439</v>
      </c>
      <c r="AH1349" s="127" t="s">
        <v>8440</v>
      </c>
      <c r="AI1349" s="120">
        <v>3.0E-4</v>
      </c>
      <c r="AJ1349" s="112" t="s">
        <v>164</v>
      </c>
      <c r="AK1349" s="112" t="s">
        <v>179</v>
      </c>
      <c r="AL1349" s="111" t="s">
        <v>129</v>
      </c>
      <c r="AM1349" s="119"/>
      <c r="AN1349" s="720">
        <v>300.0</v>
      </c>
      <c r="AO1349" s="720">
        <v>0.19</v>
      </c>
      <c r="AP1349" s="127" t="s">
        <v>1006</v>
      </c>
      <c r="AQ1349" s="127" t="s">
        <v>894</v>
      </c>
      <c r="AR1349" s="720">
        <v>0.001</v>
      </c>
      <c r="AS1349" s="127" t="s">
        <v>127</v>
      </c>
      <c r="AT1349" s="127" t="s">
        <v>179</v>
      </c>
      <c r="AU1349" s="111" t="s">
        <v>129</v>
      </c>
      <c r="AV1349" s="111"/>
      <c r="AW1349" s="111" t="s">
        <v>134</v>
      </c>
    </row>
    <row r="1350">
      <c r="A1350" s="41" t="s">
        <v>279</v>
      </c>
      <c r="B1350" s="41" t="s">
        <v>107</v>
      </c>
      <c r="C1350" s="41" t="s">
        <v>1471</v>
      </c>
      <c r="E1350" s="111" t="s">
        <v>8425</v>
      </c>
      <c r="F1350" s="112" t="s">
        <v>8444</v>
      </c>
      <c r="G1350" s="127" t="s">
        <v>1530</v>
      </c>
      <c r="H1350" s="1408"/>
      <c r="I1350" s="310">
        <v>45683.0</v>
      </c>
      <c r="J1350" s="127" t="s">
        <v>8445</v>
      </c>
      <c r="K1350" s="127" t="s">
        <v>3765</v>
      </c>
      <c r="L1350" s="127" t="s">
        <v>8428</v>
      </c>
      <c r="M1350" s="127" t="s">
        <v>8429</v>
      </c>
      <c r="N1350" s="720">
        <v>5.0</v>
      </c>
      <c r="O1350" s="127" t="s">
        <v>8430</v>
      </c>
      <c r="P1350" s="48" t="str">
        <f t="array" ref="P1350">HYPERLINK(INDEX('File Links'!B:B, MATCH(O1350, 'File Links'!C:C, 0)))
</f>
        <v>https://drive.google.com/file/d/1r4PVlL83grqiq4UZ0to7L57VLrbdB9hi/view?usp=drivesdk</v>
      </c>
      <c r="Q1350" s="127" t="s">
        <v>8431</v>
      </c>
      <c r="R1350" s="127" t="s">
        <v>8432</v>
      </c>
      <c r="S1350" s="111"/>
      <c r="T1350" s="111"/>
      <c r="U1350" s="127" t="s">
        <v>8433</v>
      </c>
      <c r="V1350" s="127" t="s">
        <v>8434</v>
      </c>
      <c r="W1350" s="45" t="str">
        <f t="array" ref="W1350">HYPERLINK(INDEX('File Links'!B:B, MATCH(U1350, 'File Links'!C:C, 0)))
</f>
        <v>#N/A</v>
      </c>
      <c r="X1350" s="111"/>
      <c r="Y1350" s="127" t="s">
        <v>220</v>
      </c>
      <c r="Z1350" s="127" t="s">
        <v>8435</v>
      </c>
      <c r="AA1350" s="127" t="s">
        <v>8436</v>
      </c>
      <c r="AB1350" s="127" t="s">
        <v>8437</v>
      </c>
      <c r="AC1350" s="127" t="s">
        <v>8446</v>
      </c>
      <c r="AD1350" s="720">
        <v>2.0</v>
      </c>
      <c r="AE1350" s="720">
        <v>80.0</v>
      </c>
      <c r="AF1350" s="720">
        <v>0.0</v>
      </c>
      <c r="AG1350" s="127" t="s">
        <v>8439</v>
      </c>
      <c r="AH1350" s="127" t="s">
        <v>8440</v>
      </c>
      <c r="AI1350" s="120">
        <v>0.3</v>
      </c>
      <c r="AJ1350" s="112" t="s">
        <v>164</v>
      </c>
      <c r="AK1350" s="112" t="s">
        <v>179</v>
      </c>
      <c r="AL1350" s="111" t="s">
        <v>132</v>
      </c>
      <c r="AM1350" s="119"/>
      <c r="AN1350" s="720">
        <v>300.0</v>
      </c>
      <c r="AO1350" s="127" t="s">
        <v>8447</v>
      </c>
      <c r="AP1350" s="127" t="s">
        <v>162</v>
      </c>
      <c r="AQ1350" s="127" t="s">
        <v>894</v>
      </c>
      <c r="AR1350" s="720">
        <v>0.625</v>
      </c>
      <c r="AS1350" s="127" t="s">
        <v>164</v>
      </c>
      <c r="AT1350" s="127" t="s">
        <v>179</v>
      </c>
      <c r="AU1350" s="111" t="s">
        <v>132</v>
      </c>
      <c r="AV1350" s="111"/>
      <c r="AW1350" s="111" t="s">
        <v>134</v>
      </c>
    </row>
    <row r="1351">
      <c r="A1351" s="41" t="s">
        <v>279</v>
      </c>
      <c r="B1351" s="41" t="s">
        <v>107</v>
      </c>
      <c r="C1351" s="41" t="s">
        <v>1471</v>
      </c>
      <c r="E1351" s="111" t="s">
        <v>8425</v>
      </c>
      <c r="F1351" s="112" t="s">
        <v>8448</v>
      </c>
      <c r="G1351" s="127" t="s">
        <v>1530</v>
      </c>
      <c r="H1351" s="1408"/>
      <c r="I1351" s="310">
        <v>45683.0</v>
      </c>
      <c r="J1351" s="127" t="s">
        <v>8449</v>
      </c>
      <c r="K1351" s="127" t="s">
        <v>3765</v>
      </c>
      <c r="L1351" s="127" t="s">
        <v>8428</v>
      </c>
      <c r="M1351" s="127" t="s">
        <v>8429</v>
      </c>
      <c r="N1351" s="720">
        <v>5.0</v>
      </c>
      <c r="O1351" s="127" t="s">
        <v>8430</v>
      </c>
      <c r="P1351" s="48" t="str">
        <f t="array" ref="P1351">HYPERLINK(INDEX('File Links'!B:B, MATCH(O1351, 'File Links'!C:C, 0)))
</f>
        <v>https://drive.google.com/file/d/1r4PVlL83grqiq4UZ0to7L57VLrbdB9hi/view?usp=drivesdk</v>
      </c>
      <c r="Q1351" s="127" t="s">
        <v>8431</v>
      </c>
      <c r="R1351" s="127" t="s">
        <v>8432</v>
      </c>
      <c r="S1351" s="111"/>
      <c r="T1351" s="111"/>
      <c r="U1351" s="127" t="s">
        <v>8433</v>
      </c>
      <c r="V1351" s="127" t="s">
        <v>8434</v>
      </c>
      <c r="W1351" s="45" t="str">
        <f t="array" ref="W1351">HYPERLINK(INDEX('File Links'!B:B, MATCH(U1351, 'File Links'!C:C, 0)))
</f>
        <v>#N/A</v>
      </c>
      <c r="X1351" s="111"/>
      <c r="Y1351" s="127" t="s">
        <v>220</v>
      </c>
      <c r="Z1351" s="127" t="s">
        <v>8435</v>
      </c>
      <c r="AA1351" s="127" t="s">
        <v>8436</v>
      </c>
      <c r="AB1351" s="127" t="s">
        <v>8437</v>
      </c>
      <c r="AC1351" s="127" t="s">
        <v>8450</v>
      </c>
      <c r="AD1351" s="1409" t="s">
        <v>4513</v>
      </c>
      <c r="AE1351" s="720">
        <v>69.0</v>
      </c>
      <c r="AF1351" s="720">
        <v>0.04</v>
      </c>
      <c r="AG1351" s="127" t="s">
        <v>8439</v>
      </c>
      <c r="AH1351" s="127" t="s">
        <v>8440</v>
      </c>
      <c r="AI1351" s="120">
        <v>0.04</v>
      </c>
      <c r="AJ1351" s="112" t="s">
        <v>164</v>
      </c>
      <c r="AK1351" s="112" t="s">
        <v>179</v>
      </c>
      <c r="AL1351" s="111" t="s">
        <v>129</v>
      </c>
      <c r="AM1351" s="119"/>
      <c r="AN1351" s="720">
        <v>303.0</v>
      </c>
      <c r="AO1351" s="720">
        <v>0.05</v>
      </c>
      <c r="AP1351" s="127" t="s">
        <v>166</v>
      </c>
      <c r="AQ1351" s="127" t="s">
        <v>1062</v>
      </c>
      <c r="AR1351" s="720">
        <v>0.363</v>
      </c>
      <c r="AS1351" s="127" t="s">
        <v>164</v>
      </c>
      <c r="AT1351" s="127" t="s">
        <v>179</v>
      </c>
      <c r="AU1351" s="111" t="s">
        <v>129</v>
      </c>
      <c r="AV1351" s="111"/>
      <c r="AW1351" s="111" t="s">
        <v>134</v>
      </c>
    </row>
    <row r="1352">
      <c r="A1352" s="41" t="s">
        <v>279</v>
      </c>
      <c r="B1352" s="41" t="s">
        <v>107</v>
      </c>
      <c r="C1352" s="41" t="s">
        <v>1471</v>
      </c>
      <c r="E1352" s="111" t="s">
        <v>8425</v>
      </c>
      <c r="F1352" s="112" t="s">
        <v>8451</v>
      </c>
      <c r="G1352" s="127" t="s">
        <v>1530</v>
      </c>
      <c r="H1352" s="1408"/>
      <c r="I1352" s="310">
        <v>45683.0</v>
      </c>
      <c r="J1352" s="127" t="s">
        <v>8452</v>
      </c>
      <c r="K1352" s="127" t="s">
        <v>3765</v>
      </c>
      <c r="L1352" s="127" t="s">
        <v>8428</v>
      </c>
      <c r="M1352" s="127" t="s">
        <v>8429</v>
      </c>
      <c r="N1352" s="720">
        <v>5.0</v>
      </c>
      <c r="O1352" s="127" t="s">
        <v>8430</v>
      </c>
      <c r="P1352" s="48" t="str">
        <f t="array" ref="P1352">HYPERLINK(INDEX('File Links'!B:B, MATCH(O1352, 'File Links'!C:C, 0)))
</f>
        <v>https://drive.google.com/file/d/1r4PVlL83grqiq4UZ0to7L57VLrbdB9hi/view?usp=drivesdk</v>
      </c>
      <c r="Q1352" s="127" t="s">
        <v>8431</v>
      </c>
      <c r="R1352" s="127" t="s">
        <v>8432</v>
      </c>
      <c r="S1352" s="111"/>
      <c r="T1352" s="111"/>
      <c r="U1352" s="127" t="s">
        <v>8433</v>
      </c>
      <c r="V1352" s="127" t="s">
        <v>8434</v>
      </c>
      <c r="W1352" s="45" t="str">
        <f t="array" ref="W1352">HYPERLINK(INDEX('File Links'!B:B, MATCH(U1352, 'File Links'!C:C, 0)))
</f>
        <v>#N/A</v>
      </c>
      <c r="X1352" s="111"/>
      <c r="Y1352" s="127" t="s">
        <v>220</v>
      </c>
      <c r="Z1352" s="127" t="s">
        <v>8435</v>
      </c>
      <c r="AA1352" s="127" t="s">
        <v>8436</v>
      </c>
      <c r="AB1352" s="127" t="s">
        <v>8437</v>
      </c>
      <c r="AC1352" s="127" t="s">
        <v>8453</v>
      </c>
      <c r="AD1352" s="720">
        <v>3.0</v>
      </c>
      <c r="AE1352" s="720">
        <v>69.0</v>
      </c>
      <c r="AF1352" s="720">
        <v>-0.01</v>
      </c>
      <c r="AG1352" s="127" t="s">
        <v>8439</v>
      </c>
      <c r="AH1352" s="127" t="s">
        <v>8440</v>
      </c>
      <c r="AI1352" s="120">
        <v>0.9</v>
      </c>
      <c r="AJ1352" s="112" t="s">
        <v>164</v>
      </c>
      <c r="AK1352" s="112" t="s">
        <v>179</v>
      </c>
      <c r="AL1352" s="111" t="s">
        <v>129</v>
      </c>
      <c r="AM1352" s="119"/>
      <c r="AN1352" s="720">
        <v>303.0</v>
      </c>
      <c r="AO1352" s="720">
        <v>0.37</v>
      </c>
      <c r="AP1352" s="127" t="s">
        <v>1006</v>
      </c>
      <c r="AQ1352" s="127" t="s">
        <v>1062</v>
      </c>
      <c r="AR1352" s="720">
        <v>0.01</v>
      </c>
      <c r="AS1352" s="127" t="s">
        <v>127</v>
      </c>
      <c r="AT1352" s="127" t="s">
        <v>179</v>
      </c>
      <c r="AU1352" s="111" t="s">
        <v>129</v>
      </c>
      <c r="AV1352" s="111"/>
      <c r="AW1352" s="111" t="s">
        <v>134</v>
      </c>
    </row>
    <row r="1353">
      <c r="A1353" s="41" t="s">
        <v>279</v>
      </c>
      <c r="B1353" s="41" t="s">
        <v>107</v>
      </c>
      <c r="C1353" s="41" t="s">
        <v>1471</v>
      </c>
      <c r="E1353" s="111" t="s">
        <v>8425</v>
      </c>
      <c r="F1353" s="112" t="s">
        <v>8454</v>
      </c>
      <c r="G1353" s="127" t="s">
        <v>1530</v>
      </c>
      <c r="H1353" s="1408"/>
      <c r="I1353" s="310">
        <v>45683.0</v>
      </c>
      <c r="J1353" s="127" t="s">
        <v>8455</v>
      </c>
      <c r="K1353" s="127" t="s">
        <v>3765</v>
      </c>
      <c r="L1353" s="127" t="s">
        <v>8428</v>
      </c>
      <c r="M1353" s="127" t="s">
        <v>8429</v>
      </c>
      <c r="N1353" s="720">
        <v>5.0</v>
      </c>
      <c r="O1353" s="127" t="s">
        <v>8430</v>
      </c>
      <c r="P1353" s="48" t="str">
        <f t="array" ref="P1353">HYPERLINK(INDEX('File Links'!B:B, MATCH(O1353, 'File Links'!C:C, 0)))
</f>
        <v>https://drive.google.com/file/d/1r4PVlL83grqiq4UZ0to7L57VLrbdB9hi/view?usp=drivesdk</v>
      </c>
      <c r="Q1353" s="127" t="s">
        <v>8431</v>
      </c>
      <c r="R1353" s="127" t="s">
        <v>8432</v>
      </c>
      <c r="S1353" s="111"/>
      <c r="T1353" s="111"/>
      <c r="U1353" s="127" t="s">
        <v>8433</v>
      </c>
      <c r="V1353" s="127" t="s">
        <v>8434</v>
      </c>
      <c r="W1353" s="45" t="str">
        <f t="array" ref="W1353">HYPERLINK(INDEX('File Links'!B:B, MATCH(U1353, 'File Links'!C:C, 0)))
</f>
        <v>#N/A</v>
      </c>
      <c r="X1353" s="111"/>
      <c r="Y1353" s="127" t="s">
        <v>220</v>
      </c>
      <c r="Z1353" s="127" t="s">
        <v>8435</v>
      </c>
      <c r="AA1353" s="127" t="s">
        <v>8436</v>
      </c>
      <c r="AB1353" s="127" t="s">
        <v>8437</v>
      </c>
      <c r="AC1353" s="127" t="s">
        <v>8446</v>
      </c>
      <c r="AD1353" s="720">
        <v>2.0</v>
      </c>
      <c r="AE1353" s="720">
        <v>69.0</v>
      </c>
      <c r="AF1353" s="720">
        <v>-0.01</v>
      </c>
      <c r="AG1353" s="127" t="s">
        <v>8439</v>
      </c>
      <c r="AH1353" s="127" t="s">
        <v>8440</v>
      </c>
      <c r="AI1353" s="120">
        <v>0.9</v>
      </c>
      <c r="AJ1353" s="112" t="s">
        <v>164</v>
      </c>
      <c r="AK1353" s="112" t="s">
        <v>179</v>
      </c>
      <c r="AL1353" s="111" t="s">
        <v>132</v>
      </c>
      <c r="AM1353" s="119"/>
      <c r="AN1353" s="720">
        <v>303.0</v>
      </c>
      <c r="AO1353" s="127" t="s">
        <v>8456</v>
      </c>
      <c r="AP1353" s="127" t="s">
        <v>162</v>
      </c>
      <c r="AQ1353" s="127" t="s">
        <v>1062</v>
      </c>
      <c r="AR1353" s="720">
        <v>0.412</v>
      </c>
      <c r="AS1353" s="127" t="s">
        <v>164</v>
      </c>
      <c r="AT1353" s="127" t="s">
        <v>179</v>
      </c>
      <c r="AU1353" s="111" t="s">
        <v>132</v>
      </c>
      <c r="AV1353" s="111"/>
      <c r="AW1353" s="111" t="s">
        <v>134</v>
      </c>
    </row>
    <row r="1354">
      <c r="A1354" s="41" t="s">
        <v>279</v>
      </c>
      <c r="B1354" s="41" t="s">
        <v>107</v>
      </c>
      <c r="C1354" s="41" t="s">
        <v>1471</v>
      </c>
      <c r="E1354" s="111" t="s">
        <v>8425</v>
      </c>
      <c r="F1354" s="112" t="s">
        <v>8457</v>
      </c>
      <c r="G1354" s="127" t="s">
        <v>1530</v>
      </c>
      <c r="H1354" s="1408"/>
      <c r="I1354" s="310">
        <v>45683.0</v>
      </c>
      <c r="J1354" s="127" t="s">
        <v>8458</v>
      </c>
      <c r="K1354" s="127" t="s">
        <v>3765</v>
      </c>
      <c r="L1354" s="127" t="s">
        <v>8428</v>
      </c>
      <c r="M1354" s="127" t="s">
        <v>8429</v>
      </c>
      <c r="N1354" s="720">
        <v>5.0</v>
      </c>
      <c r="O1354" s="127" t="s">
        <v>8430</v>
      </c>
      <c r="P1354" s="48" t="str">
        <f t="array" ref="P1354">HYPERLINK(INDEX('File Links'!B:B, MATCH(O1354, 'File Links'!C:C, 0)))
</f>
        <v>https://drive.google.com/file/d/1r4PVlL83grqiq4UZ0to7L57VLrbdB9hi/view?usp=drivesdk</v>
      </c>
      <c r="Q1354" s="127" t="s">
        <v>8431</v>
      </c>
      <c r="R1354" s="127" t="s">
        <v>8432</v>
      </c>
      <c r="S1354" s="111"/>
      <c r="T1354" s="111"/>
      <c r="U1354" s="127" t="s">
        <v>8433</v>
      </c>
      <c r="V1354" s="127" t="s">
        <v>8434</v>
      </c>
      <c r="W1354" s="45" t="str">
        <f t="array" ref="W1354">HYPERLINK(INDEX('File Links'!B:B, MATCH(U1354, 'File Links'!C:C, 0)))
</f>
        <v>#N/A</v>
      </c>
      <c r="X1354" s="111"/>
      <c r="Y1354" s="127" t="s">
        <v>220</v>
      </c>
      <c r="Z1354" s="127" t="s">
        <v>8435</v>
      </c>
      <c r="AA1354" s="127" t="s">
        <v>8436</v>
      </c>
      <c r="AB1354" s="127" t="s">
        <v>8437</v>
      </c>
      <c r="AC1354" s="127" t="s">
        <v>8459</v>
      </c>
      <c r="AD1354" s="720">
        <v>3.0</v>
      </c>
      <c r="AE1354" s="720">
        <v>72.0</v>
      </c>
      <c r="AF1354" s="720">
        <v>0.04</v>
      </c>
      <c r="AG1354" s="127" t="s">
        <v>8439</v>
      </c>
      <c r="AH1354" s="127" t="s">
        <v>8440</v>
      </c>
      <c r="AI1354" s="120">
        <v>0.04</v>
      </c>
      <c r="AJ1354" s="112" t="s">
        <v>164</v>
      </c>
      <c r="AK1354" s="112" t="s">
        <v>179</v>
      </c>
      <c r="AL1354" s="111" t="s">
        <v>129</v>
      </c>
      <c r="AM1354" s="119"/>
      <c r="AN1354" s="720">
        <v>303.0</v>
      </c>
      <c r="AO1354" s="720">
        <v>0.05</v>
      </c>
      <c r="AP1354" s="127" t="s">
        <v>166</v>
      </c>
      <c r="AQ1354" s="127" t="s">
        <v>1062</v>
      </c>
      <c r="AR1354" s="720">
        <v>0.363</v>
      </c>
      <c r="AS1354" s="127" t="s">
        <v>164</v>
      </c>
      <c r="AT1354" s="127" t="s">
        <v>179</v>
      </c>
      <c r="AU1354" s="111" t="s">
        <v>129</v>
      </c>
      <c r="AV1354" s="111"/>
      <c r="AW1354" s="111" t="s">
        <v>134</v>
      </c>
    </row>
    <row r="1355">
      <c r="A1355" s="41" t="s">
        <v>279</v>
      </c>
      <c r="B1355" s="41" t="s">
        <v>107</v>
      </c>
      <c r="C1355" s="41" t="s">
        <v>1471</v>
      </c>
      <c r="E1355" s="111" t="s">
        <v>8425</v>
      </c>
      <c r="F1355" s="112" t="s">
        <v>8460</v>
      </c>
      <c r="G1355" s="127" t="s">
        <v>1530</v>
      </c>
      <c r="H1355" s="1408"/>
      <c r="I1355" s="310">
        <v>45683.0</v>
      </c>
      <c r="J1355" s="127" t="s">
        <v>8461</v>
      </c>
      <c r="K1355" s="127" t="s">
        <v>3765</v>
      </c>
      <c r="L1355" s="127" t="s">
        <v>8428</v>
      </c>
      <c r="M1355" s="127" t="s">
        <v>8429</v>
      </c>
      <c r="N1355" s="720">
        <v>5.0</v>
      </c>
      <c r="O1355" s="127" t="s">
        <v>8430</v>
      </c>
      <c r="P1355" s="48" t="str">
        <f t="array" ref="P1355">HYPERLINK(INDEX('File Links'!B:B, MATCH(O1355, 'File Links'!C:C, 0)))
</f>
        <v>https://drive.google.com/file/d/1r4PVlL83grqiq4UZ0to7L57VLrbdB9hi/view?usp=drivesdk</v>
      </c>
      <c r="Q1355" s="127" t="s">
        <v>8431</v>
      </c>
      <c r="R1355" s="127" t="s">
        <v>8432</v>
      </c>
      <c r="S1355" s="111"/>
      <c r="T1355" s="111"/>
      <c r="U1355" s="127" t="s">
        <v>8433</v>
      </c>
      <c r="V1355" s="127" t="s">
        <v>8434</v>
      </c>
      <c r="W1355" s="45" t="str">
        <f t="array" ref="W1355">HYPERLINK(INDEX('File Links'!B:B, MATCH(U1355, 'File Links'!C:C, 0)))
</f>
        <v>#N/A</v>
      </c>
      <c r="X1355" s="111"/>
      <c r="Y1355" s="127" t="s">
        <v>220</v>
      </c>
      <c r="Z1355" s="127" t="s">
        <v>8435</v>
      </c>
      <c r="AA1355" s="127" t="s">
        <v>8436</v>
      </c>
      <c r="AB1355" s="127" t="s">
        <v>8437</v>
      </c>
      <c r="AC1355" s="127" t="s">
        <v>8462</v>
      </c>
      <c r="AD1355" s="720">
        <v>3.0</v>
      </c>
      <c r="AE1355" s="720">
        <v>72.0</v>
      </c>
      <c r="AF1355" s="720">
        <v>0.15</v>
      </c>
      <c r="AG1355" s="127" t="s">
        <v>8439</v>
      </c>
      <c r="AH1355" s="127" t="s">
        <v>8440</v>
      </c>
      <c r="AI1355" s="120">
        <v>0.001</v>
      </c>
      <c r="AJ1355" s="112" t="s">
        <v>127</v>
      </c>
      <c r="AK1355" s="112" t="s">
        <v>179</v>
      </c>
      <c r="AL1355" s="111" t="s">
        <v>129</v>
      </c>
      <c r="AM1355" s="119"/>
      <c r="AN1355" s="720">
        <v>303.0</v>
      </c>
      <c r="AO1355" s="720">
        <v>0.37</v>
      </c>
      <c r="AP1355" s="127" t="s">
        <v>1006</v>
      </c>
      <c r="AQ1355" s="127" t="s">
        <v>1062</v>
      </c>
      <c r="AR1355" s="720">
        <v>0.01</v>
      </c>
      <c r="AS1355" s="127" t="s">
        <v>127</v>
      </c>
      <c r="AT1355" s="127" t="s">
        <v>179</v>
      </c>
      <c r="AU1355" s="111" t="s">
        <v>129</v>
      </c>
      <c r="AV1355" s="111"/>
      <c r="AW1355" s="111" t="s">
        <v>134</v>
      </c>
    </row>
    <row r="1356">
      <c r="A1356" s="41" t="s">
        <v>279</v>
      </c>
      <c r="B1356" s="41" t="s">
        <v>107</v>
      </c>
      <c r="C1356" s="41" t="s">
        <v>1471</v>
      </c>
      <c r="E1356" s="111" t="s">
        <v>8425</v>
      </c>
      <c r="F1356" s="112" t="s">
        <v>8463</v>
      </c>
      <c r="G1356" s="127" t="s">
        <v>1530</v>
      </c>
      <c r="H1356" s="1408"/>
      <c r="I1356" s="310">
        <v>45683.0</v>
      </c>
      <c r="J1356" s="127" t="s">
        <v>8464</v>
      </c>
      <c r="K1356" s="127" t="s">
        <v>3765</v>
      </c>
      <c r="L1356" s="127" t="s">
        <v>8428</v>
      </c>
      <c r="M1356" s="127" t="s">
        <v>8429</v>
      </c>
      <c r="N1356" s="720">
        <v>5.0</v>
      </c>
      <c r="O1356" s="127" t="s">
        <v>8430</v>
      </c>
      <c r="P1356" s="48" t="str">
        <f t="array" ref="P1356">HYPERLINK(INDEX('File Links'!B:B, MATCH(O1356, 'File Links'!C:C, 0)))
</f>
        <v>https://drive.google.com/file/d/1r4PVlL83grqiq4UZ0to7L57VLrbdB9hi/view?usp=drivesdk</v>
      </c>
      <c r="Q1356" s="127" t="s">
        <v>8431</v>
      </c>
      <c r="R1356" s="127" t="s">
        <v>8432</v>
      </c>
      <c r="S1356" s="111"/>
      <c r="T1356" s="111"/>
      <c r="U1356" s="127" t="s">
        <v>8433</v>
      </c>
      <c r="V1356" s="127" t="s">
        <v>8434</v>
      </c>
      <c r="W1356" s="45" t="str">
        <f t="array" ref="W1356">HYPERLINK(INDEX('File Links'!B:B, MATCH(U1356, 'File Links'!C:C, 0)))
</f>
        <v>#N/A</v>
      </c>
      <c r="X1356" s="111"/>
      <c r="Y1356" s="127" t="s">
        <v>220</v>
      </c>
      <c r="Z1356" s="127" t="s">
        <v>8435</v>
      </c>
      <c r="AA1356" s="127" t="s">
        <v>8436</v>
      </c>
      <c r="AB1356" s="127" t="s">
        <v>8437</v>
      </c>
      <c r="AC1356" s="127" t="s">
        <v>8446</v>
      </c>
      <c r="AD1356" s="720">
        <v>3.0</v>
      </c>
      <c r="AE1356" s="720">
        <v>72.0</v>
      </c>
      <c r="AF1356" s="720">
        <v>0.0</v>
      </c>
      <c r="AG1356" s="127" t="s">
        <v>8439</v>
      </c>
      <c r="AH1356" s="127" t="s">
        <v>8440</v>
      </c>
      <c r="AI1356" s="120">
        <v>0.22</v>
      </c>
      <c r="AJ1356" s="112" t="s">
        <v>164</v>
      </c>
      <c r="AK1356" s="112" t="s">
        <v>179</v>
      </c>
      <c r="AL1356" s="111" t="s">
        <v>132</v>
      </c>
      <c r="AM1356" s="119"/>
      <c r="AN1356" s="720">
        <v>303.0</v>
      </c>
      <c r="AO1356" s="127" t="s">
        <v>8456</v>
      </c>
      <c r="AP1356" s="127" t="s">
        <v>162</v>
      </c>
      <c r="AQ1356" s="127" t="s">
        <v>1062</v>
      </c>
      <c r="AR1356" s="720">
        <v>0.412</v>
      </c>
      <c r="AS1356" s="127" t="s">
        <v>164</v>
      </c>
      <c r="AT1356" s="127" t="s">
        <v>179</v>
      </c>
      <c r="AU1356" s="111" t="s">
        <v>132</v>
      </c>
      <c r="AV1356" s="111"/>
      <c r="AW1356" s="111" t="s">
        <v>134</v>
      </c>
    </row>
    <row r="1357">
      <c r="A1357" s="41" t="s">
        <v>279</v>
      </c>
      <c r="B1357" s="41" t="s">
        <v>107</v>
      </c>
      <c r="C1357" s="41" t="s">
        <v>1471</v>
      </c>
      <c r="E1357" s="111" t="s">
        <v>8425</v>
      </c>
      <c r="F1357" s="112" t="s">
        <v>8465</v>
      </c>
      <c r="G1357" s="127" t="s">
        <v>1530</v>
      </c>
      <c r="H1357" s="1408"/>
      <c r="I1357" s="310">
        <v>45683.0</v>
      </c>
      <c r="J1357" s="127" t="s">
        <v>8466</v>
      </c>
      <c r="K1357" s="127" t="s">
        <v>3765</v>
      </c>
      <c r="L1357" s="127" t="s">
        <v>8428</v>
      </c>
      <c r="M1357" s="127" t="s">
        <v>8429</v>
      </c>
      <c r="N1357" s="720">
        <v>5.0</v>
      </c>
      <c r="O1357" s="127" t="s">
        <v>8430</v>
      </c>
      <c r="P1357" s="48" t="str">
        <f t="array" ref="P1357">HYPERLINK(INDEX('File Links'!B:B, MATCH(O1357, 'File Links'!C:C, 0)))
</f>
        <v>https://drive.google.com/file/d/1r4PVlL83grqiq4UZ0to7L57VLrbdB9hi/view?usp=drivesdk</v>
      </c>
      <c r="Q1357" s="127" t="s">
        <v>8431</v>
      </c>
      <c r="R1357" s="127" t="s">
        <v>8432</v>
      </c>
      <c r="S1357" s="111"/>
      <c r="T1357" s="111"/>
      <c r="U1357" s="127" t="s">
        <v>8433</v>
      </c>
      <c r="V1357" s="127" t="s">
        <v>8434</v>
      </c>
      <c r="W1357" s="45" t="str">
        <f t="array" ref="W1357">HYPERLINK(INDEX('File Links'!B:B, MATCH(U1357, 'File Links'!C:C, 0)))
</f>
        <v>#N/A</v>
      </c>
      <c r="X1357" s="111"/>
      <c r="Y1357" s="127" t="s">
        <v>220</v>
      </c>
      <c r="Z1357" s="127" t="s">
        <v>8435</v>
      </c>
      <c r="AA1357" s="127" t="s">
        <v>8436</v>
      </c>
      <c r="AB1357" s="127" t="s">
        <v>8437</v>
      </c>
      <c r="AC1357" s="127" t="s">
        <v>8467</v>
      </c>
      <c r="AD1357" s="720">
        <v>3.0</v>
      </c>
      <c r="AE1357" s="720">
        <v>356.0</v>
      </c>
      <c r="AF1357" s="720">
        <v>0.01</v>
      </c>
      <c r="AG1357" s="127" t="s">
        <v>8439</v>
      </c>
      <c r="AH1357" s="127" t="s">
        <v>8440</v>
      </c>
      <c r="AI1357" s="120">
        <v>0.04</v>
      </c>
      <c r="AJ1357" s="112" t="s">
        <v>164</v>
      </c>
      <c r="AK1357" s="112" t="s">
        <v>179</v>
      </c>
      <c r="AL1357" s="111" t="s">
        <v>129</v>
      </c>
      <c r="AM1357" s="119"/>
      <c r="AN1357" s="720">
        <v>369.0</v>
      </c>
      <c r="AO1357" s="720">
        <v>0.01</v>
      </c>
      <c r="AP1357" s="127" t="s">
        <v>166</v>
      </c>
      <c r="AQ1357" s="127" t="s">
        <v>1062</v>
      </c>
      <c r="AR1357" s="720">
        <v>0.775</v>
      </c>
      <c r="AS1357" s="127" t="s">
        <v>164</v>
      </c>
      <c r="AT1357" s="127" t="s">
        <v>179</v>
      </c>
      <c r="AU1357" s="111" t="s">
        <v>129</v>
      </c>
      <c r="AV1357" s="111"/>
      <c r="AW1357" s="111" t="s">
        <v>134</v>
      </c>
    </row>
    <row r="1358">
      <c r="A1358" s="41" t="s">
        <v>279</v>
      </c>
      <c r="B1358" s="41" t="s">
        <v>107</v>
      </c>
      <c r="C1358" s="41" t="s">
        <v>1471</v>
      </c>
      <c r="E1358" s="111" t="s">
        <v>8425</v>
      </c>
      <c r="F1358" s="112" t="s">
        <v>8468</v>
      </c>
      <c r="G1358" s="127" t="s">
        <v>1530</v>
      </c>
      <c r="H1358" s="1408"/>
      <c r="I1358" s="310">
        <v>45683.0</v>
      </c>
      <c r="J1358" s="127" t="s">
        <v>8469</v>
      </c>
      <c r="K1358" s="127" t="s">
        <v>3765</v>
      </c>
      <c r="L1358" s="127" t="s">
        <v>8428</v>
      </c>
      <c r="M1358" s="127" t="s">
        <v>8429</v>
      </c>
      <c r="N1358" s="720">
        <v>5.0</v>
      </c>
      <c r="O1358" s="127" t="s">
        <v>8430</v>
      </c>
      <c r="P1358" s="48" t="str">
        <f t="array" ref="P1358">HYPERLINK(INDEX('File Links'!B:B, MATCH(O1358, 'File Links'!C:C, 0)))
</f>
        <v>https://drive.google.com/file/d/1r4PVlL83grqiq4UZ0to7L57VLrbdB9hi/view?usp=drivesdk</v>
      </c>
      <c r="Q1358" s="127" t="s">
        <v>8431</v>
      </c>
      <c r="R1358" s="127" t="s">
        <v>8432</v>
      </c>
      <c r="S1358" s="111"/>
      <c r="T1358" s="111"/>
      <c r="U1358" s="127" t="s">
        <v>8433</v>
      </c>
      <c r="V1358" s="127" t="s">
        <v>8434</v>
      </c>
      <c r="W1358" s="45" t="str">
        <f t="array" ref="W1358">HYPERLINK(INDEX('File Links'!B:B, MATCH(U1358, 'File Links'!C:C, 0)))
</f>
        <v>#N/A</v>
      </c>
      <c r="X1358" s="111"/>
      <c r="Y1358" s="127" t="s">
        <v>220</v>
      </c>
      <c r="Z1358" s="127" t="s">
        <v>8435</v>
      </c>
      <c r="AA1358" s="127" t="s">
        <v>8436</v>
      </c>
      <c r="AB1358" s="127" t="s">
        <v>8437</v>
      </c>
      <c r="AC1358" s="127" t="s">
        <v>8470</v>
      </c>
      <c r="AD1358" s="720">
        <v>3.0</v>
      </c>
      <c r="AE1358" s="720">
        <v>356.0</v>
      </c>
      <c r="AF1358" s="720">
        <v>0.07</v>
      </c>
      <c r="AG1358" s="127" t="s">
        <v>8439</v>
      </c>
      <c r="AH1358" s="127" t="s">
        <v>8440</v>
      </c>
      <c r="AI1358" s="120">
        <v>0.001</v>
      </c>
      <c r="AJ1358" s="112" t="s">
        <v>127</v>
      </c>
      <c r="AK1358" s="112" t="s">
        <v>179</v>
      </c>
      <c r="AL1358" s="111" t="s">
        <v>129</v>
      </c>
      <c r="AM1358" s="119"/>
      <c r="AN1358" s="720">
        <v>369.0</v>
      </c>
      <c r="AO1358" s="127" t="s">
        <v>8471</v>
      </c>
      <c r="AP1358" s="127" t="s">
        <v>162</v>
      </c>
      <c r="AQ1358" s="127" t="s">
        <v>1062</v>
      </c>
      <c r="AR1358" s="720">
        <v>0.001</v>
      </c>
      <c r="AS1358" s="127" t="s">
        <v>127</v>
      </c>
      <c r="AT1358" s="127" t="s">
        <v>179</v>
      </c>
      <c r="AU1358" s="111" t="s">
        <v>129</v>
      </c>
      <c r="AV1358" s="111"/>
      <c r="AW1358" s="111" t="s">
        <v>134</v>
      </c>
    </row>
    <row r="1359">
      <c r="A1359" s="41" t="s">
        <v>279</v>
      </c>
      <c r="B1359" s="41" t="s">
        <v>107</v>
      </c>
      <c r="C1359" s="41" t="s">
        <v>1471</v>
      </c>
      <c r="E1359" s="111" t="s">
        <v>8425</v>
      </c>
      <c r="F1359" s="112" t="s">
        <v>8472</v>
      </c>
      <c r="G1359" s="127" t="s">
        <v>1530</v>
      </c>
      <c r="H1359" s="1408"/>
      <c r="I1359" s="310">
        <v>45683.0</v>
      </c>
      <c r="J1359" s="127" t="s">
        <v>8473</v>
      </c>
      <c r="K1359" s="127" t="s">
        <v>3765</v>
      </c>
      <c r="L1359" s="127" t="s">
        <v>8428</v>
      </c>
      <c r="M1359" s="127" t="s">
        <v>8429</v>
      </c>
      <c r="N1359" s="720">
        <v>5.0</v>
      </c>
      <c r="O1359" s="127" t="s">
        <v>8430</v>
      </c>
      <c r="P1359" s="48" t="str">
        <f t="array" ref="P1359">HYPERLINK(INDEX('File Links'!B:B, MATCH(O1359, 'File Links'!C:C, 0)))
</f>
        <v>https://drive.google.com/file/d/1r4PVlL83grqiq4UZ0to7L57VLrbdB9hi/view?usp=drivesdk</v>
      </c>
      <c r="Q1359" s="127" t="s">
        <v>8431</v>
      </c>
      <c r="R1359" s="127" t="s">
        <v>8432</v>
      </c>
      <c r="S1359" s="111"/>
      <c r="T1359" s="111"/>
      <c r="U1359" s="127" t="s">
        <v>8433</v>
      </c>
      <c r="V1359" s="127" t="s">
        <v>8434</v>
      </c>
      <c r="W1359" s="45" t="str">
        <f t="array" ref="W1359">HYPERLINK(INDEX('File Links'!B:B, MATCH(U1359, 'File Links'!C:C, 0)))
</f>
        <v>#N/A</v>
      </c>
      <c r="X1359" s="111"/>
      <c r="Y1359" s="127" t="s">
        <v>220</v>
      </c>
      <c r="Z1359" s="127" t="s">
        <v>8435</v>
      </c>
      <c r="AA1359" s="127" t="s">
        <v>8436</v>
      </c>
      <c r="AB1359" s="127" t="s">
        <v>8437</v>
      </c>
      <c r="AC1359" s="127" t="s">
        <v>8446</v>
      </c>
      <c r="AD1359" s="720">
        <v>3.0</v>
      </c>
      <c r="AE1359" s="720">
        <v>356.0</v>
      </c>
      <c r="AF1359" s="720">
        <v>0.0</v>
      </c>
      <c r="AG1359" s="127" t="s">
        <v>8439</v>
      </c>
      <c r="AH1359" s="127" t="s">
        <v>8440</v>
      </c>
      <c r="AI1359" s="120">
        <v>0.25</v>
      </c>
      <c r="AJ1359" s="112" t="s">
        <v>164</v>
      </c>
      <c r="AK1359" s="112" t="s">
        <v>179</v>
      </c>
      <c r="AL1359" s="111" t="s">
        <v>132</v>
      </c>
      <c r="AM1359" s="119"/>
      <c r="AN1359" s="720">
        <v>369.0</v>
      </c>
      <c r="AO1359" s="127" t="s">
        <v>8474</v>
      </c>
      <c r="AP1359" s="127" t="s">
        <v>162</v>
      </c>
      <c r="AQ1359" s="127" t="s">
        <v>1062</v>
      </c>
      <c r="AR1359" s="720">
        <v>0.045</v>
      </c>
      <c r="AS1359" s="127" t="s">
        <v>164</v>
      </c>
      <c r="AT1359" s="127" t="s">
        <v>179</v>
      </c>
      <c r="AU1359" s="111" t="s">
        <v>132</v>
      </c>
      <c r="AV1359" s="111"/>
      <c r="AW1359" s="111" t="s">
        <v>134</v>
      </c>
    </row>
    <row r="1360" hidden="1">
      <c r="A1360" s="41" t="s">
        <v>279</v>
      </c>
      <c r="B1360" s="41" t="s">
        <v>107</v>
      </c>
      <c r="C1360" s="41" t="s">
        <v>1471</v>
      </c>
      <c r="E1360" s="60" t="s">
        <v>8475</v>
      </c>
      <c r="F1360" s="52" t="s">
        <v>8476</v>
      </c>
      <c r="G1360" s="60"/>
      <c r="H1360" s="1247" t="s">
        <v>112</v>
      </c>
      <c r="I1360" s="806"/>
      <c r="J1360" s="60"/>
      <c r="K1360" s="147" t="s">
        <v>3765</v>
      </c>
      <c r="L1360" s="147" t="s">
        <v>8477</v>
      </c>
      <c r="M1360" s="147" t="s">
        <v>8429</v>
      </c>
      <c r="N1360" s="60"/>
      <c r="O1360" s="145" t="s">
        <v>8430</v>
      </c>
      <c r="P1360" s="48" t="str">
        <f t="array" ref="P1360">HYPERLINK(INDEX('File Links'!B:B, MATCH(O1360, 'File Links'!C:C, 0)))
</f>
        <v>https://drive.google.com/file/d/1r4PVlL83grqiq4UZ0to7L57VLrbdB9hi/view?usp=drivesdk</v>
      </c>
      <c r="Q1360" s="453" t="s">
        <v>8478</v>
      </c>
      <c r="R1360" s="147" t="s">
        <v>8432</v>
      </c>
      <c r="S1360" s="60"/>
      <c r="T1360" s="60"/>
      <c r="U1360" s="145" t="s">
        <v>351</v>
      </c>
      <c r="V1360" s="60"/>
      <c r="W1360" s="45" t="str">
        <f t="array" ref="W1360">HYPERLINK(INDEX('File Links'!B:B, MATCH(U1360, 'File Links'!C:C, 0)))
</f>
        <v>#N/A</v>
      </c>
      <c r="X1360" s="147" t="s">
        <v>3814</v>
      </c>
      <c r="Y1360" s="60"/>
      <c r="Z1360" s="60"/>
      <c r="AA1360" s="60"/>
      <c r="AB1360" s="60"/>
      <c r="AC1360" s="60"/>
      <c r="AD1360" s="60"/>
      <c r="AE1360" s="60"/>
      <c r="AF1360" s="60"/>
      <c r="AG1360" s="60"/>
      <c r="AH1360" s="60"/>
      <c r="AI1360" s="329"/>
      <c r="AJ1360" s="55"/>
      <c r="AK1360" s="55"/>
      <c r="AL1360" s="60"/>
      <c r="AM1360" s="55"/>
      <c r="AN1360" s="60"/>
      <c r="AO1360" s="60"/>
      <c r="AP1360" s="60"/>
      <c r="AQ1360" s="60"/>
      <c r="AR1360" s="60"/>
      <c r="AS1360" s="60"/>
      <c r="AT1360" s="60"/>
      <c r="AU1360" s="60"/>
      <c r="AV1360" s="60"/>
      <c r="AW1360" s="60"/>
    </row>
    <row r="1361" hidden="1">
      <c r="A1361" s="41" t="s">
        <v>279</v>
      </c>
      <c r="B1361" s="41" t="s">
        <v>107</v>
      </c>
      <c r="C1361" s="41" t="s">
        <v>1471</v>
      </c>
      <c r="E1361" s="60" t="s">
        <v>8479</v>
      </c>
      <c r="F1361" s="52" t="s">
        <v>8480</v>
      </c>
      <c r="G1361" s="60"/>
      <c r="H1361" s="1247" t="s">
        <v>112</v>
      </c>
      <c r="I1361" s="806"/>
      <c r="J1361" s="60"/>
      <c r="K1361" s="147" t="s">
        <v>3765</v>
      </c>
      <c r="L1361" s="147" t="s">
        <v>8477</v>
      </c>
      <c r="M1361" s="147" t="s">
        <v>8429</v>
      </c>
      <c r="N1361" s="144">
        <v>5.0</v>
      </c>
      <c r="O1361" s="145" t="s">
        <v>8430</v>
      </c>
      <c r="P1361" s="48" t="str">
        <f t="array" ref="P1361">HYPERLINK(INDEX('File Links'!B:B, MATCH(O1361, 'File Links'!C:C, 0)))
</f>
        <v>https://drive.google.com/file/d/1r4PVlL83grqiq4UZ0to7L57VLrbdB9hi/view?usp=drivesdk</v>
      </c>
      <c r="Q1361" s="147" t="s">
        <v>8481</v>
      </c>
      <c r="R1361" s="147" t="s">
        <v>8432</v>
      </c>
      <c r="S1361" s="60"/>
      <c r="T1361" s="60"/>
      <c r="U1361" s="145" t="s">
        <v>8433</v>
      </c>
      <c r="V1361" s="60"/>
      <c r="W1361" s="45" t="str">
        <f t="array" ref="W1361">HYPERLINK(INDEX('File Links'!B:B, MATCH(U1361, 'File Links'!C:C, 0)))
</f>
        <v>#N/A</v>
      </c>
      <c r="X1361" s="147" t="s">
        <v>3814</v>
      </c>
      <c r="Y1361" s="60"/>
      <c r="Z1361" s="60"/>
      <c r="AA1361" s="60"/>
      <c r="AB1361" s="60"/>
      <c r="AC1361" s="60"/>
      <c r="AD1361" s="60"/>
      <c r="AE1361" s="60"/>
      <c r="AF1361" s="60"/>
      <c r="AG1361" s="60"/>
      <c r="AH1361" s="60"/>
      <c r="AI1361" s="329"/>
      <c r="AJ1361" s="55"/>
      <c r="AK1361" s="55"/>
      <c r="AL1361" s="60"/>
      <c r="AM1361" s="55"/>
      <c r="AN1361" s="60"/>
      <c r="AO1361" s="60"/>
      <c r="AP1361" s="60"/>
      <c r="AQ1361" s="60"/>
      <c r="AR1361" s="60"/>
      <c r="AS1361" s="60"/>
      <c r="AT1361" s="60"/>
      <c r="AU1361" s="60"/>
      <c r="AV1361" s="60"/>
      <c r="AW1361" s="60"/>
    </row>
    <row r="1362" hidden="1">
      <c r="A1362" s="41" t="s">
        <v>279</v>
      </c>
      <c r="B1362" s="41" t="s">
        <v>107</v>
      </c>
      <c r="C1362" s="41" t="s">
        <v>1471</v>
      </c>
      <c r="E1362" s="60" t="s">
        <v>8482</v>
      </c>
      <c r="F1362" s="52" t="s">
        <v>8483</v>
      </c>
      <c r="G1362" s="60"/>
      <c r="H1362" s="1247" t="s">
        <v>112</v>
      </c>
      <c r="I1362" s="806"/>
      <c r="J1362" s="60"/>
      <c r="K1362" s="147" t="s">
        <v>3765</v>
      </c>
      <c r="L1362" s="147" t="s">
        <v>8484</v>
      </c>
      <c r="M1362" s="147" t="s">
        <v>8429</v>
      </c>
      <c r="N1362" s="144">
        <v>5.0</v>
      </c>
      <c r="O1362" s="145" t="s">
        <v>8430</v>
      </c>
      <c r="P1362" s="48" t="str">
        <f t="array" ref="P1362">HYPERLINK(INDEX('File Links'!B:B, MATCH(O1362, 'File Links'!C:C, 0)))
</f>
        <v>https://drive.google.com/file/d/1r4PVlL83grqiq4UZ0to7L57VLrbdB9hi/view?usp=drivesdk</v>
      </c>
      <c r="Q1362" s="147" t="s">
        <v>8485</v>
      </c>
      <c r="R1362" s="147" t="s">
        <v>8432</v>
      </c>
      <c r="S1362" s="60"/>
      <c r="T1362" s="60"/>
      <c r="U1362" s="145" t="s">
        <v>8433</v>
      </c>
      <c r="V1362" s="60"/>
      <c r="W1362" s="45" t="str">
        <f t="array" ref="W1362">HYPERLINK(INDEX('File Links'!B:B, MATCH(U1362, 'File Links'!C:C, 0)))
</f>
        <v>#N/A</v>
      </c>
      <c r="X1362" s="147" t="s">
        <v>3814</v>
      </c>
      <c r="Y1362" s="60"/>
      <c r="Z1362" s="60"/>
      <c r="AA1362" s="60"/>
      <c r="AB1362" s="60"/>
      <c r="AC1362" s="60"/>
      <c r="AD1362" s="60"/>
      <c r="AE1362" s="60"/>
      <c r="AF1362" s="60"/>
      <c r="AG1362" s="60"/>
      <c r="AH1362" s="60"/>
      <c r="AI1362" s="329"/>
      <c r="AJ1362" s="55"/>
      <c r="AK1362" s="55"/>
      <c r="AL1362" s="60"/>
      <c r="AM1362" s="55"/>
      <c r="AN1362" s="60"/>
      <c r="AO1362" s="60"/>
      <c r="AP1362" s="60"/>
      <c r="AQ1362" s="60"/>
      <c r="AR1362" s="60"/>
      <c r="AS1362" s="60"/>
      <c r="AT1362" s="60"/>
      <c r="AU1362" s="60"/>
      <c r="AV1362" s="60"/>
      <c r="AW1362" s="60"/>
    </row>
    <row r="1363">
      <c r="A1363" s="41" t="s">
        <v>279</v>
      </c>
      <c r="B1363" s="41" t="s">
        <v>107</v>
      </c>
      <c r="C1363" s="41" t="s">
        <v>1471</v>
      </c>
      <c r="E1363" s="411" t="s">
        <v>8486</v>
      </c>
      <c r="F1363" s="405" t="s">
        <v>8487</v>
      </c>
      <c r="G1363" s="1410" t="s">
        <v>1530</v>
      </c>
      <c r="H1363" s="1411" t="s">
        <v>112</v>
      </c>
      <c r="I1363" s="1412">
        <v>45684.0</v>
      </c>
      <c r="J1363" s="1410" t="s">
        <v>8488</v>
      </c>
      <c r="K1363" s="1410" t="s">
        <v>3765</v>
      </c>
      <c r="L1363" s="1410" t="s">
        <v>8489</v>
      </c>
      <c r="M1363" s="1410" t="s">
        <v>8490</v>
      </c>
      <c r="N1363" s="411"/>
      <c r="O1363" s="1410" t="s">
        <v>8491</v>
      </c>
      <c r="P1363" s="48" t="str">
        <f t="array" ref="P1363">HYPERLINK(INDEX('File Links'!B:B, MATCH(O1363, 'File Links'!C:C, 0)))
</f>
        <v>https://drive.google.com/file/d/1u2KiampcOcT7G124TEOiIzae-KDknBmd/view?usp=drivesdk</v>
      </c>
      <c r="Q1363" s="1413" t="s">
        <v>8492</v>
      </c>
      <c r="R1363" s="1410" t="s">
        <v>8493</v>
      </c>
      <c r="S1363" s="411"/>
      <c r="T1363" s="411"/>
      <c r="U1363" s="1410" t="s">
        <v>8494</v>
      </c>
      <c r="V1363" s="1410" t="s">
        <v>8495</v>
      </c>
      <c r="W1363" s="50" t="str">
        <f t="array" ref="W1363">HYPERLINK(INDEX('File Links'!B:B, MATCH(U1363, 'File Links'!C:C, 0)))
</f>
        <v>https://drive.google.com/file/d/1c8fXNnhmY13vK0FI3aMB_LAx3-JbSZd7/view?usp=drivesdk</v>
      </c>
      <c r="X1363" s="411"/>
      <c r="Y1363" s="1410" t="s">
        <v>220</v>
      </c>
      <c r="Z1363" s="1410" t="s">
        <v>8496</v>
      </c>
      <c r="AA1363" s="1410" t="s">
        <v>8497</v>
      </c>
      <c r="AB1363" s="1410" t="s">
        <v>8498</v>
      </c>
      <c r="AC1363" s="1410" t="s">
        <v>8499</v>
      </c>
      <c r="AD1363" s="1393">
        <v>4.0</v>
      </c>
      <c r="AE1363" s="1393">
        <v>65.0</v>
      </c>
      <c r="AF1363" s="1393">
        <v>0.21</v>
      </c>
      <c r="AG1363" s="1410" t="s">
        <v>130</v>
      </c>
      <c r="AH1363" s="1410" t="s">
        <v>494</v>
      </c>
      <c r="AI1363" s="1414">
        <v>0.999</v>
      </c>
      <c r="AJ1363" s="405" t="s">
        <v>329</v>
      </c>
      <c r="AK1363" s="405" t="s">
        <v>179</v>
      </c>
      <c r="AL1363" s="411" t="s">
        <v>132</v>
      </c>
      <c r="AM1363" s="401"/>
      <c r="AN1363" s="1393">
        <v>70.0</v>
      </c>
      <c r="AO1363" s="1393">
        <v>0.02</v>
      </c>
      <c r="AP1363" s="1410" t="s">
        <v>130</v>
      </c>
      <c r="AQ1363" s="1410" t="s">
        <v>894</v>
      </c>
      <c r="AR1363" s="1393">
        <v>0.29</v>
      </c>
      <c r="AS1363" s="1410" t="s">
        <v>164</v>
      </c>
      <c r="AT1363" s="1410" t="s">
        <v>179</v>
      </c>
      <c r="AU1363" s="411" t="s">
        <v>132</v>
      </c>
      <c r="AV1363" s="411"/>
      <c r="AW1363" s="411" t="s">
        <v>142</v>
      </c>
    </row>
    <row r="1364">
      <c r="A1364" s="41" t="s">
        <v>143</v>
      </c>
      <c r="B1364" s="41" t="s">
        <v>107</v>
      </c>
      <c r="C1364" s="41" t="s">
        <v>3672</v>
      </c>
      <c r="D1364" s="1415"/>
      <c r="E1364" s="130" t="s">
        <v>8500</v>
      </c>
      <c r="F1364" s="1416" t="s">
        <v>8501</v>
      </c>
      <c r="G1364" s="130" t="s">
        <v>8502</v>
      </c>
      <c r="H1364" s="1415" t="s">
        <v>112</v>
      </c>
      <c r="I1364" s="1417" t="s">
        <v>8503</v>
      </c>
      <c r="J1364" s="130" t="s">
        <v>8504</v>
      </c>
      <c r="K1364" s="130" t="s">
        <v>8505</v>
      </c>
      <c r="L1364" s="1418" t="s">
        <v>8506</v>
      </c>
      <c r="M1364" s="130" t="s">
        <v>8507</v>
      </c>
      <c r="N1364" s="1419">
        <v>3.0</v>
      </c>
      <c r="O1364" s="1420" t="s">
        <v>8508</v>
      </c>
      <c r="P1364" s="48" t="str">
        <f t="array" ref="P1364">HYPERLINK(INDEX('File Links'!B:B, MATCH(O1364, 'File Links'!C:C, 0)))
</f>
        <v>https://drive.google.com/file/d/10N0LzNT1GTgGgvA6UUZUXzIdwFBBm26w/view?usp=drivesdk</v>
      </c>
      <c r="Q1364" s="130" t="s">
        <v>8509</v>
      </c>
      <c r="R1364" s="130" t="s">
        <v>7139</v>
      </c>
      <c r="T1364" s="1415" t="s">
        <v>8509</v>
      </c>
      <c r="U1364" s="1420" t="s">
        <v>7140</v>
      </c>
      <c r="V1364" s="130" t="s">
        <v>3501</v>
      </c>
      <c r="W1364" s="1421" t="s">
        <v>8510</v>
      </c>
      <c r="Y1364" s="130" t="s">
        <v>139</v>
      </c>
      <c r="Z1364" s="1422" t="s">
        <v>8511</v>
      </c>
      <c r="AA1364" s="130" t="s">
        <v>8512</v>
      </c>
      <c r="AB1364" s="130" t="s">
        <v>8513</v>
      </c>
      <c r="AC1364" s="130" t="s">
        <v>8514</v>
      </c>
      <c r="AD1364" s="1419">
        <v>10.0</v>
      </c>
      <c r="AE1364" s="1419">
        <v>24.0</v>
      </c>
      <c r="AF1364" s="1419" t="s">
        <v>8515</v>
      </c>
      <c r="AG1364" s="130" t="s">
        <v>162</v>
      </c>
      <c r="AH1364" s="130" t="s">
        <v>629</v>
      </c>
      <c r="AI1364" s="1423">
        <v>0.02</v>
      </c>
      <c r="AJ1364" s="130" t="s">
        <v>164</v>
      </c>
      <c r="AK1364" s="130" t="s">
        <v>179</v>
      </c>
      <c r="AL1364" s="1415" t="s">
        <v>132</v>
      </c>
      <c r="AM1364" s="130" t="s">
        <v>165</v>
      </c>
      <c r="AN1364" s="1419">
        <v>29.0</v>
      </c>
      <c r="AO1364" s="1422">
        <v>0.02</v>
      </c>
      <c r="AP1364" s="130" t="s">
        <v>1785</v>
      </c>
      <c r="AQ1364" s="130" t="s">
        <v>892</v>
      </c>
      <c r="AR1364" s="1419">
        <v>0.435</v>
      </c>
      <c r="AS1364" s="130" t="s">
        <v>164</v>
      </c>
      <c r="AT1364" s="130" t="s">
        <v>179</v>
      </c>
      <c r="AU1364" s="1415" t="s">
        <v>132</v>
      </c>
      <c r="AV1364" s="1424" t="s">
        <v>8516</v>
      </c>
      <c r="AW1364" s="1415" t="s">
        <v>134</v>
      </c>
      <c r="AY1364" s="1415" t="s">
        <v>3672</v>
      </c>
    </row>
    <row r="1365">
      <c r="A1365" s="41" t="s">
        <v>106</v>
      </c>
      <c r="B1365" s="41" t="s">
        <v>107</v>
      </c>
      <c r="C1365" s="41" t="s">
        <v>144</v>
      </c>
      <c r="D1365" s="1415"/>
      <c r="E1365" s="130" t="s">
        <v>8500</v>
      </c>
      <c r="F1365" s="1416" t="s">
        <v>8501</v>
      </c>
      <c r="G1365" s="130" t="s">
        <v>144</v>
      </c>
      <c r="H1365" s="1415" t="s">
        <v>8517</v>
      </c>
      <c r="I1365" s="1425">
        <v>45694.0</v>
      </c>
      <c r="J1365" s="130" t="s">
        <v>8518</v>
      </c>
      <c r="K1365" s="130"/>
      <c r="L1365" s="1418" t="s">
        <v>8506</v>
      </c>
      <c r="M1365" s="130" t="s">
        <v>8507</v>
      </c>
      <c r="N1365" s="1419">
        <v>3.0</v>
      </c>
      <c r="O1365" s="1420" t="s">
        <v>8508</v>
      </c>
      <c r="P1365" s="48" t="str">
        <f t="array" ref="P1365">HYPERLINK(INDEX('File Links'!B:B, MATCH(O1365, 'File Links'!C:C, 0)))
</f>
        <v>https://drive.google.com/file/d/10N0LzNT1GTgGgvA6UUZUXzIdwFBBm26w/view?usp=drivesdk</v>
      </c>
      <c r="Q1365" s="130" t="s">
        <v>8509</v>
      </c>
      <c r="R1365" s="130" t="s">
        <v>7139</v>
      </c>
      <c r="T1365" s="1417">
        <v>1.0</v>
      </c>
      <c r="U1365" s="1420" t="s">
        <v>7140</v>
      </c>
      <c r="V1365" s="130" t="s">
        <v>3501</v>
      </c>
      <c r="W1365" s="1426" t="s">
        <v>8510</v>
      </c>
      <c r="Y1365" s="130" t="s">
        <v>139</v>
      </c>
      <c r="Z1365" s="130" t="s">
        <v>8511</v>
      </c>
      <c r="AA1365" s="130" t="s">
        <v>8519</v>
      </c>
      <c r="AB1365" s="130" t="s">
        <v>8520</v>
      </c>
      <c r="AC1365" s="130" t="s">
        <v>8521</v>
      </c>
      <c r="AD1365" s="1419">
        <v>10.0</v>
      </c>
      <c r="AE1365" s="1417">
        <v>24.0</v>
      </c>
      <c r="AF1365" s="1419" t="s">
        <v>8515</v>
      </c>
      <c r="AG1365" s="130" t="s">
        <v>162</v>
      </c>
      <c r="AH1365" s="130" t="s">
        <v>629</v>
      </c>
      <c r="AI1365" s="1419">
        <v>0.02</v>
      </c>
      <c r="AJ1365" s="130" t="s">
        <v>164</v>
      </c>
      <c r="AK1365" s="130" t="s">
        <v>179</v>
      </c>
      <c r="AL1365" s="1415" t="s">
        <v>132</v>
      </c>
      <c r="AM1365" s="1427"/>
      <c r="AN1365" s="1417">
        <v>29.0</v>
      </c>
      <c r="AO1365" s="1417">
        <v>0.02</v>
      </c>
      <c r="AP1365" s="130" t="s">
        <v>130</v>
      </c>
      <c r="AQ1365" s="130" t="s">
        <v>892</v>
      </c>
      <c r="AR1365" s="1419">
        <v>0.435</v>
      </c>
      <c r="AS1365" s="130" t="s">
        <v>164</v>
      </c>
      <c r="AT1365" s="130" t="s">
        <v>179</v>
      </c>
      <c r="AU1365" s="1415" t="s">
        <v>132</v>
      </c>
      <c r="AV1365" s="1424" t="s">
        <v>8522</v>
      </c>
      <c r="AW1365" s="1415" t="s">
        <v>134</v>
      </c>
      <c r="AY1365" s="1415" t="s">
        <v>3672</v>
      </c>
    </row>
    <row r="1366">
      <c r="A1366" s="115" t="s">
        <v>143</v>
      </c>
      <c r="B1366" s="41" t="s">
        <v>107</v>
      </c>
      <c r="C1366" s="41" t="s">
        <v>3672</v>
      </c>
      <c r="D1366" s="1415"/>
      <c r="E1366" s="130" t="s">
        <v>8523</v>
      </c>
      <c r="F1366" s="130" t="s">
        <v>8524</v>
      </c>
      <c r="G1366" s="130" t="s">
        <v>8525</v>
      </c>
      <c r="H1366" s="1417" t="s">
        <v>8503</v>
      </c>
      <c r="I1366" s="1425">
        <v>45694.0</v>
      </c>
      <c r="J1366" s="1428"/>
      <c r="K1366" s="1415" t="s">
        <v>8526</v>
      </c>
      <c r="L1366" s="1429" t="s">
        <v>8527</v>
      </c>
      <c r="M1366" s="130" t="s">
        <v>8528</v>
      </c>
      <c r="N1366" s="1419">
        <v>2.0</v>
      </c>
      <c r="O1366" s="130" t="s">
        <v>8529</v>
      </c>
      <c r="P1366" s="48" t="str">
        <f t="array" ref="P1366">HYPERLINK(INDEX('File Links'!B:B, MATCH(O1366, 'File Links'!C:C, 0)))
</f>
        <v>https://drive.google.com/file/d/1dnoOFsITQ-OlW3SSnEP3gasruwHVCneM/view?usp=drivesdk</v>
      </c>
      <c r="Q1366" s="130" t="s">
        <v>8530</v>
      </c>
      <c r="R1366" s="130" t="s">
        <v>7139</v>
      </c>
      <c r="T1366" s="1417" t="s">
        <v>8530</v>
      </c>
      <c r="U1366" s="130" t="s">
        <v>7140</v>
      </c>
      <c r="V1366" s="130" t="s">
        <v>3501</v>
      </c>
      <c r="W1366" s="1430" t="s">
        <v>8510</v>
      </c>
      <c r="Y1366" s="130" t="s">
        <v>139</v>
      </c>
      <c r="Z1366" s="130" t="s">
        <v>8531</v>
      </c>
      <c r="AA1366" s="130" t="s">
        <v>8532</v>
      </c>
      <c r="AB1366" s="130" t="s">
        <v>8533</v>
      </c>
      <c r="AC1366" s="1431" t="s">
        <v>8534</v>
      </c>
      <c r="AD1366" s="1431">
        <v>5.0</v>
      </c>
      <c r="AE1366" s="1419">
        <v>32.0</v>
      </c>
      <c r="AF1366" s="1419" t="s">
        <v>8535</v>
      </c>
      <c r="AG1366" s="130" t="s">
        <v>162</v>
      </c>
      <c r="AH1366" s="130" t="s">
        <v>892</v>
      </c>
      <c r="AI1366" s="1419">
        <v>0.001</v>
      </c>
      <c r="AJ1366" s="130" t="s">
        <v>127</v>
      </c>
      <c r="AK1366" s="130" t="s">
        <v>179</v>
      </c>
      <c r="AL1366" s="1415" t="s">
        <v>129</v>
      </c>
      <c r="AM1366" s="1415" t="s">
        <v>165</v>
      </c>
      <c r="AN1366" s="1417">
        <v>32.0</v>
      </c>
      <c r="AO1366" s="1417" t="s">
        <v>8536</v>
      </c>
      <c r="AP1366" s="130" t="s">
        <v>162</v>
      </c>
      <c r="AQ1366" s="130" t="s">
        <v>210</v>
      </c>
      <c r="AR1366" s="1419">
        <v>0.001</v>
      </c>
      <c r="AS1366" s="130" t="s">
        <v>127</v>
      </c>
      <c r="AT1366" s="130" t="s">
        <v>128</v>
      </c>
      <c r="AU1366" s="1415" t="s">
        <v>129</v>
      </c>
      <c r="AV1366" s="1424" t="s">
        <v>8537</v>
      </c>
      <c r="AW1366" s="1415" t="s">
        <v>134</v>
      </c>
      <c r="AY1366" s="1415" t="s">
        <v>3672</v>
      </c>
    </row>
    <row r="1367">
      <c r="A1367" s="41" t="s">
        <v>106</v>
      </c>
      <c r="B1367" s="41" t="s">
        <v>107</v>
      </c>
      <c r="C1367" s="41" t="s">
        <v>144</v>
      </c>
      <c r="D1367" s="1415"/>
      <c r="E1367" s="130" t="s">
        <v>8523</v>
      </c>
      <c r="F1367" s="1416" t="s">
        <v>8524</v>
      </c>
      <c r="G1367" s="130" t="s">
        <v>144</v>
      </c>
      <c r="H1367" s="1415" t="s">
        <v>8517</v>
      </c>
      <c r="I1367" s="1425">
        <v>45694.0</v>
      </c>
      <c r="J1367" s="1415" t="s">
        <v>8538</v>
      </c>
      <c r="K1367" s="1415"/>
      <c r="L1367" s="1418" t="s">
        <v>8527</v>
      </c>
      <c r="M1367" s="130" t="s">
        <v>8528</v>
      </c>
      <c r="N1367" s="1419">
        <v>2.0</v>
      </c>
      <c r="O1367" s="1420" t="s">
        <v>8529</v>
      </c>
      <c r="P1367" s="48" t="str">
        <f t="array" ref="P1367">HYPERLINK(INDEX('File Links'!B:B, MATCH(O1367, 'File Links'!C:C, 0)))
</f>
        <v>https://drive.google.com/file/d/1dnoOFsITQ-OlW3SSnEP3gasruwHVCneM/view?usp=drivesdk</v>
      </c>
      <c r="Q1367" s="130" t="s">
        <v>8530</v>
      </c>
      <c r="R1367" s="130" t="s">
        <v>7139</v>
      </c>
      <c r="T1367" s="1417">
        <v>1.0</v>
      </c>
      <c r="U1367" s="1420" t="s">
        <v>7140</v>
      </c>
      <c r="V1367" s="130" t="s">
        <v>3501</v>
      </c>
      <c r="W1367" s="1426" t="s">
        <v>8510</v>
      </c>
      <c r="Y1367" s="130" t="s">
        <v>139</v>
      </c>
      <c r="Z1367" s="130" t="s">
        <v>8539</v>
      </c>
      <c r="AA1367" s="130" t="s">
        <v>8540</v>
      </c>
      <c r="AB1367" s="130" t="s">
        <v>8541</v>
      </c>
      <c r="AC1367" s="130" t="s">
        <v>8542</v>
      </c>
      <c r="AD1367" s="1419">
        <v>5.0</v>
      </c>
      <c r="AE1367" s="1419">
        <v>32.0</v>
      </c>
      <c r="AF1367" s="1419" t="s">
        <v>8535</v>
      </c>
      <c r="AG1367" s="130" t="s">
        <v>162</v>
      </c>
      <c r="AH1367" s="130" t="s">
        <v>892</v>
      </c>
      <c r="AI1367" s="1419">
        <v>0.001</v>
      </c>
      <c r="AJ1367" s="130" t="s">
        <v>127</v>
      </c>
      <c r="AK1367" s="130" t="s">
        <v>128</v>
      </c>
      <c r="AL1367" s="1415" t="s">
        <v>129</v>
      </c>
      <c r="AM1367" s="1427"/>
      <c r="AN1367" s="1417">
        <v>32.0</v>
      </c>
      <c r="AO1367" s="1417" t="s">
        <v>8536</v>
      </c>
      <c r="AP1367" s="130" t="s">
        <v>162</v>
      </c>
      <c r="AQ1367" s="130" t="s">
        <v>210</v>
      </c>
      <c r="AR1367" s="1419">
        <v>0.001</v>
      </c>
      <c r="AS1367" s="130" t="s">
        <v>164</v>
      </c>
      <c r="AT1367" s="130" t="s">
        <v>128</v>
      </c>
      <c r="AU1367" s="1415" t="s">
        <v>129</v>
      </c>
      <c r="AV1367" s="1424" t="s">
        <v>8543</v>
      </c>
      <c r="AW1367" s="1415" t="s">
        <v>134</v>
      </c>
      <c r="AY1367" s="1415" t="s">
        <v>3672</v>
      </c>
    </row>
    <row r="1368">
      <c r="A1368" s="115" t="s">
        <v>143</v>
      </c>
      <c r="B1368" s="41" t="s">
        <v>107</v>
      </c>
      <c r="C1368" s="41" t="s">
        <v>3672</v>
      </c>
      <c r="D1368" s="1415"/>
      <c r="E1368" s="130" t="s">
        <v>8544</v>
      </c>
      <c r="F1368" s="130" t="s">
        <v>8545</v>
      </c>
      <c r="G1368" s="130" t="s">
        <v>8546</v>
      </c>
      <c r="H1368" s="1417" t="s">
        <v>8503</v>
      </c>
      <c r="I1368" s="1425">
        <v>45694.0</v>
      </c>
      <c r="J1368" s="1428"/>
      <c r="K1368" s="1415" t="s">
        <v>8547</v>
      </c>
      <c r="L1368" s="1429" t="s">
        <v>8548</v>
      </c>
      <c r="M1368" s="130" t="s">
        <v>8549</v>
      </c>
      <c r="N1368" s="1419" t="s">
        <v>3517</v>
      </c>
      <c r="O1368" s="130" t="s">
        <v>8550</v>
      </c>
      <c r="P1368" s="48" t="str">
        <f t="array" ref="P1368">HYPERLINK(INDEX('File Links'!B:B, MATCH(O1368, 'File Links'!C:C, 0)))
</f>
        <v>https://drive.google.com/file/d/1mWHWKkVq6BilZwniJ1YPf3kKFnahjts7/view?usp=drivesdk</v>
      </c>
      <c r="Q1368" s="130" t="s">
        <v>8551</v>
      </c>
      <c r="R1368" s="130" t="s">
        <v>7139</v>
      </c>
      <c r="T1368" s="1417" t="s">
        <v>8551</v>
      </c>
      <c r="U1368" s="130" t="s">
        <v>7140</v>
      </c>
      <c r="V1368" s="130" t="s">
        <v>3501</v>
      </c>
      <c r="W1368" s="1430" t="s">
        <v>8510</v>
      </c>
      <c r="Y1368" s="130" t="s">
        <v>220</v>
      </c>
      <c r="Z1368" s="130" t="s">
        <v>8552</v>
      </c>
      <c r="AA1368" s="130" t="s">
        <v>8553</v>
      </c>
      <c r="AB1368" s="130" t="s">
        <v>8554</v>
      </c>
      <c r="AC1368" s="130" t="s">
        <v>8555</v>
      </c>
      <c r="AD1368" s="1419">
        <v>4.0</v>
      </c>
      <c r="AE1368" s="1419">
        <v>236.0</v>
      </c>
      <c r="AF1368" s="1419" t="s">
        <v>8556</v>
      </c>
      <c r="AG1368" s="130" t="s">
        <v>8117</v>
      </c>
      <c r="AH1368" s="130" t="s">
        <v>861</v>
      </c>
      <c r="AI1368" s="1419">
        <v>0.05</v>
      </c>
      <c r="AJ1368" s="130" t="s">
        <v>164</v>
      </c>
      <c r="AK1368" s="130" t="s">
        <v>179</v>
      </c>
      <c r="AL1368" s="1415" t="s">
        <v>129</v>
      </c>
      <c r="AM1368" s="1415" t="s">
        <v>165</v>
      </c>
      <c r="AN1368" s="1417">
        <v>1146.0</v>
      </c>
      <c r="AO1368" s="1417">
        <v>0.02</v>
      </c>
      <c r="AP1368" s="130" t="s">
        <v>8117</v>
      </c>
      <c r="AQ1368" s="130" t="s">
        <v>8557</v>
      </c>
      <c r="AR1368" s="1419">
        <v>0.53</v>
      </c>
      <c r="AS1368" s="130" t="s">
        <v>164</v>
      </c>
      <c r="AT1368" s="130" t="s">
        <v>179</v>
      </c>
      <c r="AU1368" s="1415" t="s">
        <v>129</v>
      </c>
      <c r="AV1368" s="1424" t="s">
        <v>8558</v>
      </c>
      <c r="AW1368" s="1415" t="s">
        <v>134</v>
      </c>
      <c r="AY1368" s="1415" t="s">
        <v>3672</v>
      </c>
    </row>
    <row r="1369">
      <c r="A1369" s="41" t="s">
        <v>106</v>
      </c>
      <c r="B1369" s="41" t="s">
        <v>107</v>
      </c>
      <c r="C1369" s="41" t="s">
        <v>144</v>
      </c>
      <c r="D1369" s="1415"/>
      <c r="E1369" s="130" t="s">
        <v>8544</v>
      </c>
      <c r="F1369" s="1416" t="s">
        <v>8545</v>
      </c>
      <c r="G1369" s="130" t="s">
        <v>144</v>
      </c>
      <c r="H1369" s="1415" t="s">
        <v>8517</v>
      </c>
      <c r="I1369" s="1425">
        <v>45694.0</v>
      </c>
      <c r="J1369" s="130" t="s">
        <v>8559</v>
      </c>
      <c r="K1369" s="130"/>
      <c r="L1369" s="1418" t="s">
        <v>8548</v>
      </c>
      <c r="M1369" s="130" t="s">
        <v>8549</v>
      </c>
      <c r="N1369" s="130" t="s">
        <v>8560</v>
      </c>
      <c r="O1369" s="1420" t="s">
        <v>8550</v>
      </c>
      <c r="P1369" s="48" t="str">
        <f t="array" ref="P1369">HYPERLINK(INDEX('File Links'!B:B, MATCH(O1369, 'File Links'!C:C, 0)))
</f>
        <v>https://drive.google.com/file/d/1mWHWKkVq6BilZwniJ1YPf3kKFnahjts7/view?usp=drivesdk</v>
      </c>
      <c r="Q1369" s="130" t="s">
        <v>8551</v>
      </c>
      <c r="R1369" s="130" t="s">
        <v>7139</v>
      </c>
      <c r="T1369" s="1417">
        <v>1.0</v>
      </c>
      <c r="U1369" s="1420" t="s">
        <v>7140</v>
      </c>
      <c r="V1369" s="130" t="s">
        <v>3501</v>
      </c>
      <c r="W1369" s="1421" t="s">
        <v>8510</v>
      </c>
      <c r="Y1369" s="130" t="s">
        <v>220</v>
      </c>
      <c r="Z1369" s="130" t="s">
        <v>8552</v>
      </c>
      <c r="AA1369" s="130" t="s">
        <v>8561</v>
      </c>
      <c r="AB1369" s="130" t="s">
        <v>8562</v>
      </c>
      <c r="AC1369" s="130" t="s">
        <v>8563</v>
      </c>
      <c r="AD1369" s="1419">
        <v>4.0</v>
      </c>
      <c r="AE1369" s="1419">
        <v>236.0</v>
      </c>
      <c r="AF1369" s="1419">
        <v>0.13</v>
      </c>
      <c r="AG1369" s="130" t="s">
        <v>8117</v>
      </c>
      <c r="AH1369" s="130" t="s">
        <v>861</v>
      </c>
      <c r="AI1369" s="1417">
        <v>0.05</v>
      </c>
      <c r="AJ1369" s="130" t="s">
        <v>164</v>
      </c>
      <c r="AK1369" s="130" t="s">
        <v>179</v>
      </c>
      <c r="AL1369" s="1415" t="s">
        <v>129</v>
      </c>
      <c r="AM1369" s="1432"/>
      <c r="AN1369" s="1419">
        <v>1146.0</v>
      </c>
      <c r="AO1369" s="1419">
        <v>0.02</v>
      </c>
      <c r="AP1369" s="130" t="s">
        <v>8117</v>
      </c>
      <c r="AQ1369" s="130" t="s">
        <v>892</v>
      </c>
      <c r="AR1369" s="1419">
        <v>0.53</v>
      </c>
      <c r="AS1369" s="130" t="s">
        <v>164</v>
      </c>
      <c r="AT1369" s="130" t="s">
        <v>179</v>
      </c>
      <c r="AU1369" s="1415" t="s">
        <v>129</v>
      </c>
      <c r="AV1369" s="1424" t="s">
        <v>8564</v>
      </c>
      <c r="AW1369" s="1415" t="s">
        <v>142</v>
      </c>
      <c r="AY1369" s="1415" t="s">
        <v>3672</v>
      </c>
    </row>
    <row r="1370">
      <c r="A1370" s="115" t="s">
        <v>143</v>
      </c>
      <c r="B1370" s="41" t="s">
        <v>107</v>
      </c>
      <c r="C1370" s="41" t="s">
        <v>3672</v>
      </c>
      <c r="D1370" s="1415"/>
      <c r="E1370" s="130" t="s">
        <v>8565</v>
      </c>
      <c r="F1370" s="130" t="s">
        <v>8566</v>
      </c>
      <c r="G1370" s="130" t="s">
        <v>8567</v>
      </c>
      <c r="H1370" s="1417" t="s">
        <v>8503</v>
      </c>
      <c r="I1370" s="1425">
        <v>45694.0</v>
      </c>
      <c r="J1370" s="1428"/>
      <c r="K1370" s="130" t="s">
        <v>8568</v>
      </c>
      <c r="L1370" s="1429" t="s">
        <v>8569</v>
      </c>
      <c r="M1370" s="130" t="s">
        <v>8570</v>
      </c>
      <c r="N1370" s="1419">
        <v>4.0</v>
      </c>
      <c r="O1370" s="130" t="s">
        <v>8571</v>
      </c>
      <c r="P1370" s="48" t="str">
        <f t="array" ref="P1370">HYPERLINK(INDEX('File Links'!B:B, MATCH(O1370, 'File Links'!C:C, 0)))
</f>
        <v>https://drive.google.com/file/d/18ezWy7djA945zL8CbFQlhWO8EZS4wwS1/view?usp=drivesdk</v>
      </c>
      <c r="Q1370" s="130" t="s">
        <v>8572</v>
      </c>
      <c r="R1370" s="130" t="s">
        <v>7139</v>
      </c>
      <c r="T1370" s="1415" t="s">
        <v>8572</v>
      </c>
      <c r="U1370" s="130" t="s">
        <v>7140</v>
      </c>
      <c r="V1370" s="130" t="s">
        <v>155</v>
      </c>
      <c r="W1370" s="1433" t="s">
        <v>8510</v>
      </c>
      <c r="Y1370" s="130" t="s">
        <v>139</v>
      </c>
      <c r="Z1370" s="130" t="s">
        <v>8573</v>
      </c>
      <c r="AA1370" s="130" t="s">
        <v>8574</v>
      </c>
      <c r="AB1370" s="130" t="s">
        <v>8575</v>
      </c>
      <c r="AC1370" s="130" t="s">
        <v>8576</v>
      </c>
      <c r="AD1370" s="1419">
        <v>5.0</v>
      </c>
      <c r="AE1370" s="1419">
        <v>36.0</v>
      </c>
      <c r="AF1370" s="130">
        <v>0.82</v>
      </c>
      <c r="AG1370" s="130" t="s">
        <v>166</v>
      </c>
      <c r="AH1370" s="130" t="s">
        <v>8577</v>
      </c>
      <c r="AI1370" s="1419">
        <v>0.05</v>
      </c>
      <c r="AJ1370" s="130" t="s">
        <v>127</v>
      </c>
      <c r="AK1370" s="130" t="s">
        <v>128</v>
      </c>
      <c r="AL1370" s="1415" t="s">
        <v>129</v>
      </c>
      <c r="AM1370" s="130" t="s">
        <v>165</v>
      </c>
      <c r="AN1370" s="1419">
        <v>47.0</v>
      </c>
      <c r="AO1370" s="1415">
        <v>0.48</v>
      </c>
      <c r="AP1370" s="1415" t="s">
        <v>166</v>
      </c>
      <c r="AQ1370" s="1415" t="s">
        <v>892</v>
      </c>
      <c r="AR1370" s="1423">
        <v>0.132</v>
      </c>
      <c r="AS1370" s="1415" t="s">
        <v>164</v>
      </c>
      <c r="AT1370" s="1415" t="s">
        <v>128</v>
      </c>
      <c r="AU1370" s="1415" t="s">
        <v>129</v>
      </c>
      <c r="AV1370" s="1424" t="s">
        <v>8578</v>
      </c>
      <c r="AW1370" s="1415" t="s">
        <v>134</v>
      </c>
      <c r="AY1370" s="1415" t="s">
        <v>3672</v>
      </c>
    </row>
    <row r="1371">
      <c r="A1371" s="41" t="s">
        <v>106</v>
      </c>
      <c r="B1371" s="41" t="s">
        <v>107</v>
      </c>
      <c r="C1371" s="41" t="s">
        <v>144</v>
      </c>
      <c r="D1371" s="1415"/>
      <c r="E1371" s="130" t="s">
        <v>8565</v>
      </c>
      <c r="F1371" s="1416" t="s">
        <v>8566</v>
      </c>
      <c r="G1371" s="130" t="s">
        <v>144</v>
      </c>
      <c r="H1371" s="1415" t="s">
        <v>8517</v>
      </c>
      <c r="I1371" s="1425">
        <v>45694.0</v>
      </c>
      <c r="J1371" s="130" t="s">
        <v>8579</v>
      </c>
      <c r="K1371" s="130"/>
      <c r="L1371" s="1418" t="s">
        <v>8569</v>
      </c>
      <c r="M1371" s="130" t="s">
        <v>8570</v>
      </c>
      <c r="N1371" s="1419">
        <v>4.0</v>
      </c>
      <c r="O1371" s="1420" t="s">
        <v>8571</v>
      </c>
      <c r="P1371" s="48" t="str">
        <f t="array" ref="P1371">HYPERLINK(INDEX('File Links'!B:B, MATCH(O1371, 'File Links'!C:C, 0)))
</f>
        <v>https://drive.google.com/file/d/18ezWy7djA945zL8CbFQlhWO8EZS4wwS1/view?usp=drivesdk</v>
      </c>
      <c r="Q1371" s="130" t="s">
        <v>8572</v>
      </c>
      <c r="R1371" s="130" t="s">
        <v>7139</v>
      </c>
      <c r="T1371" s="1417">
        <v>1.0</v>
      </c>
      <c r="U1371" s="1420" t="s">
        <v>7140</v>
      </c>
      <c r="V1371" s="130" t="s">
        <v>155</v>
      </c>
      <c r="W1371" s="1421" t="s">
        <v>8510</v>
      </c>
      <c r="Y1371" s="130" t="s">
        <v>139</v>
      </c>
      <c r="Z1371" s="130" t="s">
        <v>8580</v>
      </c>
      <c r="AA1371" s="130" t="s">
        <v>8581</v>
      </c>
      <c r="AB1371" s="130" t="s">
        <v>8582</v>
      </c>
      <c r="AC1371" s="130" t="s">
        <v>8583</v>
      </c>
      <c r="AD1371" s="1419">
        <v>5.0</v>
      </c>
      <c r="AE1371" s="1419">
        <v>36.0</v>
      </c>
      <c r="AF1371" s="1419">
        <v>0.82</v>
      </c>
      <c r="AG1371" s="130" t="s">
        <v>166</v>
      </c>
      <c r="AH1371" s="130" t="s">
        <v>892</v>
      </c>
      <c r="AI1371" s="1417">
        <v>0.05</v>
      </c>
      <c r="AJ1371" s="130" t="s">
        <v>127</v>
      </c>
      <c r="AK1371" s="130" t="s">
        <v>128</v>
      </c>
      <c r="AL1371" s="1415" t="s">
        <v>129</v>
      </c>
      <c r="AM1371" s="1432"/>
      <c r="AN1371" s="1419">
        <v>47.0</v>
      </c>
      <c r="AO1371" s="1419">
        <v>0.48</v>
      </c>
      <c r="AP1371" s="130" t="s">
        <v>166</v>
      </c>
      <c r="AQ1371" s="130" t="s">
        <v>892</v>
      </c>
      <c r="AR1371" s="1419">
        <v>0.132</v>
      </c>
      <c r="AS1371" s="130" t="s">
        <v>164</v>
      </c>
      <c r="AT1371" s="130" t="s">
        <v>128</v>
      </c>
      <c r="AU1371" s="1415" t="s">
        <v>129</v>
      </c>
      <c r="AV1371" s="1424" t="s">
        <v>8584</v>
      </c>
      <c r="AW1371" s="1415" t="s">
        <v>134</v>
      </c>
      <c r="AY1371" s="1415" t="s">
        <v>3672</v>
      </c>
    </row>
    <row r="1372">
      <c r="A1372" s="115" t="s">
        <v>143</v>
      </c>
      <c r="B1372" s="41" t="s">
        <v>107</v>
      </c>
      <c r="C1372" s="41" t="s">
        <v>3672</v>
      </c>
      <c r="D1372" s="1415"/>
      <c r="E1372" s="130" t="s">
        <v>8585</v>
      </c>
      <c r="F1372" s="130" t="s">
        <v>8586</v>
      </c>
      <c r="G1372" s="130" t="s">
        <v>8587</v>
      </c>
      <c r="H1372" s="1417" t="s">
        <v>8503</v>
      </c>
      <c r="I1372" s="1425">
        <v>45694.0</v>
      </c>
      <c r="J1372" s="1415" t="s">
        <v>8588</v>
      </c>
      <c r="K1372" s="1415" t="s">
        <v>8589</v>
      </c>
      <c r="L1372" s="1429" t="s">
        <v>8590</v>
      </c>
      <c r="M1372" s="130" t="s">
        <v>8591</v>
      </c>
      <c r="N1372" s="1417">
        <v>2.0</v>
      </c>
      <c r="O1372" s="130" t="s">
        <v>8592</v>
      </c>
      <c r="P1372" s="48" t="str">
        <f t="array" ref="P1372">HYPERLINK(INDEX('File Links'!B:B, MATCH(O1372, 'File Links'!C:C, 0)))
</f>
        <v>https://drive.google.com/file/d/1ytNNieBfW6njVZa_pFpdio4LUZmKmvXl/view?usp=drivesdk</v>
      </c>
      <c r="Q1372" s="130" t="s">
        <v>8593</v>
      </c>
      <c r="R1372" s="130" t="s">
        <v>7139</v>
      </c>
      <c r="T1372" s="1417" t="s">
        <v>8593</v>
      </c>
      <c r="U1372" s="130" t="s">
        <v>7140</v>
      </c>
      <c r="V1372" s="130" t="s">
        <v>155</v>
      </c>
      <c r="W1372" s="1434" t="s">
        <v>8510</v>
      </c>
      <c r="Y1372" s="130" t="s">
        <v>220</v>
      </c>
      <c r="Z1372" s="130" t="s">
        <v>8594</v>
      </c>
      <c r="AA1372" s="1415" t="s">
        <v>8595</v>
      </c>
      <c r="AB1372" s="1415" t="s">
        <v>8596</v>
      </c>
      <c r="AC1372" s="130" t="s">
        <v>8597</v>
      </c>
      <c r="AD1372" s="1417">
        <v>5.0</v>
      </c>
      <c r="AE1372" s="1417">
        <v>86.0</v>
      </c>
      <c r="AF1372" s="1417">
        <v>0.45</v>
      </c>
      <c r="AG1372" s="130" t="s">
        <v>166</v>
      </c>
      <c r="AH1372" s="1415" t="s">
        <v>8598</v>
      </c>
      <c r="AI1372" s="1417" t="s">
        <v>165</v>
      </c>
      <c r="AJ1372" s="1415" t="s">
        <v>165</v>
      </c>
      <c r="AK1372" s="1415" t="s">
        <v>179</v>
      </c>
      <c r="AL1372" s="1415" t="s">
        <v>129</v>
      </c>
      <c r="AM1372" s="1415" t="s">
        <v>165</v>
      </c>
      <c r="AN1372" s="1417">
        <v>158.0</v>
      </c>
      <c r="AO1372" s="1417">
        <v>-0.21</v>
      </c>
      <c r="AP1372" s="1415" t="s">
        <v>166</v>
      </c>
      <c r="AQ1372" s="1415" t="s">
        <v>8599</v>
      </c>
      <c r="AR1372" s="1417">
        <v>0.189</v>
      </c>
      <c r="AS1372" s="1415" t="s">
        <v>164</v>
      </c>
      <c r="AT1372" s="1415" t="s">
        <v>128</v>
      </c>
      <c r="AU1372" s="1415" t="s">
        <v>129</v>
      </c>
      <c r="AV1372" s="1424" t="s">
        <v>8600</v>
      </c>
      <c r="AW1372" s="1415" t="s">
        <v>134</v>
      </c>
      <c r="AY1372" s="1415" t="s">
        <v>3672</v>
      </c>
    </row>
    <row r="1373">
      <c r="A1373" s="41" t="s">
        <v>106</v>
      </c>
      <c r="B1373" s="41" t="s">
        <v>107</v>
      </c>
      <c r="C1373" s="41" t="s">
        <v>144</v>
      </c>
      <c r="D1373" s="1415"/>
      <c r="E1373" s="130" t="s">
        <v>8585</v>
      </c>
      <c r="F1373" s="1416" t="s">
        <v>8586</v>
      </c>
      <c r="G1373" s="130" t="s">
        <v>144</v>
      </c>
      <c r="H1373" s="1415" t="s">
        <v>8517</v>
      </c>
      <c r="I1373" s="1425">
        <v>45694.0</v>
      </c>
      <c r="J1373" s="1415" t="s">
        <v>8601</v>
      </c>
      <c r="K1373" s="1415"/>
      <c r="L1373" s="1418" t="s">
        <v>8590</v>
      </c>
      <c r="M1373" s="130" t="s">
        <v>8591</v>
      </c>
      <c r="N1373" s="1419">
        <v>2.0</v>
      </c>
      <c r="O1373" s="1420" t="s">
        <v>8592</v>
      </c>
      <c r="P1373" s="48" t="str">
        <f t="array" ref="P1373">HYPERLINK(INDEX('File Links'!B:B, MATCH(O1373, 'File Links'!C:C, 0)))
</f>
        <v>https://drive.google.com/file/d/1ytNNieBfW6njVZa_pFpdio4LUZmKmvXl/view?usp=drivesdk</v>
      </c>
      <c r="Q1373" s="130" t="s">
        <v>8593</v>
      </c>
      <c r="R1373" s="130" t="s">
        <v>7139</v>
      </c>
      <c r="T1373" s="1417">
        <v>1.0</v>
      </c>
      <c r="U1373" s="1420" t="s">
        <v>7140</v>
      </c>
      <c r="V1373" s="130" t="s">
        <v>155</v>
      </c>
      <c r="W1373" s="1426" t="s">
        <v>8510</v>
      </c>
      <c r="Y1373" s="130" t="s">
        <v>220</v>
      </c>
      <c r="Z1373" s="130" t="s">
        <v>8602</v>
      </c>
      <c r="AA1373" s="130" t="s">
        <v>8603</v>
      </c>
      <c r="AB1373" s="130" t="s">
        <v>8604</v>
      </c>
      <c r="AC1373" s="130" t="s">
        <v>8605</v>
      </c>
      <c r="AD1373" s="1419">
        <v>5.0</v>
      </c>
      <c r="AE1373" s="1419">
        <v>86.0</v>
      </c>
      <c r="AF1373" s="1419">
        <v>0.45</v>
      </c>
      <c r="AG1373" s="130" t="s">
        <v>166</v>
      </c>
      <c r="AH1373" s="1419">
        <v>0.0</v>
      </c>
      <c r="AI1373" s="1419" t="s">
        <v>165</v>
      </c>
      <c r="AJ1373" s="1432"/>
      <c r="AK1373" s="130" t="s">
        <v>128</v>
      </c>
      <c r="AL1373" s="1415" t="s">
        <v>129</v>
      </c>
      <c r="AM1373" s="1427"/>
      <c r="AN1373" s="1417">
        <v>158.0</v>
      </c>
      <c r="AO1373" s="1417">
        <v>-0.21</v>
      </c>
      <c r="AP1373" s="130" t="s">
        <v>166</v>
      </c>
      <c r="AQ1373" s="130" t="s">
        <v>624</v>
      </c>
      <c r="AR1373" s="1419">
        <v>0.189</v>
      </c>
      <c r="AS1373" s="130" t="s">
        <v>164</v>
      </c>
      <c r="AT1373" s="130" t="s">
        <v>128</v>
      </c>
      <c r="AU1373" s="1415" t="s">
        <v>129</v>
      </c>
      <c r="AV1373" s="1424" t="s">
        <v>8606</v>
      </c>
      <c r="AW1373" s="1415" t="s">
        <v>142</v>
      </c>
      <c r="AY1373" s="1415" t="s">
        <v>3672</v>
      </c>
    </row>
    <row r="1374">
      <c r="A1374" s="41" t="s">
        <v>106</v>
      </c>
      <c r="B1374" s="41" t="s">
        <v>107</v>
      </c>
      <c r="C1374" s="41" t="s">
        <v>3672</v>
      </c>
      <c r="D1374" s="1415"/>
      <c r="E1374" s="130" t="s">
        <v>8607</v>
      </c>
      <c r="F1374" s="130" t="s">
        <v>8608</v>
      </c>
      <c r="G1374" s="130" t="s">
        <v>3673</v>
      </c>
      <c r="H1374" s="1417" t="s">
        <v>8503</v>
      </c>
      <c r="I1374" s="1425">
        <v>45694.0</v>
      </c>
      <c r="J1374" s="130" t="s">
        <v>8609</v>
      </c>
      <c r="K1374" s="130" t="s">
        <v>8609</v>
      </c>
      <c r="L1374" s="1429" t="s">
        <v>8610</v>
      </c>
      <c r="M1374" s="130" t="s">
        <v>8611</v>
      </c>
      <c r="O1374" s="130" t="s">
        <v>8612</v>
      </c>
      <c r="P1374" s="48" t="str">
        <f t="array" ref="P1374">HYPERLINK(INDEX('File Links'!B:B, MATCH(O1374, 'File Links'!C:C, 0)))
</f>
        <v>https://drive.google.com/file/d/1GJ1TkFgZk1zziaW-LwEzlbPoGlAfjX81/view?usp=drivesdk</v>
      </c>
      <c r="Q1374" s="1428"/>
      <c r="R1374" s="130" t="s">
        <v>7139</v>
      </c>
      <c r="T1374" s="1435"/>
      <c r="U1374" s="130" t="s">
        <v>7140</v>
      </c>
      <c r="V1374" s="1428"/>
      <c r="W1374" s="1433" t="s">
        <v>8510</v>
      </c>
      <c r="Y1374" s="1415"/>
      <c r="Z1374" s="1428"/>
      <c r="AA1374" s="130" t="s">
        <v>8613</v>
      </c>
      <c r="AB1374" s="1436" t="s">
        <v>8614</v>
      </c>
      <c r="AC1374" s="1431"/>
      <c r="AD1374" s="1436"/>
      <c r="AE1374" s="1419">
        <v>20.0</v>
      </c>
      <c r="AF1374" s="1428"/>
      <c r="AG1374" s="1428"/>
      <c r="AH1374" s="1428"/>
      <c r="AI1374" s="1437"/>
      <c r="AJ1374" s="1432"/>
      <c r="AK1374" s="1432"/>
      <c r="AL1374" s="1438"/>
      <c r="AM1374" s="1432"/>
      <c r="AN1374" s="1428"/>
      <c r="AO1374" s="1428"/>
      <c r="AP1374" s="1428"/>
      <c r="AQ1374" s="1428"/>
      <c r="AR1374" s="1428"/>
      <c r="AS1374" s="1428"/>
      <c r="AT1374" s="1428"/>
      <c r="AU1374" s="1438"/>
      <c r="AV1374" s="1435"/>
      <c r="AW1374" s="1438"/>
      <c r="AY1374" s="1415" t="s">
        <v>3672</v>
      </c>
    </row>
    <row r="1375">
      <c r="A1375" s="115" t="s">
        <v>106</v>
      </c>
      <c r="B1375" s="41" t="s">
        <v>107</v>
      </c>
      <c r="C1375" s="41" t="s">
        <v>144</v>
      </c>
      <c r="D1375" s="1415"/>
      <c r="E1375" s="130" t="s">
        <v>8607</v>
      </c>
      <c r="F1375" s="1416" t="s">
        <v>8608</v>
      </c>
      <c r="G1375" s="130" t="s">
        <v>144</v>
      </c>
      <c r="H1375" s="1415" t="s">
        <v>8517</v>
      </c>
      <c r="I1375" s="1425">
        <v>45694.0</v>
      </c>
      <c r="J1375" s="130" t="s">
        <v>8615</v>
      </c>
      <c r="K1375" s="130"/>
      <c r="L1375" s="1418" t="s">
        <v>8610</v>
      </c>
      <c r="M1375" s="130" t="s">
        <v>8611</v>
      </c>
      <c r="O1375" s="1420" t="s">
        <v>8612</v>
      </c>
      <c r="P1375" s="48" t="str">
        <f t="array" ref="P1375">HYPERLINK(INDEX('File Links'!B:B, MATCH(O1375, 'File Links'!C:C, 0)))
</f>
        <v>https://drive.google.com/file/d/1GJ1TkFgZk1zziaW-LwEzlbPoGlAfjX81/view?usp=drivesdk</v>
      </c>
      <c r="Q1375" s="1428"/>
      <c r="R1375" s="130" t="s">
        <v>7139</v>
      </c>
      <c r="T1375" s="1435"/>
      <c r="U1375" s="1420" t="s">
        <v>7140</v>
      </c>
      <c r="V1375" s="1439"/>
      <c r="W1375" s="1421" t="s">
        <v>8510</v>
      </c>
      <c r="Y1375" s="1415"/>
      <c r="Z1375" s="1415"/>
      <c r="AA1375" s="1428"/>
      <c r="AB1375" s="1428"/>
      <c r="AC1375" s="1428"/>
      <c r="AD1375" s="1428"/>
      <c r="AE1375" s="1428"/>
      <c r="AF1375" s="1428"/>
      <c r="AG1375" s="1428"/>
      <c r="AH1375" s="1428"/>
      <c r="AI1375" s="1437"/>
      <c r="AJ1375" s="1432"/>
      <c r="AK1375" s="1432"/>
      <c r="AL1375" s="1438"/>
      <c r="AM1375" s="1432"/>
      <c r="AN1375" s="1428"/>
      <c r="AO1375" s="1428"/>
      <c r="AP1375" s="1428"/>
      <c r="AQ1375" s="1428"/>
      <c r="AR1375" s="1428"/>
      <c r="AS1375" s="1428"/>
      <c r="AT1375" s="1428"/>
      <c r="AU1375" s="1438"/>
      <c r="AV1375" s="1435"/>
      <c r="AW1375" s="1438"/>
      <c r="AY1375" s="1415" t="s">
        <v>3672</v>
      </c>
    </row>
    <row r="1376">
      <c r="A1376" s="41" t="s">
        <v>143</v>
      </c>
      <c r="B1376" s="41" t="s">
        <v>107</v>
      </c>
      <c r="C1376" s="41" t="s">
        <v>3672</v>
      </c>
      <c r="D1376" s="1415"/>
      <c r="E1376" s="130" t="s">
        <v>8616</v>
      </c>
      <c r="F1376" s="130" t="s">
        <v>8617</v>
      </c>
      <c r="G1376" s="130" t="s">
        <v>8618</v>
      </c>
      <c r="H1376" s="1417" t="s">
        <v>8503</v>
      </c>
      <c r="I1376" s="1425">
        <v>45694.0</v>
      </c>
      <c r="J1376" s="1428"/>
      <c r="K1376" s="130" t="s">
        <v>8619</v>
      </c>
      <c r="L1376" s="1429" t="s">
        <v>8620</v>
      </c>
      <c r="M1376" s="130" t="s">
        <v>8621</v>
      </c>
      <c r="N1376" s="1419">
        <v>2.0</v>
      </c>
      <c r="O1376" s="130" t="s">
        <v>8622</v>
      </c>
      <c r="P1376" s="48" t="str">
        <f t="array" ref="P1376">HYPERLINK(INDEX('File Links'!B:B, MATCH(O1376, 'File Links'!C:C, 0)))
</f>
        <v>https://drive.google.com/file/d/15z0y7asIfplDps5d3R71GhEJxQWqBU9w/view?usp=drivesdk</v>
      </c>
      <c r="Q1376" s="130" t="s">
        <v>8623</v>
      </c>
      <c r="R1376" s="130" t="s">
        <v>7139</v>
      </c>
      <c r="T1376" s="1415" t="s">
        <v>8623</v>
      </c>
      <c r="U1376" s="130" t="s">
        <v>7140</v>
      </c>
      <c r="V1376" s="130" t="s">
        <v>155</v>
      </c>
      <c r="W1376" s="1433" t="s">
        <v>8510</v>
      </c>
      <c r="Y1376" s="130" t="s">
        <v>139</v>
      </c>
      <c r="Z1376" s="130" t="s">
        <v>8624</v>
      </c>
      <c r="AA1376" s="130" t="s">
        <v>8625</v>
      </c>
      <c r="AB1376" s="130" t="s">
        <v>8626</v>
      </c>
      <c r="AC1376" s="130" t="s">
        <v>8627</v>
      </c>
      <c r="AD1376" s="1419">
        <v>9.0</v>
      </c>
      <c r="AE1376" s="1419">
        <v>22.0</v>
      </c>
      <c r="AF1376" s="130">
        <v>0.45</v>
      </c>
      <c r="AG1376" s="1422" t="s">
        <v>1785</v>
      </c>
      <c r="AH1376" s="130" t="s">
        <v>8628</v>
      </c>
      <c r="AI1376" s="1423">
        <v>0.001</v>
      </c>
      <c r="AJ1376" s="130" t="s">
        <v>127</v>
      </c>
      <c r="AK1376" s="130" t="s">
        <v>179</v>
      </c>
      <c r="AL1376" s="1415" t="s">
        <v>132</v>
      </c>
      <c r="AM1376" s="130" t="s">
        <v>165</v>
      </c>
      <c r="AN1376" s="1419">
        <v>30.0</v>
      </c>
      <c r="AO1376" s="130">
        <v>0.218</v>
      </c>
      <c r="AP1376" s="130" t="s">
        <v>1785</v>
      </c>
      <c r="AQ1376" s="130" t="s">
        <v>8629</v>
      </c>
      <c r="AR1376" s="1419">
        <v>0.008</v>
      </c>
      <c r="AS1376" s="130" t="s">
        <v>164</v>
      </c>
      <c r="AT1376" s="130" t="s">
        <v>179</v>
      </c>
      <c r="AU1376" s="1415" t="s">
        <v>132</v>
      </c>
      <c r="AV1376" s="1424" t="s">
        <v>8630</v>
      </c>
      <c r="AW1376" s="1415" t="s">
        <v>134</v>
      </c>
      <c r="AY1376" s="1415" t="s">
        <v>3672</v>
      </c>
    </row>
    <row r="1377">
      <c r="A1377" s="41" t="s">
        <v>106</v>
      </c>
      <c r="B1377" s="41" t="s">
        <v>107</v>
      </c>
      <c r="C1377" s="41" t="s">
        <v>144</v>
      </c>
      <c r="D1377" s="1415"/>
      <c r="E1377" s="130" t="s">
        <v>8616</v>
      </c>
      <c r="F1377" s="1416" t="s">
        <v>8617</v>
      </c>
      <c r="G1377" s="130" t="s">
        <v>8631</v>
      </c>
      <c r="H1377" s="1440"/>
      <c r="I1377" s="1425">
        <v>45694.0</v>
      </c>
      <c r="J1377" s="130" t="s">
        <v>8632</v>
      </c>
      <c r="K1377" s="130"/>
      <c r="L1377" s="1418" t="s">
        <v>8620</v>
      </c>
      <c r="M1377" s="130" t="s">
        <v>8621</v>
      </c>
      <c r="N1377" s="1419">
        <v>2.0</v>
      </c>
      <c r="O1377" s="1420" t="s">
        <v>8622</v>
      </c>
      <c r="P1377" s="48" t="str">
        <f t="array" ref="P1377">HYPERLINK(INDEX('File Links'!B:B, MATCH(O1377, 'File Links'!C:C, 0)))
</f>
        <v>https://drive.google.com/file/d/15z0y7asIfplDps5d3R71GhEJxQWqBU9w/view?usp=drivesdk</v>
      </c>
      <c r="Q1377" s="130" t="s">
        <v>8623</v>
      </c>
      <c r="R1377" s="130" t="s">
        <v>7139</v>
      </c>
      <c r="T1377" s="1417">
        <v>1.0</v>
      </c>
      <c r="U1377" s="1420" t="s">
        <v>7140</v>
      </c>
      <c r="V1377" s="130" t="s">
        <v>155</v>
      </c>
      <c r="W1377" s="1421" t="s">
        <v>8510</v>
      </c>
      <c r="Y1377" s="130" t="s">
        <v>139</v>
      </c>
      <c r="Z1377" s="130" t="s">
        <v>8633</v>
      </c>
      <c r="AA1377" s="130" t="s">
        <v>8634</v>
      </c>
      <c r="AB1377" s="130" t="s">
        <v>8626</v>
      </c>
      <c r="AC1377" s="130" t="s">
        <v>8635</v>
      </c>
      <c r="AD1377" s="1419">
        <v>9.0</v>
      </c>
      <c r="AE1377" s="1419">
        <v>22.0</v>
      </c>
      <c r="AF1377" s="1419">
        <v>0.45</v>
      </c>
      <c r="AG1377" s="1441" t="s">
        <v>130</v>
      </c>
      <c r="AH1377" s="130" t="s">
        <v>625</v>
      </c>
      <c r="AI1377" s="1417">
        <v>0.001</v>
      </c>
      <c r="AJ1377" s="130" t="s">
        <v>127</v>
      </c>
      <c r="AK1377" s="130" t="s">
        <v>179</v>
      </c>
      <c r="AL1377" s="1415" t="s">
        <v>129</v>
      </c>
      <c r="AM1377" s="1432"/>
      <c r="AN1377" s="1419">
        <v>30.0</v>
      </c>
      <c r="AO1377" s="1419">
        <v>0.218</v>
      </c>
      <c r="AP1377" s="130" t="s">
        <v>130</v>
      </c>
      <c r="AQ1377" s="130" t="s">
        <v>861</v>
      </c>
      <c r="AR1377" s="1419">
        <v>0.008</v>
      </c>
      <c r="AS1377" s="130" t="s">
        <v>164</v>
      </c>
      <c r="AT1377" s="130" t="s">
        <v>179</v>
      </c>
      <c r="AU1377" s="1415" t="s">
        <v>129</v>
      </c>
      <c r="AV1377" s="1424" t="s">
        <v>8636</v>
      </c>
      <c r="AW1377" s="1415" t="s">
        <v>134</v>
      </c>
      <c r="AY1377" s="1415" t="s">
        <v>3672</v>
      </c>
    </row>
    <row r="1378">
      <c r="A1378" s="41" t="s">
        <v>143</v>
      </c>
      <c r="B1378" s="41" t="s">
        <v>107</v>
      </c>
      <c r="C1378" s="41" t="s">
        <v>3672</v>
      </c>
      <c r="D1378" s="1415"/>
      <c r="E1378" s="130" t="s">
        <v>8637</v>
      </c>
      <c r="F1378" s="130" t="s">
        <v>8638</v>
      </c>
      <c r="G1378" s="130" t="s">
        <v>8639</v>
      </c>
      <c r="H1378" s="1417" t="s">
        <v>8503</v>
      </c>
      <c r="I1378" s="1425">
        <v>45694.0</v>
      </c>
      <c r="J1378" s="1428"/>
      <c r="K1378" s="1415" t="s">
        <v>8640</v>
      </c>
      <c r="L1378" s="1429" t="s">
        <v>8641</v>
      </c>
      <c r="M1378" s="130" t="s">
        <v>8642</v>
      </c>
      <c r="N1378" s="1419">
        <v>1.0</v>
      </c>
      <c r="O1378" s="130" t="s">
        <v>8643</v>
      </c>
      <c r="P1378" s="48" t="str">
        <f t="array" ref="P1378">HYPERLINK(INDEX('File Links'!B:B, MATCH(O1378, 'File Links'!C:C, 0)))
</f>
        <v>https://drive.google.com/file/d/122eQrKxq-6WpHqYSHCbu_61qufpfQpP1/view?usp=drivesdk</v>
      </c>
      <c r="Q1378" s="130" t="s">
        <v>8644</v>
      </c>
      <c r="R1378" s="130" t="s">
        <v>7139</v>
      </c>
      <c r="T1378" s="1442"/>
      <c r="U1378" s="130" t="s">
        <v>7140</v>
      </c>
      <c r="V1378" s="130" t="s">
        <v>155</v>
      </c>
      <c r="W1378" s="1430" t="s">
        <v>8510</v>
      </c>
      <c r="Y1378" s="130" t="s">
        <v>220</v>
      </c>
      <c r="Z1378" s="130" t="s">
        <v>8645</v>
      </c>
      <c r="AA1378" s="130" t="s">
        <v>8646</v>
      </c>
      <c r="AB1378" s="130" t="s">
        <v>8647</v>
      </c>
      <c r="AC1378" s="130" t="s">
        <v>8648</v>
      </c>
      <c r="AD1378" s="1419">
        <v>4.0</v>
      </c>
      <c r="AE1378" s="1419">
        <v>280.0</v>
      </c>
      <c r="AF1378" s="1419">
        <v>0.26</v>
      </c>
      <c r="AG1378" s="130" t="s">
        <v>1785</v>
      </c>
      <c r="AH1378" s="130" t="s">
        <v>8649</v>
      </c>
      <c r="AI1378" s="1419">
        <v>0.001</v>
      </c>
      <c r="AJ1378" s="130" t="s">
        <v>127</v>
      </c>
      <c r="AK1378" s="130" t="s">
        <v>128</v>
      </c>
      <c r="AL1378" s="1415" t="s">
        <v>132</v>
      </c>
      <c r="AM1378" s="1415" t="s">
        <v>165</v>
      </c>
      <c r="AN1378" s="1417">
        <v>144.0</v>
      </c>
      <c r="AO1378" s="1417">
        <v>0.008</v>
      </c>
      <c r="AP1378" s="130" t="s">
        <v>1785</v>
      </c>
      <c r="AQ1378" s="130" t="s">
        <v>8650</v>
      </c>
      <c r="AR1378" s="1417">
        <v>0.28</v>
      </c>
      <c r="AS1378" s="130" t="s">
        <v>164</v>
      </c>
      <c r="AT1378" s="130" t="s">
        <v>179</v>
      </c>
      <c r="AU1378" s="1415" t="s">
        <v>132</v>
      </c>
      <c r="AV1378" s="1424" t="s">
        <v>8651</v>
      </c>
      <c r="AW1378" s="1415" t="s">
        <v>134</v>
      </c>
      <c r="AY1378" s="1415" t="s">
        <v>3672</v>
      </c>
    </row>
    <row r="1379">
      <c r="A1379" s="41" t="s">
        <v>106</v>
      </c>
      <c r="B1379" s="41" t="s">
        <v>107</v>
      </c>
      <c r="C1379" s="41" t="s">
        <v>144</v>
      </c>
      <c r="D1379" s="1415"/>
      <c r="E1379" s="130" t="s">
        <v>8637</v>
      </c>
      <c r="F1379" s="1416" t="s">
        <v>8638</v>
      </c>
      <c r="G1379" s="130" t="s">
        <v>144</v>
      </c>
      <c r="H1379" s="1415" t="s">
        <v>8517</v>
      </c>
      <c r="I1379" s="1425">
        <v>45694.0</v>
      </c>
      <c r="J1379" s="1428"/>
      <c r="K1379" s="1438"/>
      <c r="L1379" s="1418" t="s">
        <v>8641</v>
      </c>
      <c r="M1379" s="130" t="s">
        <v>8642</v>
      </c>
      <c r="N1379" s="1419">
        <v>1.0</v>
      </c>
      <c r="O1379" s="1420" t="s">
        <v>8643</v>
      </c>
      <c r="P1379" s="48" t="str">
        <f t="array" ref="P1379">HYPERLINK(INDEX('File Links'!B:B, MATCH(O1379, 'File Links'!C:C, 0)))
</f>
        <v>https://drive.google.com/file/d/122eQrKxq-6WpHqYSHCbu_61qufpfQpP1/view?usp=drivesdk</v>
      </c>
      <c r="Q1379" s="130" t="s">
        <v>8644</v>
      </c>
      <c r="R1379" s="130" t="s">
        <v>7139</v>
      </c>
      <c r="T1379" s="1417">
        <v>1.0</v>
      </c>
      <c r="U1379" s="1420" t="s">
        <v>7140</v>
      </c>
      <c r="V1379" s="130" t="s">
        <v>155</v>
      </c>
      <c r="W1379" s="1426" t="s">
        <v>8510</v>
      </c>
      <c r="Y1379" s="130" t="s">
        <v>220</v>
      </c>
      <c r="Z1379" s="130" t="s">
        <v>8652</v>
      </c>
      <c r="AA1379" s="130" t="s">
        <v>8653</v>
      </c>
      <c r="AB1379" s="130" t="s">
        <v>8654</v>
      </c>
      <c r="AC1379" s="130" t="s">
        <v>8655</v>
      </c>
      <c r="AD1379" s="1419">
        <v>4.0</v>
      </c>
      <c r="AE1379" s="1417">
        <v>280.0</v>
      </c>
      <c r="AF1379" s="1419">
        <v>0.326</v>
      </c>
      <c r="AG1379" s="130" t="s">
        <v>130</v>
      </c>
      <c r="AH1379" s="130" t="s">
        <v>861</v>
      </c>
      <c r="AI1379" s="1419">
        <v>0.001</v>
      </c>
      <c r="AJ1379" s="130" t="s">
        <v>127</v>
      </c>
      <c r="AK1379" s="130" t="s">
        <v>128</v>
      </c>
      <c r="AL1379" s="1415" t="s">
        <v>132</v>
      </c>
      <c r="AM1379" s="1427"/>
      <c r="AN1379" s="1417">
        <v>144.0</v>
      </c>
      <c r="AO1379" s="1417">
        <v>0.008</v>
      </c>
      <c r="AP1379" s="130" t="s">
        <v>130</v>
      </c>
      <c r="AQ1379" s="130" t="s">
        <v>861</v>
      </c>
      <c r="AR1379" s="1419">
        <v>0.28</v>
      </c>
      <c r="AS1379" s="130" t="s">
        <v>164</v>
      </c>
      <c r="AT1379" s="130" t="s">
        <v>179</v>
      </c>
      <c r="AU1379" s="1415" t="s">
        <v>132</v>
      </c>
      <c r="AV1379" s="1424" t="s">
        <v>8656</v>
      </c>
      <c r="AW1379" s="1415" t="s">
        <v>134</v>
      </c>
      <c r="AY1379" s="1415" t="s">
        <v>3672</v>
      </c>
    </row>
    <row r="1380">
      <c r="A1380" s="115" t="s">
        <v>143</v>
      </c>
      <c r="B1380" s="41" t="s">
        <v>107</v>
      </c>
      <c r="C1380" s="41" t="s">
        <v>3672</v>
      </c>
      <c r="D1380" s="1415"/>
      <c r="E1380" s="130" t="s">
        <v>8657</v>
      </c>
      <c r="F1380" s="130" t="s">
        <v>8658</v>
      </c>
      <c r="G1380" s="130" t="s">
        <v>8659</v>
      </c>
      <c r="H1380" s="1417" t="s">
        <v>8503</v>
      </c>
      <c r="I1380" s="1425">
        <v>45694.0</v>
      </c>
      <c r="J1380" s="1428"/>
      <c r="K1380" s="130" t="s">
        <v>8660</v>
      </c>
      <c r="L1380" s="1429" t="s">
        <v>8661</v>
      </c>
      <c r="M1380" s="130" t="s">
        <v>8662</v>
      </c>
      <c r="N1380" s="130" t="s">
        <v>8663</v>
      </c>
      <c r="O1380" s="130" t="s">
        <v>8664</v>
      </c>
      <c r="P1380" s="48" t="str">
        <f t="array" ref="P1380">HYPERLINK(INDEX('File Links'!B:B, MATCH(O1380, 'File Links'!C:C, 0)))
</f>
        <v>https://drive.google.com/file/d/1-SaG8WiDfkM6zwdVOonoQg1W2TXK8F2W/view?usp=drivesdk</v>
      </c>
      <c r="Q1380" s="130" t="s">
        <v>8665</v>
      </c>
      <c r="R1380" s="130" t="s">
        <v>8666</v>
      </c>
      <c r="T1380" s="1443">
        <v>1.0</v>
      </c>
      <c r="U1380" s="130" t="s">
        <v>8667</v>
      </c>
      <c r="V1380" s="130" t="s">
        <v>155</v>
      </c>
      <c r="W1380" s="1433" t="s">
        <v>8510</v>
      </c>
      <c r="Y1380" s="130" t="s">
        <v>139</v>
      </c>
      <c r="Z1380" s="130" t="s">
        <v>8668</v>
      </c>
      <c r="AA1380" s="130" t="s">
        <v>8669</v>
      </c>
      <c r="AB1380" s="130" t="s">
        <v>8670</v>
      </c>
      <c r="AC1380" s="1444" t="s">
        <v>8671</v>
      </c>
      <c r="AD1380" s="1422">
        <v>5.0</v>
      </c>
      <c r="AE1380" s="1419">
        <v>59.0</v>
      </c>
      <c r="AF1380" s="130" t="s">
        <v>8672</v>
      </c>
      <c r="AG1380" s="130" t="s">
        <v>162</v>
      </c>
      <c r="AH1380" s="130" t="s">
        <v>892</v>
      </c>
      <c r="AI1380" s="1415" t="s">
        <v>165</v>
      </c>
      <c r="AJ1380" s="130" t="s">
        <v>165</v>
      </c>
      <c r="AK1380" s="130" t="s">
        <v>179</v>
      </c>
      <c r="AL1380" s="1415" t="s">
        <v>129</v>
      </c>
      <c r="AM1380" s="130" t="s">
        <v>165</v>
      </c>
      <c r="AN1380" s="1419">
        <v>120.0</v>
      </c>
      <c r="AO1380" s="130">
        <v>0.05</v>
      </c>
      <c r="AP1380" s="130" t="s">
        <v>1785</v>
      </c>
      <c r="AQ1380" s="130" t="s">
        <v>8673</v>
      </c>
      <c r="AR1380" s="1419">
        <v>0.014</v>
      </c>
      <c r="AS1380" s="130" t="s">
        <v>164</v>
      </c>
      <c r="AT1380" s="130" t="s">
        <v>179</v>
      </c>
      <c r="AU1380" s="1415" t="s">
        <v>129</v>
      </c>
      <c r="AV1380" s="1424" t="s">
        <v>8674</v>
      </c>
      <c r="AW1380" s="1415" t="s">
        <v>134</v>
      </c>
      <c r="AY1380" s="1415" t="s">
        <v>3672</v>
      </c>
    </row>
    <row r="1381">
      <c r="A1381" s="41" t="s">
        <v>106</v>
      </c>
      <c r="B1381" s="41" t="s">
        <v>107</v>
      </c>
      <c r="C1381" s="41" t="s">
        <v>144</v>
      </c>
      <c r="D1381" s="1415"/>
      <c r="E1381" s="130" t="s">
        <v>8657</v>
      </c>
      <c r="F1381" s="1416" t="s">
        <v>8658</v>
      </c>
      <c r="G1381" s="130" t="s">
        <v>144</v>
      </c>
      <c r="H1381" s="1415" t="s">
        <v>8517</v>
      </c>
      <c r="I1381" s="1425">
        <v>45694.0</v>
      </c>
      <c r="J1381" s="130" t="s">
        <v>8675</v>
      </c>
      <c r="K1381" s="130"/>
      <c r="L1381" s="1418" t="s">
        <v>8661</v>
      </c>
      <c r="M1381" s="130" t="s">
        <v>8662</v>
      </c>
      <c r="N1381" s="130" t="s">
        <v>6455</v>
      </c>
      <c r="O1381" s="1420" t="s">
        <v>8664</v>
      </c>
      <c r="P1381" s="48" t="str">
        <f t="array" ref="P1381">HYPERLINK(INDEX('File Links'!B:B, MATCH(O1381, 'File Links'!C:C, 0)))
</f>
        <v>https://drive.google.com/file/d/1-SaG8WiDfkM6zwdVOonoQg1W2TXK8F2W/view?usp=drivesdk</v>
      </c>
      <c r="Q1381" s="130" t="s">
        <v>8665</v>
      </c>
      <c r="R1381" s="130" t="s">
        <v>8666</v>
      </c>
      <c r="T1381" s="1417">
        <v>1.0</v>
      </c>
      <c r="U1381" s="1420" t="s">
        <v>8667</v>
      </c>
      <c r="V1381" s="130" t="s">
        <v>155</v>
      </c>
      <c r="W1381" s="1421" t="s">
        <v>8510</v>
      </c>
      <c r="Y1381" s="130" t="s">
        <v>139</v>
      </c>
      <c r="Z1381" s="130" t="s">
        <v>8676</v>
      </c>
      <c r="AA1381" s="130" t="s">
        <v>8677</v>
      </c>
      <c r="AB1381" s="130" t="s">
        <v>8678</v>
      </c>
      <c r="AC1381" s="130" t="s">
        <v>8679</v>
      </c>
      <c r="AD1381" s="1419">
        <v>5.0</v>
      </c>
      <c r="AE1381" s="1419">
        <v>59.0</v>
      </c>
      <c r="AF1381" s="1419">
        <v>0.02</v>
      </c>
      <c r="AG1381" s="130" t="s">
        <v>8680</v>
      </c>
      <c r="AH1381" s="130" t="s">
        <v>892</v>
      </c>
      <c r="AI1381" s="1415" t="s">
        <v>165</v>
      </c>
      <c r="AJ1381" s="130" t="s">
        <v>165</v>
      </c>
      <c r="AK1381" s="130" t="s">
        <v>179</v>
      </c>
      <c r="AL1381" s="1415" t="s">
        <v>129</v>
      </c>
      <c r="AM1381" s="1432"/>
      <c r="AN1381" s="1419">
        <v>120.0</v>
      </c>
      <c r="AO1381" s="1419">
        <v>0.05</v>
      </c>
      <c r="AP1381" s="130" t="s">
        <v>130</v>
      </c>
      <c r="AQ1381" s="130" t="s">
        <v>886</v>
      </c>
      <c r="AR1381" s="1419">
        <v>0.014</v>
      </c>
      <c r="AS1381" s="130" t="s">
        <v>164</v>
      </c>
      <c r="AT1381" s="130" t="s">
        <v>179</v>
      </c>
      <c r="AU1381" s="1415" t="s">
        <v>129</v>
      </c>
      <c r="AV1381" s="1424" t="s">
        <v>8681</v>
      </c>
      <c r="AW1381" s="1415" t="s">
        <v>134</v>
      </c>
      <c r="AY1381" s="1415" t="s">
        <v>3672</v>
      </c>
    </row>
    <row r="1382">
      <c r="A1382" s="41" t="s">
        <v>106</v>
      </c>
      <c r="B1382" s="41" t="s">
        <v>107</v>
      </c>
      <c r="C1382" s="41" t="s">
        <v>3672</v>
      </c>
      <c r="D1382" s="1415"/>
      <c r="E1382" s="130" t="s">
        <v>8682</v>
      </c>
      <c r="F1382" s="130" t="s">
        <v>8683</v>
      </c>
      <c r="G1382" s="130" t="s">
        <v>8684</v>
      </c>
      <c r="H1382" s="1415" t="s">
        <v>8685</v>
      </c>
      <c r="I1382" s="1425">
        <v>45694.0</v>
      </c>
      <c r="J1382" s="1438"/>
      <c r="K1382" s="1415" t="s">
        <v>8686</v>
      </c>
      <c r="L1382" s="1429" t="s">
        <v>8687</v>
      </c>
      <c r="M1382" s="130" t="s">
        <v>8688</v>
      </c>
      <c r="N1382" s="1417">
        <v>1.0</v>
      </c>
      <c r="O1382" s="130" t="s">
        <v>8689</v>
      </c>
      <c r="P1382" s="48" t="str">
        <f t="array" ref="P1382">HYPERLINK(INDEX('File Links'!B:B, MATCH(O1382, 'File Links'!C:C, 0)))
</f>
        <v>https://drive.google.com/file/d/19KQFSemeD8gmmrYhmcTweZW1cifRjRsN/view?usp=drivesdk</v>
      </c>
      <c r="Q1382" s="130" t="s">
        <v>8690</v>
      </c>
      <c r="R1382" s="130" t="s">
        <v>7139</v>
      </c>
      <c r="T1382" s="1417" t="s">
        <v>8691</v>
      </c>
      <c r="U1382" s="130" t="s">
        <v>7140</v>
      </c>
      <c r="V1382" s="130" t="s">
        <v>155</v>
      </c>
      <c r="W1382" s="1434" t="s">
        <v>8510</v>
      </c>
      <c r="Y1382" s="130" t="s">
        <v>139</v>
      </c>
      <c r="Z1382" s="1436"/>
      <c r="AA1382" s="1415" t="s">
        <v>8692</v>
      </c>
      <c r="AB1382" s="1415" t="s">
        <v>8693</v>
      </c>
      <c r="AC1382" s="130" t="s">
        <v>8694</v>
      </c>
      <c r="AD1382" s="1417">
        <v>3.0</v>
      </c>
      <c r="AE1382" s="1417">
        <v>141.0</v>
      </c>
      <c r="AF1382" s="1417">
        <v>-0.7</v>
      </c>
      <c r="AG1382" s="130" t="s">
        <v>208</v>
      </c>
      <c r="AH1382" s="1415" t="s">
        <v>8695</v>
      </c>
      <c r="AI1382" s="1417">
        <v>0.05</v>
      </c>
      <c r="AJ1382" s="1415" t="s">
        <v>127</v>
      </c>
      <c r="AK1382" s="1415" t="s">
        <v>179</v>
      </c>
      <c r="AL1382" s="1415" t="s">
        <v>129</v>
      </c>
      <c r="AM1382" s="1415" t="s">
        <v>165</v>
      </c>
      <c r="AN1382" s="1417">
        <v>51.0</v>
      </c>
      <c r="AO1382" s="1417">
        <v>-0.75</v>
      </c>
      <c r="AP1382" s="1415" t="s">
        <v>208</v>
      </c>
      <c r="AQ1382" s="1415" t="s">
        <v>8696</v>
      </c>
      <c r="AR1382" s="1417">
        <v>0.01</v>
      </c>
      <c r="AS1382" s="1415" t="s">
        <v>127</v>
      </c>
      <c r="AT1382" s="1415" t="s">
        <v>179</v>
      </c>
      <c r="AU1382" s="1415" t="s">
        <v>129</v>
      </c>
      <c r="AV1382" s="1424" t="s">
        <v>8697</v>
      </c>
      <c r="AW1382" s="1415" t="s">
        <v>134</v>
      </c>
      <c r="AY1382" s="1415" t="s">
        <v>3672</v>
      </c>
    </row>
    <row r="1383">
      <c r="A1383" s="115" t="s">
        <v>143</v>
      </c>
      <c r="B1383" s="41" t="s">
        <v>107</v>
      </c>
      <c r="C1383" s="41" t="s">
        <v>144</v>
      </c>
      <c r="D1383" s="1415"/>
      <c r="E1383" s="130" t="s">
        <v>8682</v>
      </c>
      <c r="F1383" s="1416" t="s">
        <v>8683</v>
      </c>
      <c r="G1383" s="130" t="s">
        <v>144</v>
      </c>
      <c r="H1383" s="1415" t="s">
        <v>8517</v>
      </c>
      <c r="I1383" s="1425">
        <v>45694.0</v>
      </c>
      <c r="J1383" s="1428"/>
      <c r="K1383" s="1438"/>
      <c r="L1383" s="1418" t="s">
        <v>8687</v>
      </c>
      <c r="M1383" s="130" t="s">
        <v>8688</v>
      </c>
      <c r="N1383" s="1419">
        <v>1.0</v>
      </c>
      <c r="O1383" s="1420" t="s">
        <v>8689</v>
      </c>
      <c r="P1383" s="48" t="str">
        <f t="array" ref="P1383">HYPERLINK(INDEX('File Links'!B:B, MATCH(O1383, 'File Links'!C:C, 0)))
</f>
        <v>https://drive.google.com/file/d/19KQFSemeD8gmmrYhmcTweZW1cifRjRsN/view?usp=drivesdk</v>
      </c>
      <c r="Q1383" s="130" t="s">
        <v>8690</v>
      </c>
      <c r="R1383" s="130" t="s">
        <v>7139</v>
      </c>
      <c r="T1383" s="1417">
        <v>1.0</v>
      </c>
      <c r="U1383" s="1420" t="s">
        <v>7140</v>
      </c>
      <c r="V1383" s="130" t="s">
        <v>155</v>
      </c>
      <c r="W1383" s="1426" t="s">
        <v>8510</v>
      </c>
      <c r="Y1383" s="130" t="s">
        <v>139</v>
      </c>
      <c r="Z1383" s="130" t="s">
        <v>7620</v>
      </c>
      <c r="AA1383" s="130" t="s">
        <v>8698</v>
      </c>
      <c r="AB1383" s="130" t="s">
        <v>8693</v>
      </c>
      <c r="AC1383" s="130" t="s">
        <v>8699</v>
      </c>
      <c r="AD1383" s="1419">
        <v>3.0</v>
      </c>
      <c r="AE1383" s="1419">
        <v>141.0</v>
      </c>
      <c r="AF1383" s="1419">
        <v>-0.7</v>
      </c>
      <c r="AG1383" s="130" t="s">
        <v>208</v>
      </c>
      <c r="AH1383" s="130" t="s">
        <v>210</v>
      </c>
      <c r="AI1383" s="1419">
        <v>0.05</v>
      </c>
      <c r="AJ1383" s="130" t="s">
        <v>127</v>
      </c>
      <c r="AK1383" s="130" t="s">
        <v>179</v>
      </c>
      <c r="AL1383" s="1415" t="s">
        <v>129</v>
      </c>
      <c r="AM1383" s="1427"/>
      <c r="AN1383" s="1417">
        <v>51.0</v>
      </c>
      <c r="AO1383" s="1417">
        <v>-0.75</v>
      </c>
      <c r="AP1383" s="130" t="s">
        <v>208</v>
      </c>
      <c r="AQ1383" s="130" t="s">
        <v>861</v>
      </c>
      <c r="AR1383" s="1419">
        <v>0.01</v>
      </c>
      <c r="AS1383" s="130" t="s">
        <v>127</v>
      </c>
      <c r="AT1383" s="130" t="s">
        <v>179</v>
      </c>
      <c r="AU1383" s="1415" t="s">
        <v>129</v>
      </c>
      <c r="AV1383" s="1424" t="s">
        <v>8700</v>
      </c>
      <c r="AW1383" s="1415" t="s">
        <v>134</v>
      </c>
      <c r="AY1383" s="1415" t="s">
        <v>3672</v>
      </c>
    </row>
    <row r="1384">
      <c r="A1384" s="41" t="s">
        <v>106</v>
      </c>
      <c r="B1384" s="41" t="s">
        <v>107</v>
      </c>
      <c r="C1384" s="41" t="s">
        <v>3672</v>
      </c>
      <c r="D1384" s="1415"/>
      <c r="E1384" s="130" t="s">
        <v>8701</v>
      </c>
      <c r="F1384" s="130" t="s">
        <v>8702</v>
      </c>
      <c r="G1384" s="130" t="s">
        <v>8703</v>
      </c>
      <c r="H1384" s="1417" t="s">
        <v>8503</v>
      </c>
      <c r="I1384" s="1425">
        <v>45694.0</v>
      </c>
      <c r="J1384" s="130" t="s">
        <v>8704</v>
      </c>
      <c r="K1384" s="130" t="s">
        <v>8705</v>
      </c>
      <c r="L1384" s="1429" t="s">
        <v>8706</v>
      </c>
      <c r="M1384" s="130" t="s">
        <v>8707</v>
      </c>
      <c r="N1384" s="1419">
        <v>1.0</v>
      </c>
      <c r="O1384" s="130" t="s">
        <v>8708</v>
      </c>
      <c r="P1384" s="48" t="str">
        <f t="array" ref="P1384">HYPERLINK(INDEX('File Links'!B:B, MATCH(O1384, 'File Links'!C:C, 0)))
</f>
        <v>https://drive.google.com/file/d/1UOMf-snqsk6_xm9569d5Yr7tIrEVriap/view?usp=drivesdk</v>
      </c>
      <c r="Q1384" s="130" t="s">
        <v>8709</v>
      </c>
      <c r="R1384" s="130" t="s">
        <v>7139</v>
      </c>
      <c r="T1384" s="1415" t="s">
        <v>8709</v>
      </c>
      <c r="U1384" s="130" t="s">
        <v>7140</v>
      </c>
      <c r="V1384" s="130" t="s">
        <v>155</v>
      </c>
      <c r="W1384" s="1433" t="s">
        <v>8510</v>
      </c>
      <c r="Y1384" s="130" t="s">
        <v>220</v>
      </c>
      <c r="Z1384" s="130" t="s">
        <v>8710</v>
      </c>
      <c r="AA1384" s="130" t="s">
        <v>8711</v>
      </c>
      <c r="AB1384" s="130" t="s">
        <v>8712</v>
      </c>
      <c r="AC1384" s="130" t="s">
        <v>8713</v>
      </c>
      <c r="AD1384" s="1419">
        <v>1.0</v>
      </c>
      <c r="AE1384" s="1419">
        <v>125.0</v>
      </c>
      <c r="AF1384" s="130">
        <v>0.93</v>
      </c>
      <c r="AG1384" s="130" t="s">
        <v>166</v>
      </c>
      <c r="AH1384" s="130" t="s">
        <v>8714</v>
      </c>
      <c r="AI1384" s="1415" t="s">
        <v>165</v>
      </c>
      <c r="AJ1384" s="1432"/>
      <c r="AK1384" s="130" t="s">
        <v>179</v>
      </c>
      <c r="AL1384" s="1415" t="s">
        <v>129</v>
      </c>
      <c r="AM1384" s="130" t="s">
        <v>165</v>
      </c>
      <c r="AN1384" s="1419">
        <v>177.0</v>
      </c>
      <c r="AO1384" s="130">
        <v>1.18</v>
      </c>
      <c r="AP1384" s="130" t="s">
        <v>166</v>
      </c>
      <c r="AQ1384" s="130" t="s">
        <v>8715</v>
      </c>
      <c r="AR1384" s="1419">
        <v>0.001</v>
      </c>
      <c r="AS1384" s="130" t="s">
        <v>127</v>
      </c>
      <c r="AT1384" s="130" t="s">
        <v>179</v>
      </c>
      <c r="AU1384" s="1415" t="s">
        <v>129</v>
      </c>
      <c r="AV1384" s="1424" t="s">
        <v>8716</v>
      </c>
      <c r="AW1384" s="1415" t="s">
        <v>134</v>
      </c>
      <c r="AY1384" s="1415" t="s">
        <v>3672</v>
      </c>
    </row>
    <row r="1385">
      <c r="A1385" s="115" t="s">
        <v>143</v>
      </c>
      <c r="B1385" s="41" t="s">
        <v>107</v>
      </c>
      <c r="C1385" s="41" t="s">
        <v>144</v>
      </c>
      <c r="D1385" s="1415"/>
      <c r="E1385" s="130" t="s">
        <v>8701</v>
      </c>
      <c r="F1385" s="1416" t="s">
        <v>8702</v>
      </c>
      <c r="G1385" s="130" t="s">
        <v>144</v>
      </c>
      <c r="H1385" s="1415" t="s">
        <v>8517</v>
      </c>
      <c r="I1385" s="1425">
        <v>45694.0</v>
      </c>
      <c r="J1385" s="130" t="s">
        <v>8717</v>
      </c>
      <c r="K1385" s="130"/>
      <c r="L1385" s="1418" t="s">
        <v>8706</v>
      </c>
      <c r="M1385" s="130" t="s">
        <v>8707</v>
      </c>
      <c r="N1385" s="1419">
        <v>1.0</v>
      </c>
      <c r="O1385" s="1420" t="s">
        <v>8708</v>
      </c>
      <c r="P1385" s="48" t="str">
        <f t="array" ref="P1385">HYPERLINK(INDEX('File Links'!B:B, MATCH(O1385, 'File Links'!C:C, 0)))
</f>
        <v>https://drive.google.com/file/d/1UOMf-snqsk6_xm9569d5Yr7tIrEVriap/view?usp=drivesdk</v>
      </c>
      <c r="Q1385" s="130" t="s">
        <v>8709</v>
      </c>
      <c r="R1385" s="130" t="s">
        <v>7139</v>
      </c>
      <c r="T1385" s="1417">
        <v>1.0</v>
      </c>
      <c r="U1385" s="1420" t="s">
        <v>7140</v>
      </c>
      <c r="V1385" s="130" t="s">
        <v>155</v>
      </c>
      <c r="W1385" s="1426" t="s">
        <v>8510</v>
      </c>
      <c r="Y1385" s="130" t="s">
        <v>220</v>
      </c>
      <c r="Z1385" s="130" t="s">
        <v>8718</v>
      </c>
      <c r="AA1385" s="130" t="s">
        <v>8719</v>
      </c>
      <c r="AB1385" s="130" t="s">
        <v>8720</v>
      </c>
      <c r="AC1385" s="130" t="s">
        <v>8721</v>
      </c>
      <c r="AD1385" s="1419">
        <v>1.0</v>
      </c>
      <c r="AE1385" s="1419">
        <v>125.0</v>
      </c>
      <c r="AF1385" s="1419">
        <v>0.93</v>
      </c>
      <c r="AG1385" s="130" t="s">
        <v>166</v>
      </c>
      <c r="AH1385" s="130" t="s">
        <v>2401</v>
      </c>
      <c r="AI1385" s="1419" t="s">
        <v>165</v>
      </c>
      <c r="AJ1385" s="1432"/>
      <c r="AK1385" s="130" t="s">
        <v>179</v>
      </c>
      <c r="AL1385" s="1415" t="s">
        <v>129</v>
      </c>
      <c r="AM1385" s="1427"/>
      <c r="AN1385" s="1417">
        <v>177.0</v>
      </c>
      <c r="AO1385" s="1417">
        <v>1.18</v>
      </c>
      <c r="AP1385" s="130" t="s">
        <v>166</v>
      </c>
      <c r="AQ1385" s="130" t="s">
        <v>131</v>
      </c>
      <c r="AR1385" s="1419">
        <v>0.001</v>
      </c>
      <c r="AS1385" s="130" t="s">
        <v>127</v>
      </c>
      <c r="AT1385" s="130" t="s">
        <v>179</v>
      </c>
      <c r="AU1385" s="1415" t="s">
        <v>129</v>
      </c>
      <c r="AV1385" s="1424" t="s">
        <v>8722</v>
      </c>
      <c r="AW1385" s="1415" t="s">
        <v>142</v>
      </c>
      <c r="AY1385" s="1415" t="s">
        <v>3672</v>
      </c>
    </row>
    <row r="1386">
      <c r="A1386" s="115" t="s">
        <v>143</v>
      </c>
      <c r="B1386" s="41" t="s">
        <v>107</v>
      </c>
      <c r="C1386" s="41" t="s">
        <v>3672</v>
      </c>
      <c r="D1386" s="1415"/>
      <c r="E1386" s="130" t="s">
        <v>8723</v>
      </c>
      <c r="F1386" s="130" t="s">
        <v>8724</v>
      </c>
      <c r="G1386" s="130" t="s">
        <v>8725</v>
      </c>
      <c r="H1386" s="1417" t="s">
        <v>8503</v>
      </c>
      <c r="I1386" s="1425">
        <v>45694.0</v>
      </c>
      <c r="J1386" s="130" t="s">
        <v>8726</v>
      </c>
      <c r="K1386" s="1415" t="s">
        <v>8727</v>
      </c>
      <c r="L1386" s="1429" t="s">
        <v>8728</v>
      </c>
      <c r="M1386" s="130" t="s">
        <v>8729</v>
      </c>
      <c r="N1386" s="1419">
        <v>1.0</v>
      </c>
      <c r="O1386" s="130" t="s">
        <v>8730</v>
      </c>
      <c r="P1386" s="48" t="str">
        <f t="array" ref="P1386">HYPERLINK(INDEX('File Links'!B:B, MATCH(O1386, 'File Links'!C:C, 0)))
</f>
        <v>https://drive.google.com/file/d/1VxdhYWAzQnqcs07E_QIp8DFonsZrBpYe/view?usp=drivesdk</v>
      </c>
      <c r="Q1386" s="130" t="s">
        <v>8731</v>
      </c>
      <c r="R1386" s="130" t="s">
        <v>7139</v>
      </c>
      <c r="T1386" s="1417" t="s">
        <v>8731</v>
      </c>
      <c r="U1386" s="130" t="s">
        <v>7140</v>
      </c>
      <c r="V1386" s="130" t="s">
        <v>155</v>
      </c>
      <c r="W1386" s="1430" t="s">
        <v>8510</v>
      </c>
      <c r="Y1386" s="130" t="s">
        <v>220</v>
      </c>
      <c r="Z1386" s="130" t="s">
        <v>8732</v>
      </c>
      <c r="AA1386" s="130" t="s">
        <v>8733</v>
      </c>
      <c r="AB1386" s="130" t="s">
        <v>8734</v>
      </c>
      <c r="AC1386" s="130" t="s">
        <v>8735</v>
      </c>
      <c r="AD1386" s="1419">
        <v>4.0</v>
      </c>
      <c r="AE1386" s="1419">
        <v>32.0</v>
      </c>
      <c r="AF1386" s="1419" t="s">
        <v>8736</v>
      </c>
      <c r="AG1386" s="130" t="s">
        <v>130</v>
      </c>
      <c r="AH1386" s="130" t="s">
        <v>861</v>
      </c>
      <c r="AI1386" s="1419" t="s">
        <v>165</v>
      </c>
      <c r="AJ1386" s="1432"/>
      <c r="AK1386" s="130" t="s">
        <v>179</v>
      </c>
      <c r="AL1386" s="1415" t="s">
        <v>132</v>
      </c>
      <c r="AM1386" s="1415" t="s">
        <v>165</v>
      </c>
      <c r="AN1386" s="1417">
        <v>32.0</v>
      </c>
      <c r="AO1386" s="1417" t="s">
        <v>8737</v>
      </c>
      <c r="AP1386" s="130" t="s">
        <v>130</v>
      </c>
      <c r="AQ1386" s="130" t="s">
        <v>892</v>
      </c>
      <c r="AR1386" s="1419">
        <v>0.001</v>
      </c>
      <c r="AS1386" s="130" t="s">
        <v>127</v>
      </c>
      <c r="AT1386" s="130" t="s">
        <v>128</v>
      </c>
      <c r="AU1386" s="1415" t="s">
        <v>132</v>
      </c>
      <c r="AV1386" s="1424" t="s">
        <v>8738</v>
      </c>
      <c r="AW1386" s="1415" t="s">
        <v>134</v>
      </c>
      <c r="AY1386" s="1415" t="s">
        <v>3672</v>
      </c>
    </row>
    <row r="1387">
      <c r="A1387" s="41" t="s">
        <v>106</v>
      </c>
      <c r="B1387" s="41" t="s">
        <v>107</v>
      </c>
      <c r="C1387" s="41" t="s">
        <v>144</v>
      </c>
      <c r="D1387" s="1415"/>
      <c r="E1387" s="130" t="s">
        <v>8723</v>
      </c>
      <c r="F1387" s="1416" t="s">
        <v>8724</v>
      </c>
      <c r="G1387" s="130" t="s">
        <v>144</v>
      </c>
      <c r="H1387" s="1415" t="s">
        <v>8517</v>
      </c>
      <c r="I1387" s="1425">
        <v>45694.0</v>
      </c>
      <c r="J1387" s="130" t="s">
        <v>8739</v>
      </c>
      <c r="K1387" s="130"/>
      <c r="L1387" s="1418" t="s">
        <v>8728</v>
      </c>
      <c r="M1387" s="130" t="s">
        <v>8729</v>
      </c>
      <c r="N1387" s="1419">
        <v>1.0</v>
      </c>
      <c r="O1387" s="1420" t="s">
        <v>8730</v>
      </c>
      <c r="P1387" s="48" t="str">
        <f t="array" ref="P1387">HYPERLINK(INDEX('File Links'!B:B, MATCH(O1387, 'File Links'!C:C, 0)))
</f>
        <v>https://drive.google.com/file/d/1VxdhYWAzQnqcs07E_QIp8DFonsZrBpYe/view?usp=drivesdk</v>
      </c>
      <c r="Q1387" s="130" t="s">
        <v>8731</v>
      </c>
      <c r="R1387" s="130" t="s">
        <v>7139</v>
      </c>
      <c r="T1387" s="1417">
        <v>1.0</v>
      </c>
      <c r="U1387" s="1420" t="s">
        <v>7140</v>
      </c>
      <c r="V1387" s="130" t="s">
        <v>7707</v>
      </c>
      <c r="W1387" s="1421" t="s">
        <v>8510</v>
      </c>
      <c r="Y1387" s="130" t="s">
        <v>220</v>
      </c>
      <c r="Z1387" s="130" t="s">
        <v>8732</v>
      </c>
      <c r="AA1387" s="130" t="s">
        <v>8740</v>
      </c>
      <c r="AB1387" s="130" t="s">
        <v>8741</v>
      </c>
      <c r="AC1387" s="130" t="s">
        <v>8742</v>
      </c>
      <c r="AD1387" s="1419">
        <v>4.0</v>
      </c>
      <c r="AE1387" s="1419">
        <v>32.0</v>
      </c>
      <c r="AF1387" s="1419">
        <v>0.326</v>
      </c>
      <c r="AG1387" s="130" t="s">
        <v>130</v>
      </c>
      <c r="AH1387" s="130" t="s">
        <v>861</v>
      </c>
      <c r="AI1387" s="1415" t="s">
        <v>165</v>
      </c>
      <c r="AJ1387" s="130" t="s">
        <v>165</v>
      </c>
      <c r="AK1387" s="130" t="s">
        <v>179</v>
      </c>
      <c r="AL1387" s="1415" t="s">
        <v>129</v>
      </c>
      <c r="AM1387" s="1432"/>
      <c r="AN1387" s="1419">
        <v>32.0</v>
      </c>
      <c r="AO1387" s="1419">
        <v>0.422</v>
      </c>
      <c r="AP1387" s="130" t="s">
        <v>130</v>
      </c>
      <c r="AQ1387" s="130" t="s">
        <v>892</v>
      </c>
      <c r="AR1387" s="1419">
        <v>0.001</v>
      </c>
      <c r="AS1387" s="130" t="s">
        <v>127</v>
      </c>
      <c r="AT1387" s="130" t="s">
        <v>128</v>
      </c>
      <c r="AU1387" s="1415" t="s">
        <v>129</v>
      </c>
      <c r="AV1387" s="1424" t="s">
        <v>8743</v>
      </c>
      <c r="AW1387" s="1415" t="s">
        <v>134</v>
      </c>
      <c r="AY1387" s="1415" t="s">
        <v>3672</v>
      </c>
    </row>
    <row r="1388">
      <c r="A1388" s="41" t="s">
        <v>106</v>
      </c>
      <c r="B1388" s="41" t="s">
        <v>107</v>
      </c>
      <c r="C1388" s="41" t="s">
        <v>3672</v>
      </c>
      <c r="D1388" s="1415"/>
      <c r="E1388" s="130" t="s">
        <v>8744</v>
      </c>
      <c r="F1388" s="130" t="s">
        <v>8745</v>
      </c>
      <c r="G1388" s="1415" t="s">
        <v>8746</v>
      </c>
      <c r="H1388" s="1417" t="s">
        <v>8503</v>
      </c>
      <c r="I1388" s="1425">
        <v>45694.0</v>
      </c>
      <c r="J1388" s="130" t="s">
        <v>8704</v>
      </c>
      <c r="K1388" s="130" t="s">
        <v>8747</v>
      </c>
      <c r="L1388" s="1429" t="s">
        <v>8748</v>
      </c>
      <c r="M1388" s="130" t="s">
        <v>8749</v>
      </c>
      <c r="N1388" s="1419">
        <v>2.0</v>
      </c>
      <c r="O1388" s="130" t="s">
        <v>8750</v>
      </c>
      <c r="P1388" s="48" t="str">
        <f t="array" ref="P1388">HYPERLINK(INDEX('File Links'!B:B, MATCH(O1388, 'File Links'!C:C, 0)))
</f>
        <v>https://drive.google.com/file/d/1-STrPNxtwFZUvuNyyXDlz1bTmYscRd6t/view?usp=drivesdk</v>
      </c>
      <c r="Q1388" s="130" t="s">
        <v>8751</v>
      </c>
      <c r="R1388" s="130" t="s">
        <v>8752</v>
      </c>
      <c r="T1388" s="1415" t="s">
        <v>8751</v>
      </c>
      <c r="U1388" s="130" t="s">
        <v>8753</v>
      </c>
      <c r="V1388" s="130" t="s">
        <v>155</v>
      </c>
      <c r="W1388" s="1433" t="s">
        <v>8510</v>
      </c>
      <c r="Y1388" s="130" t="s">
        <v>139</v>
      </c>
      <c r="Z1388" s="130" t="s">
        <v>8754</v>
      </c>
      <c r="AA1388" s="130" t="s">
        <v>8755</v>
      </c>
      <c r="AB1388" s="130" t="s">
        <v>8756</v>
      </c>
      <c r="AC1388" s="130" t="s">
        <v>8757</v>
      </c>
      <c r="AD1388" s="1419">
        <v>2.0</v>
      </c>
      <c r="AE1388" s="1419">
        <v>32.0</v>
      </c>
      <c r="AF1388" s="130" t="s">
        <v>8758</v>
      </c>
      <c r="AG1388" s="130" t="s">
        <v>162</v>
      </c>
      <c r="AH1388" s="130" t="s">
        <v>886</v>
      </c>
      <c r="AI1388" s="1415" t="s">
        <v>165</v>
      </c>
      <c r="AJ1388" s="130" t="s">
        <v>165</v>
      </c>
      <c r="AK1388" s="130" t="s">
        <v>179</v>
      </c>
      <c r="AL1388" s="1415" t="s">
        <v>129</v>
      </c>
      <c r="AM1388" s="130" t="s">
        <v>165</v>
      </c>
      <c r="AN1388" s="1419">
        <v>8.0</v>
      </c>
      <c r="AO1388" s="130" t="s">
        <v>8759</v>
      </c>
      <c r="AP1388" s="130" t="s">
        <v>166</v>
      </c>
      <c r="AQ1388" s="130" t="s">
        <v>892</v>
      </c>
      <c r="AR1388" s="1419">
        <v>0.197</v>
      </c>
      <c r="AS1388" s="130" t="s">
        <v>164</v>
      </c>
      <c r="AT1388" s="130" t="s">
        <v>128</v>
      </c>
      <c r="AU1388" s="1415" t="s">
        <v>129</v>
      </c>
      <c r="AV1388" s="1424" t="s">
        <v>8760</v>
      </c>
      <c r="AW1388" s="1415" t="s">
        <v>134</v>
      </c>
      <c r="AY1388" s="1415" t="s">
        <v>3672</v>
      </c>
    </row>
    <row r="1389">
      <c r="A1389" s="115" t="s">
        <v>143</v>
      </c>
      <c r="B1389" s="41" t="s">
        <v>107</v>
      </c>
      <c r="C1389" s="41" t="s">
        <v>144</v>
      </c>
      <c r="D1389" s="1415"/>
      <c r="E1389" s="130" t="s">
        <v>8744</v>
      </c>
      <c r="F1389" s="1416" t="s">
        <v>8745</v>
      </c>
      <c r="G1389" s="130" t="s">
        <v>144</v>
      </c>
      <c r="H1389" s="1415" t="s">
        <v>8517</v>
      </c>
      <c r="I1389" s="1425">
        <v>45694.0</v>
      </c>
      <c r="J1389" s="130" t="s">
        <v>8761</v>
      </c>
      <c r="K1389" s="130"/>
      <c r="L1389" s="1418" t="s">
        <v>8748</v>
      </c>
      <c r="M1389" s="130" t="s">
        <v>8749</v>
      </c>
      <c r="N1389" s="1419">
        <v>1.0</v>
      </c>
      <c r="O1389" s="1420" t="s">
        <v>8750</v>
      </c>
      <c r="P1389" s="48" t="str">
        <f t="array" ref="P1389">HYPERLINK(INDEX('File Links'!B:B, MATCH(O1389, 'File Links'!C:C, 0)))
</f>
        <v>https://drive.google.com/file/d/1-STrPNxtwFZUvuNyyXDlz1bTmYscRd6t/view?usp=drivesdk</v>
      </c>
      <c r="Q1389" s="130" t="s">
        <v>8751</v>
      </c>
      <c r="R1389" s="130" t="s">
        <v>8752</v>
      </c>
      <c r="T1389" s="1415" t="s">
        <v>8751</v>
      </c>
      <c r="U1389" s="1420" t="s">
        <v>8753</v>
      </c>
      <c r="V1389" s="130" t="s">
        <v>3501</v>
      </c>
      <c r="W1389" s="1421" t="s">
        <v>8510</v>
      </c>
      <c r="Y1389" s="130" t="s">
        <v>139</v>
      </c>
      <c r="Z1389" s="130" t="s">
        <v>8762</v>
      </c>
      <c r="AA1389" s="130" t="s">
        <v>8763</v>
      </c>
      <c r="AB1389" s="130" t="s">
        <v>8764</v>
      </c>
      <c r="AC1389" s="130" t="s">
        <v>8765</v>
      </c>
      <c r="AD1389" s="1419">
        <v>2.0</v>
      </c>
      <c r="AE1389" s="1419">
        <v>32.0</v>
      </c>
      <c r="AF1389" s="130" t="s">
        <v>8758</v>
      </c>
      <c r="AG1389" s="130" t="s">
        <v>162</v>
      </c>
      <c r="AH1389" s="130" t="s">
        <v>886</v>
      </c>
      <c r="AI1389" s="1415" t="s">
        <v>165</v>
      </c>
      <c r="AJ1389" s="130" t="s">
        <v>165</v>
      </c>
      <c r="AK1389" s="130" t="s">
        <v>179</v>
      </c>
      <c r="AL1389" s="1415" t="s">
        <v>129</v>
      </c>
      <c r="AM1389" s="130" t="s">
        <v>165</v>
      </c>
      <c r="AN1389" s="1419">
        <v>8.0</v>
      </c>
      <c r="AO1389" s="130" t="s">
        <v>8766</v>
      </c>
      <c r="AP1389" s="130" t="s">
        <v>162</v>
      </c>
      <c r="AQ1389" s="130" t="s">
        <v>892</v>
      </c>
      <c r="AR1389" s="1419">
        <v>0.197</v>
      </c>
      <c r="AS1389" s="130" t="s">
        <v>164</v>
      </c>
      <c r="AT1389" s="130" t="s">
        <v>128</v>
      </c>
      <c r="AU1389" s="1415" t="s">
        <v>129</v>
      </c>
      <c r="AV1389" s="1424" t="s">
        <v>8767</v>
      </c>
      <c r="AW1389" s="1415" t="s">
        <v>134</v>
      </c>
      <c r="AY1389" s="1415" t="s">
        <v>3672</v>
      </c>
    </row>
    <row r="1390">
      <c r="A1390" s="41" t="s">
        <v>143</v>
      </c>
      <c r="B1390" s="41" t="s">
        <v>107</v>
      </c>
      <c r="C1390" s="41" t="s">
        <v>3672</v>
      </c>
      <c r="D1390" s="1415"/>
      <c r="E1390" s="130" t="s">
        <v>8768</v>
      </c>
      <c r="F1390" s="130" t="s">
        <v>8769</v>
      </c>
      <c r="G1390" s="130" t="s">
        <v>8770</v>
      </c>
      <c r="H1390" s="1417" t="s">
        <v>8503</v>
      </c>
      <c r="I1390" s="1425">
        <v>45694.0</v>
      </c>
      <c r="J1390" s="130" t="s">
        <v>8771</v>
      </c>
      <c r="K1390" s="1415" t="s">
        <v>8772</v>
      </c>
      <c r="L1390" s="1429" t="s">
        <v>8773</v>
      </c>
      <c r="M1390" s="130" t="s">
        <v>8774</v>
      </c>
      <c r="N1390" s="1419">
        <v>1.0</v>
      </c>
      <c r="O1390" s="130" t="s">
        <v>8775</v>
      </c>
      <c r="P1390" s="48" t="str">
        <f t="array" ref="P1390">HYPERLINK(INDEX('File Links'!B:B, MATCH(O1390, 'File Links'!C:C, 0)))
</f>
        <v>https://drive.google.com/file/d/15VbpcEsW9L5op3IMpHA4I2dI5ndZgOpe/view?usp=drivesdk</v>
      </c>
      <c r="Q1390" s="130" t="s">
        <v>8776</v>
      </c>
      <c r="R1390" s="130" t="s">
        <v>8777</v>
      </c>
      <c r="T1390" s="1417" t="s">
        <v>8776</v>
      </c>
      <c r="U1390" s="130" t="s">
        <v>8778</v>
      </c>
      <c r="V1390" s="130" t="s">
        <v>8779</v>
      </c>
      <c r="W1390" s="1430" t="s">
        <v>8510</v>
      </c>
      <c r="Y1390" s="130" t="s">
        <v>139</v>
      </c>
      <c r="Z1390" s="1422" t="s">
        <v>8780</v>
      </c>
      <c r="AA1390" s="130" t="s">
        <v>8781</v>
      </c>
      <c r="AB1390" s="130" t="s">
        <v>8782</v>
      </c>
      <c r="AC1390" s="130" t="s">
        <v>8783</v>
      </c>
      <c r="AD1390" s="1445">
        <v>45689.0</v>
      </c>
      <c r="AE1390" s="1419">
        <v>173.0</v>
      </c>
      <c r="AF1390" s="1419" t="s">
        <v>8784</v>
      </c>
      <c r="AG1390" s="130" t="s">
        <v>162</v>
      </c>
      <c r="AH1390" s="130" t="s">
        <v>2401</v>
      </c>
      <c r="AI1390" s="1417">
        <v>0.01</v>
      </c>
      <c r="AJ1390" s="130" t="s">
        <v>127</v>
      </c>
      <c r="AK1390" s="130" t="s">
        <v>179</v>
      </c>
      <c r="AL1390" s="1443" t="s">
        <v>132</v>
      </c>
      <c r="AM1390" s="1415" t="s">
        <v>165</v>
      </c>
      <c r="AN1390" s="1417">
        <v>140.0</v>
      </c>
      <c r="AO1390" s="1417" t="s">
        <v>8785</v>
      </c>
      <c r="AP1390" s="130" t="s">
        <v>162</v>
      </c>
      <c r="AQ1390" s="130" t="s">
        <v>131</v>
      </c>
      <c r="AR1390" s="1417">
        <v>0.001</v>
      </c>
      <c r="AS1390" s="130" t="s">
        <v>127</v>
      </c>
      <c r="AT1390" s="130" t="s">
        <v>128</v>
      </c>
      <c r="AU1390" s="1415" t="s">
        <v>132</v>
      </c>
      <c r="AV1390" s="1424" t="s">
        <v>8786</v>
      </c>
      <c r="AW1390" s="1415" t="s">
        <v>134</v>
      </c>
      <c r="AY1390" s="1415" t="s">
        <v>3672</v>
      </c>
    </row>
    <row r="1391">
      <c r="A1391" s="41" t="s">
        <v>106</v>
      </c>
      <c r="B1391" s="41" t="s">
        <v>107</v>
      </c>
      <c r="C1391" s="41" t="s">
        <v>144</v>
      </c>
      <c r="D1391" s="1415"/>
      <c r="E1391" s="130" t="s">
        <v>8768</v>
      </c>
      <c r="F1391" s="1416" t="s">
        <v>8769</v>
      </c>
      <c r="G1391" s="130" t="s">
        <v>144</v>
      </c>
      <c r="H1391" s="1415" t="s">
        <v>8517</v>
      </c>
      <c r="I1391" s="1425">
        <v>45694.0</v>
      </c>
      <c r="J1391" s="130" t="s">
        <v>8787</v>
      </c>
      <c r="K1391" s="130"/>
      <c r="L1391" s="1418" t="s">
        <v>8773</v>
      </c>
      <c r="M1391" s="130" t="s">
        <v>8774</v>
      </c>
      <c r="N1391" s="1419">
        <v>1.0</v>
      </c>
      <c r="O1391" s="1420" t="s">
        <v>8775</v>
      </c>
      <c r="P1391" s="48" t="str">
        <f t="array" ref="P1391">HYPERLINK(INDEX('File Links'!B:B, MATCH(O1391, 'File Links'!C:C, 0)))
</f>
        <v>https://drive.google.com/file/d/15VbpcEsW9L5op3IMpHA4I2dI5ndZgOpe/view?usp=drivesdk</v>
      </c>
      <c r="Q1391" s="130" t="s">
        <v>8776</v>
      </c>
      <c r="R1391" s="130" t="s">
        <v>8777</v>
      </c>
      <c r="T1391" s="1417">
        <v>1.0</v>
      </c>
      <c r="U1391" s="1420" t="s">
        <v>8778</v>
      </c>
      <c r="V1391" s="130" t="s">
        <v>155</v>
      </c>
      <c r="W1391" s="1421" t="s">
        <v>8510</v>
      </c>
      <c r="Y1391" s="130" t="s">
        <v>139</v>
      </c>
      <c r="Z1391" s="130" t="s">
        <v>8780</v>
      </c>
      <c r="AA1391" s="130" t="s">
        <v>8788</v>
      </c>
      <c r="AB1391" s="130" t="s">
        <v>8789</v>
      </c>
      <c r="AC1391" s="130" t="s">
        <v>8790</v>
      </c>
      <c r="AD1391" s="1445">
        <v>45689.0</v>
      </c>
      <c r="AE1391" s="1419">
        <v>173.0</v>
      </c>
      <c r="AF1391" s="130" t="s">
        <v>8784</v>
      </c>
      <c r="AG1391" s="130" t="s">
        <v>162</v>
      </c>
      <c r="AH1391" s="130" t="s">
        <v>2401</v>
      </c>
      <c r="AI1391" s="1417">
        <v>0.01</v>
      </c>
      <c r="AJ1391" s="130" t="s">
        <v>127</v>
      </c>
      <c r="AK1391" s="130" t="s">
        <v>128</v>
      </c>
      <c r="AL1391" s="1415" t="s">
        <v>129</v>
      </c>
      <c r="AM1391" s="1432"/>
      <c r="AN1391" s="1419">
        <v>140.0</v>
      </c>
      <c r="AO1391" s="1419">
        <v>0.34</v>
      </c>
      <c r="AP1391" s="130" t="s">
        <v>8791</v>
      </c>
      <c r="AQ1391" s="130" t="s">
        <v>131</v>
      </c>
      <c r="AR1391" s="1419">
        <v>0.001</v>
      </c>
      <c r="AS1391" s="130" t="s">
        <v>127</v>
      </c>
      <c r="AT1391" s="130" t="s">
        <v>128</v>
      </c>
      <c r="AU1391" s="1415" t="s">
        <v>129</v>
      </c>
      <c r="AV1391" s="1424" t="s">
        <v>8792</v>
      </c>
      <c r="AW1391" s="1415" t="s">
        <v>134</v>
      </c>
      <c r="AY1391" s="1415" t="s">
        <v>3672</v>
      </c>
    </row>
    <row r="1392">
      <c r="A1392" s="115" t="s">
        <v>143</v>
      </c>
      <c r="B1392" s="41" t="s">
        <v>107</v>
      </c>
      <c r="C1392" s="41" t="s">
        <v>3672</v>
      </c>
      <c r="D1392" s="1415"/>
      <c r="E1392" s="130" t="s">
        <v>8793</v>
      </c>
      <c r="F1392" s="130" t="s">
        <v>8794</v>
      </c>
      <c r="G1392" s="130" t="s">
        <v>8795</v>
      </c>
      <c r="H1392" s="1417" t="s">
        <v>8503</v>
      </c>
      <c r="I1392" s="1425">
        <v>45694.0</v>
      </c>
      <c r="J1392" s="1428"/>
      <c r="K1392" s="130" t="s">
        <v>8796</v>
      </c>
      <c r="L1392" s="1429" t="s">
        <v>8797</v>
      </c>
      <c r="M1392" s="130" t="s">
        <v>8798</v>
      </c>
      <c r="N1392" s="1419">
        <v>1.0</v>
      </c>
      <c r="O1392" s="130" t="s">
        <v>8799</v>
      </c>
      <c r="P1392" s="48" t="str">
        <f t="array" ref="P1392">HYPERLINK(INDEX('File Links'!B:B, MATCH(O1392, 'File Links'!C:C, 0)))
</f>
        <v>https://drive.google.com/file/d/1WsASGCOfsob-mQCui8A8AumUCdwI1vZt/view?usp=drivesdk</v>
      </c>
      <c r="Q1392" s="130" t="s">
        <v>8800</v>
      </c>
      <c r="R1392" s="130" t="s">
        <v>7139</v>
      </c>
      <c r="T1392" s="1415" t="s">
        <v>8800</v>
      </c>
      <c r="U1392" s="130" t="s">
        <v>7140</v>
      </c>
      <c r="V1392" s="130" t="s">
        <v>155</v>
      </c>
      <c r="W1392" s="1433" t="s">
        <v>8510</v>
      </c>
      <c r="Y1392" s="130" t="s">
        <v>139</v>
      </c>
      <c r="Z1392" s="130" t="s">
        <v>8801</v>
      </c>
      <c r="AA1392" s="130" t="s">
        <v>8802</v>
      </c>
      <c r="AB1392" s="130" t="s">
        <v>8803</v>
      </c>
      <c r="AC1392" s="130" t="s">
        <v>8804</v>
      </c>
      <c r="AD1392" s="1419">
        <v>5.0</v>
      </c>
      <c r="AE1392" s="1419">
        <v>12.0</v>
      </c>
      <c r="AF1392" s="130" t="s">
        <v>8805</v>
      </c>
      <c r="AG1392" s="130" t="s">
        <v>162</v>
      </c>
      <c r="AH1392" s="130" t="s">
        <v>892</v>
      </c>
      <c r="AI1392" s="1417">
        <v>1.0E-5</v>
      </c>
      <c r="AJ1392" s="130" t="s">
        <v>127</v>
      </c>
      <c r="AK1392" s="130" t="s">
        <v>179</v>
      </c>
      <c r="AL1392" s="1415" t="s">
        <v>132</v>
      </c>
      <c r="AM1392" s="130" t="s">
        <v>165</v>
      </c>
      <c r="AN1392" s="1419">
        <v>12.0</v>
      </c>
      <c r="AO1392" s="130">
        <v>0.261</v>
      </c>
      <c r="AP1392" s="130" t="s">
        <v>130</v>
      </c>
      <c r="AQ1392" s="130" t="s">
        <v>8806</v>
      </c>
      <c r="AR1392" s="1417">
        <v>1.0E-5</v>
      </c>
      <c r="AS1392" s="130" t="s">
        <v>127</v>
      </c>
      <c r="AT1392" s="130" t="s">
        <v>179</v>
      </c>
      <c r="AU1392" s="1415" t="s">
        <v>132</v>
      </c>
      <c r="AV1392" s="1424" t="s">
        <v>8807</v>
      </c>
      <c r="AW1392" s="1415" t="s">
        <v>134</v>
      </c>
      <c r="AY1392" s="1415" t="s">
        <v>3672</v>
      </c>
    </row>
    <row r="1393">
      <c r="A1393" s="41" t="s">
        <v>106</v>
      </c>
      <c r="B1393" s="41" t="s">
        <v>107</v>
      </c>
      <c r="C1393" s="41" t="s">
        <v>144</v>
      </c>
      <c r="D1393" s="1415"/>
      <c r="E1393" s="130" t="s">
        <v>8793</v>
      </c>
      <c r="F1393" s="1416" t="s">
        <v>8794</v>
      </c>
      <c r="G1393" s="130" t="s">
        <v>144</v>
      </c>
      <c r="H1393" s="1415" t="s">
        <v>8517</v>
      </c>
      <c r="I1393" s="1425">
        <v>45694.0</v>
      </c>
      <c r="J1393" s="1428"/>
      <c r="K1393" s="1438"/>
      <c r="L1393" s="1418" t="s">
        <v>8797</v>
      </c>
      <c r="M1393" s="130" t="s">
        <v>8798</v>
      </c>
      <c r="N1393" s="1419">
        <v>1.0</v>
      </c>
      <c r="O1393" s="1420" t="s">
        <v>8799</v>
      </c>
      <c r="P1393" s="48" t="str">
        <f t="array" ref="P1393">HYPERLINK(INDEX('File Links'!B:B, MATCH(O1393, 'File Links'!C:C, 0)))
</f>
        <v>https://drive.google.com/file/d/1WsASGCOfsob-mQCui8A8AumUCdwI1vZt/view?usp=drivesdk</v>
      </c>
      <c r="Q1393" s="130" t="s">
        <v>8800</v>
      </c>
      <c r="R1393" s="130" t="s">
        <v>7139</v>
      </c>
      <c r="T1393" s="1417">
        <v>1.0</v>
      </c>
      <c r="U1393" s="1420" t="s">
        <v>7140</v>
      </c>
      <c r="V1393" s="130" t="s">
        <v>7707</v>
      </c>
      <c r="W1393" s="1426" t="s">
        <v>8510</v>
      </c>
      <c r="Y1393" s="130" t="s">
        <v>139</v>
      </c>
      <c r="Z1393" s="130" t="s">
        <v>8808</v>
      </c>
      <c r="AA1393" s="130" t="s">
        <v>8809</v>
      </c>
      <c r="AB1393" s="130" t="s">
        <v>8810</v>
      </c>
      <c r="AC1393" s="130" t="s">
        <v>8811</v>
      </c>
      <c r="AD1393" s="1419">
        <v>5.0</v>
      </c>
      <c r="AE1393" s="1419">
        <v>12.0</v>
      </c>
      <c r="AF1393" s="1419">
        <v>0.308</v>
      </c>
      <c r="AG1393" s="130" t="s">
        <v>130</v>
      </c>
      <c r="AH1393" s="130" t="s">
        <v>892</v>
      </c>
      <c r="AI1393" s="1417">
        <v>1.0E-5</v>
      </c>
      <c r="AJ1393" s="130" t="s">
        <v>127</v>
      </c>
      <c r="AK1393" s="130" t="s">
        <v>179</v>
      </c>
      <c r="AL1393" s="1415" t="s">
        <v>132</v>
      </c>
      <c r="AM1393" s="1427"/>
      <c r="AN1393" s="1417">
        <v>12.0</v>
      </c>
      <c r="AO1393" s="1417" t="s">
        <v>8812</v>
      </c>
      <c r="AP1393" s="130" t="s">
        <v>162</v>
      </c>
      <c r="AQ1393" s="1415" t="s">
        <v>131</v>
      </c>
      <c r="AR1393" s="1417">
        <v>1.0E-5</v>
      </c>
      <c r="AS1393" s="130" t="s">
        <v>127</v>
      </c>
      <c r="AT1393" s="130" t="s">
        <v>179</v>
      </c>
      <c r="AU1393" s="1415" t="s">
        <v>132</v>
      </c>
      <c r="AV1393" s="1424" t="s">
        <v>8813</v>
      </c>
      <c r="AW1393" s="1415" t="s">
        <v>134</v>
      </c>
      <c r="AY1393" s="1415" t="s">
        <v>3672</v>
      </c>
    </row>
    <row r="1394">
      <c r="A1394" s="115" t="s">
        <v>143</v>
      </c>
      <c r="B1394" s="41" t="s">
        <v>107</v>
      </c>
      <c r="C1394" s="41" t="s">
        <v>3672</v>
      </c>
      <c r="D1394" s="1415"/>
      <c r="E1394" s="130" t="s">
        <v>8814</v>
      </c>
      <c r="F1394" s="130" t="s">
        <v>8815</v>
      </c>
      <c r="G1394" s="130" t="s">
        <v>8816</v>
      </c>
      <c r="H1394" s="1417" t="s">
        <v>8503</v>
      </c>
      <c r="I1394" s="1425">
        <v>45694.0</v>
      </c>
      <c r="J1394" s="1415" t="s">
        <v>8704</v>
      </c>
      <c r="K1394" s="1415" t="s">
        <v>8817</v>
      </c>
      <c r="L1394" s="1429" t="s">
        <v>8818</v>
      </c>
      <c r="M1394" s="130" t="s">
        <v>8819</v>
      </c>
      <c r="N1394" s="1419">
        <v>1.0</v>
      </c>
      <c r="O1394" s="130" t="s">
        <v>8820</v>
      </c>
      <c r="P1394" s="48" t="str">
        <f t="array" ref="P1394">HYPERLINK(INDEX('File Links'!B:B, MATCH(O1394, 'File Links'!C:C, 0)))
</f>
        <v>https://drive.google.com/file/d/1WwYYCOA_x1mX6TzeKfrhq1RdbnoCXoh0/view?usp=drivesdk</v>
      </c>
      <c r="Q1394" s="130" t="s">
        <v>8821</v>
      </c>
      <c r="R1394" s="130" t="s">
        <v>7139</v>
      </c>
      <c r="T1394" s="1417" t="s">
        <v>8821</v>
      </c>
      <c r="U1394" s="130" t="s">
        <v>7140</v>
      </c>
      <c r="V1394" s="130" t="s">
        <v>155</v>
      </c>
      <c r="W1394" s="1430" t="s">
        <v>8510</v>
      </c>
      <c r="Y1394" s="130" t="s">
        <v>220</v>
      </c>
      <c r="Z1394" s="130" t="s">
        <v>8822</v>
      </c>
      <c r="AA1394" s="130" t="s">
        <v>8823</v>
      </c>
      <c r="AB1394" s="130" t="s">
        <v>8824</v>
      </c>
      <c r="AC1394" s="130" t="s">
        <v>8825</v>
      </c>
      <c r="AD1394" s="1419">
        <v>4.0</v>
      </c>
      <c r="AE1394" s="1419">
        <v>115.0</v>
      </c>
      <c r="AF1394" s="1419">
        <v>0.045</v>
      </c>
      <c r="AG1394" s="130" t="s">
        <v>130</v>
      </c>
      <c r="AH1394" s="130" t="s">
        <v>8826</v>
      </c>
      <c r="AI1394" s="1419" t="s">
        <v>165</v>
      </c>
      <c r="AJ1394" s="130" t="s">
        <v>165</v>
      </c>
      <c r="AK1394" s="130" t="s">
        <v>179</v>
      </c>
      <c r="AL1394" s="1415" t="s">
        <v>132</v>
      </c>
      <c r="AM1394" s="1415" t="s">
        <v>165</v>
      </c>
      <c r="AN1394" s="1417">
        <v>166.0</v>
      </c>
      <c r="AO1394" s="1417">
        <v>0.002</v>
      </c>
      <c r="AP1394" s="130" t="s">
        <v>130</v>
      </c>
      <c r="AQ1394" s="130" t="s">
        <v>8827</v>
      </c>
      <c r="AR1394" s="1419">
        <v>0.539</v>
      </c>
      <c r="AS1394" s="130" t="s">
        <v>164</v>
      </c>
      <c r="AT1394" s="130" t="s">
        <v>179</v>
      </c>
      <c r="AU1394" s="1415" t="s">
        <v>132</v>
      </c>
      <c r="AV1394" s="1424" t="s">
        <v>8828</v>
      </c>
      <c r="AW1394" s="1415" t="s">
        <v>134</v>
      </c>
      <c r="AY1394" s="1415" t="s">
        <v>3672</v>
      </c>
    </row>
    <row r="1395">
      <c r="A1395" s="41" t="s">
        <v>106</v>
      </c>
      <c r="B1395" s="41" t="s">
        <v>107</v>
      </c>
      <c r="C1395" s="41" t="s">
        <v>144</v>
      </c>
      <c r="D1395" s="1415"/>
      <c r="E1395" s="130" t="s">
        <v>8814</v>
      </c>
      <c r="F1395" s="1416" t="s">
        <v>8815</v>
      </c>
      <c r="G1395" s="130" t="s">
        <v>144</v>
      </c>
      <c r="H1395" s="1415" t="s">
        <v>8517</v>
      </c>
      <c r="I1395" s="1425">
        <v>45694.0</v>
      </c>
      <c r="J1395" s="130" t="s">
        <v>8829</v>
      </c>
      <c r="K1395" s="130"/>
      <c r="L1395" s="1418" t="s">
        <v>8818</v>
      </c>
      <c r="M1395" s="130" t="s">
        <v>8819</v>
      </c>
      <c r="N1395" s="1419">
        <v>1.0</v>
      </c>
      <c r="O1395" s="1420" t="s">
        <v>8820</v>
      </c>
      <c r="P1395" s="48" t="str">
        <f t="array" ref="P1395">HYPERLINK(INDEX('File Links'!B:B, MATCH(O1395, 'File Links'!C:C, 0)))
</f>
        <v>https://drive.google.com/file/d/1WwYYCOA_x1mX6TzeKfrhq1RdbnoCXoh0/view?usp=drivesdk</v>
      </c>
      <c r="Q1395" s="130" t="s">
        <v>8821</v>
      </c>
      <c r="R1395" s="130" t="s">
        <v>7139</v>
      </c>
      <c r="T1395" s="1417">
        <v>1.0</v>
      </c>
      <c r="U1395" s="1420" t="s">
        <v>7140</v>
      </c>
      <c r="V1395" s="130" t="s">
        <v>155</v>
      </c>
      <c r="W1395" s="1421" t="s">
        <v>8510</v>
      </c>
      <c r="Y1395" s="130" t="s">
        <v>220</v>
      </c>
      <c r="Z1395" s="130" t="s">
        <v>8822</v>
      </c>
      <c r="AA1395" s="130" t="s">
        <v>8830</v>
      </c>
      <c r="AB1395" s="130" t="s">
        <v>8824</v>
      </c>
      <c r="AC1395" s="130" t="s">
        <v>8831</v>
      </c>
      <c r="AD1395" s="1419">
        <v>4.0</v>
      </c>
      <c r="AE1395" s="1419">
        <v>115.0</v>
      </c>
      <c r="AF1395" s="1419">
        <v>0.045</v>
      </c>
      <c r="AG1395" s="130" t="s">
        <v>130</v>
      </c>
      <c r="AH1395" s="130" t="s">
        <v>861</v>
      </c>
      <c r="AI1395" s="1415" t="s">
        <v>165</v>
      </c>
      <c r="AJ1395" s="1432"/>
      <c r="AK1395" s="130" t="s">
        <v>179</v>
      </c>
      <c r="AL1395" s="1415" t="s">
        <v>132</v>
      </c>
      <c r="AM1395" s="1432"/>
      <c r="AN1395" s="1419">
        <v>166.0</v>
      </c>
      <c r="AO1395" s="1419">
        <v>0.002</v>
      </c>
      <c r="AP1395" s="130" t="s">
        <v>130</v>
      </c>
      <c r="AQ1395" s="130" t="s">
        <v>892</v>
      </c>
      <c r="AR1395" s="1419">
        <v>0.539</v>
      </c>
      <c r="AS1395" s="130" t="s">
        <v>164</v>
      </c>
      <c r="AT1395" s="130" t="s">
        <v>179</v>
      </c>
      <c r="AU1395" s="1415" t="s">
        <v>132</v>
      </c>
      <c r="AV1395" s="1424" t="s">
        <v>8832</v>
      </c>
      <c r="AW1395" s="1415" t="s">
        <v>134</v>
      </c>
      <c r="AY1395" s="1415" t="s">
        <v>3672</v>
      </c>
    </row>
    <row r="1396">
      <c r="A1396" s="115" t="s">
        <v>143</v>
      </c>
      <c r="B1396" s="41" t="s">
        <v>107</v>
      </c>
      <c r="C1396" s="41" t="s">
        <v>3672</v>
      </c>
      <c r="D1396" s="1415"/>
      <c r="E1396" s="130" t="s">
        <v>8833</v>
      </c>
      <c r="F1396" s="130" t="s">
        <v>8834</v>
      </c>
      <c r="G1396" s="130" t="s">
        <v>8835</v>
      </c>
      <c r="H1396" s="1446">
        <v>45659.0</v>
      </c>
      <c r="I1396" s="1425">
        <v>45694.0</v>
      </c>
      <c r="J1396" s="1428"/>
      <c r="K1396" s="1415" t="s">
        <v>8836</v>
      </c>
      <c r="L1396" s="1429" t="s">
        <v>8837</v>
      </c>
      <c r="M1396" s="130" t="s">
        <v>8838</v>
      </c>
      <c r="N1396" s="1417">
        <v>1.0</v>
      </c>
      <c r="O1396" s="130" t="s">
        <v>8839</v>
      </c>
      <c r="P1396" s="48" t="str">
        <f t="array" ref="P1396">HYPERLINK(INDEX('File Links'!B:B, MATCH(O1396, 'File Links'!C:C, 0)))
</f>
        <v>https://drive.google.com/file/d/12tOopuzKbG82LEOynQuHYZ8im59EjTth/view?usp=drivesdk</v>
      </c>
      <c r="Q1396" s="1415" t="s">
        <v>8840</v>
      </c>
      <c r="R1396" s="130" t="s">
        <v>7139</v>
      </c>
      <c r="T1396" s="1415" t="s">
        <v>8840</v>
      </c>
      <c r="U1396" s="130" t="s">
        <v>7140</v>
      </c>
      <c r="V1396" s="1415" t="s">
        <v>155</v>
      </c>
      <c r="W1396" s="1430" t="s">
        <v>8510</v>
      </c>
      <c r="Y1396" s="1415" t="s">
        <v>139</v>
      </c>
      <c r="Z1396" s="130" t="s">
        <v>8841</v>
      </c>
      <c r="AA1396" s="1415" t="s">
        <v>8842</v>
      </c>
      <c r="AB1396" s="1415" t="s">
        <v>8843</v>
      </c>
      <c r="AC1396" s="1415" t="s">
        <v>8844</v>
      </c>
      <c r="AD1396" s="1417">
        <v>3.0</v>
      </c>
      <c r="AE1396" s="1417">
        <v>48.0</v>
      </c>
      <c r="AF1396" s="1415">
        <v>0.52</v>
      </c>
      <c r="AG1396" s="1415" t="s">
        <v>166</v>
      </c>
      <c r="AH1396" s="1415" t="s">
        <v>8845</v>
      </c>
      <c r="AI1396" s="1417">
        <v>0.05</v>
      </c>
      <c r="AJ1396" s="130" t="s">
        <v>127</v>
      </c>
      <c r="AK1396" s="130" t="s">
        <v>179</v>
      </c>
      <c r="AL1396" s="1415" t="s">
        <v>132</v>
      </c>
      <c r="AM1396" s="1415" t="s">
        <v>165</v>
      </c>
      <c r="AN1396" s="1417">
        <v>118.0</v>
      </c>
      <c r="AO1396" s="1415">
        <v>0.014</v>
      </c>
      <c r="AP1396" s="1415" t="s">
        <v>1785</v>
      </c>
      <c r="AQ1396" s="1415" t="s">
        <v>8846</v>
      </c>
      <c r="AR1396" s="1417">
        <v>0.2</v>
      </c>
      <c r="AS1396" s="1415" t="s">
        <v>164</v>
      </c>
      <c r="AT1396" s="1415" t="s">
        <v>179</v>
      </c>
      <c r="AU1396" s="1415" t="s">
        <v>132</v>
      </c>
      <c r="AV1396" s="1424" t="s">
        <v>8847</v>
      </c>
      <c r="AW1396" s="1415" t="s">
        <v>134</v>
      </c>
      <c r="AY1396" s="1415" t="s">
        <v>3672</v>
      </c>
    </row>
    <row r="1397">
      <c r="A1397" s="41" t="s">
        <v>106</v>
      </c>
      <c r="B1397" s="41" t="s">
        <v>107</v>
      </c>
      <c r="C1397" s="41" t="s">
        <v>144</v>
      </c>
      <c r="D1397" s="1415"/>
      <c r="E1397" s="130" t="s">
        <v>8833</v>
      </c>
      <c r="F1397" s="1416" t="s">
        <v>8834</v>
      </c>
      <c r="G1397" s="130" t="s">
        <v>144</v>
      </c>
      <c r="H1397" s="1415" t="s">
        <v>8517</v>
      </c>
      <c r="I1397" s="1425">
        <v>45694.0</v>
      </c>
      <c r="J1397" s="130" t="s">
        <v>8848</v>
      </c>
      <c r="K1397" s="130"/>
      <c r="L1397" s="1447" t="s">
        <v>8837</v>
      </c>
      <c r="M1397" s="130" t="s">
        <v>8838</v>
      </c>
      <c r="N1397" s="1419">
        <v>1.0</v>
      </c>
      <c r="O1397" s="1420" t="s">
        <v>8839</v>
      </c>
      <c r="P1397" s="48" t="str">
        <f t="array" ref="P1397">HYPERLINK(INDEX('File Links'!B:B, MATCH(O1397, 'File Links'!C:C, 0)))
</f>
        <v>https://drive.google.com/file/d/12tOopuzKbG82LEOynQuHYZ8im59EjTth/view?usp=drivesdk</v>
      </c>
      <c r="Q1397" s="130" t="s">
        <v>8840</v>
      </c>
      <c r="R1397" s="130" t="s">
        <v>7139</v>
      </c>
      <c r="T1397" s="1417">
        <v>1.0</v>
      </c>
      <c r="U1397" s="1420" t="s">
        <v>7140</v>
      </c>
      <c r="V1397" s="130" t="s">
        <v>155</v>
      </c>
      <c r="W1397" s="1421" t="s">
        <v>8510</v>
      </c>
      <c r="Y1397" s="130" t="s">
        <v>139</v>
      </c>
      <c r="Z1397" s="130" t="s">
        <v>8841</v>
      </c>
      <c r="AA1397" s="130" t="s">
        <v>8849</v>
      </c>
      <c r="AB1397" s="130" t="s">
        <v>8850</v>
      </c>
      <c r="AC1397" s="130" t="s">
        <v>8851</v>
      </c>
      <c r="AD1397" s="1419">
        <v>3.0</v>
      </c>
      <c r="AE1397" s="1419">
        <v>48.0</v>
      </c>
      <c r="AF1397" s="1419">
        <v>0.52</v>
      </c>
      <c r="AG1397" s="130" t="s">
        <v>166</v>
      </c>
      <c r="AH1397" s="130" t="s">
        <v>210</v>
      </c>
      <c r="AI1397" s="1417">
        <v>0.05</v>
      </c>
      <c r="AJ1397" s="130" t="s">
        <v>127</v>
      </c>
      <c r="AK1397" s="130" t="s">
        <v>179</v>
      </c>
      <c r="AL1397" s="1415" t="s">
        <v>132</v>
      </c>
      <c r="AM1397" s="1432"/>
      <c r="AN1397" s="1419">
        <v>118.0</v>
      </c>
      <c r="AO1397" s="1419">
        <v>0.01</v>
      </c>
      <c r="AP1397" s="130" t="s">
        <v>130</v>
      </c>
      <c r="AQ1397" s="130" t="s">
        <v>125</v>
      </c>
      <c r="AR1397" s="1419">
        <v>0.2</v>
      </c>
      <c r="AS1397" s="130" t="s">
        <v>164</v>
      </c>
      <c r="AT1397" s="130" t="s">
        <v>179</v>
      </c>
      <c r="AU1397" s="1415" t="s">
        <v>132</v>
      </c>
      <c r="AV1397" s="1424" t="s">
        <v>8852</v>
      </c>
      <c r="AW1397" s="1415" t="s">
        <v>134</v>
      </c>
      <c r="AY1397" s="1415" t="s">
        <v>3672</v>
      </c>
    </row>
    <row r="1398">
      <c r="A1398" s="41" t="s">
        <v>143</v>
      </c>
      <c r="B1398" s="41" t="s">
        <v>107</v>
      </c>
      <c r="C1398" s="41" t="s">
        <v>3672</v>
      </c>
      <c r="D1398" s="1415"/>
      <c r="E1398" s="130" t="s">
        <v>8853</v>
      </c>
      <c r="F1398" s="130" t="s">
        <v>8854</v>
      </c>
      <c r="G1398" s="130" t="s">
        <v>8855</v>
      </c>
      <c r="H1398" s="1446">
        <v>45659.0</v>
      </c>
      <c r="I1398" s="1425">
        <v>45694.0</v>
      </c>
      <c r="J1398" s="130" t="s">
        <v>8856</v>
      </c>
      <c r="K1398" s="130" t="s">
        <v>8857</v>
      </c>
      <c r="L1398" s="1429" t="s">
        <v>8858</v>
      </c>
      <c r="M1398" s="130" t="s">
        <v>8859</v>
      </c>
      <c r="N1398" s="1419">
        <v>1.0</v>
      </c>
      <c r="O1398" s="130" t="s">
        <v>8860</v>
      </c>
      <c r="P1398" s="48" t="str">
        <f t="array" ref="P1398">HYPERLINK(INDEX('File Links'!B:B, MATCH(O1398, 'File Links'!C:C, 0)))
</f>
        <v>https://drive.google.com/file/d/15X7saP8VbSJHXa2xOtcgFcOKjQJFaUYh/view?usp=drivesdk</v>
      </c>
      <c r="Q1398" s="130" t="s">
        <v>8861</v>
      </c>
      <c r="R1398" s="130" t="s">
        <v>8862</v>
      </c>
      <c r="T1398" s="1415" t="s">
        <v>8861</v>
      </c>
      <c r="U1398" s="130" t="s">
        <v>8863</v>
      </c>
      <c r="V1398" s="130" t="s">
        <v>155</v>
      </c>
      <c r="W1398" s="1433" t="s">
        <v>8510</v>
      </c>
      <c r="Y1398" s="130" t="s">
        <v>220</v>
      </c>
      <c r="Z1398" s="130" t="s">
        <v>8864</v>
      </c>
      <c r="AA1398" s="130" t="s">
        <v>8865</v>
      </c>
      <c r="AB1398" s="130" t="s">
        <v>8866</v>
      </c>
      <c r="AC1398" s="130" t="s">
        <v>8867</v>
      </c>
      <c r="AD1398" s="1419">
        <v>3.0</v>
      </c>
      <c r="AE1398" s="1419">
        <v>31.0</v>
      </c>
      <c r="AF1398" s="130">
        <v>-0.38</v>
      </c>
      <c r="AG1398" s="130" t="s">
        <v>208</v>
      </c>
      <c r="AH1398" s="130" t="s">
        <v>210</v>
      </c>
      <c r="AI1398" s="1423">
        <v>0.05</v>
      </c>
      <c r="AJ1398" s="130" t="s">
        <v>127</v>
      </c>
      <c r="AK1398" s="130" t="s">
        <v>179</v>
      </c>
      <c r="AL1398" s="1415" t="s">
        <v>129</v>
      </c>
      <c r="AM1398" s="130" t="s">
        <v>165</v>
      </c>
      <c r="AN1398" s="1419">
        <v>43.0</v>
      </c>
      <c r="AO1398" s="130">
        <v>-0.25</v>
      </c>
      <c r="AP1398" s="130" t="s">
        <v>208</v>
      </c>
      <c r="AQ1398" s="130" t="s">
        <v>861</v>
      </c>
      <c r="AR1398" s="1419">
        <v>0.11</v>
      </c>
      <c r="AS1398" s="130" t="s">
        <v>164</v>
      </c>
      <c r="AT1398" s="130" t="s">
        <v>211</v>
      </c>
      <c r="AU1398" s="1415" t="s">
        <v>129</v>
      </c>
      <c r="AV1398" s="1424" t="s">
        <v>8868</v>
      </c>
      <c r="AW1398" s="1415" t="s">
        <v>134</v>
      </c>
      <c r="AY1398" s="1415" t="s">
        <v>3672</v>
      </c>
    </row>
    <row r="1399">
      <c r="A1399" s="41" t="s">
        <v>106</v>
      </c>
      <c r="B1399" s="41" t="s">
        <v>107</v>
      </c>
      <c r="C1399" s="41" t="s">
        <v>144</v>
      </c>
      <c r="D1399" s="1415"/>
      <c r="E1399" s="130" t="s">
        <v>8853</v>
      </c>
      <c r="F1399" s="1416" t="s">
        <v>8854</v>
      </c>
      <c r="G1399" s="130" t="s">
        <v>144</v>
      </c>
      <c r="H1399" s="1415" t="s">
        <v>8517</v>
      </c>
      <c r="I1399" s="1425">
        <v>45694.0</v>
      </c>
      <c r="J1399" s="1415" t="s">
        <v>8869</v>
      </c>
      <c r="K1399" s="1415"/>
      <c r="L1399" s="1418" t="s">
        <v>8858</v>
      </c>
      <c r="M1399" s="130" t="s">
        <v>8859</v>
      </c>
      <c r="N1399" s="1417">
        <v>1.0</v>
      </c>
      <c r="O1399" s="1420" t="s">
        <v>8860</v>
      </c>
      <c r="P1399" s="48" t="str">
        <f t="array" ref="P1399">HYPERLINK(INDEX('File Links'!B:B, MATCH(O1399, 'File Links'!C:C, 0)))
</f>
        <v>https://drive.google.com/file/d/15X7saP8VbSJHXa2xOtcgFcOKjQJFaUYh/view?usp=drivesdk</v>
      </c>
      <c r="Q1399" s="130" t="s">
        <v>8861</v>
      </c>
      <c r="R1399" s="130" t="s">
        <v>8862</v>
      </c>
      <c r="T1399" s="1417">
        <v>1.0</v>
      </c>
      <c r="U1399" s="1420" t="s">
        <v>8863</v>
      </c>
      <c r="V1399" s="130" t="s">
        <v>155</v>
      </c>
      <c r="W1399" s="1448" t="s">
        <v>8510</v>
      </c>
      <c r="Y1399" s="1415" t="s">
        <v>220</v>
      </c>
      <c r="Z1399" s="130" t="s">
        <v>8864</v>
      </c>
      <c r="AA1399" s="1415" t="s">
        <v>8870</v>
      </c>
      <c r="AB1399" s="1415" t="s">
        <v>8866</v>
      </c>
      <c r="AC1399" s="130" t="s">
        <v>8871</v>
      </c>
      <c r="AD1399" s="1417">
        <v>3.0</v>
      </c>
      <c r="AE1399" s="1417">
        <v>31.0</v>
      </c>
      <c r="AF1399" s="1417" t="s">
        <v>8872</v>
      </c>
      <c r="AG1399" s="130" t="s">
        <v>208</v>
      </c>
      <c r="AH1399" s="1415" t="s">
        <v>210</v>
      </c>
      <c r="AI1399" s="1417">
        <v>0.05</v>
      </c>
      <c r="AJ1399" s="1415" t="s">
        <v>127</v>
      </c>
      <c r="AK1399" s="1415" t="s">
        <v>211</v>
      </c>
      <c r="AL1399" s="1415" t="s">
        <v>129</v>
      </c>
      <c r="AM1399" s="1427"/>
      <c r="AN1399" s="1417">
        <v>43.0</v>
      </c>
      <c r="AO1399" s="1417" t="s">
        <v>8873</v>
      </c>
      <c r="AP1399" s="1415" t="s">
        <v>208</v>
      </c>
      <c r="AQ1399" s="1415" t="s">
        <v>861</v>
      </c>
      <c r="AR1399" s="1417">
        <v>0.11</v>
      </c>
      <c r="AS1399" s="1415" t="s">
        <v>164</v>
      </c>
      <c r="AT1399" s="130" t="s">
        <v>211</v>
      </c>
      <c r="AU1399" s="1415" t="s">
        <v>129</v>
      </c>
      <c r="AV1399" s="1424" t="s">
        <v>8874</v>
      </c>
      <c r="AW1399" s="1415" t="s">
        <v>134</v>
      </c>
      <c r="AX1399" s="41" t="s">
        <v>8875</v>
      </c>
      <c r="AY1399" s="1415" t="s">
        <v>3672</v>
      </c>
    </row>
    <row r="1400">
      <c r="A1400" s="41" t="s">
        <v>143</v>
      </c>
      <c r="B1400" s="41" t="s">
        <v>107</v>
      </c>
      <c r="C1400" s="41" t="s">
        <v>3672</v>
      </c>
      <c r="D1400" s="1415"/>
      <c r="E1400" s="130" t="s">
        <v>8876</v>
      </c>
      <c r="F1400" s="130" t="s">
        <v>8877</v>
      </c>
      <c r="G1400" s="130" t="s">
        <v>8878</v>
      </c>
      <c r="H1400" s="1446">
        <v>45659.0</v>
      </c>
      <c r="I1400" s="1425">
        <v>45694.0</v>
      </c>
      <c r="J1400" s="130" t="s">
        <v>8879</v>
      </c>
      <c r="K1400" s="1415" t="s">
        <v>8880</v>
      </c>
      <c r="L1400" s="1429" t="s">
        <v>8881</v>
      </c>
      <c r="M1400" s="130" t="s">
        <v>8882</v>
      </c>
      <c r="N1400" s="1419">
        <v>2.0</v>
      </c>
      <c r="O1400" s="130" t="s">
        <v>8883</v>
      </c>
      <c r="P1400" s="48" t="str">
        <f t="array" ref="P1400">HYPERLINK(INDEX('File Links'!B:B, MATCH(O1400, 'File Links'!C:C, 0)))
</f>
        <v>https://drive.google.com/file/d/1XfDlpkvCBdw9lQuqmsbfM7aoNwvrAoip/view?usp=drivesdk</v>
      </c>
      <c r="Q1400" s="130" t="s">
        <v>8884</v>
      </c>
      <c r="R1400" s="130" t="s">
        <v>8885</v>
      </c>
      <c r="T1400" s="1417" t="s">
        <v>8884</v>
      </c>
      <c r="U1400" s="130" t="s">
        <v>8886</v>
      </c>
      <c r="V1400" s="130" t="s">
        <v>155</v>
      </c>
      <c r="W1400" s="1430" t="s">
        <v>8510</v>
      </c>
      <c r="Y1400" s="130" t="s">
        <v>220</v>
      </c>
      <c r="Z1400" s="130" t="s">
        <v>8887</v>
      </c>
      <c r="AA1400" s="130" t="s">
        <v>8888</v>
      </c>
      <c r="AB1400" s="130" t="s">
        <v>8889</v>
      </c>
      <c r="AC1400" s="130" t="s">
        <v>8890</v>
      </c>
      <c r="AD1400" s="1445">
        <v>45813.0</v>
      </c>
      <c r="AE1400" s="1419">
        <v>12.0</v>
      </c>
      <c r="AF1400" s="1419">
        <v>3.25</v>
      </c>
      <c r="AG1400" s="130" t="s">
        <v>166</v>
      </c>
      <c r="AH1400" s="130" t="s">
        <v>8891</v>
      </c>
      <c r="AI1400" s="1419" t="s">
        <v>165</v>
      </c>
      <c r="AJ1400" s="1422" t="s">
        <v>165</v>
      </c>
      <c r="AK1400" s="130" t="s">
        <v>179</v>
      </c>
      <c r="AL1400" s="1415" t="s">
        <v>129</v>
      </c>
      <c r="AM1400" s="1415" t="s">
        <v>165</v>
      </c>
      <c r="AN1400" s="1417">
        <v>24.0</v>
      </c>
      <c r="AO1400" s="1417" t="s">
        <v>8892</v>
      </c>
      <c r="AP1400" s="130" t="s">
        <v>166</v>
      </c>
      <c r="AQ1400" s="130" t="s">
        <v>892</v>
      </c>
      <c r="AR1400" s="1419" t="s">
        <v>165</v>
      </c>
      <c r="AS1400" s="1422" t="s">
        <v>165</v>
      </c>
      <c r="AT1400" s="130" t="s">
        <v>179</v>
      </c>
      <c r="AU1400" s="1415" t="s">
        <v>129</v>
      </c>
      <c r="AV1400" s="1424" t="s">
        <v>8893</v>
      </c>
      <c r="AW1400" s="1415" t="s">
        <v>134</v>
      </c>
      <c r="AY1400" s="1415" t="s">
        <v>3672</v>
      </c>
    </row>
    <row r="1401">
      <c r="A1401" s="41" t="s">
        <v>106</v>
      </c>
      <c r="B1401" s="41" t="s">
        <v>107</v>
      </c>
      <c r="C1401" s="41" t="s">
        <v>144</v>
      </c>
      <c r="D1401" s="1415"/>
      <c r="E1401" s="130" t="s">
        <v>8876</v>
      </c>
      <c r="F1401" s="1416" t="s">
        <v>8877</v>
      </c>
      <c r="G1401" s="130" t="s">
        <v>144</v>
      </c>
      <c r="H1401" s="1415" t="s">
        <v>8517</v>
      </c>
      <c r="I1401" s="1425">
        <v>45694.0</v>
      </c>
      <c r="J1401" s="130" t="s">
        <v>8894</v>
      </c>
      <c r="K1401" s="130"/>
      <c r="L1401" s="1418" t="s">
        <v>8881</v>
      </c>
      <c r="M1401" s="130" t="s">
        <v>8882</v>
      </c>
      <c r="N1401" s="1419">
        <v>2.0</v>
      </c>
      <c r="O1401" s="1420" t="s">
        <v>8883</v>
      </c>
      <c r="P1401" s="48" t="str">
        <f t="array" ref="P1401">HYPERLINK(INDEX('File Links'!B:B, MATCH(O1401, 'File Links'!C:C, 0)))
</f>
        <v>https://drive.google.com/file/d/1XfDlpkvCBdw9lQuqmsbfM7aoNwvrAoip/view?usp=drivesdk</v>
      </c>
      <c r="Q1401" s="130" t="s">
        <v>8884</v>
      </c>
      <c r="R1401" s="130" t="s">
        <v>8885</v>
      </c>
      <c r="T1401" s="1417">
        <v>1.0</v>
      </c>
      <c r="U1401" s="1420" t="s">
        <v>8886</v>
      </c>
      <c r="V1401" s="130" t="s">
        <v>3501</v>
      </c>
      <c r="W1401" s="1421" t="s">
        <v>8510</v>
      </c>
      <c r="Y1401" s="130" t="s">
        <v>220</v>
      </c>
      <c r="Z1401" s="130" t="s">
        <v>8895</v>
      </c>
      <c r="AA1401" s="130" t="s">
        <v>8896</v>
      </c>
      <c r="AB1401" s="130" t="s">
        <v>8889</v>
      </c>
      <c r="AC1401" s="130" t="s">
        <v>8897</v>
      </c>
      <c r="AD1401" s="1445">
        <v>45813.0</v>
      </c>
      <c r="AE1401" s="1419">
        <v>12.0</v>
      </c>
      <c r="AF1401" s="1419">
        <v>3.25</v>
      </c>
      <c r="AG1401" s="130" t="s">
        <v>166</v>
      </c>
      <c r="AH1401" s="130" t="s">
        <v>131</v>
      </c>
      <c r="AI1401" s="1415" t="s">
        <v>165</v>
      </c>
      <c r="AJ1401" s="1432"/>
      <c r="AK1401" s="130" t="s">
        <v>128</v>
      </c>
      <c r="AL1401" s="1415" t="s">
        <v>129</v>
      </c>
      <c r="AM1401" s="1432"/>
      <c r="AN1401" s="1419">
        <v>24.0</v>
      </c>
      <c r="AO1401" s="130" t="s">
        <v>8898</v>
      </c>
      <c r="AP1401" s="130" t="s">
        <v>162</v>
      </c>
      <c r="AQ1401" s="130" t="s">
        <v>892</v>
      </c>
      <c r="AR1401" s="130" t="s">
        <v>165</v>
      </c>
      <c r="AS1401" s="130" t="s">
        <v>165</v>
      </c>
      <c r="AT1401" s="130" t="s">
        <v>179</v>
      </c>
      <c r="AU1401" s="1415" t="s">
        <v>129</v>
      </c>
      <c r="AV1401" s="1424" t="s">
        <v>8899</v>
      </c>
      <c r="AW1401" s="1415" t="s">
        <v>134</v>
      </c>
      <c r="AY1401" s="1415" t="s">
        <v>3672</v>
      </c>
    </row>
    <row r="1402">
      <c r="A1402" s="41" t="s">
        <v>143</v>
      </c>
      <c r="B1402" s="41" t="s">
        <v>107</v>
      </c>
      <c r="C1402" s="41" t="s">
        <v>3672</v>
      </c>
      <c r="D1402" s="1415"/>
      <c r="E1402" s="130" t="s">
        <v>8900</v>
      </c>
      <c r="F1402" s="130" t="s">
        <v>8901</v>
      </c>
      <c r="G1402" s="130" t="s">
        <v>8902</v>
      </c>
      <c r="H1402" s="1446">
        <v>45659.0</v>
      </c>
      <c r="I1402" s="1425">
        <v>45694.0</v>
      </c>
      <c r="J1402" s="130" t="s">
        <v>8903</v>
      </c>
      <c r="K1402" s="130" t="s">
        <v>8904</v>
      </c>
      <c r="L1402" s="1429" t="s">
        <v>8905</v>
      </c>
      <c r="M1402" s="130" t="s">
        <v>8906</v>
      </c>
      <c r="N1402" s="1419">
        <v>3.0</v>
      </c>
      <c r="O1402" s="130" t="s">
        <v>8907</v>
      </c>
      <c r="P1402" s="48" t="str">
        <f t="array" ref="P1402">HYPERLINK(INDEX('File Links'!B:B, MATCH(O1402, 'File Links'!C:C, 0)))
</f>
        <v>https://drive.google.com/file/d/1z9vM-OymRrqp1u2xxHltR_nTYkRN8Bhe/view?usp=drivesdk</v>
      </c>
      <c r="Q1402" s="130" t="s">
        <v>8908</v>
      </c>
      <c r="R1402" s="130" t="s">
        <v>7139</v>
      </c>
      <c r="T1402" s="1415" t="s">
        <v>8908</v>
      </c>
      <c r="U1402" s="130" t="s">
        <v>7140</v>
      </c>
      <c r="V1402" s="130" t="s">
        <v>3501</v>
      </c>
      <c r="W1402" s="1433" t="s">
        <v>8510</v>
      </c>
      <c r="Y1402" s="130" t="s">
        <v>139</v>
      </c>
      <c r="Z1402" s="130" t="s">
        <v>8909</v>
      </c>
      <c r="AA1402" s="130" t="s">
        <v>8910</v>
      </c>
      <c r="AB1402" s="130" t="s">
        <v>8911</v>
      </c>
      <c r="AC1402" s="130" t="s">
        <v>8912</v>
      </c>
      <c r="AD1402" s="1419">
        <v>5.0</v>
      </c>
      <c r="AE1402" s="1419">
        <v>8.0</v>
      </c>
      <c r="AF1402" s="130" t="s">
        <v>8913</v>
      </c>
      <c r="AG1402" s="130" t="s">
        <v>162</v>
      </c>
      <c r="AH1402" s="130" t="s">
        <v>892</v>
      </c>
      <c r="AI1402" s="1417">
        <v>0.028</v>
      </c>
      <c r="AJ1402" s="130" t="s">
        <v>164</v>
      </c>
      <c r="AK1402" s="130" t="s">
        <v>128</v>
      </c>
      <c r="AL1402" s="1415" t="s">
        <v>129</v>
      </c>
      <c r="AM1402" s="130" t="s">
        <v>165</v>
      </c>
      <c r="AN1402" s="1419">
        <v>17.0</v>
      </c>
      <c r="AO1402" s="130" t="s">
        <v>8914</v>
      </c>
      <c r="AP1402" s="130" t="s">
        <v>162</v>
      </c>
      <c r="AQ1402" s="130" t="s">
        <v>861</v>
      </c>
      <c r="AR1402" s="1419">
        <v>1.0E-4</v>
      </c>
      <c r="AS1402" s="130" t="s">
        <v>164</v>
      </c>
      <c r="AT1402" s="130" t="s">
        <v>128</v>
      </c>
      <c r="AU1402" s="1415" t="s">
        <v>129</v>
      </c>
      <c r="AV1402" s="1424" t="s">
        <v>8915</v>
      </c>
      <c r="AW1402" s="1415" t="s">
        <v>142</v>
      </c>
      <c r="AY1402" s="1415" t="s">
        <v>3672</v>
      </c>
    </row>
    <row r="1403">
      <c r="A1403" s="41" t="s">
        <v>106</v>
      </c>
      <c r="B1403" s="41" t="s">
        <v>107</v>
      </c>
      <c r="C1403" s="41" t="s">
        <v>144</v>
      </c>
      <c r="D1403" s="1415"/>
      <c r="E1403" s="130" t="s">
        <v>8900</v>
      </c>
      <c r="F1403" s="1416" t="s">
        <v>8901</v>
      </c>
      <c r="G1403" s="130" t="s">
        <v>144</v>
      </c>
      <c r="H1403" s="1415" t="s">
        <v>8517</v>
      </c>
      <c r="I1403" s="1425">
        <v>45694.0</v>
      </c>
      <c r="J1403" s="130" t="s">
        <v>8916</v>
      </c>
      <c r="K1403" s="130"/>
      <c r="L1403" s="1418" t="s">
        <v>8905</v>
      </c>
      <c r="M1403" s="130" t="s">
        <v>8906</v>
      </c>
      <c r="N1403" s="1419">
        <v>3.0</v>
      </c>
      <c r="O1403" s="1420" t="s">
        <v>8907</v>
      </c>
      <c r="P1403" s="48" t="str">
        <f t="array" ref="P1403">HYPERLINK(INDEX('File Links'!B:B, MATCH(O1403, 'File Links'!C:C, 0)))
</f>
        <v>https://drive.google.com/file/d/1z9vM-OymRrqp1u2xxHltR_nTYkRN8Bhe/view?usp=drivesdk</v>
      </c>
      <c r="Q1403" s="130" t="s">
        <v>8908</v>
      </c>
      <c r="R1403" s="130" t="s">
        <v>7139</v>
      </c>
      <c r="T1403" s="1417">
        <v>1.0</v>
      </c>
      <c r="U1403" s="1420" t="s">
        <v>7140</v>
      </c>
      <c r="V1403" s="130" t="s">
        <v>3501</v>
      </c>
      <c r="W1403" s="1426" t="s">
        <v>8510</v>
      </c>
      <c r="Y1403" s="130" t="s">
        <v>139</v>
      </c>
      <c r="Z1403" s="130" t="s">
        <v>8917</v>
      </c>
      <c r="AA1403" s="130" t="s">
        <v>8918</v>
      </c>
      <c r="AB1403" s="1415" t="s">
        <v>8911</v>
      </c>
      <c r="AC1403" s="130" t="s">
        <v>8919</v>
      </c>
      <c r="AD1403" s="1417">
        <v>5.0</v>
      </c>
      <c r="AE1403" s="1419">
        <v>8.0</v>
      </c>
      <c r="AF1403" s="1417">
        <v>0.52</v>
      </c>
      <c r="AG1403" s="130" t="s">
        <v>7687</v>
      </c>
      <c r="AH1403" s="130" t="s">
        <v>892</v>
      </c>
      <c r="AI1403" s="1417">
        <v>0.028</v>
      </c>
      <c r="AJ1403" s="130" t="s">
        <v>164</v>
      </c>
      <c r="AK1403" s="130" t="s">
        <v>128</v>
      </c>
      <c r="AL1403" s="1415" t="s">
        <v>129</v>
      </c>
      <c r="AM1403" s="1427"/>
      <c r="AN1403" s="1417">
        <v>17.0</v>
      </c>
      <c r="AO1403" s="1417">
        <v>-2.33</v>
      </c>
      <c r="AP1403" s="130" t="s">
        <v>8791</v>
      </c>
      <c r="AQ1403" s="1415" t="s">
        <v>861</v>
      </c>
      <c r="AR1403" s="1417">
        <v>1.0E-4</v>
      </c>
      <c r="AS1403" s="130" t="s">
        <v>164</v>
      </c>
      <c r="AT1403" s="130" t="s">
        <v>128</v>
      </c>
      <c r="AU1403" s="1415" t="s">
        <v>129</v>
      </c>
      <c r="AV1403" s="1424" t="s">
        <v>8920</v>
      </c>
      <c r="AW1403" s="1415" t="s">
        <v>142</v>
      </c>
      <c r="AY1403" s="1415" t="s">
        <v>3672</v>
      </c>
    </row>
    <row r="1404">
      <c r="A1404" s="41" t="s">
        <v>106</v>
      </c>
      <c r="B1404" s="41" t="s">
        <v>107</v>
      </c>
      <c r="C1404" s="41" t="s">
        <v>3672</v>
      </c>
      <c r="D1404" s="1415"/>
      <c r="E1404" s="130" t="s">
        <v>8921</v>
      </c>
      <c r="F1404" s="1416" t="s">
        <v>8922</v>
      </c>
      <c r="G1404" s="130" t="s">
        <v>3673</v>
      </c>
      <c r="H1404" s="1446">
        <v>45659.0</v>
      </c>
      <c r="I1404" s="1425">
        <v>45694.0</v>
      </c>
      <c r="J1404" s="1428"/>
      <c r="K1404" s="1415" t="s">
        <v>8923</v>
      </c>
      <c r="L1404" s="1418" t="s">
        <v>8924</v>
      </c>
      <c r="M1404" s="130" t="s">
        <v>8925</v>
      </c>
      <c r="O1404" s="1420" t="s">
        <v>8926</v>
      </c>
      <c r="P1404" s="48" t="str">
        <f t="array" ref="P1404">HYPERLINK(INDEX('File Links'!B:B, MATCH(O1404, 'File Links'!C:C, 0)))
</f>
        <v>https://drive.google.com/file/d/1qgt58xRKt3k8Eix4-bV5OBupJ4bQXEgg/view?usp=drivesdk</v>
      </c>
      <c r="Q1404" s="1428"/>
      <c r="R1404" s="130" t="s">
        <v>7139</v>
      </c>
      <c r="T1404" s="1442"/>
      <c r="U1404" s="1420" t="s">
        <v>7140</v>
      </c>
      <c r="V1404" s="1428"/>
      <c r="W1404" s="1426" t="s">
        <v>8510</v>
      </c>
      <c r="Y1404" s="1415"/>
      <c r="Z1404" s="1428"/>
      <c r="AA1404" s="130" t="s">
        <v>8927</v>
      </c>
      <c r="AB1404" s="130" t="s">
        <v>8928</v>
      </c>
      <c r="AE1404" s="1417">
        <v>4.0</v>
      </c>
      <c r="AF1404" s="1449"/>
      <c r="AG1404" s="1428"/>
      <c r="AH1404" s="1428"/>
      <c r="AI1404" s="1450"/>
      <c r="AJ1404" s="1432"/>
      <c r="AK1404" s="1432"/>
      <c r="AL1404" s="1438"/>
      <c r="AM1404" s="1427"/>
      <c r="AN1404" s="1442"/>
      <c r="AO1404" s="1442"/>
      <c r="AP1404" s="1428"/>
      <c r="AQ1404" s="1428"/>
      <c r="AR1404" s="1449"/>
      <c r="AS1404" s="1428"/>
      <c r="AT1404" s="1428"/>
      <c r="AU1404" s="1438"/>
      <c r="AV1404" s="1451"/>
      <c r="AW1404" s="1438"/>
      <c r="AY1404" s="1415" t="s">
        <v>3672</v>
      </c>
    </row>
    <row r="1405">
      <c r="A1405" s="115" t="s">
        <v>106</v>
      </c>
      <c r="B1405" s="41" t="s">
        <v>107</v>
      </c>
      <c r="C1405" s="41" t="s">
        <v>144</v>
      </c>
      <c r="D1405" s="1415"/>
      <c r="E1405" s="130" t="s">
        <v>8921</v>
      </c>
      <c r="F1405" s="1416" t="s">
        <v>8922</v>
      </c>
      <c r="G1405" s="130" t="s">
        <v>144</v>
      </c>
      <c r="H1405" s="1415" t="s">
        <v>8517</v>
      </c>
      <c r="I1405" s="1425">
        <v>45694.0</v>
      </c>
      <c r="J1405" s="130" t="s">
        <v>8929</v>
      </c>
      <c r="K1405" s="130"/>
      <c r="L1405" s="1418" t="s">
        <v>8924</v>
      </c>
      <c r="M1405" s="130" t="s">
        <v>8925</v>
      </c>
      <c r="O1405" s="1420" t="s">
        <v>8926</v>
      </c>
      <c r="P1405" s="48" t="str">
        <f t="array" ref="P1405">HYPERLINK(INDEX('File Links'!B:B, MATCH(O1405, 'File Links'!C:C, 0)))
</f>
        <v>https://drive.google.com/file/d/1qgt58xRKt3k8Eix4-bV5OBupJ4bQXEgg/view?usp=drivesdk</v>
      </c>
      <c r="Q1405" s="1428"/>
      <c r="R1405" s="130" t="s">
        <v>7139</v>
      </c>
      <c r="T1405" s="1435"/>
      <c r="U1405" s="1420" t="s">
        <v>7140</v>
      </c>
      <c r="V1405" s="1439"/>
      <c r="W1405" s="1421" t="s">
        <v>8510</v>
      </c>
      <c r="Y1405" s="1415"/>
      <c r="Z1405" s="1415"/>
      <c r="AA1405" s="1428"/>
      <c r="AB1405" s="1428"/>
      <c r="AC1405" s="1428"/>
      <c r="AD1405" s="1428"/>
      <c r="AE1405" s="1428"/>
      <c r="AF1405" s="1428"/>
      <c r="AG1405" s="1428"/>
      <c r="AH1405" s="1428"/>
      <c r="AI1405" s="1437"/>
      <c r="AJ1405" s="1432"/>
      <c r="AK1405" s="1432"/>
      <c r="AL1405" s="1438"/>
      <c r="AM1405" s="1432"/>
      <c r="AN1405" s="1428"/>
      <c r="AO1405" s="1428"/>
      <c r="AP1405" s="1428"/>
      <c r="AQ1405" s="1428"/>
      <c r="AR1405" s="1428"/>
      <c r="AS1405" s="1428"/>
      <c r="AT1405" s="1428"/>
      <c r="AU1405" s="1438"/>
      <c r="AV1405" s="1435"/>
      <c r="AW1405" s="1438"/>
      <c r="AY1405" s="1415" t="s">
        <v>3672</v>
      </c>
    </row>
    <row r="1406">
      <c r="A1406" s="115" t="s">
        <v>143</v>
      </c>
      <c r="B1406" s="41" t="s">
        <v>107</v>
      </c>
      <c r="C1406" s="41" t="s">
        <v>3672</v>
      </c>
      <c r="D1406" s="1415"/>
      <c r="E1406" s="130" t="s">
        <v>8930</v>
      </c>
      <c r="F1406" s="130" t="s">
        <v>8931</v>
      </c>
      <c r="G1406" s="130" t="s">
        <v>8932</v>
      </c>
      <c r="H1406" s="1446">
        <v>45659.0</v>
      </c>
      <c r="I1406" s="1425">
        <v>45694.0</v>
      </c>
      <c r="J1406" s="130" t="s">
        <v>8933</v>
      </c>
      <c r="K1406" s="130" t="s">
        <v>8934</v>
      </c>
      <c r="L1406" s="1429" t="s">
        <v>8935</v>
      </c>
      <c r="M1406" s="130" t="s">
        <v>6865</v>
      </c>
      <c r="N1406" s="1419">
        <v>1.0</v>
      </c>
      <c r="O1406" s="130" t="s">
        <v>6866</v>
      </c>
      <c r="P1406" s="48" t="str">
        <f t="array" ref="P1406">HYPERLINK(INDEX('File Links'!B:B, MATCH(O1406, 'File Links'!C:C, 0)))
</f>
        <v>https://drive.google.com/file/d/1cd2Q3usXoNSUYACYaL4eodYUxZsj-SOb/view?usp=drivesdk</v>
      </c>
      <c r="Q1406" s="130" t="s">
        <v>8936</v>
      </c>
      <c r="R1406" s="130" t="s">
        <v>7139</v>
      </c>
      <c r="T1406" s="1415" t="s">
        <v>8936</v>
      </c>
      <c r="U1406" s="130" t="s">
        <v>7140</v>
      </c>
      <c r="V1406" s="130" t="s">
        <v>155</v>
      </c>
      <c r="W1406" s="1433" t="s">
        <v>8510</v>
      </c>
      <c r="Y1406" s="130" t="s">
        <v>220</v>
      </c>
      <c r="Z1406" s="130" t="s">
        <v>8937</v>
      </c>
      <c r="AA1406" s="130" t="s">
        <v>8938</v>
      </c>
      <c r="AB1406" s="130" t="s">
        <v>8939</v>
      </c>
      <c r="AC1406" s="130" t="s">
        <v>8940</v>
      </c>
      <c r="AD1406" s="1419">
        <v>2.0</v>
      </c>
      <c r="AE1406" s="1419">
        <v>36.0</v>
      </c>
      <c r="AF1406" s="130" t="s">
        <v>8941</v>
      </c>
      <c r="AG1406" s="130" t="s">
        <v>162</v>
      </c>
      <c r="AH1406" s="130" t="s">
        <v>886</v>
      </c>
      <c r="AI1406" s="1415" t="s">
        <v>165</v>
      </c>
      <c r="AJ1406" s="130" t="s">
        <v>165</v>
      </c>
      <c r="AK1406" s="130" t="s">
        <v>179</v>
      </c>
      <c r="AL1406" s="1415" t="s">
        <v>129</v>
      </c>
      <c r="AM1406" s="130" t="s">
        <v>165</v>
      </c>
      <c r="AN1406" s="1419">
        <v>70.0</v>
      </c>
      <c r="AO1406" s="130">
        <v>0.001</v>
      </c>
      <c r="AP1406" s="130" t="s">
        <v>1785</v>
      </c>
      <c r="AQ1406" s="130" t="s">
        <v>8942</v>
      </c>
      <c r="AR1406" s="1417">
        <v>0.79</v>
      </c>
      <c r="AS1406" s="1415" t="s">
        <v>164</v>
      </c>
      <c r="AT1406" s="130" t="s">
        <v>179</v>
      </c>
      <c r="AU1406" s="1415" t="s">
        <v>129</v>
      </c>
      <c r="AV1406" s="1424" t="s">
        <v>8943</v>
      </c>
      <c r="AW1406" s="1415" t="s">
        <v>134</v>
      </c>
      <c r="AY1406" s="1415" t="s">
        <v>3672</v>
      </c>
    </row>
    <row r="1407">
      <c r="A1407" s="41" t="s">
        <v>106</v>
      </c>
      <c r="B1407" s="41" t="s">
        <v>107</v>
      </c>
      <c r="C1407" s="41" t="s">
        <v>144</v>
      </c>
      <c r="D1407" s="1415"/>
      <c r="E1407" s="130" t="s">
        <v>8930</v>
      </c>
      <c r="F1407" s="1416" t="s">
        <v>8931</v>
      </c>
      <c r="G1407" s="130" t="s">
        <v>144</v>
      </c>
      <c r="H1407" s="1415" t="s">
        <v>8517</v>
      </c>
      <c r="I1407" s="1425">
        <v>45694.0</v>
      </c>
      <c r="J1407" s="1415" t="s">
        <v>8944</v>
      </c>
      <c r="K1407" s="1415"/>
      <c r="L1407" s="1418" t="s">
        <v>8935</v>
      </c>
      <c r="M1407" s="130" t="s">
        <v>6865</v>
      </c>
      <c r="N1407" s="1417">
        <v>1.0</v>
      </c>
      <c r="O1407" s="1420" t="s">
        <v>6866</v>
      </c>
      <c r="P1407" s="48" t="str">
        <f t="array" ref="P1407">HYPERLINK(INDEX('File Links'!B:B, MATCH(O1407, 'File Links'!C:C, 0)))
</f>
        <v>https://drive.google.com/file/d/1cd2Q3usXoNSUYACYaL4eodYUxZsj-SOb/view?usp=drivesdk</v>
      </c>
      <c r="Q1407" s="130" t="s">
        <v>8936</v>
      </c>
      <c r="R1407" s="130" t="s">
        <v>7139</v>
      </c>
      <c r="T1407" s="1417">
        <v>1.0</v>
      </c>
      <c r="U1407" s="1420" t="s">
        <v>7140</v>
      </c>
      <c r="V1407" s="130" t="s">
        <v>155</v>
      </c>
      <c r="W1407" s="1448" t="s">
        <v>8510</v>
      </c>
      <c r="Y1407" s="1415" t="s">
        <v>220</v>
      </c>
      <c r="Z1407" s="130" t="s">
        <v>8945</v>
      </c>
      <c r="AA1407" s="1415" t="s">
        <v>8946</v>
      </c>
      <c r="AB1407" s="1415" t="s">
        <v>8939</v>
      </c>
      <c r="AC1407" s="130" t="s">
        <v>8947</v>
      </c>
      <c r="AD1407" s="1417">
        <v>2.0</v>
      </c>
      <c r="AE1407" s="1417">
        <v>36.0</v>
      </c>
      <c r="AF1407" s="1417">
        <v>0.2</v>
      </c>
      <c r="AG1407" s="130" t="s">
        <v>7291</v>
      </c>
      <c r="AH1407" s="1415" t="s">
        <v>886</v>
      </c>
      <c r="AI1407" s="1417">
        <v>0.93</v>
      </c>
      <c r="AJ1407" s="1415" t="s">
        <v>164</v>
      </c>
      <c r="AK1407" s="1415" t="s">
        <v>179</v>
      </c>
      <c r="AL1407" s="1415" t="s">
        <v>132</v>
      </c>
      <c r="AM1407" s="1427"/>
      <c r="AN1407" s="1417">
        <v>70.0</v>
      </c>
      <c r="AO1407" s="1417">
        <v>0.001</v>
      </c>
      <c r="AP1407" s="1415" t="s">
        <v>130</v>
      </c>
      <c r="AQ1407" s="1415" t="s">
        <v>210</v>
      </c>
      <c r="AR1407" s="1417">
        <v>0.79</v>
      </c>
      <c r="AS1407" s="1415" t="s">
        <v>164</v>
      </c>
      <c r="AT1407" s="1415" t="s">
        <v>179</v>
      </c>
      <c r="AU1407" s="1415" t="s">
        <v>132</v>
      </c>
      <c r="AV1407" s="1424" t="s">
        <v>8948</v>
      </c>
      <c r="AW1407" s="1415" t="s">
        <v>134</v>
      </c>
      <c r="AY1407" s="1415" t="s">
        <v>3672</v>
      </c>
    </row>
    <row r="1408">
      <c r="A1408" s="115" t="s">
        <v>106</v>
      </c>
      <c r="B1408" s="41" t="s">
        <v>107</v>
      </c>
      <c r="C1408" s="41" t="s">
        <v>3672</v>
      </c>
      <c r="D1408" s="1415"/>
      <c r="E1408" s="130" t="s">
        <v>8949</v>
      </c>
      <c r="F1408" s="1416" t="s">
        <v>8950</v>
      </c>
      <c r="G1408" s="130" t="s">
        <v>3673</v>
      </c>
      <c r="H1408" s="1446">
        <v>45659.0</v>
      </c>
      <c r="I1408" s="1425">
        <v>45694.0</v>
      </c>
      <c r="J1408" s="1428"/>
      <c r="K1408" s="1415" t="s">
        <v>8923</v>
      </c>
      <c r="L1408" s="1418" t="s">
        <v>8951</v>
      </c>
      <c r="M1408" s="130" t="s">
        <v>8952</v>
      </c>
      <c r="O1408" s="1420" t="s">
        <v>8953</v>
      </c>
      <c r="P1408" s="48" t="str">
        <f t="array" ref="P1408">HYPERLINK(INDEX('File Links'!B:B, MATCH(O1408, 'File Links'!C:C, 0)))
</f>
        <v>https://drive.google.com/file/d/1tLDYZKQb4z1ZUitzltLK7vgv1To8FFUF/view?usp=drivesdk</v>
      </c>
      <c r="Q1408" s="1428"/>
      <c r="R1408" s="130" t="s">
        <v>7139</v>
      </c>
      <c r="T1408" s="1442"/>
      <c r="U1408" s="1420" t="s">
        <v>7140</v>
      </c>
      <c r="V1408" s="1428"/>
      <c r="W1408" s="1426" t="s">
        <v>8510</v>
      </c>
      <c r="Y1408" s="1415"/>
      <c r="Z1408" s="1428"/>
      <c r="AA1408" s="130" t="s">
        <v>8954</v>
      </c>
      <c r="AB1408" s="130" t="s">
        <v>8955</v>
      </c>
      <c r="AE1408" s="1419">
        <v>3412.0</v>
      </c>
      <c r="AF1408" s="1449"/>
      <c r="AG1408" s="1428"/>
      <c r="AH1408" s="1428"/>
      <c r="AI1408" s="1450"/>
      <c r="AJ1408" s="1427"/>
      <c r="AK1408" s="1432"/>
      <c r="AL1408" s="1438"/>
      <c r="AM1408" s="1427"/>
      <c r="AN1408" s="1442"/>
      <c r="AO1408" s="1442"/>
      <c r="AP1408" s="1428"/>
      <c r="AQ1408" s="1428"/>
      <c r="AR1408" s="1449"/>
      <c r="AS1408" s="1428"/>
      <c r="AT1408" s="1428"/>
      <c r="AU1408" s="1438"/>
      <c r="AV1408" s="1451"/>
      <c r="AW1408" s="1438"/>
      <c r="AY1408" s="1415" t="s">
        <v>3672</v>
      </c>
    </row>
    <row r="1409">
      <c r="A1409" s="41" t="s">
        <v>106</v>
      </c>
      <c r="B1409" s="41" t="s">
        <v>107</v>
      </c>
      <c r="C1409" s="41" t="s">
        <v>144</v>
      </c>
      <c r="D1409" s="1415"/>
      <c r="E1409" s="130" t="s">
        <v>8949</v>
      </c>
      <c r="F1409" s="1416" t="s">
        <v>8950</v>
      </c>
      <c r="G1409" s="130" t="s">
        <v>144</v>
      </c>
      <c r="H1409" s="1415" t="s">
        <v>8517</v>
      </c>
      <c r="I1409" s="1425">
        <v>45694.0</v>
      </c>
      <c r="J1409" s="130" t="s">
        <v>8956</v>
      </c>
      <c r="K1409" s="130"/>
      <c r="L1409" s="1418" t="s">
        <v>8951</v>
      </c>
      <c r="M1409" s="130" t="s">
        <v>8952</v>
      </c>
      <c r="O1409" s="1420" t="s">
        <v>8953</v>
      </c>
      <c r="P1409" s="48" t="str">
        <f t="array" ref="P1409">HYPERLINK(INDEX('File Links'!B:B, MATCH(O1409, 'File Links'!C:C, 0)))
</f>
        <v>https://drive.google.com/file/d/1tLDYZKQb4z1ZUitzltLK7vgv1To8FFUF/view?usp=drivesdk</v>
      </c>
      <c r="Q1409" s="1428"/>
      <c r="R1409" s="130" t="s">
        <v>7139</v>
      </c>
      <c r="T1409" s="1442"/>
      <c r="U1409" s="1420" t="s">
        <v>7140</v>
      </c>
      <c r="V1409" s="1439"/>
      <c r="W1409" s="1426" t="s">
        <v>8510</v>
      </c>
      <c r="Y1409" s="1415"/>
      <c r="Z1409" s="1415"/>
      <c r="AA1409" s="1428"/>
      <c r="AB1409" s="1428"/>
      <c r="AC1409" s="1428"/>
      <c r="AD1409" s="1449"/>
      <c r="AE1409" s="1449"/>
      <c r="AF1409" s="1449"/>
      <c r="AG1409" s="1428"/>
      <c r="AH1409" s="1428"/>
      <c r="AI1409" s="1452"/>
      <c r="AJ1409" s="1427"/>
      <c r="AK1409" s="1432"/>
      <c r="AL1409" s="1438"/>
      <c r="AM1409" s="1427"/>
      <c r="AN1409" s="1442"/>
      <c r="AO1409" s="1442"/>
      <c r="AP1409" s="1428"/>
      <c r="AQ1409" s="1428"/>
      <c r="AR1409" s="1449"/>
      <c r="AS1409" s="1428"/>
      <c r="AT1409" s="1428"/>
      <c r="AU1409" s="1438"/>
      <c r="AV1409" s="1451"/>
      <c r="AW1409" s="1438"/>
      <c r="AY1409" s="1415" t="s">
        <v>3672</v>
      </c>
    </row>
    <row r="1410">
      <c r="A1410" s="41" t="s">
        <v>143</v>
      </c>
      <c r="B1410" s="41" t="s">
        <v>107</v>
      </c>
      <c r="C1410" s="41" t="s">
        <v>3672</v>
      </c>
      <c r="D1410" s="1415"/>
      <c r="E1410" s="130" t="s">
        <v>8957</v>
      </c>
      <c r="F1410" s="130" t="s">
        <v>8958</v>
      </c>
      <c r="G1410" s="1415" t="s">
        <v>8959</v>
      </c>
      <c r="H1410" s="1446">
        <v>45659.0</v>
      </c>
      <c r="I1410" s="1425">
        <v>45694.0</v>
      </c>
      <c r="J1410" s="130" t="s">
        <v>8960</v>
      </c>
      <c r="K1410" s="130" t="s">
        <v>8961</v>
      </c>
      <c r="L1410" s="1429" t="s">
        <v>8962</v>
      </c>
      <c r="M1410" s="130" t="s">
        <v>8963</v>
      </c>
      <c r="N1410" s="1419">
        <v>3.0</v>
      </c>
      <c r="O1410" s="130" t="s">
        <v>8964</v>
      </c>
      <c r="P1410" s="48" t="str">
        <f t="array" ref="P1410">HYPERLINK(INDEX('File Links'!B:B, MATCH(O1410, 'File Links'!C:C, 0)))
</f>
        <v>https://drive.google.com/file/d/1vmwxHTrl9F3n9CjnCny5Gv7aZ_iSmn06/view?usp=drivesdk</v>
      </c>
      <c r="Q1410" s="130" t="s">
        <v>8965</v>
      </c>
      <c r="R1410" s="130" t="s">
        <v>7139</v>
      </c>
      <c r="T1410" s="1415" t="s">
        <v>8965</v>
      </c>
      <c r="U1410" s="130" t="s">
        <v>7140</v>
      </c>
      <c r="V1410" s="130" t="s">
        <v>155</v>
      </c>
      <c r="W1410" s="1433" t="s">
        <v>8510</v>
      </c>
      <c r="Y1410" s="130" t="s">
        <v>139</v>
      </c>
      <c r="Z1410" s="130" t="s">
        <v>8966</v>
      </c>
      <c r="AA1410" s="130" t="s">
        <v>8967</v>
      </c>
      <c r="AB1410" s="130" t="s">
        <v>8968</v>
      </c>
      <c r="AC1410" s="130" t="s">
        <v>8969</v>
      </c>
      <c r="AD1410" s="1419">
        <v>5.0</v>
      </c>
      <c r="AE1410" s="1419">
        <v>29.0</v>
      </c>
      <c r="AF1410" s="130" t="s">
        <v>8970</v>
      </c>
      <c r="AG1410" s="130" t="s">
        <v>162</v>
      </c>
      <c r="AH1410" s="1428"/>
      <c r="AI1410" s="1423">
        <v>0.0</v>
      </c>
      <c r="AJ1410" s="130" t="s">
        <v>164</v>
      </c>
      <c r="AK1410" s="130" t="s">
        <v>128</v>
      </c>
      <c r="AL1410" s="1415" t="s">
        <v>132</v>
      </c>
      <c r="AM1410" s="1432"/>
      <c r="AN1410" s="1419">
        <v>26.0</v>
      </c>
      <c r="AO1410" s="130">
        <v>-0.62</v>
      </c>
      <c r="AP1410" s="130" t="s">
        <v>166</v>
      </c>
      <c r="AQ1410" s="130" t="s">
        <v>8971</v>
      </c>
      <c r="AR1410" s="1423">
        <v>0.00471</v>
      </c>
      <c r="AS1410" s="130" t="s">
        <v>164</v>
      </c>
      <c r="AT1410" s="130" t="s">
        <v>128</v>
      </c>
      <c r="AU1410" s="1415" t="s">
        <v>132</v>
      </c>
      <c r="AV1410" s="1424" t="s">
        <v>8972</v>
      </c>
      <c r="AW1410" s="1415" t="s">
        <v>134</v>
      </c>
      <c r="AY1410" s="1415" t="s">
        <v>3672</v>
      </c>
    </row>
    <row r="1411">
      <c r="A1411" s="41" t="s">
        <v>106</v>
      </c>
      <c r="B1411" s="41" t="s">
        <v>107</v>
      </c>
      <c r="C1411" s="41" t="s">
        <v>144</v>
      </c>
      <c r="D1411" s="1415"/>
      <c r="E1411" s="130" t="s">
        <v>8957</v>
      </c>
      <c r="F1411" s="1416" t="s">
        <v>8958</v>
      </c>
      <c r="G1411" s="130" t="s">
        <v>144</v>
      </c>
      <c r="H1411" s="1415" t="s">
        <v>8517</v>
      </c>
      <c r="I1411" s="1425">
        <v>45694.0</v>
      </c>
      <c r="J1411" s="130" t="s">
        <v>8973</v>
      </c>
      <c r="K1411" s="130"/>
      <c r="L1411" s="1418" t="s">
        <v>8962</v>
      </c>
      <c r="M1411" s="130" t="s">
        <v>8963</v>
      </c>
      <c r="N1411" s="1419">
        <v>3.0</v>
      </c>
      <c r="O1411" s="1420" t="s">
        <v>8964</v>
      </c>
      <c r="P1411" s="48" t="str">
        <f t="array" ref="P1411">HYPERLINK(INDEX('File Links'!B:B, MATCH(O1411, 'File Links'!C:C, 0)))
</f>
        <v>https://drive.google.com/file/d/1vmwxHTrl9F3n9CjnCny5Gv7aZ_iSmn06/view?usp=drivesdk</v>
      </c>
      <c r="Q1411" s="130" t="s">
        <v>8965</v>
      </c>
      <c r="R1411" s="130" t="s">
        <v>7139</v>
      </c>
      <c r="T1411" s="1417">
        <v>1.0</v>
      </c>
      <c r="U1411" s="1420" t="s">
        <v>7140</v>
      </c>
      <c r="V1411" s="130" t="s">
        <v>155</v>
      </c>
      <c r="W1411" s="1421" t="s">
        <v>8510</v>
      </c>
      <c r="Y1411" s="130" t="s">
        <v>139</v>
      </c>
      <c r="Z1411" s="130" t="s">
        <v>8974</v>
      </c>
      <c r="AA1411" s="130" t="s">
        <v>8975</v>
      </c>
      <c r="AB1411" s="130" t="s">
        <v>8968</v>
      </c>
      <c r="AC1411" s="130" t="s">
        <v>8976</v>
      </c>
      <c r="AD1411" s="1419">
        <v>5.0</v>
      </c>
      <c r="AE1411" s="1419">
        <v>29.0</v>
      </c>
      <c r="AF1411" s="130" t="s">
        <v>8977</v>
      </c>
      <c r="AG1411" s="130" t="s">
        <v>162</v>
      </c>
      <c r="AH1411" s="130" t="s">
        <v>892</v>
      </c>
      <c r="AI1411" s="1417">
        <v>0.0</v>
      </c>
      <c r="AJ1411" s="130" t="s">
        <v>164</v>
      </c>
      <c r="AK1411" s="130" t="s">
        <v>128</v>
      </c>
      <c r="AL1411" s="1415" t="s">
        <v>129</v>
      </c>
      <c r="AM1411" s="1432"/>
      <c r="AN1411" s="1419">
        <v>26.0</v>
      </c>
      <c r="AO1411" s="1419">
        <v>-0.62</v>
      </c>
      <c r="AP1411" s="130" t="s">
        <v>166</v>
      </c>
      <c r="AQ1411" s="130" t="s">
        <v>861</v>
      </c>
      <c r="AR1411" s="1419">
        <v>0.00471</v>
      </c>
      <c r="AS1411" s="130" t="s">
        <v>164</v>
      </c>
      <c r="AT1411" s="130" t="s">
        <v>179</v>
      </c>
      <c r="AU1411" s="1415" t="s">
        <v>129</v>
      </c>
      <c r="AV1411" s="1424" t="s">
        <v>8978</v>
      </c>
      <c r="AW1411" s="1415" t="s">
        <v>142</v>
      </c>
      <c r="AY1411" s="1415" t="s">
        <v>3672</v>
      </c>
    </row>
    <row r="1412">
      <c r="A1412" s="41" t="s">
        <v>106</v>
      </c>
      <c r="B1412" s="41" t="s">
        <v>107</v>
      </c>
      <c r="C1412" s="41" t="s">
        <v>3672</v>
      </c>
      <c r="D1412" s="1415"/>
      <c r="E1412" s="130" t="s">
        <v>8979</v>
      </c>
      <c r="F1412" s="130" t="s">
        <v>8980</v>
      </c>
      <c r="G1412" s="130" t="s">
        <v>8981</v>
      </c>
      <c r="H1412" s="1446">
        <v>45659.0</v>
      </c>
      <c r="I1412" s="1425">
        <v>45694.0</v>
      </c>
      <c r="J1412" s="1415" t="s">
        <v>8982</v>
      </c>
      <c r="K1412" s="1415" t="s">
        <v>8983</v>
      </c>
      <c r="L1412" s="1429" t="s">
        <v>8984</v>
      </c>
      <c r="M1412" s="130" t="s">
        <v>8985</v>
      </c>
      <c r="N1412" s="1417">
        <v>1.0</v>
      </c>
      <c r="O1412" s="130" t="s">
        <v>8986</v>
      </c>
      <c r="P1412" s="48" t="str">
        <f t="array" ref="P1412">HYPERLINK(INDEX('File Links'!B:B, MATCH(O1412, 'File Links'!C:C, 0)))
</f>
        <v>https://drive.google.com/file/d/1UsMzRx5dAyBC19d7_59BtDW0beEzge2i/view?usp=drivesdk</v>
      </c>
      <c r="Q1412" s="1453" t="s">
        <v>8987</v>
      </c>
      <c r="R1412" s="1454" t="s">
        <v>7139</v>
      </c>
      <c r="T1412" s="1442"/>
      <c r="U1412" s="130" t="s">
        <v>7140</v>
      </c>
      <c r="V1412" s="130" t="s">
        <v>155</v>
      </c>
      <c r="W1412" s="1433" t="s">
        <v>8510</v>
      </c>
      <c r="Y1412" s="1415" t="s">
        <v>220</v>
      </c>
      <c r="Z1412" s="130" t="s">
        <v>8988</v>
      </c>
      <c r="AA1412" s="1415" t="s">
        <v>8989</v>
      </c>
      <c r="AB1412" s="1415" t="s">
        <v>8990</v>
      </c>
      <c r="AC1412" s="130" t="s">
        <v>8991</v>
      </c>
      <c r="AD1412" s="1417">
        <v>3.0</v>
      </c>
      <c r="AE1412" s="1417">
        <v>28.0</v>
      </c>
      <c r="AF1412" s="1417" t="s">
        <v>8992</v>
      </c>
      <c r="AG1412" s="130" t="s">
        <v>166</v>
      </c>
      <c r="AH1412" s="1415" t="s">
        <v>210</v>
      </c>
      <c r="AI1412" s="1417" t="s">
        <v>165</v>
      </c>
      <c r="AJ1412" s="1427"/>
      <c r="AK1412" s="1415" t="s">
        <v>179</v>
      </c>
      <c r="AL1412" s="1415" t="s">
        <v>132</v>
      </c>
      <c r="AM1412" s="1427"/>
      <c r="AN1412" s="1417">
        <v>66.0</v>
      </c>
      <c r="AO1412" s="1417" t="s">
        <v>8993</v>
      </c>
      <c r="AP1412" s="1415" t="s">
        <v>130</v>
      </c>
      <c r="AQ1412" s="1438"/>
      <c r="AR1412" s="1423">
        <v>0.89</v>
      </c>
      <c r="AS1412" s="1415" t="s">
        <v>164</v>
      </c>
      <c r="AT1412" s="1415" t="s">
        <v>179</v>
      </c>
      <c r="AV1412" s="1424" t="s">
        <v>8994</v>
      </c>
      <c r="AW1412" s="1415" t="s">
        <v>134</v>
      </c>
      <c r="AY1412" s="1415" t="s">
        <v>3672</v>
      </c>
    </row>
    <row r="1413">
      <c r="A1413" s="41" t="s">
        <v>143</v>
      </c>
      <c r="B1413" s="41" t="s">
        <v>107</v>
      </c>
      <c r="C1413" s="41" t="s">
        <v>144</v>
      </c>
      <c r="D1413" s="1415"/>
      <c r="E1413" s="130" t="s">
        <v>8979</v>
      </c>
      <c r="F1413" s="1416" t="s">
        <v>8980</v>
      </c>
      <c r="G1413" s="130" t="s">
        <v>144</v>
      </c>
      <c r="H1413" s="1415" t="s">
        <v>8517</v>
      </c>
      <c r="I1413" s="1425">
        <v>45694.0</v>
      </c>
      <c r="J1413" s="130" t="s">
        <v>8995</v>
      </c>
      <c r="K1413" s="130"/>
      <c r="L1413" s="1418" t="s">
        <v>8984</v>
      </c>
      <c r="M1413" s="130" t="s">
        <v>8985</v>
      </c>
      <c r="N1413" s="1419">
        <v>1.0</v>
      </c>
      <c r="O1413" s="1420" t="s">
        <v>8986</v>
      </c>
      <c r="P1413" s="48" t="str">
        <f t="array" ref="P1413">HYPERLINK(INDEX('File Links'!B:B, MATCH(O1413, 'File Links'!C:C, 0)))
</f>
        <v>https://drive.google.com/file/d/1UsMzRx5dAyBC19d7_59BtDW0beEzge2i/view?usp=drivesdk</v>
      </c>
      <c r="Q1413" s="1453" t="s">
        <v>8996</v>
      </c>
      <c r="R1413" s="130" t="s">
        <v>7139</v>
      </c>
      <c r="T1413" s="1417">
        <v>1.0</v>
      </c>
      <c r="U1413" s="1420" t="s">
        <v>7140</v>
      </c>
      <c r="V1413" s="130" t="s">
        <v>155</v>
      </c>
      <c r="W1413" s="1426" t="s">
        <v>8510</v>
      </c>
      <c r="Y1413" s="130" t="s">
        <v>220</v>
      </c>
      <c r="Z1413" s="130" t="s">
        <v>8997</v>
      </c>
      <c r="AA1413" s="130" t="s">
        <v>8998</v>
      </c>
      <c r="AB1413" s="130" t="s">
        <v>8999</v>
      </c>
      <c r="AC1413" s="130" t="s">
        <v>9000</v>
      </c>
      <c r="AD1413" s="1419">
        <v>3.0</v>
      </c>
      <c r="AE1413" s="1419">
        <v>28.0</v>
      </c>
      <c r="AF1413" s="1419">
        <v>0.8</v>
      </c>
      <c r="AG1413" s="130" t="s">
        <v>166</v>
      </c>
      <c r="AH1413" s="130" t="s">
        <v>9001</v>
      </c>
      <c r="AI1413" s="1419" t="s">
        <v>165</v>
      </c>
      <c r="AJ1413" s="130" t="s">
        <v>165</v>
      </c>
      <c r="AK1413" s="130" t="s">
        <v>179</v>
      </c>
      <c r="AL1413" s="1415" t="s">
        <v>132</v>
      </c>
      <c r="AM1413" s="1427"/>
      <c r="AN1413" s="1417">
        <v>66.0</v>
      </c>
      <c r="AO1413" s="1417">
        <v>0.0</v>
      </c>
      <c r="AP1413" s="130" t="s">
        <v>130</v>
      </c>
      <c r="AQ1413" s="130" t="s">
        <v>9002</v>
      </c>
      <c r="AR1413" s="1419">
        <v>0.89</v>
      </c>
      <c r="AS1413" s="130" t="s">
        <v>164</v>
      </c>
      <c r="AT1413" s="130" t="s">
        <v>179</v>
      </c>
      <c r="AU1413" s="1415" t="s">
        <v>132</v>
      </c>
      <c r="AV1413" s="1424" t="s">
        <v>9003</v>
      </c>
      <c r="AW1413" s="1415" t="s">
        <v>134</v>
      </c>
      <c r="AY1413" s="1415" t="s">
        <v>3672</v>
      </c>
    </row>
    <row r="1414">
      <c r="A1414" s="41" t="s">
        <v>143</v>
      </c>
      <c r="B1414" s="41" t="s">
        <v>107</v>
      </c>
      <c r="C1414" s="41" t="s">
        <v>3672</v>
      </c>
      <c r="D1414" s="1415"/>
      <c r="E1414" s="130" t="s">
        <v>9004</v>
      </c>
      <c r="F1414" s="130" t="s">
        <v>9005</v>
      </c>
      <c r="G1414" s="130" t="s">
        <v>9006</v>
      </c>
      <c r="H1414" s="1446">
        <v>45659.0</v>
      </c>
      <c r="I1414" s="1425">
        <v>45694.0</v>
      </c>
      <c r="J1414" s="1428"/>
      <c r="K1414" s="130" t="s">
        <v>9007</v>
      </c>
      <c r="L1414" s="1429" t="s">
        <v>9008</v>
      </c>
      <c r="M1414" s="130" t="s">
        <v>9009</v>
      </c>
      <c r="N1414" s="1419">
        <v>3.0</v>
      </c>
      <c r="O1414" s="130" t="s">
        <v>9010</v>
      </c>
      <c r="P1414" s="48" t="str">
        <f t="array" ref="P1414">HYPERLINK(INDEX('File Links'!B:B, MATCH(O1414, 'File Links'!C:C, 0)))
</f>
        <v>https://drive.google.com/file/d/1DqdONyqsLP1eg0rgW71wKdPbcflRStOn/view?usp=drivesdk</v>
      </c>
      <c r="Q1414" s="130" t="s">
        <v>8840</v>
      </c>
      <c r="R1414" s="130" t="s">
        <v>7139</v>
      </c>
      <c r="T1414" s="1415" t="s">
        <v>8840</v>
      </c>
      <c r="U1414" s="130" t="s">
        <v>7140</v>
      </c>
      <c r="V1414" s="130" t="s">
        <v>155</v>
      </c>
      <c r="W1414" s="1433" t="s">
        <v>8510</v>
      </c>
      <c r="Y1414" s="130" t="s">
        <v>139</v>
      </c>
      <c r="Z1414" s="130" t="s">
        <v>9011</v>
      </c>
      <c r="AA1414" s="130" t="s">
        <v>9012</v>
      </c>
      <c r="AB1414" s="130" t="s">
        <v>9013</v>
      </c>
      <c r="AC1414" s="130" t="s">
        <v>9014</v>
      </c>
      <c r="AD1414" s="1419">
        <v>7.0</v>
      </c>
      <c r="AE1414" s="1419">
        <v>36.0</v>
      </c>
      <c r="AF1414" s="130" t="s">
        <v>9015</v>
      </c>
      <c r="AG1414" s="130" t="s">
        <v>162</v>
      </c>
      <c r="AH1414" s="130" t="s">
        <v>125</v>
      </c>
      <c r="AI1414" s="1423">
        <v>0.001</v>
      </c>
      <c r="AJ1414" s="130" t="s">
        <v>127</v>
      </c>
      <c r="AK1414" s="130" t="s">
        <v>179</v>
      </c>
      <c r="AL1414" s="1415" t="s">
        <v>132</v>
      </c>
      <c r="AM1414" s="1432"/>
      <c r="AN1414" s="1419">
        <v>36.0</v>
      </c>
      <c r="AO1414" s="130" t="s">
        <v>9016</v>
      </c>
      <c r="AP1414" s="130" t="s">
        <v>162</v>
      </c>
      <c r="AQ1414" s="130" t="s">
        <v>892</v>
      </c>
      <c r="AR1414" s="1419">
        <v>0.001</v>
      </c>
      <c r="AS1414" s="130" t="s">
        <v>127</v>
      </c>
      <c r="AT1414" s="130" t="s">
        <v>179</v>
      </c>
      <c r="AU1414" s="1415" t="s">
        <v>132</v>
      </c>
      <c r="AV1414" s="1424" t="s">
        <v>9017</v>
      </c>
      <c r="AW1414" s="1415" t="s">
        <v>134</v>
      </c>
      <c r="AY1414" s="1415" t="s">
        <v>3672</v>
      </c>
    </row>
    <row r="1415">
      <c r="A1415" s="41" t="s">
        <v>106</v>
      </c>
      <c r="B1415" s="41" t="s">
        <v>107</v>
      </c>
      <c r="C1415" s="41" t="s">
        <v>144</v>
      </c>
      <c r="D1415" s="1415"/>
      <c r="E1415" s="130" t="s">
        <v>9004</v>
      </c>
      <c r="F1415" s="1416" t="s">
        <v>9005</v>
      </c>
      <c r="G1415" s="130" t="s">
        <v>144</v>
      </c>
      <c r="H1415" s="1415" t="s">
        <v>8517</v>
      </c>
      <c r="I1415" s="1425">
        <v>45694.0</v>
      </c>
      <c r="J1415" s="130" t="s">
        <v>9018</v>
      </c>
      <c r="K1415" s="130"/>
      <c r="L1415" s="1447" t="s">
        <v>9008</v>
      </c>
      <c r="M1415" s="130" t="s">
        <v>9009</v>
      </c>
      <c r="N1415" s="1419">
        <v>3.0</v>
      </c>
      <c r="O1415" s="1420" t="s">
        <v>9010</v>
      </c>
      <c r="P1415" s="48" t="str">
        <f t="array" ref="P1415">HYPERLINK(INDEX('File Links'!B:B, MATCH(O1415, 'File Links'!C:C, 0)))
</f>
        <v>https://drive.google.com/file/d/1DqdONyqsLP1eg0rgW71wKdPbcflRStOn/view?usp=drivesdk</v>
      </c>
      <c r="Q1415" s="130" t="s">
        <v>8840</v>
      </c>
      <c r="R1415" s="130" t="s">
        <v>7139</v>
      </c>
      <c r="T1415" s="1417">
        <v>1.0</v>
      </c>
      <c r="U1415" s="1420" t="s">
        <v>7140</v>
      </c>
      <c r="V1415" s="130" t="s">
        <v>3501</v>
      </c>
      <c r="W1415" s="1426" t="s">
        <v>8510</v>
      </c>
      <c r="Y1415" s="130" t="s">
        <v>139</v>
      </c>
      <c r="Z1415" s="130" t="s">
        <v>9019</v>
      </c>
      <c r="AA1415" s="130" t="s">
        <v>9020</v>
      </c>
      <c r="AB1415" s="130" t="s">
        <v>9021</v>
      </c>
      <c r="AC1415" s="130" t="s">
        <v>9022</v>
      </c>
      <c r="AD1415" s="1419">
        <v>7.0</v>
      </c>
      <c r="AE1415" s="1419">
        <v>36.0</v>
      </c>
      <c r="AF1415" s="1419" t="s">
        <v>9015</v>
      </c>
      <c r="AG1415" s="130" t="s">
        <v>162</v>
      </c>
      <c r="AH1415" s="130" t="s">
        <v>125</v>
      </c>
      <c r="AI1415" s="1419">
        <v>0.001</v>
      </c>
      <c r="AJ1415" s="130" t="s">
        <v>127</v>
      </c>
      <c r="AK1415" s="130" t="s">
        <v>179</v>
      </c>
      <c r="AL1415" s="1415" t="s">
        <v>132</v>
      </c>
      <c r="AM1415" s="1427"/>
      <c r="AN1415" s="1417">
        <v>36.0</v>
      </c>
      <c r="AO1415" s="1417" t="s">
        <v>9016</v>
      </c>
      <c r="AP1415" s="130" t="s">
        <v>162</v>
      </c>
      <c r="AQ1415" s="130" t="s">
        <v>892</v>
      </c>
      <c r="AR1415" s="1419">
        <v>0.001</v>
      </c>
      <c r="AS1415" s="130" t="s">
        <v>164</v>
      </c>
      <c r="AT1415" s="130" t="s">
        <v>179</v>
      </c>
      <c r="AU1415" s="1415" t="s">
        <v>132</v>
      </c>
      <c r="AV1415" s="1424" t="s">
        <v>9023</v>
      </c>
      <c r="AW1415" s="1415" t="s">
        <v>134</v>
      </c>
      <c r="AY1415" s="1415" t="s">
        <v>3672</v>
      </c>
    </row>
    <row r="1416" hidden="1">
      <c r="A1416" s="115" t="s">
        <v>106</v>
      </c>
      <c r="B1416" s="41" t="s">
        <v>107</v>
      </c>
      <c r="C1416" s="41" t="s">
        <v>144</v>
      </c>
      <c r="E1416" s="60" t="s">
        <v>9024</v>
      </c>
      <c r="F1416" s="52" t="s">
        <v>9025</v>
      </c>
      <c r="G1416" s="147" t="s">
        <v>144</v>
      </c>
      <c r="H1416" s="140">
        <v>45687.0</v>
      </c>
      <c r="I1416" s="140">
        <v>45692.0</v>
      </c>
      <c r="J1416" s="454" t="s">
        <v>9026</v>
      </c>
      <c r="K1416" s="147" t="s">
        <v>9027</v>
      </c>
      <c r="L1416" s="147" t="s">
        <v>9028</v>
      </c>
      <c r="M1416" s="147" t="s">
        <v>9029</v>
      </c>
      <c r="N1416" s="144">
        <v>1.0</v>
      </c>
      <c r="O1416" s="145" t="s">
        <v>9030</v>
      </c>
      <c r="P1416" s="48" t="str">
        <f t="array" ref="P1416">HYPERLINK(INDEX('File Links'!B:B, MATCH(O1416, 'File Links'!C:C, 0)))
</f>
        <v>https://drive.google.com/file/d/1oLyXVFY64dU4qE6_b-iVXYa7asikLA1e/view?usp=drivesdk</v>
      </c>
      <c r="Q1416" s="147" t="s">
        <v>6103</v>
      </c>
      <c r="R1416" s="147" t="s">
        <v>6104</v>
      </c>
      <c r="S1416" s="60"/>
      <c r="T1416" s="144">
        <v>1.0</v>
      </c>
      <c r="U1416" s="145" t="s">
        <v>6105</v>
      </c>
      <c r="V1416" s="147"/>
      <c r="W1416" s="1455" t="str">
        <f> hyperlink(vlookup(lower(R1416),'File Links'!F:G, 2, FALSE), "LINK")</f>
        <v>LINK</v>
      </c>
      <c r="X1416" s="147" t="s">
        <v>9031</v>
      </c>
      <c r="Y1416" s="60"/>
      <c r="Z1416" s="60"/>
      <c r="AA1416" s="60"/>
      <c r="AB1416" s="60"/>
      <c r="AC1416" s="60"/>
      <c r="AD1416" s="60"/>
      <c r="AE1416" s="60"/>
      <c r="AF1416" s="60"/>
      <c r="AG1416" s="60"/>
      <c r="AH1416" s="60"/>
      <c r="AI1416" s="329"/>
      <c r="AJ1416" s="55"/>
      <c r="AK1416" s="55"/>
      <c r="AL1416" s="60"/>
      <c r="AM1416" s="55"/>
      <c r="AN1416" s="60"/>
      <c r="AO1416" s="60"/>
      <c r="AP1416" s="60"/>
      <c r="AQ1416" s="60"/>
      <c r="AR1416" s="60"/>
      <c r="AS1416" s="60"/>
      <c r="AT1416" s="60"/>
      <c r="AU1416" s="60"/>
      <c r="AV1416" s="60"/>
      <c r="AW1416" s="60"/>
      <c r="AX1416" s="41" t="s">
        <v>9032</v>
      </c>
      <c r="AY1416" s="60" t="s">
        <v>144</v>
      </c>
    </row>
    <row r="1417">
      <c r="A1417" s="60" t="s">
        <v>106</v>
      </c>
      <c r="B1417" s="41" t="s">
        <v>107</v>
      </c>
      <c r="C1417" s="41" t="s">
        <v>243</v>
      </c>
      <c r="E1417" s="147" t="s">
        <v>9025</v>
      </c>
      <c r="F1417" s="52" t="s">
        <v>9024</v>
      </c>
      <c r="G1417" s="147" t="s">
        <v>244</v>
      </c>
      <c r="H1417" s="140">
        <v>45663.0</v>
      </c>
      <c r="I1417" s="140">
        <v>45692.0</v>
      </c>
      <c r="J1417" s="412" t="s">
        <v>9033</v>
      </c>
      <c r="K1417" s="60"/>
      <c r="L1417" s="147" t="s">
        <v>9028</v>
      </c>
      <c r="M1417" s="147" t="s">
        <v>9029</v>
      </c>
      <c r="N1417" s="60"/>
      <c r="O1417" s="145" t="str">
        <f> SUBSTITUTE(lower(M1417), "/", "--") &amp;  ".pdf"</f>
        <v>10.1016--j.cub.2004.01.029.pdf</v>
      </c>
      <c r="P1417" s="48" t="str">
        <f t="array" ref="P1417">HYPERLINK(INDEX('File Links'!B:B, MATCH(O1417, 'File Links'!C:C, 0)))
</f>
        <v>https://drive.google.com/file/d/1oLyXVFY64dU4qE6_b-iVXYa7asikLA1e/view?usp=drivesdk</v>
      </c>
      <c r="Q1417" s="147" t="s">
        <v>9034</v>
      </c>
      <c r="R1417" s="147" t="s">
        <v>9035</v>
      </c>
      <c r="S1417" s="60"/>
      <c r="T1417" s="60"/>
      <c r="U1417" s="145" t="s">
        <v>6105</v>
      </c>
      <c r="V1417" s="147" t="s">
        <v>318</v>
      </c>
      <c r="W1417" s="1455" t="str">
        <f> hyperlink(vlookup(lower(R1417),'File Links'!F:G, 2, FALSE), "LINK")</f>
        <v>LINK</v>
      </c>
      <c r="X1417" s="60"/>
      <c r="Y1417" s="147" t="s">
        <v>139</v>
      </c>
      <c r="Z1417" s="60"/>
      <c r="AA1417" s="60"/>
      <c r="AB1417" s="60"/>
      <c r="AC1417" s="147" t="s">
        <v>9036</v>
      </c>
      <c r="AD1417" s="144">
        <v>261.0</v>
      </c>
      <c r="AE1417" s="144">
        <v>5.0</v>
      </c>
      <c r="AF1417" s="147" t="s">
        <v>165</v>
      </c>
      <c r="AG1417" s="147" t="s">
        <v>165</v>
      </c>
      <c r="AH1417" s="147" t="s">
        <v>165</v>
      </c>
      <c r="AI1417" s="646">
        <v>0.01</v>
      </c>
      <c r="AJ1417" s="52" t="s">
        <v>127</v>
      </c>
      <c r="AK1417" s="52" t="s">
        <v>211</v>
      </c>
      <c r="AL1417" s="147" t="s">
        <v>132</v>
      </c>
      <c r="AM1417" s="52" t="s">
        <v>129</v>
      </c>
      <c r="AN1417" s="144">
        <v>3.0</v>
      </c>
      <c r="AO1417" s="147" t="s">
        <v>165</v>
      </c>
      <c r="AP1417" s="60"/>
      <c r="AQ1417" s="60"/>
      <c r="AR1417" s="147" t="s">
        <v>165</v>
      </c>
      <c r="AS1417" s="60"/>
      <c r="AT1417" s="147" t="s">
        <v>179</v>
      </c>
      <c r="AU1417" s="147" t="s">
        <v>821</v>
      </c>
      <c r="AV1417" s="60"/>
      <c r="AW1417" s="147" t="s">
        <v>134</v>
      </c>
      <c r="AY1417" s="60" t="s">
        <v>144</v>
      </c>
    </row>
    <row r="1418">
      <c r="A1418" s="115" t="s">
        <v>143</v>
      </c>
      <c r="B1418" s="41" t="s">
        <v>107</v>
      </c>
      <c r="C1418" s="41" t="s">
        <v>144</v>
      </c>
      <c r="E1418" s="60" t="s">
        <v>9037</v>
      </c>
      <c r="F1418" s="52" t="s">
        <v>9038</v>
      </c>
      <c r="G1418" s="147" t="s">
        <v>144</v>
      </c>
      <c r="H1418" s="140">
        <v>45687.0</v>
      </c>
      <c r="I1418" s="140">
        <v>45692.0</v>
      </c>
      <c r="J1418" s="1456" t="s">
        <v>9039</v>
      </c>
      <c r="K1418" s="115" t="s">
        <v>9040</v>
      </c>
      <c r="L1418" s="147" t="s">
        <v>9041</v>
      </c>
      <c r="M1418" s="147" t="s">
        <v>9042</v>
      </c>
      <c r="N1418" s="144">
        <v>1.0</v>
      </c>
      <c r="O1418" s="145" t="s">
        <v>9043</v>
      </c>
      <c r="P1418" s="48" t="str">
        <f t="array" ref="P1418">HYPERLINK(INDEX('File Links'!B:B, MATCH(O1418, 'File Links'!C:C, 0)))
</f>
        <v>https://drive.google.com/file/d/1M2npXIoOra27xHNDnCsNwFJwuHLFn-QY/view?usp=drivesdk</v>
      </c>
      <c r="Q1418" s="147" t="s">
        <v>6103</v>
      </c>
      <c r="R1418" s="147" t="s">
        <v>6104</v>
      </c>
      <c r="S1418" s="60"/>
      <c r="T1418" s="144">
        <v>1.0</v>
      </c>
      <c r="U1418" s="145" t="s">
        <v>6105</v>
      </c>
      <c r="V1418" s="147" t="s">
        <v>9044</v>
      </c>
      <c r="W1418" s="1455" t="str">
        <f> hyperlink(vlookup(lower(R1418),'File Links'!F:G, 2, FALSE), "LINK")</f>
        <v>LINK</v>
      </c>
      <c r="X1418" s="60"/>
      <c r="Y1418" s="147" t="s">
        <v>139</v>
      </c>
      <c r="Z1418" s="147" t="s">
        <v>9045</v>
      </c>
      <c r="AA1418" s="147" t="s">
        <v>9046</v>
      </c>
      <c r="AB1418" s="147" t="s">
        <v>9047</v>
      </c>
      <c r="AC1418" s="147" t="s">
        <v>9048</v>
      </c>
      <c r="AD1418" s="327">
        <v>5.0</v>
      </c>
      <c r="AE1418" s="144">
        <v>22.0</v>
      </c>
      <c r="AF1418" s="149">
        <v>1.523</v>
      </c>
      <c r="AG1418" s="149" t="s">
        <v>166</v>
      </c>
      <c r="AH1418" s="149" t="s">
        <v>9049</v>
      </c>
      <c r="AI1418" s="646">
        <v>0.001</v>
      </c>
      <c r="AJ1418" s="52" t="s">
        <v>127</v>
      </c>
      <c r="AK1418" s="52" t="s">
        <v>179</v>
      </c>
      <c r="AL1418" s="147" t="s">
        <v>132</v>
      </c>
      <c r="AM1418" s="1363" t="s">
        <v>165</v>
      </c>
      <c r="AN1418" s="144">
        <v>40.0</v>
      </c>
      <c r="AO1418" s="149" t="s">
        <v>9050</v>
      </c>
      <c r="AP1418" s="149" t="s">
        <v>1051</v>
      </c>
      <c r="AQ1418" s="638" t="s">
        <v>9051</v>
      </c>
      <c r="AR1418" s="144"/>
      <c r="AS1418" s="139" t="s">
        <v>165</v>
      </c>
      <c r="AT1418" s="147" t="s">
        <v>179</v>
      </c>
      <c r="AU1418" s="147" t="s">
        <v>132</v>
      </c>
      <c r="AV1418" s="60"/>
      <c r="AW1418" s="60" t="s">
        <v>134</v>
      </c>
      <c r="AX1418" s="41" t="s">
        <v>9052</v>
      </c>
      <c r="AY1418" s="115" t="s">
        <v>9053</v>
      </c>
    </row>
    <row r="1419">
      <c r="A1419" s="60" t="s">
        <v>106</v>
      </c>
      <c r="B1419" s="41" t="s">
        <v>107</v>
      </c>
      <c r="C1419" s="41" t="s">
        <v>243</v>
      </c>
      <c r="E1419" s="147" t="s">
        <v>9038</v>
      </c>
      <c r="F1419" s="52" t="s">
        <v>9037</v>
      </c>
      <c r="G1419" s="147" t="s">
        <v>244</v>
      </c>
      <c r="H1419" s="140">
        <v>45663.0</v>
      </c>
      <c r="I1419" s="140">
        <v>45692.0</v>
      </c>
      <c r="J1419" s="60"/>
      <c r="K1419" s="60"/>
      <c r="L1419" s="147" t="s">
        <v>9041</v>
      </c>
      <c r="M1419" s="147" t="s">
        <v>9042</v>
      </c>
      <c r="N1419" s="60"/>
      <c r="O1419" s="145" t="str">
        <f> SUBSTITUTE(lower(M1419), "/", "--") &amp;  ".pdf"</f>
        <v>10.1016--j.neuroimage.2006.11.048.pdf</v>
      </c>
      <c r="P1419" s="48" t="str">
        <f t="array" ref="P1419">HYPERLINK(INDEX('File Links'!B:B, MATCH(O1419, 'File Links'!C:C, 0)))
</f>
        <v>https://drive.google.com/file/d/1M2npXIoOra27xHNDnCsNwFJwuHLFn-QY/view?usp=drivesdk</v>
      </c>
      <c r="Q1419" s="147" t="s">
        <v>9054</v>
      </c>
      <c r="R1419" s="147" t="s">
        <v>9055</v>
      </c>
      <c r="S1419" s="60"/>
      <c r="T1419" s="60"/>
      <c r="U1419" s="145" t="s">
        <v>6105</v>
      </c>
      <c r="V1419" s="147" t="s">
        <v>6117</v>
      </c>
      <c r="W1419" s="1455" t="str">
        <f> hyperlink(vlookup(lower(R1419),'File Links'!F:G, 2, FALSE), "LINK")</f>
        <v>LINK</v>
      </c>
      <c r="X1419" s="60"/>
      <c r="Y1419" s="147" t="s">
        <v>139</v>
      </c>
      <c r="Z1419" s="60"/>
      <c r="AA1419" s="60"/>
      <c r="AB1419" s="60"/>
      <c r="AC1419" s="147" t="s">
        <v>9056</v>
      </c>
      <c r="AD1419" s="144">
        <v>534.0</v>
      </c>
      <c r="AE1419" s="144">
        <v>22.0</v>
      </c>
      <c r="AF1419" s="1265">
        <v>25.75</v>
      </c>
      <c r="AG1419" s="1268" t="s">
        <v>1051</v>
      </c>
      <c r="AH1419" s="147" t="s">
        <v>9057</v>
      </c>
      <c r="AI1419" s="646">
        <v>0.001</v>
      </c>
      <c r="AJ1419" s="52" t="s">
        <v>127</v>
      </c>
      <c r="AK1419" s="52" t="s">
        <v>179</v>
      </c>
      <c r="AL1419" s="147" t="s">
        <v>132</v>
      </c>
      <c r="AM1419" s="52" t="s">
        <v>129</v>
      </c>
      <c r="AN1419" s="144">
        <v>40.0</v>
      </c>
      <c r="AO1419" s="709">
        <v>3.49</v>
      </c>
      <c r="AP1419" s="147" t="s">
        <v>1051</v>
      </c>
      <c r="AQ1419" s="60"/>
      <c r="AR1419" s="144">
        <v>0.0618253867610742</v>
      </c>
      <c r="AS1419" s="147" t="s">
        <v>164</v>
      </c>
      <c r="AT1419" s="147" t="s">
        <v>179</v>
      </c>
      <c r="AU1419" s="147" t="s">
        <v>132</v>
      </c>
      <c r="AV1419" s="60"/>
      <c r="AW1419" s="147" t="s">
        <v>134</v>
      </c>
      <c r="AY1419" s="60" t="s">
        <v>144</v>
      </c>
    </row>
    <row r="1420" hidden="1">
      <c r="A1420" s="115" t="s">
        <v>2021</v>
      </c>
      <c r="B1420" s="41" t="s">
        <v>107</v>
      </c>
      <c r="C1420" s="41" t="s">
        <v>144</v>
      </c>
      <c r="E1420" s="60" t="s">
        <v>9058</v>
      </c>
      <c r="F1420" s="52" t="s">
        <v>9059</v>
      </c>
      <c r="G1420" s="147" t="s">
        <v>144</v>
      </c>
      <c r="H1420" s="140">
        <v>45687.0</v>
      </c>
      <c r="I1420" s="140">
        <v>45692.0</v>
      </c>
      <c r="J1420" s="412" t="s">
        <v>9060</v>
      </c>
      <c r="K1420" s="60"/>
      <c r="L1420" s="147" t="s">
        <v>9061</v>
      </c>
      <c r="M1420" s="60"/>
      <c r="N1420" s="144">
        <v>2.0</v>
      </c>
      <c r="O1420" s="145" t="s">
        <v>351</v>
      </c>
      <c r="P1420" s="544" t="str">
        <f t="array" ref="P1420">HYPERLINK(INDEX('File Links'!B:B, MATCH(O1420, 'File Links'!C:C, 0)))
</f>
        <v>#N/A</v>
      </c>
      <c r="Q1420" s="147" t="s">
        <v>6103</v>
      </c>
      <c r="R1420" s="147" t="s">
        <v>6104</v>
      </c>
      <c r="S1420" s="60"/>
      <c r="T1420" s="144">
        <v>1.0</v>
      </c>
      <c r="U1420" s="145" t="s">
        <v>6105</v>
      </c>
      <c r="V1420" s="60"/>
      <c r="W1420" s="1455" t="str">
        <f> hyperlink(vlookup(lower(R1420),'File Links'!F:G, 2, FALSE), "LINK")</f>
        <v>LINK</v>
      </c>
      <c r="X1420" s="147" t="s">
        <v>9062</v>
      </c>
      <c r="Y1420" s="60"/>
      <c r="Z1420" s="60"/>
      <c r="AA1420" s="60"/>
      <c r="AB1420" s="60"/>
      <c r="AC1420" s="60"/>
      <c r="AD1420" s="60"/>
      <c r="AE1420" s="60"/>
      <c r="AF1420" s="60"/>
      <c r="AG1420" s="60"/>
      <c r="AH1420" s="60"/>
      <c r="AI1420" s="329"/>
      <c r="AJ1420" s="55"/>
      <c r="AK1420" s="55"/>
      <c r="AL1420" s="60"/>
      <c r="AM1420" s="55"/>
      <c r="AN1420" s="60"/>
      <c r="AO1420" s="60"/>
      <c r="AP1420" s="60"/>
      <c r="AQ1420" s="60"/>
      <c r="AR1420" s="60"/>
      <c r="AS1420" s="60"/>
      <c r="AT1420" s="60"/>
      <c r="AU1420" s="60"/>
      <c r="AV1420" s="60"/>
      <c r="AW1420" s="60"/>
      <c r="AY1420" s="60" t="s">
        <v>144</v>
      </c>
    </row>
    <row r="1421">
      <c r="A1421" s="60" t="s">
        <v>106</v>
      </c>
      <c r="B1421" s="41" t="s">
        <v>107</v>
      </c>
      <c r="C1421" s="41" t="s">
        <v>243</v>
      </c>
      <c r="E1421" s="147" t="s">
        <v>9059</v>
      </c>
      <c r="F1421" s="52" t="s">
        <v>9058</v>
      </c>
      <c r="G1421" s="147" t="s">
        <v>244</v>
      </c>
      <c r="H1421" s="140">
        <v>45669.0</v>
      </c>
      <c r="I1421" s="140">
        <v>45692.0</v>
      </c>
      <c r="J1421" s="412" t="s">
        <v>6190</v>
      </c>
      <c r="K1421" s="60"/>
      <c r="L1421" s="147" t="s">
        <v>9061</v>
      </c>
      <c r="M1421" s="147" t="s">
        <v>9063</v>
      </c>
      <c r="N1421" s="60"/>
      <c r="O1421" s="145" t="str">
        <f> SUBSTITUTE(lower(M1421), "/", "--") &amp;  ".pdf"</f>
        <v>10.1038--nature03390.pdf</v>
      </c>
      <c r="P1421" s="48" t="str">
        <f t="array" ref="P1421">HYPERLINK(INDEX('File Links'!B:B, MATCH(O1421, 'File Links'!C:C, 0)))
</f>
        <v>https://drive.google.com/file/d/1SrRdwzLZMo2zK6deXcTRyDZ9oh1TesUR/view?usp=drivesdk</v>
      </c>
      <c r="Q1421" s="147" t="s">
        <v>9064</v>
      </c>
      <c r="R1421" s="147" t="s">
        <v>9065</v>
      </c>
      <c r="S1421" s="60"/>
      <c r="T1421" s="60"/>
      <c r="U1421" s="145" t="s">
        <v>6105</v>
      </c>
      <c r="V1421" s="147" t="s">
        <v>318</v>
      </c>
      <c r="W1421" s="1455" t="str">
        <f> hyperlink(vlookup(lower(R1421),'File Links'!F:G, 2, FALSE), "LINK")</f>
        <v>LINK</v>
      </c>
      <c r="X1421" s="60"/>
      <c r="Y1421" s="147" t="s">
        <v>139</v>
      </c>
      <c r="Z1421" s="60"/>
      <c r="AA1421" s="60"/>
      <c r="AB1421" s="60"/>
      <c r="AC1421" s="147" t="s">
        <v>165</v>
      </c>
      <c r="AD1421" s="147" t="s">
        <v>165</v>
      </c>
      <c r="AE1421" s="147" t="s">
        <v>165</v>
      </c>
      <c r="AF1421" s="147" t="s">
        <v>165</v>
      </c>
      <c r="AG1421" s="147" t="s">
        <v>165</v>
      </c>
      <c r="AH1421" s="147" t="s">
        <v>165</v>
      </c>
      <c r="AI1421" s="329"/>
      <c r="AJ1421" s="55"/>
      <c r="AK1421" s="52" t="s">
        <v>179</v>
      </c>
      <c r="AL1421" s="147" t="s">
        <v>821</v>
      </c>
      <c r="AM1421" s="52" t="s">
        <v>129</v>
      </c>
      <c r="AN1421" s="144">
        <v>2.0</v>
      </c>
      <c r="AO1421" s="147" t="s">
        <v>165</v>
      </c>
      <c r="AP1421" s="60"/>
      <c r="AQ1421" s="60"/>
      <c r="AR1421" s="147" t="s">
        <v>165</v>
      </c>
      <c r="AS1421" s="60"/>
      <c r="AT1421" s="60"/>
      <c r="AU1421" s="147" t="s">
        <v>821</v>
      </c>
      <c r="AV1421" s="60"/>
      <c r="AW1421" s="147" t="s">
        <v>134</v>
      </c>
      <c r="AY1421" s="60" t="s">
        <v>144</v>
      </c>
    </row>
    <row r="1422">
      <c r="A1422" s="115" t="s">
        <v>143</v>
      </c>
      <c r="B1422" s="41" t="s">
        <v>107</v>
      </c>
      <c r="C1422" s="41" t="s">
        <v>144</v>
      </c>
      <c r="E1422" s="60" t="s">
        <v>9066</v>
      </c>
      <c r="F1422" s="52" t="s">
        <v>9067</v>
      </c>
      <c r="G1422" s="147" t="s">
        <v>144</v>
      </c>
      <c r="H1422" s="140">
        <v>45687.0</v>
      </c>
      <c r="I1422" s="140">
        <v>45692.0</v>
      </c>
      <c r="J1422" s="412" t="s">
        <v>9068</v>
      </c>
      <c r="K1422" s="60"/>
      <c r="L1422" s="147" t="s">
        <v>9069</v>
      </c>
      <c r="M1422" s="147" t="s">
        <v>9070</v>
      </c>
      <c r="N1422" s="144">
        <v>1.0</v>
      </c>
      <c r="O1422" s="145" t="s">
        <v>9071</v>
      </c>
      <c r="P1422" s="48" t="str">
        <f t="array" ref="P1422">HYPERLINK(INDEX('File Links'!B:B, MATCH(O1422, 'File Links'!C:C, 0)))
</f>
        <v>https://drive.google.com/file/d/1XTFfWFGSOorXaSHUTepn_NywZP0WRrna/view?usp=drivesdk</v>
      </c>
      <c r="Q1422" s="147" t="s">
        <v>6103</v>
      </c>
      <c r="R1422" s="147" t="s">
        <v>6104</v>
      </c>
      <c r="S1422" s="60"/>
      <c r="T1422" s="144">
        <v>1.0</v>
      </c>
      <c r="U1422" s="145" t="s">
        <v>6105</v>
      </c>
      <c r="V1422" s="147" t="s">
        <v>9072</v>
      </c>
      <c r="W1422" s="1457" t="str">
        <f> hyperlink(vlookup(lower(R1422),'File Links'!F:G, 2, FALSE), "LINK")</f>
        <v>LINK</v>
      </c>
      <c r="X1422" s="60"/>
      <c r="Y1422" s="147" t="s">
        <v>220</v>
      </c>
      <c r="Z1422" s="147" t="s">
        <v>9073</v>
      </c>
      <c r="AA1422" s="147" t="s">
        <v>9074</v>
      </c>
      <c r="AB1422" s="147" t="s">
        <v>9075</v>
      </c>
      <c r="AC1422" s="147" t="s">
        <v>9076</v>
      </c>
      <c r="AD1422" s="144" t="s">
        <v>9077</v>
      </c>
      <c r="AE1422" s="144">
        <v>208.0</v>
      </c>
      <c r="AF1422" s="144">
        <v>0.44</v>
      </c>
      <c r="AG1422" s="147" t="s">
        <v>6861</v>
      </c>
      <c r="AH1422" s="144" t="s">
        <v>432</v>
      </c>
      <c r="AI1422" s="646">
        <v>0.001</v>
      </c>
      <c r="AJ1422" s="52" t="s">
        <v>127</v>
      </c>
      <c r="AK1422" s="52" t="s">
        <v>128</v>
      </c>
      <c r="AL1422" s="60" t="s">
        <v>132</v>
      </c>
      <c r="AM1422" s="55"/>
      <c r="AN1422" s="144">
        <v>58.0</v>
      </c>
      <c r="AO1422" s="144">
        <v>0.135010281081558</v>
      </c>
      <c r="AP1422" s="144" t="s">
        <v>166</v>
      </c>
      <c r="AQ1422" s="1363" t="s">
        <v>165</v>
      </c>
      <c r="AR1422" s="144">
        <v>0.312441601669666</v>
      </c>
      <c r="AS1422" s="147" t="s">
        <v>164</v>
      </c>
      <c r="AT1422" s="147" t="s">
        <v>179</v>
      </c>
      <c r="AU1422" s="60" t="s">
        <v>132</v>
      </c>
      <c r="AV1422" s="1363" t="s">
        <v>165</v>
      </c>
      <c r="AW1422" s="60" t="s">
        <v>142</v>
      </c>
      <c r="AY1422" s="60" t="s">
        <v>144</v>
      </c>
    </row>
    <row r="1423">
      <c r="A1423" s="60" t="s">
        <v>106</v>
      </c>
      <c r="B1423" s="41" t="s">
        <v>107</v>
      </c>
      <c r="C1423" s="41" t="s">
        <v>243</v>
      </c>
      <c r="E1423" s="147" t="s">
        <v>9067</v>
      </c>
      <c r="F1423" s="52" t="s">
        <v>9066</v>
      </c>
      <c r="G1423" s="147" t="s">
        <v>244</v>
      </c>
      <c r="H1423" s="140">
        <v>45669.0</v>
      </c>
      <c r="I1423" s="140">
        <v>45692.0</v>
      </c>
      <c r="J1423" s="60"/>
      <c r="K1423" s="147" t="s">
        <v>9078</v>
      </c>
      <c r="L1423" s="147" t="s">
        <v>9069</v>
      </c>
      <c r="M1423" s="147" t="s">
        <v>9070</v>
      </c>
      <c r="N1423" s="60"/>
      <c r="O1423" s="145" t="str">
        <f t="shared" ref="O1423:O1424" si="74"> SUBSTITUTE(lower(M1423), "/", "--") &amp;  ".pdf"</f>
        <v>10.1177--0093650215609676.pdf</v>
      </c>
      <c r="P1423" s="48" t="str">
        <f t="array" ref="P1423">HYPERLINK(INDEX('File Links'!B:B, MATCH(O1423, 'File Links'!C:C, 0)))
</f>
        <v>https://drive.google.com/file/d/1XTFfWFGSOorXaSHUTepn_NywZP0WRrna/view?usp=drivesdk</v>
      </c>
      <c r="Q1423" s="147" t="s">
        <v>9079</v>
      </c>
      <c r="R1423" s="147" t="s">
        <v>9080</v>
      </c>
      <c r="S1423" s="60"/>
      <c r="T1423" s="60"/>
      <c r="U1423" s="145" t="s">
        <v>6105</v>
      </c>
      <c r="V1423" s="147" t="s">
        <v>6349</v>
      </c>
      <c r="W1423" s="1455" t="str">
        <f> hyperlink(vlookup(lower(R1423),'File Links'!F:G, 2, FALSE), "LINK")</f>
        <v>LINK</v>
      </c>
      <c r="X1423" s="60"/>
      <c r="Y1423" s="147" t="s">
        <v>220</v>
      </c>
      <c r="Z1423" s="60"/>
      <c r="AA1423" s="60"/>
      <c r="AB1423" s="60"/>
      <c r="AC1423" s="147" t="s">
        <v>9081</v>
      </c>
      <c r="AD1423" s="1265">
        <v>12.0</v>
      </c>
      <c r="AE1423" s="144">
        <v>208.0</v>
      </c>
      <c r="AF1423" s="144">
        <v>0.44</v>
      </c>
      <c r="AG1423" s="147" t="s">
        <v>6861</v>
      </c>
      <c r="AH1423" s="147" t="s">
        <v>2030</v>
      </c>
      <c r="AI1423" s="646">
        <v>0.001</v>
      </c>
      <c r="AJ1423" s="52" t="s">
        <v>127</v>
      </c>
      <c r="AK1423" s="52" t="s">
        <v>128</v>
      </c>
      <c r="AL1423" s="147" t="s">
        <v>132</v>
      </c>
      <c r="AM1423" s="52" t="s">
        <v>129</v>
      </c>
      <c r="AN1423" s="144">
        <v>58.0</v>
      </c>
      <c r="AO1423" s="144">
        <v>0.135010281081558</v>
      </c>
      <c r="AP1423" s="147" t="s">
        <v>166</v>
      </c>
      <c r="AQ1423" s="60"/>
      <c r="AR1423" s="144">
        <v>0.312441601669666</v>
      </c>
      <c r="AS1423" s="147" t="s">
        <v>164</v>
      </c>
      <c r="AT1423" s="147" t="s">
        <v>179</v>
      </c>
      <c r="AU1423" s="147" t="s">
        <v>132</v>
      </c>
      <c r="AV1423" s="60"/>
      <c r="AW1423" s="147" t="s">
        <v>142</v>
      </c>
      <c r="AY1423" s="60" t="s">
        <v>144</v>
      </c>
    </row>
    <row r="1424">
      <c r="A1424" s="60" t="s">
        <v>106</v>
      </c>
      <c r="B1424" s="41" t="s">
        <v>107</v>
      </c>
      <c r="C1424" s="41" t="s">
        <v>243</v>
      </c>
      <c r="E1424" s="147" t="s">
        <v>9082</v>
      </c>
      <c r="F1424" s="52" t="s">
        <v>9083</v>
      </c>
      <c r="G1424" s="147" t="s">
        <v>244</v>
      </c>
      <c r="H1424" s="140">
        <v>45669.0</v>
      </c>
      <c r="I1424" s="140">
        <v>45692.0</v>
      </c>
      <c r="J1424" s="60"/>
      <c r="K1424" s="60"/>
      <c r="L1424" s="147" t="s">
        <v>9084</v>
      </c>
      <c r="M1424" s="147" t="s">
        <v>9085</v>
      </c>
      <c r="N1424" s="60"/>
      <c r="O1424" s="145" t="str">
        <f t="shared" si="74"/>
        <v>10.1177--0956797619879441.pdf</v>
      </c>
      <c r="P1424" s="48" t="str">
        <f t="array" ref="P1424">HYPERLINK(INDEX('File Links'!B:B, MATCH(O1424, 'File Links'!C:C, 0)))
</f>
        <v>https://drive.google.com/file/d/1dyQ7iPpa5tauqQ87v1ICVpmTb96xwrHK/view?usp=drivesdk</v>
      </c>
      <c r="Q1424" s="147" t="s">
        <v>9086</v>
      </c>
      <c r="R1424" s="147" t="s">
        <v>9087</v>
      </c>
      <c r="S1424" s="60"/>
      <c r="T1424" s="60"/>
      <c r="U1424" s="145" t="s">
        <v>6105</v>
      </c>
      <c r="V1424" s="147" t="s">
        <v>6117</v>
      </c>
      <c r="W1424" s="1455" t="str">
        <f> hyperlink(vlookup(lower(R1424),'File Links'!F:G, 2, FALSE), "LINK")</f>
        <v>LINK</v>
      </c>
      <c r="X1424" s="60"/>
      <c r="Y1424" s="147" t="s">
        <v>139</v>
      </c>
      <c r="Z1424" s="60"/>
      <c r="AA1424" s="60"/>
      <c r="AB1424" s="60"/>
      <c r="AC1424" s="147" t="s">
        <v>9088</v>
      </c>
      <c r="AD1424" s="144">
        <v>6.0</v>
      </c>
      <c r="AE1424" s="144">
        <v>31.0</v>
      </c>
      <c r="AF1424" s="144">
        <v>1.32</v>
      </c>
      <c r="AG1424" s="147" t="s">
        <v>166</v>
      </c>
      <c r="AH1424" s="147" t="s">
        <v>1062</v>
      </c>
      <c r="AI1424" s="646">
        <v>0.001</v>
      </c>
      <c r="AJ1424" s="52" t="s">
        <v>127</v>
      </c>
      <c r="AK1424" s="52" t="s">
        <v>179</v>
      </c>
      <c r="AL1424" s="147" t="s">
        <v>821</v>
      </c>
      <c r="AM1424" s="52" t="s">
        <v>129</v>
      </c>
      <c r="AN1424" s="144">
        <v>12.0</v>
      </c>
      <c r="AO1424" s="144">
        <v>0.172292196901579</v>
      </c>
      <c r="AP1424" s="147" t="s">
        <v>166</v>
      </c>
      <c r="AQ1424" s="60"/>
      <c r="AR1424" s="144">
        <v>0.579197556876244</v>
      </c>
      <c r="AS1424" s="147" t="s">
        <v>164</v>
      </c>
      <c r="AT1424" s="147" t="s">
        <v>179</v>
      </c>
      <c r="AU1424" s="147" t="s">
        <v>821</v>
      </c>
      <c r="AV1424" s="60"/>
      <c r="AW1424" s="147" t="s">
        <v>134</v>
      </c>
      <c r="AY1424" s="60" t="s">
        <v>144</v>
      </c>
    </row>
    <row r="1425">
      <c r="A1425" s="115" t="s">
        <v>143</v>
      </c>
      <c r="B1425" s="41" t="s">
        <v>107</v>
      </c>
      <c r="C1425" s="41" t="s">
        <v>144</v>
      </c>
      <c r="E1425" s="60" t="s">
        <v>9083</v>
      </c>
      <c r="F1425" s="52" t="s">
        <v>9082</v>
      </c>
      <c r="G1425" s="147" t="s">
        <v>144</v>
      </c>
      <c r="H1425" s="140">
        <v>45687.0</v>
      </c>
      <c r="I1425" s="140">
        <v>45692.0</v>
      </c>
      <c r="J1425" s="454" t="s">
        <v>9089</v>
      </c>
      <c r="K1425" s="60"/>
      <c r="L1425" s="147" t="s">
        <v>9084</v>
      </c>
      <c r="M1425" s="147" t="s">
        <v>9085</v>
      </c>
      <c r="N1425" s="147" t="s">
        <v>9090</v>
      </c>
      <c r="O1425" s="145" t="s">
        <v>9091</v>
      </c>
      <c r="P1425" s="48" t="str">
        <f t="array" ref="P1425">HYPERLINK(INDEX('File Links'!B:B, MATCH(O1425, 'File Links'!C:C, 0)))
</f>
        <v>https://drive.google.com/file/d/1dyQ7iPpa5tauqQ87v1ICVpmTb96xwrHK/view?usp=drivesdk</v>
      </c>
      <c r="Q1425" s="147" t="s">
        <v>6103</v>
      </c>
      <c r="R1425" s="147" t="s">
        <v>6104</v>
      </c>
      <c r="S1425" s="638" t="s">
        <v>9092</v>
      </c>
      <c r="T1425" s="144">
        <v>1.0</v>
      </c>
      <c r="U1425" s="145" t="s">
        <v>6105</v>
      </c>
      <c r="V1425" s="147" t="s">
        <v>9044</v>
      </c>
      <c r="W1425" s="1457" t="str">
        <f> hyperlink(vlookup(lower(R1425),'File Links'!F:G, 2, FALSE), "LINK")</f>
        <v>LINK</v>
      </c>
      <c r="X1425" s="60"/>
      <c r="Y1425" s="147" t="s">
        <v>139</v>
      </c>
      <c r="Z1425" s="147" t="s">
        <v>9093</v>
      </c>
      <c r="AA1425" s="147" t="s">
        <v>9094</v>
      </c>
      <c r="AB1425" s="147" t="s">
        <v>9095</v>
      </c>
      <c r="AC1425" s="147" t="s">
        <v>9096</v>
      </c>
      <c r="AD1425" s="149" t="s">
        <v>131</v>
      </c>
      <c r="AE1425" s="144">
        <v>31.0</v>
      </c>
      <c r="AF1425" s="144">
        <v>1.32</v>
      </c>
      <c r="AG1425" s="144" t="s">
        <v>166</v>
      </c>
      <c r="AH1425" s="144" t="s">
        <v>131</v>
      </c>
      <c r="AI1425" s="646">
        <v>0.001</v>
      </c>
      <c r="AJ1425" s="52" t="s">
        <v>127</v>
      </c>
      <c r="AK1425" s="52" t="s">
        <v>179</v>
      </c>
      <c r="AL1425" s="139" t="s">
        <v>129</v>
      </c>
      <c r="AM1425" s="1458" t="s">
        <v>129</v>
      </c>
      <c r="AN1425" s="144">
        <v>12.0</v>
      </c>
      <c r="AO1425" s="144">
        <v>0.15</v>
      </c>
      <c r="AP1425" s="144" t="s">
        <v>166</v>
      </c>
      <c r="AQ1425" s="60"/>
      <c r="AR1425" s="149">
        <v>0.303</v>
      </c>
      <c r="AS1425" s="147" t="s">
        <v>164</v>
      </c>
      <c r="AT1425" s="147" t="s">
        <v>179</v>
      </c>
      <c r="AU1425" s="139" t="s">
        <v>129</v>
      </c>
      <c r="AV1425" s="410" t="s">
        <v>9097</v>
      </c>
      <c r="AW1425" s="60" t="s">
        <v>134</v>
      </c>
      <c r="AY1425" s="115" t="s">
        <v>9053</v>
      </c>
    </row>
    <row r="1426">
      <c r="A1426" s="60" t="s">
        <v>106</v>
      </c>
      <c r="B1426" s="41" t="s">
        <v>107</v>
      </c>
      <c r="C1426" s="41" t="s">
        <v>243</v>
      </c>
      <c r="E1426" s="147" t="s">
        <v>9098</v>
      </c>
      <c r="F1426" s="52" t="s">
        <v>9099</v>
      </c>
      <c r="G1426" s="147" t="s">
        <v>244</v>
      </c>
      <c r="H1426" s="140">
        <v>45669.0</v>
      </c>
      <c r="I1426" s="140">
        <v>45692.0</v>
      </c>
      <c r="J1426" s="60"/>
      <c r="K1426" s="147" t="s">
        <v>9078</v>
      </c>
      <c r="L1426" s="147" t="s">
        <v>9100</v>
      </c>
      <c r="M1426" s="147" t="s">
        <v>9101</v>
      </c>
      <c r="N1426" s="60"/>
      <c r="O1426" s="145" t="str">
        <f> SUBSTITUTE(lower(M1426), "/", "--") &amp;  ".pdf"</f>
        <v>10.1037--xge0000263.pdf</v>
      </c>
      <c r="P1426" s="48" t="str">
        <f t="array" ref="P1426">HYPERLINK(INDEX('File Links'!B:B, MATCH(O1426, 'File Links'!C:C, 0)))
</f>
        <v>https://drive.google.com/file/d/1dqZfs8CV4bFuIXsJrOSHM-_BKTXKhfGR/view?usp=drivesdk</v>
      </c>
      <c r="Q1426" s="147" t="s">
        <v>9102</v>
      </c>
      <c r="R1426" s="147" t="s">
        <v>9103</v>
      </c>
      <c r="S1426" s="60"/>
      <c r="T1426" s="60"/>
      <c r="U1426" s="145" t="s">
        <v>6105</v>
      </c>
      <c r="V1426" s="147" t="s">
        <v>318</v>
      </c>
      <c r="W1426" s="1455" t="str">
        <f> hyperlink(vlookup(lower(R1426),'File Links'!E:F, 2, FALSE), "LINK")</f>
        <v>LINK</v>
      </c>
      <c r="X1426" s="60"/>
      <c r="Y1426" s="147" t="s">
        <v>139</v>
      </c>
      <c r="Z1426" s="60"/>
      <c r="AA1426" s="147" t="s">
        <v>9104</v>
      </c>
      <c r="AB1426" s="60"/>
      <c r="AC1426" s="147" t="s">
        <v>9105</v>
      </c>
      <c r="AD1426" s="1265">
        <v>12.0</v>
      </c>
      <c r="AE1426" s="144">
        <v>107.0</v>
      </c>
      <c r="AF1426" s="144">
        <v>0.72</v>
      </c>
      <c r="AG1426" s="147" t="s">
        <v>166</v>
      </c>
      <c r="AH1426" s="1268" t="s">
        <v>5024</v>
      </c>
      <c r="AI1426" s="646">
        <v>0.001</v>
      </c>
      <c r="AJ1426" s="52" t="s">
        <v>127</v>
      </c>
      <c r="AK1426" s="52" t="s">
        <v>179</v>
      </c>
      <c r="AL1426" s="147" t="s">
        <v>129</v>
      </c>
      <c r="AM1426" s="52" t="s">
        <v>129</v>
      </c>
      <c r="AN1426" s="144">
        <v>56.0</v>
      </c>
      <c r="AO1426" s="144">
        <v>0.107320283791479</v>
      </c>
      <c r="AP1426" s="147" t="s">
        <v>166</v>
      </c>
      <c r="AQ1426" s="60"/>
      <c r="AR1426" s="1351">
        <v>3.80739424115181E-4</v>
      </c>
      <c r="AS1426" s="147" t="s">
        <v>164</v>
      </c>
      <c r="AT1426" s="147" t="s">
        <v>179</v>
      </c>
      <c r="AU1426" s="147" t="s">
        <v>129</v>
      </c>
      <c r="AV1426" s="60"/>
      <c r="AW1426" s="147" t="s">
        <v>134</v>
      </c>
      <c r="AY1426" s="60" t="s">
        <v>144</v>
      </c>
    </row>
    <row r="1427">
      <c r="A1427" s="115" t="s">
        <v>5350</v>
      </c>
      <c r="B1427" s="41" t="s">
        <v>107</v>
      </c>
      <c r="C1427" s="41" t="s">
        <v>144</v>
      </c>
      <c r="E1427" s="60" t="s">
        <v>9099</v>
      </c>
      <c r="F1427" s="52" t="s">
        <v>9106</v>
      </c>
      <c r="G1427" s="147" t="s">
        <v>144</v>
      </c>
      <c r="H1427" s="140">
        <v>45687.0</v>
      </c>
      <c r="I1427" s="140">
        <v>45692.0</v>
      </c>
      <c r="J1427" s="454" t="s">
        <v>9107</v>
      </c>
      <c r="K1427" s="60"/>
      <c r="L1427" s="147" t="s">
        <v>9100</v>
      </c>
      <c r="M1427" s="60"/>
      <c r="N1427" s="144">
        <v>1.0</v>
      </c>
      <c r="O1427" s="145" t="s">
        <v>351</v>
      </c>
      <c r="P1427" s="544" t="str">
        <f t="array" ref="P1427">HYPERLINK(INDEX('File Links'!B:B, MATCH(O1427, 'File Links'!C:C, 0)))
</f>
        <v>#N/A</v>
      </c>
      <c r="Q1427" s="453" t="s">
        <v>9108</v>
      </c>
      <c r="R1427" s="147" t="s">
        <v>6104</v>
      </c>
      <c r="S1427" s="60"/>
      <c r="T1427" s="144">
        <v>1.0</v>
      </c>
      <c r="U1427" s="145" t="s">
        <v>6105</v>
      </c>
      <c r="V1427" s="147" t="s">
        <v>9109</v>
      </c>
      <c r="W1427" s="1457" t="str">
        <f> hyperlink(vlookup(lower(R1427),'File Links'!F:G, 2, FALSE), "LINK")</f>
        <v>LINK</v>
      </c>
      <c r="X1427" s="60"/>
      <c r="Y1427" s="147" t="s">
        <v>139</v>
      </c>
      <c r="Z1427" s="147" t="s">
        <v>9110</v>
      </c>
      <c r="AA1427" s="147" t="s">
        <v>9111</v>
      </c>
      <c r="AB1427" s="147" t="s">
        <v>9112</v>
      </c>
      <c r="AC1427" s="147" t="s">
        <v>9113</v>
      </c>
      <c r="AD1427" s="144">
        <v>13.0</v>
      </c>
      <c r="AE1427" s="144">
        <v>107.0</v>
      </c>
      <c r="AF1427" s="144">
        <v>0.72</v>
      </c>
      <c r="AG1427" s="144" t="s">
        <v>166</v>
      </c>
      <c r="AH1427" s="144" t="s">
        <v>432</v>
      </c>
      <c r="AI1427" s="646">
        <v>0.001</v>
      </c>
      <c r="AJ1427" s="52" t="s">
        <v>127</v>
      </c>
      <c r="AK1427" s="52" t="s">
        <v>179</v>
      </c>
      <c r="AL1427" s="147" t="s">
        <v>129</v>
      </c>
      <c r="AM1427" s="55"/>
      <c r="AN1427" s="144">
        <v>56.0</v>
      </c>
      <c r="AO1427" s="144">
        <v>0.107320283791479</v>
      </c>
      <c r="AP1427" s="144" t="s">
        <v>166</v>
      </c>
      <c r="AQ1427" s="60"/>
      <c r="AR1427" s="144">
        <v>3.807E-4</v>
      </c>
      <c r="AS1427" s="147" t="s">
        <v>164</v>
      </c>
      <c r="AT1427" s="147" t="s">
        <v>179</v>
      </c>
      <c r="AU1427" s="147" t="s">
        <v>129</v>
      </c>
      <c r="AV1427" s="531" t="s">
        <v>9114</v>
      </c>
      <c r="AW1427" s="60" t="s">
        <v>142</v>
      </c>
      <c r="AY1427" s="60" t="s">
        <v>144</v>
      </c>
    </row>
    <row r="1428">
      <c r="A1428" s="115" t="s">
        <v>5350</v>
      </c>
      <c r="B1428" s="41" t="s">
        <v>107</v>
      </c>
      <c r="C1428" s="41" t="s">
        <v>144</v>
      </c>
      <c r="E1428" s="60" t="s">
        <v>9099</v>
      </c>
      <c r="F1428" s="52" t="s">
        <v>9115</v>
      </c>
      <c r="G1428" s="147" t="s">
        <v>144</v>
      </c>
      <c r="H1428" s="140">
        <v>45687.0</v>
      </c>
      <c r="I1428" s="140">
        <v>45692.0</v>
      </c>
      <c r="J1428" s="454" t="s">
        <v>9116</v>
      </c>
      <c r="K1428" s="60"/>
      <c r="L1428" s="147" t="s">
        <v>9100</v>
      </c>
      <c r="M1428" s="60"/>
      <c r="N1428" s="144">
        <v>1.0</v>
      </c>
      <c r="O1428" s="145" t="s">
        <v>351</v>
      </c>
      <c r="P1428" s="544" t="str">
        <f t="array" ref="P1428">HYPERLINK(INDEX('File Links'!B:B, MATCH(O1428, 'File Links'!C:C, 0)))
</f>
        <v>#N/A</v>
      </c>
      <c r="Q1428" s="453" t="s">
        <v>9117</v>
      </c>
      <c r="R1428" s="147" t="s">
        <v>6104</v>
      </c>
      <c r="S1428" s="60"/>
      <c r="T1428" s="144">
        <v>1.0</v>
      </c>
      <c r="U1428" s="145" t="s">
        <v>6105</v>
      </c>
      <c r="V1428" s="147" t="s">
        <v>9109</v>
      </c>
      <c r="W1428" s="1457" t="str">
        <f> hyperlink(vlookup(lower(R1428),'File Links'!F:G, 2, FALSE), "LINK")</f>
        <v>LINK</v>
      </c>
      <c r="X1428" s="60"/>
      <c r="Y1428" s="147" t="s">
        <v>139</v>
      </c>
      <c r="Z1428" s="147" t="s">
        <v>9110</v>
      </c>
      <c r="AA1428" s="147" t="s">
        <v>9111</v>
      </c>
      <c r="AB1428" s="147" t="s">
        <v>9118</v>
      </c>
      <c r="AC1428" s="147" t="s">
        <v>9119</v>
      </c>
      <c r="AD1428" s="144">
        <v>14.0</v>
      </c>
      <c r="AE1428" s="144">
        <v>107.0</v>
      </c>
      <c r="AF1428" s="144">
        <v>0.28</v>
      </c>
      <c r="AG1428" s="144" t="s">
        <v>208</v>
      </c>
      <c r="AH1428" s="144" t="s">
        <v>2232</v>
      </c>
      <c r="AI1428" s="646">
        <v>0.004</v>
      </c>
      <c r="AJ1428" s="52" t="s">
        <v>164</v>
      </c>
      <c r="AK1428" s="52" t="s">
        <v>179</v>
      </c>
      <c r="AL1428" s="147" t="s">
        <v>129</v>
      </c>
      <c r="AM1428" s="55"/>
      <c r="AN1428" s="144">
        <v>56.0</v>
      </c>
      <c r="AO1428" s="144">
        <v>-0.07617286</v>
      </c>
      <c r="AP1428" s="144" t="s">
        <v>208</v>
      </c>
      <c r="AQ1428" s="144" t="s">
        <v>1574</v>
      </c>
      <c r="AR1428" s="144">
        <v>0.01077</v>
      </c>
      <c r="AS1428" s="147" t="s">
        <v>164</v>
      </c>
      <c r="AT1428" s="147" t="s">
        <v>179</v>
      </c>
      <c r="AU1428" s="60" t="s">
        <v>129</v>
      </c>
      <c r="AV1428" s="410" t="s">
        <v>9114</v>
      </c>
      <c r="AW1428" s="60" t="s">
        <v>142</v>
      </c>
      <c r="AY1428" s="60" t="s">
        <v>144</v>
      </c>
    </row>
    <row r="1429">
      <c r="A1429" s="115" t="s">
        <v>5350</v>
      </c>
      <c r="B1429" s="41" t="s">
        <v>107</v>
      </c>
      <c r="C1429" s="41" t="s">
        <v>144</v>
      </c>
      <c r="E1429" s="60" t="s">
        <v>9099</v>
      </c>
      <c r="F1429" s="52" t="s">
        <v>9120</v>
      </c>
      <c r="G1429" s="147" t="s">
        <v>144</v>
      </c>
      <c r="H1429" s="140">
        <v>45687.0</v>
      </c>
      <c r="I1429" s="140">
        <v>45692.0</v>
      </c>
      <c r="J1429" s="454" t="s">
        <v>9121</v>
      </c>
      <c r="K1429" s="60"/>
      <c r="L1429" s="147" t="s">
        <v>9100</v>
      </c>
      <c r="M1429" s="60"/>
      <c r="N1429" s="144">
        <v>1.0</v>
      </c>
      <c r="O1429" s="145" t="s">
        <v>351</v>
      </c>
      <c r="P1429" s="544" t="str">
        <f t="array" ref="P1429">HYPERLINK(INDEX('File Links'!B:B, MATCH(O1429, 'File Links'!C:C, 0)))
</f>
        <v>#N/A</v>
      </c>
      <c r="Q1429" s="453" t="s">
        <v>9122</v>
      </c>
      <c r="R1429" s="147" t="s">
        <v>6104</v>
      </c>
      <c r="S1429" s="60"/>
      <c r="T1429" s="144">
        <v>1.0</v>
      </c>
      <c r="U1429" s="145" t="s">
        <v>6105</v>
      </c>
      <c r="V1429" s="147" t="s">
        <v>9109</v>
      </c>
      <c r="W1429" s="1455" t="str">
        <f> hyperlink(vlookup(lower(R1429),'File Links'!F:G, 2, FALSE), "LINK")</f>
        <v>LINK</v>
      </c>
      <c r="X1429" s="60"/>
      <c r="Y1429" s="147" t="s">
        <v>139</v>
      </c>
      <c r="Z1429" s="147" t="s">
        <v>9110</v>
      </c>
      <c r="AA1429" s="147" t="s">
        <v>9111</v>
      </c>
      <c r="AB1429" s="147" t="s">
        <v>9123</v>
      </c>
      <c r="AC1429" s="147" t="s">
        <v>9124</v>
      </c>
      <c r="AD1429" s="144">
        <v>14.0</v>
      </c>
      <c r="AE1429" s="144">
        <v>107.0</v>
      </c>
      <c r="AF1429" s="144">
        <v>0.06</v>
      </c>
      <c r="AG1429" s="144" t="s">
        <v>208</v>
      </c>
      <c r="AH1429" s="144" t="s">
        <v>2232</v>
      </c>
      <c r="AI1429" s="646">
        <v>0.56</v>
      </c>
      <c r="AJ1429" s="52" t="s">
        <v>164</v>
      </c>
      <c r="AK1429" s="52" t="s">
        <v>179</v>
      </c>
      <c r="AL1429" s="147" t="s">
        <v>129</v>
      </c>
      <c r="AM1429" s="55"/>
      <c r="AN1429" s="144">
        <v>56.0</v>
      </c>
      <c r="AO1429" s="144">
        <v>-0.03345847</v>
      </c>
      <c r="AP1429" s="144" t="s">
        <v>208</v>
      </c>
      <c r="AQ1429" s="144" t="s">
        <v>1574</v>
      </c>
      <c r="AR1429" s="144">
        <v>0.2632</v>
      </c>
      <c r="AS1429" s="147" t="s">
        <v>164</v>
      </c>
      <c r="AT1429" s="147" t="s">
        <v>179</v>
      </c>
      <c r="AU1429" s="60" t="s">
        <v>129</v>
      </c>
      <c r="AV1429" s="410" t="s">
        <v>9114</v>
      </c>
      <c r="AW1429" s="60" t="s">
        <v>142</v>
      </c>
      <c r="AY1429" s="60" t="s">
        <v>144</v>
      </c>
    </row>
    <row r="1430">
      <c r="A1430" s="115" t="s">
        <v>5350</v>
      </c>
      <c r="B1430" s="41" t="s">
        <v>107</v>
      </c>
      <c r="C1430" s="41" t="s">
        <v>144</v>
      </c>
      <c r="E1430" s="60" t="s">
        <v>9099</v>
      </c>
      <c r="F1430" s="52" t="s">
        <v>9125</v>
      </c>
      <c r="G1430" s="147" t="s">
        <v>144</v>
      </c>
      <c r="H1430" s="140">
        <v>45687.0</v>
      </c>
      <c r="I1430" s="140">
        <v>45692.0</v>
      </c>
      <c r="J1430" s="454" t="s">
        <v>9126</v>
      </c>
      <c r="K1430" s="60"/>
      <c r="L1430" s="147" t="s">
        <v>9100</v>
      </c>
      <c r="M1430" s="60"/>
      <c r="N1430" s="144">
        <v>1.0</v>
      </c>
      <c r="O1430" s="145" t="s">
        <v>351</v>
      </c>
      <c r="P1430" s="544" t="str">
        <f t="array" ref="P1430">HYPERLINK(INDEX('File Links'!B:B, MATCH(O1430, 'File Links'!C:C, 0)))
</f>
        <v>#N/A</v>
      </c>
      <c r="Q1430" s="453" t="s">
        <v>9127</v>
      </c>
      <c r="R1430" s="147" t="s">
        <v>6104</v>
      </c>
      <c r="S1430" s="60"/>
      <c r="T1430" s="144">
        <v>1.0</v>
      </c>
      <c r="U1430" s="145" t="s">
        <v>6105</v>
      </c>
      <c r="V1430" s="147" t="s">
        <v>9109</v>
      </c>
      <c r="W1430" s="1457" t="str">
        <f> hyperlink(vlookup(lower(R1430),'File Links'!F:G, 2, FALSE), "LINK")</f>
        <v>LINK</v>
      </c>
      <c r="X1430" s="60"/>
      <c r="Y1430" s="147" t="s">
        <v>139</v>
      </c>
      <c r="Z1430" s="147" t="s">
        <v>9110</v>
      </c>
      <c r="AA1430" s="147" t="s">
        <v>9111</v>
      </c>
      <c r="AB1430" s="147" t="s">
        <v>9128</v>
      </c>
      <c r="AC1430" s="147" t="s">
        <v>9129</v>
      </c>
      <c r="AD1430" s="144">
        <v>14.0</v>
      </c>
      <c r="AE1430" s="144">
        <v>107.0</v>
      </c>
      <c r="AF1430" s="144">
        <v>-0.32</v>
      </c>
      <c r="AG1430" s="144" t="s">
        <v>208</v>
      </c>
      <c r="AH1430" s="144" t="s">
        <v>2232</v>
      </c>
      <c r="AI1430" s="646">
        <v>0.001</v>
      </c>
      <c r="AJ1430" s="52" t="s">
        <v>127</v>
      </c>
      <c r="AK1430" s="52" t="s">
        <v>179</v>
      </c>
      <c r="AL1430" s="147" t="s">
        <v>129</v>
      </c>
      <c r="AM1430" s="55"/>
      <c r="AN1430" s="144">
        <v>56.0</v>
      </c>
      <c r="AO1430" s="144">
        <v>-0.04</v>
      </c>
      <c r="AP1430" s="144" t="s">
        <v>208</v>
      </c>
      <c r="AQ1430" s="144" t="s">
        <v>1580</v>
      </c>
      <c r="AR1430" s="144">
        <v>0.1238</v>
      </c>
      <c r="AS1430" s="147" t="s">
        <v>164</v>
      </c>
      <c r="AT1430" s="147" t="s">
        <v>179</v>
      </c>
      <c r="AU1430" s="60" t="s">
        <v>129</v>
      </c>
      <c r="AV1430" s="410" t="s">
        <v>9114</v>
      </c>
      <c r="AW1430" s="60" t="s">
        <v>142</v>
      </c>
      <c r="AY1430" s="60" t="s">
        <v>144</v>
      </c>
    </row>
    <row r="1431">
      <c r="A1431" s="115" t="s">
        <v>5350</v>
      </c>
      <c r="B1431" s="41" t="s">
        <v>107</v>
      </c>
      <c r="C1431" s="41" t="s">
        <v>144</v>
      </c>
      <c r="E1431" s="60" t="s">
        <v>9099</v>
      </c>
      <c r="F1431" s="52" t="s">
        <v>9130</v>
      </c>
      <c r="G1431" s="147" t="s">
        <v>144</v>
      </c>
      <c r="H1431" s="140">
        <v>45687.0</v>
      </c>
      <c r="I1431" s="140">
        <v>45692.0</v>
      </c>
      <c r="J1431" s="454" t="s">
        <v>9131</v>
      </c>
      <c r="K1431" s="60"/>
      <c r="L1431" s="147" t="s">
        <v>9100</v>
      </c>
      <c r="M1431" s="60"/>
      <c r="N1431" s="144">
        <v>1.0</v>
      </c>
      <c r="O1431" s="145" t="s">
        <v>351</v>
      </c>
      <c r="P1431" s="544" t="str">
        <f t="array" ref="P1431">HYPERLINK(INDEX('File Links'!B:B, MATCH(O1431, 'File Links'!C:C, 0)))
</f>
        <v>#N/A</v>
      </c>
      <c r="Q1431" s="453" t="s">
        <v>9132</v>
      </c>
      <c r="R1431" s="147" t="s">
        <v>6104</v>
      </c>
      <c r="S1431" s="60"/>
      <c r="T1431" s="144">
        <v>1.0</v>
      </c>
      <c r="U1431" s="145" t="s">
        <v>6105</v>
      </c>
      <c r="V1431" s="147" t="s">
        <v>9109</v>
      </c>
      <c r="W1431" s="1455" t="str">
        <f> hyperlink(vlookup(lower(R1431),'File Links'!F:G, 2, FALSE), "LINK")</f>
        <v>LINK</v>
      </c>
      <c r="X1431" s="60"/>
      <c r="Y1431" s="147" t="s">
        <v>139</v>
      </c>
      <c r="Z1431" s="147" t="s">
        <v>9110</v>
      </c>
      <c r="AA1431" s="147" t="s">
        <v>9111</v>
      </c>
      <c r="AB1431" s="147" t="s">
        <v>9133</v>
      </c>
      <c r="AC1431" s="147" t="s">
        <v>9134</v>
      </c>
      <c r="AD1431" s="144">
        <v>12.0</v>
      </c>
      <c r="AE1431" s="144">
        <v>107.0</v>
      </c>
      <c r="AF1431" s="144">
        <v>0.74</v>
      </c>
      <c r="AG1431" s="144" t="s">
        <v>1785</v>
      </c>
      <c r="AH1431" s="144" t="s">
        <v>609</v>
      </c>
      <c r="AI1431" s="646">
        <v>0.001</v>
      </c>
      <c r="AJ1431" s="52" t="s">
        <v>127</v>
      </c>
      <c r="AK1431" s="52" t="s">
        <v>179</v>
      </c>
      <c r="AL1431" s="147" t="s">
        <v>129</v>
      </c>
      <c r="AM1431" s="55"/>
      <c r="AN1431" s="144">
        <v>56.0</v>
      </c>
      <c r="AO1431" s="144" t="s">
        <v>9135</v>
      </c>
      <c r="AP1431" s="144" t="s">
        <v>162</v>
      </c>
      <c r="AQ1431" s="144" t="s">
        <v>9136</v>
      </c>
      <c r="AR1431" s="144">
        <v>6.056E-4</v>
      </c>
      <c r="AS1431" s="147" t="s">
        <v>164</v>
      </c>
      <c r="AT1431" s="147" t="s">
        <v>179</v>
      </c>
      <c r="AU1431" s="60" t="s">
        <v>129</v>
      </c>
      <c r="AV1431" s="410" t="s">
        <v>9114</v>
      </c>
      <c r="AW1431" s="60" t="s">
        <v>142</v>
      </c>
      <c r="AY1431" s="60" t="s">
        <v>144</v>
      </c>
    </row>
    <row r="1432">
      <c r="A1432" s="115" t="s">
        <v>5350</v>
      </c>
      <c r="B1432" s="41" t="s">
        <v>107</v>
      </c>
      <c r="C1432" s="41" t="s">
        <v>144</v>
      </c>
      <c r="E1432" s="60" t="s">
        <v>9099</v>
      </c>
      <c r="F1432" s="52" t="s">
        <v>9137</v>
      </c>
      <c r="G1432" s="147" t="s">
        <v>144</v>
      </c>
      <c r="H1432" s="140">
        <v>45687.0</v>
      </c>
      <c r="I1432" s="140">
        <v>45692.0</v>
      </c>
      <c r="J1432" s="454" t="s">
        <v>9138</v>
      </c>
      <c r="K1432" s="60"/>
      <c r="L1432" s="147" t="s">
        <v>9100</v>
      </c>
      <c r="M1432" s="60"/>
      <c r="N1432" s="144">
        <v>1.0</v>
      </c>
      <c r="O1432" s="145" t="s">
        <v>351</v>
      </c>
      <c r="P1432" s="544" t="str">
        <f t="array" ref="P1432">HYPERLINK(INDEX('File Links'!B:B, MATCH(O1432, 'File Links'!C:C, 0)))
</f>
        <v>#N/A</v>
      </c>
      <c r="Q1432" s="453" t="s">
        <v>9139</v>
      </c>
      <c r="R1432" s="147" t="s">
        <v>6104</v>
      </c>
      <c r="S1432" s="60"/>
      <c r="T1432" s="144">
        <v>1.0</v>
      </c>
      <c r="U1432" s="145" t="s">
        <v>6105</v>
      </c>
      <c r="V1432" s="147" t="s">
        <v>9109</v>
      </c>
      <c r="W1432" s="1457" t="str">
        <f> hyperlink(vlookup(lower(R1432),'File Links'!F:G, 2, FALSE), "LINK")</f>
        <v>LINK</v>
      </c>
      <c r="X1432" s="60"/>
      <c r="Y1432" s="147" t="s">
        <v>139</v>
      </c>
      <c r="Z1432" s="147" t="s">
        <v>9110</v>
      </c>
      <c r="AA1432" s="147" t="s">
        <v>9111</v>
      </c>
      <c r="AB1432" s="147" t="s">
        <v>9140</v>
      </c>
      <c r="AC1432" s="147" t="s">
        <v>9141</v>
      </c>
      <c r="AD1432" s="144">
        <v>13.0</v>
      </c>
      <c r="AE1432" s="144">
        <v>107.0</v>
      </c>
      <c r="AF1432" s="144">
        <v>0.64</v>
      </c>
      <c r="AG1432" s="144" t="s">
        <v>1785</v>
      </c>
      <c r="AH1432" s="144" t="s">
        <v>432</v>
      </c>
      <c r="AI1432" s="646">
        <v>0.001</v>
      </c>
      <c r="AJ1432" s="52" t="s">
        <v>127</v>
      </c>
      <c r="AK1432" s="52" t="s">
        <v>179</v>
      </c>
      <c r="AL1432" s="147" t="s">
        <v>129</v>
      </c>
      <c r="AM1432" s="55"/>
      <c r="AN1432" s="144">
        <v>56.0</v>
      </c>
      <c r="AO1432" s="144" t="s">
        <v>9142</v>
      </c>
      <c r="AP1432" s="144" t="s">
        <v>162</v>
      </c>
      <c r="AQ1432" s="144" t="s">
        <v>3637</v>
      </c>
      <c r="AR1432" s="144">
        <v>0.7857</v>
      </c>
      <c r="AS1432" s="147" t="s">
        <v>164</v>
      </c>
      <c r="AT1432" s="147" t="s">
        <v>179</v>
      </c>
      <c r="AU1432" s="60" t="s">
        <v>129</v>
      </c>
      <c r="AV1432" s="410" t="s">
        <v>9114</v>
      </c>
      <c r="AW1432" s="60" t="s">
        <v>142</v>
      </c>
      <c r="AY1432" s="60" t="s">
        <v>144</v>
      </c>
    </row>
    <row r="1433">
      <c r="A1433" s="115" t="s">
        <v>5350</v>
      </c>
      <c r="B1433" s="41" t="s">
        <v>107</v>
      </c>
      <c r="C1433" s="41" t="s">
        <v>144</v>
      </c>
      <c r="E1433" s="60" t="s">
        <v>9099</v>
      </c>
      <c r="F1433" s="52" t="s">
        <v>9143</v>
      </c>
      <c r="G1433" s="147" t="s">
        <v>144</v>
      </c>
      <c r="H1433" s="140">
        <v>45687.0</v>
      </c>
      <c r="I1433" s="140">
        <v>45692.0</v>
      </c>
      <c r="J1433" s="454" t="s">
        <v>9144</v>
      </c>
      <c r="K1433" s="60"/>
      <c r="L1433" s="147" t="s">
        <v>9100</v>
      </c>
      <c r="M1433" s="60"/>
      <c r="N1433" s="144">
        <v>1.0</v>
      </c>
      <c r="O1433" s="145" t="s">
        <v>351</v>
      </c>
      <c r="P1433" s="544" t="str">
        <f t="array" ref="P1433">HYPERLINK(INDEX('File Links'!B:B, MATCH(O1433, 'File Links'!C:C, 0)))
</f>
        <v>#N/A</v>
      </c>
      <c r="Q1433" s="453" t="s">
        <v>9145</v>
      </c>
      <c r="R1433" s="147" t="s">
        <v>6104</v>
      </c>
      <c r="S1433" s="60"/>
      <c r="T1433" s="144">
        <v>1.0</v>
      </c>
      <c r="U1433" s="145" t="s">
        <v>6105</v>
      </c>
      <c r="V1433" s="147" t="s">
        <v>9109</v>
      </c>
      <c r="W1433" s="1455" t="str">
        <f> hyperlink(vlookup(lower(R1433),'File Links'!F:G, 2, FALSE), "LINK")</f>
        <v>LINK</v>
      </c>
      <c r="X1433" s="60"/>
      <c r="Y1433" s="147" t="s">
        <v>139</v>
      </c>
      <c r="Z1433" s="147" t="s">
        <v>9110</v>
      </c>
      <c r="AA1433" s="147" t="s">
        <v>9111</v>
      </c>
      <c r="AB1433" s="147" t="s">
        <v>9146</v>
      </c>
      <c r="AC1433" s="147" t="s">
        <v>9147</v>
      </c>
      <c r="AD1433" s="144">
        <v>13.0</v>
      </c>
      <c r="AE1433" s="144">
        <v>107.0</v>
      </c>
      <c r="AF1433" s="144">
        <v>0.25</v>
      </c>
      <c r="AG1433" s="144" t="s">
        <v>1785</v>
      </c>
      <c r="AH1433" s="144" t="s">
        <v>432</v>
      </c>
      <c r="AI1433" s="646">
        <v>0.001</v>
      </c>
      <c r="AJ1433" s="52" t="s">
        <v>127</v>
      </c>
      <c r="AK1433" s="52" t="s">
        <v>179</v>
      </c>
      <c r="AL1433" s="147" t="s">
        <v>129</v>
      </c>
      <c r="AM1433" s="55"/>
      <c r="AN1433" s="144">
        <v>56.0</v>
      </c>
      <c r="AO1433" s="144" t="s">
        <v>9148</v>
      </c>
      <c r="AP1433" s="144" t="s">
        <v>162</v>
      </c>
      <c r="AQ1433" s="144" t="s">
        <v>9149</v>
      </c>
      <c r="AR1433" s="144">
        <v>0.7948</v>
      </c>
      <c r="AS1433" s="147" t="s">
        <v>164</v>
      </c>
      <c r="AT1433" s="147" t="s">
        <v>179</v>
      </c>
      <c r="AU1433" s="60" t="s">
        <v>129</v>
      </c>
      <c r="AV1433" s="410" t="s">
        <v>9114</v>
      </c>
      <c r="AW1433" s="60" t="s">
        <v>142</v>
      </c>
      <c r="AY1433" s="60" t="s">
        <v>144</v>
      </c>
    </row>
    <row r="1434">
      <c r="A1434" s="60" t="s">
        <v>586</v>
      </c>
      <c r="B1434" s="41" t="s">
        <v>107</v>
      </c>
      <c r="C1434" s="41" t="s">
        <v>243</v>
      </c>
      <c r="E1434" s="147" t="s">
        <v>9150</v>
      </c>
      <c r="F1434" s="52" t="s">
        <v>9151</v>
      </c>
      <c r="G1434" s="147" t="s">
        <v>244</v>
      </c>
      <c r="H1434" s="140">
        <v>45669.0</v>
      </c>
      <c r="I1434" s="140">
        <v>45692.0</v>
      </c>
      <c r="J1434" s="60"/>
      <c r="K1434" s="60" t="s">
        <v>9152</v>
      </c>
      <c r="L1434" s="147" t="s">
        <v>9153</v>
      </c>
      <c r="M1434" s="147" t="s">
        <v>9154</v>
      </c>
      <c r="N1434" s="60"/>
      <c r="O1434" s="145" t="str">
        <f> SUBSTITUTE(lower(M1434), "/", "--") &amp;  ".pdf"</f>
        <v>10.1037--xge0000064.pdf</v>
      </c>
      <c r="P1434" s="48" t="str">
        <f t="array" ref="P1434">HYPERLINK(INDEX('File Links'!B:B, MATCH(O1434, 'File Links'!C:C, 0)))
</f>
        <v>https://drive.google.com/file/d/1tRDHk6OnUXVNfn6Ll53VYpaT5vuJ4llq/view?usp=drivesdk</v>
      </c>
      <c r="Q1434" s="147" t="s">
        <v>9155</v>
      </c>
      <c r="R1434" s="147" t="s">
        <v>9156</v>
      </c>
      <c r="S1434" s="60"/>
      <c r="T1434" s="60"/>
      <c r="U1434" s="145" t="s">
        <v>6105</v>
      </c>
      <c r="V1434" s="147" t="s">
        <v>318</v>
      </c>
      <c r="W1434" s="1457" t="str">
        <f> hyperlink(vlookup(lower(R1434),'File Links'!E:F, 2, FALSE), "LINK")</f>
        <v>LINK</v>
      </c>
      <c r="X1434" s="60"/>
      <c r="Y1434" s="147" t="s">
        <v>220</v>
      </c>
      <c r="Z1434" s="60"/>
      <c r="AA1434" s="147" t="s">
        <v>9157</v>
      </c>
      <c r="AB1434" s="60"/>
      <c r="AC1434" s="147" t="s">
        <v>9158</v>
      </c>
      <c r="AD1434" s="1268" t="s">
        <v>9159</v>
      </c>
      <c r="AE1434" s="144">
        <v>224.0</v>
      </c>
      <c r="AF1434" s="144">
        <v>0.04</v>
      </c>
      <c r="AG1434" s="147" t="s">
        <v>130</v>
      </c>
      <c r="AH1434" s="1268" t="s">
        <v>9160</v>
      </c>
      <c r="AI1434" s="646">
        <v>0.002</v>
      </c>
      <c r="AJ1434" s="52" t="s">
        <v>164</v>
      </c>
      <c r="AK1434" s="52" t="s">
        <v>179</v>
      </c>
      <c r="AL1434" s="147" t="s">
        <v>132</v>
      </c>
      <c r="AM1434" s="52" t="s">
        <v>129</v>
      </c>
      <c r="AN1434" s="144">
        <v>148.0</v>
      </c>
      <c r="AO1434" s="144">
        <v>-0.241428656113382</v>
      </c>
      <c r="AP1434" s="147" t="s">
        <v>166</v>
      </c>
      <c r="AQ1434" s="60"/>
      <c r="AR1434" s="144">
        <v>0.0039689311852333</v>
      </c>
      <c r="AS1434" s="147" t="s">
        <v>164</v>
      </c>
      <c r="AT1434" s="147" t="s">
        <v>179</v>
      </c>
      <c r="AU1434" s="147" t="s">
        <v>132</v>
      </c>
      <c r="AV1434" s="60"/>
      <c r="AW1434" s="147" t="s">
        <v>134</v>
      </c>
      <c r="AY1434" s="60" t="s">
        <v>144</v>
      </c>
    </row>
    <row r="1435">
      <c r="A1435" s="115" t="s">
        <v>5350</v>
      </c>
      <c r="B1435" s="41" t="s">
        <v>107</v>
      </c>
      <c r="C1435" s="41" t="s">
        <v>144</v>
      </c>
      <c r="E1435" s="60" t="s">
        <v>9151</v>
      </c>
      <c r="F1435" s="52" t="s">
        <v>9161</v>
      </c>
      <c r="G1435" s="147" t="s">
        <v>144</v>
      </c>
      <c r="H1435" s="140">
        <v>45687.0</v>
      </c>
      <c r="I1435" s="140">
        <v>45692.0</v>
      </c>
      <c r="J1435" s="454" t="s">
        <v>9162</v>
      </c>
      <c r="K1435" s="147" t="s">
        <v>9163</v>
      </c>
      <c r="L1435" s="147" t="s">
        <v>9153</v>
      </c>
      <c r="M1435" s="60"/>
      <c r="N1435" s="144">
        <v>4.0</v>
      </c>
      <c r="O1435" s="145" t="s">
        <v>351</v>
      </c>
      <c r="P1435" s="544" t="str">
        <f t="array" ref="P1435">HYPERLINK(INDEX('File Links'!B:B, MATCH(O1435, 'File Links'!C:C, 0)))
</f>
        <v>#N/A</v>
      </c>
      <c r="Q1435" s="147" t="s">
        <v>6103</v>
      </c>
      <c r="R1435" s="147" t="s">
        <v>6104</v>
      </c>
      <c r="S1435" s="60"/>
      <c r="T1435" s="144">
        <v>1.0</v>
      </c>
      <c r="U1435" s="145" t="s">
        <v>6105</v>
      </c>
      <c r="V1435" s="147" t="s">
        <v>9109</v>
      </c>
      <c r="W1435" s="1457" t="str">
        <f> hyperlink(vlookup(lower(R1435),'File Links'!F:G, 2, FALSE), "LINK")</f>
        <v>LINK</v>
      </c>
      <c r="X1435" s="60"/>
      <c r="Y1435" s="147" t="s">
        <v>220</v>
      </c>
      <c r="Z1435" s="147" t="s">
        <v>6448</v>
      </c>
      <c r="AA1435" s="147" t="s">
        <v>9164</v>
      </c>
      <c r="AB1435" s="147" t="s">
        <v>9165</v>
      </c>
      <c r="AC1435" s="147" t="s">
        <v>9166</v>
      </c>
      <c r="AD1435" s="1459">
        <v>9.0</v>
      </c>
      <c r="AE1435" s="144">
        <v>224.0</v>
      </c>
      <c r="AF1435" s="144">
        <v>0.08</v>
      </c>
      <c r="AG1435" s="144" t="s">
        <v>130</v>
      </c>
      <c r="AH1435" s="1459" t="s">
        <v>625</v>
      </c>
      <c r="AI1435" s="646">
        <v>0.001</v>
      </c>
      <c r="AJ1435" s="52" t="s">
        <v>127</v>
      </c>
      <c r="AK1435" s="52" t="s">
        <v>179</v>
      </c>
      <c r="AL1435" s="147" t="s">
        <v>132</v>
      </c>
      <c r="AM1435" s="55"/>
      <c r="AN1435" s="144">
        <v>148.0</v>
      </c>
      <c r="AO1435" s="144" t="s">
        <v>9167</v>
      </c>
      <c r="AP1435" s="144" t="s">
        <v>162</v>
      </c>
      <c r="AQ1435" s="144" t="s">
        <v>625</v>
      </c>
      <c r="AR1435" s="144">
        <v>0.15</v>
      </c>
      <c r="AS1435" s="147" t="s">
        <v>164</v>
      </c>
      <c r="AT1435" s="147" t="s">
        <v>179</v>
      </c>
      <c r="AU1435" s="60" t="s">
        <v>132</v>
      </c>
      <c r="AV1435" s="410" t="s">
        <v>9168</v>
      </c>
      <c r="AW1435" s="60" t="s">
        <v>142</v>
      </c>
      <c r="AY1435" s="60" t="s">
        <v>144</v>
      </c>
    </row>
    <row r="1436">
      <c r="A1436" s="60" t="s">
        <v>586</v>
      </c>
      <c r="B1436" s="41" t="s">
        <v>107</v>
      </c>
      <c r="C1436" s="41" t="s">
        <v>144</v>
      </c>
      <c r="E1436" s="60" t="s">
        <v>9151</v>
      </c>
      <c r="F1436" s="52" t="s">
        <v>9169</v>
      </c>
      <c r="G1436" s="147" t="s">
        <v>144</v>
      </c>
      <c r="H1436" s="140">
        <v>45687.0</v>
      </c>
      <c r="I1436" s="140">
        <v>45692.0</v>
      </c>
      <c r="J1436" s="454" t="s">
        <v>9170</v>
      </c>
      <c r="K1436" s="147" t="s">
        <v>9163</v>
      </c>
      <c r="L1436" s="147" t="s">
        <v>9153</v>
      </c>
      <c r="M1436" s="60"/>
      <c r="N1436" s="144">
        <v>4.0</v>
      </c>
      <c r="O1436" s="145" t="s">
        <v>351</v>
      </c>
      <c r="P1436" s="544" t="str">
        <f t="array" ref="P1436">HYPERLINK(INDEX('File Links'!B:B, MATCH(O1436, 'File Links'!C:C, 0)))
</f>
        <v>#N/A</v>
      </c>
      <c r="Q1436" s="147" t="s">
        <v>6103</v>
      </c>
      <c r="R1436" s="147" t="s">
        <v>6104</v>
      </c>
      <c r="S1436" s="60"/>
      <c r="T1436" s="144">
        <v>1.0</v>
      </c>
      <c r="U1436" s="145" t="s">
        <v>6105</v>
      </c>
      <c r="V1436" s="147" t="s">
        <v>9109</v>
      </c>
      <c r="W1436" s="1455" t="str">
        <f> hyperlink(vlookup(lower(R1436),'File Links'!F:G, 2, FALSE), "LINK")</f>
        <v>LINK</v>
      </c>
      <c r="X1436" s="60"/>
      <c r="Y1436" s="147" t="s">
        <v>220</v>
      </c>
      <c r="Z1436" s="147" t="s">
        <v>6448</v>
      </c>
      <c r="AA1436" s="147" t="s">
        <v>9164</v>
      </c>
      <c r="AB1436" s="147" t="s">
        <v>9171</v>
      </c>
      <c r="AC1436" s="147" t="s">
        <v>9172</v>
      </c>
      <c r="AD1436" s="1459">
        <v>9.0</v>
      </c>
      <c r="AE1436" s="144">
        <v>224.0</v>
      </c>
      <c r="AF1436" s="144">
        <v>0.05</v>
      </c>
      <c r="AG1436" s="144" t="s">
        <v>130</v>
      </c>
      <c r="AH1436" s="1459" t="s">
        <v>625</v>
      </c>
      <c r="AI1436" s="646">
        <v>0.001</v>
      </c>
      <c r="AJ1436" s="52" t="s">
        <v>127</v>
      </c>
      <c r="AK1436" s="52" t="s">
        <v>179</v>
      </c>
      <c r="AL1436" s="147" t="s">
        <v>132</v>
      </c>
      <c r="AM1436" s="55"/>
      <c r="AN1436" s="144">
        <v>148.0</v>
      </c>
      <c r="AO1436" s="144" t="s">
        <v>9173</v>
      </c>
      <c r="AP1436" s="144" t="s">
        <v>162</v>
      </c>
      <c r="AQ1436" s="144" t="s">
        <v>625</v>
      </c>
      <c r="AR1436" s="144">
        <v>0.29</v>
      </c>
      <c r="AS1436" s="147" t="s">
        <v>164</v>
      </c>
      <c r="AT1436" s="147" t="s">
        <v>179</v>
      </c>
      <c r="AU1436" s="60" t="s">
        <v>132</v>
      </c>
      <c r="AV1436" s="410" t="s">
        <v>9168</v>
      </c>
      <c r="AW1436" s="60" t="s">
        <v>142</v>
      </c>
      <c r="AY1436" s="60" t="s">
        <v>144</v>
      </c>
    </row>
    <row r="1437" hidden="1">
      <c r="A1437" s="115" t="s">
        <v>5350</v>
      </c>
      <c r="B1437" s="41" t="s">
        <v>107</v>
      </c>
      <c r="C1437" s="41" t="s">
        <v>144</v>
      </c>
      <c r="E1437" s="60" t="s">
        <v>9174</v>
      </c>
      <c r="F1437" s="52" t="s">
        <v>9175</v>
      </c>
      <c r="G1437" s="147" t="s">
        <v>144</v>
      </c>
      <c r="H1437" s="140">
        <v>45687.0</v>
      </c>
      <c r="I1437" s="140">
        <v>45692.0</v>
      </c>
      <c r="J1437" s="412" t="s">
        <v>9176</v>
      </c>
      <c r="K1437" s="60"/>
      <c r="L1437" s="147" t="s">
        <v>9177</v>
      </c>
      <c r="M1437" s="147" t="s">
        <v>9178</v>
      </c>
      <c r="N1437" s="144">
        <v>3.0</v>
      </c>
      <c r="O1437" s="145" t="s">
        <v>9179</v>
      </c>
      <c r="P1437" s="48" t="str">
        <f t="array" ref="P1437">HYPERLINK(INDEX('File Links'!B:B, MATCH(O1437, 'File Links'!C:C, 0)))
</f>
        <v>https://drive.google.com/file/d/1Ql7nMbQXZeIyS5tduYv7gRTiVRXJB9Dk/view?usp=drivesdk</v>
      </c>
      <c r="Q1437" s="147" t="s">
        <v>6103</v>
      </c>
      <c r="R1437" s="147" t="s">
        <v>6104</v>
      </c>
      <c r="S1437" s="60"/>
      <c r="T1437" s="144">
        <v>1.0</v>
      </c>
      <c r="U1437" s="145" t="s">
        <v>6105</v>
      </c>
      <c r="V1437" s="147" t="s">
        <v>7707</v>
      </c>
      <c r="W1437" s="1455" t="str">
        <f> hyperlink(vlookup(lower(R1437),'File Links'!F:G, 2, FALSE), "LINK")</f>
        <v>LINK</v>
      </c>
      <c r="X1437" s="147" t="s">
        <v>9180</v>
      </c>
      <c r="Y1437" s="60"/>
      <c r="Z1437" s="60"/>
      <c r="AA1437" s="60"/>
      <c r="AB1437" s="60"/>
      <c r="AC1437" s="60"/>
      <c r="AD1437" s="60"/>
      <c r="AE1437" s="60"/>
      <c r="AF1437" s="60"/>
      <c r="AG1437" s="60"/>
      <c r="AH1437" s="60"/>
      <c r="AI1437" s="329"/>
      <c r="AJ1437" s="55"/>
      <c r="AK1437" s="55"/>
      <c r="AL1437" s="60"/>
      <c r="AM1437" s="55"/>
      <c r="AN1437" s="60"/>
      <c r="AO1437" s="60"/>
      <c r="AP1437" s="60"/>
      <c r="AQ1437" s="60"/>
      <c r="AR1437" s="60"/>
      <c r="AS1437" s="60"/>
      <c r="AT1437" s="60"/>
      <c r="AU1437" s="60"/>
      <c r="AV1437" s="60"/>
      <c r="AW1437" s="60"/>
      <c r="AY1437" s="60" t="s">
        <v>144</v>
      </c>
    </row>
    <row r="1438">
      <c r="A1438" s="60" t="s">
        <v>106</v>
      </c>
      <c r="B1438" s="41" t="s">
        <v>107</v>
      </c>
      <c r="C1438" s="41" t="s">
        <v>243</v>
      </c>
      <c r="E1438" s="147" t="s">
        <v>9175</v>
      </c>
      <c r="F1438" s="52" t="s">
        <v>9174</v>
      </c>
      <c r="G1438" s="147" t="s">
        <v>244</v>
      </c>
      <c r="H1438" s="140">
        <v>45669.0</v>
      </c>
      <c r="I1438" s="140">
        <v>45692.0</v>
      </c>
      <c r="J1438" s="412" t="s">
        <v>9181</v>
      </c>
      <c r="K1438" s="60"/>
      <c r="L1438" s="147" t="s">
        <v>9177</v>
      </c>
      <c r="M1438" s="147" t="s">
        <v>9178</v>
      </c>
      <c r="N1438" s="60"/>
      <c r="O1438" s="145" t="str">
        <f t="shared" ref="O1438:O1439" si="75"> SUBSTITUTE(lower(M1438), "/", "--") &amp;  ".pdf"</f>
        <v>10.1177--0956797618813092.pdf</v>
      </c>
      <c r="P1438" s="48" t="str">
        <f t="array" ref="P1438">HYPERLINK(INDEX('File Links'!B:B, MATCH(O1438, 'File Links'!C:C, 0)))
</f>
        <v>https://drive.google.com/file/d/1Ql7nMbQXZeIyS5tduYv7gRTiVRXJB9Dk/view?usp=drivesdk</v>
      </c>
      <c r="Q1438" s="147" t="s">
        <v>9182</v>
      </c>
      <c r="R1438" s="147" t="s">
        <v>9183</v>
      </c>
      <c r="S1438" s="60"/>
      <c r="T1438" s="60"/>
      <c r="U1438" s="145" t="s">
        <v>6105</v>
      </c>
      <c r="V1438" s="147" t="s">
        <v>6291</v>
      </c>
      <c r="W1438" s="1457" t="str">
        <f> hyperlink(vlookup(lower(R1438),'File Links'!E:F, 2, FALSE), "LINK")</f>
        <v>LINK</v>
      </c>
      <c r="X1438" s="60"/>
      <c r="Y1438" s="147" t="s">
        <v>220</v>
      </c>
      <c r="Z1438" s="60"/>
      <c r="AA1438" s="147" t="s">
        <v>9184</v>
      </c>
      <c r="AB1438" s="60"/>
      <c r="AC1438" s="147" t="s">
        <v>165</v>
      </c>
      <c r="AD1438" s="147" t="s">
        <v>165</v>
      </c>
      <c r="AE1438" s="144">
        <v>30.0</v>
      </c>
      <c r="AF1438" s="60"/>
      <c r="AG1438" s="147" t="s">
        <v>165</v>
      </c>
      <c r="AH1438" s="147" t="s">
        <v>165</v>
      </c>
      <c r="AI1438" s="330" t="s">
        <v>165</v>
      </c>
      <c r="AJ1438" s="55"/>
      <c r="AK1438" s="52" t="s">
        <v>179</v>
      </c>
      <c r="AL1438" s="147" t="s">
        <v>821</v>
      </c>
      <c r="AM1438" s="52" t="s">
        <v>129</v>
      </c>
      <c r="AN1438" s="144">
        <v>27.0</v>
      </c>
      <c r="AO1438" s="144">
        <v>1.23873102223789</v>
      </c>
      <c r="AP1438" s="147" t="s">
        <v>166</v>
      </c>
      <c r="AQ1438" s="60"/>
      <c r="AR1438" s="144">
        <v>0.00173447003936064</v>
      </c>
      <c r="AS1438" s="147" t="s">
        <v>164</v>
      </c>
      <c r="AT1438" s="147" t="s">
        <v>179</v>
      </c>
      <c r="AU1438" s="147" t="s">
        <v>821</v>
      </c>
      <c r="AV1438" s="60"/>
      <c r="AW1438" s="147" t="s">
        <v>134</v>
      </c>
      <c r="AY1438" s="60" t="s">
        <v>144</v>
      </c>
    </row>
    <row r="1439">
      <c r="A1439" s="115" t="s">
        <v>5350</v>
      </c>
      <c r="B1439" s="41" t="s">
        <v>107</v>
      </c>
      <c r="C1439" s="41" t="s">
        <v>243</v>
      </c>
      <c r="E1439" s="147" t="s">
        <v>9185</v>
      </c>
      <c r="F1439" s="52" t="s">
        <v>9186</v>
      </c>
      <c r="G1439" s="147" t="s">
        <v>244</v>
      </c>
      <c r="H1439" s="140">
        <v>45669.0</v>
      </c>
      <c r="I1439" s="140">
        <v>45692.0</v>
      </c>
      <c r="J1439" s="60"/>
      <c r="K1439" s="147" t="s">
        <v>9187</v>
      </c>
      <c r="L1439" s="147" t="s">
        <v>9188</v>
      </c>
      <c r="M1439" s="147" t="s">
        <v>9189</v>
      </c>
      <c r="N1439" s="60"/>
      <c r="O1439" s="145" t="str">
        <f t="shared" si="75"/>
        <v>10.1177--1747021817744546.pdf</v>
      </c>
      <c r="P1439" s="48" t="str">
        <f t="array" ref="P1439">HYPERLINK(INDEX('File Links'!B:B, MATCH(O1439, 'File Links'!C:C, 0)))
</f>
        <v>https://drive.google.com/file/d/12tiBV9g0PDIUv5jLNU3H9ESLvqe3_su6/view?usp=drivesdk</v>
      </c>
      <c r="Q1439" s="147" t="s">
        <v>9190</v>
      </c>
      <c r="R1439" s="147" t="s">
        <v>9191</v>
      </c>
      <c r="S1439" s="60"/>
      <c r="T1439" s="60"/>
      <c r="U1439" s="145" t="s">
        <v>6105</v>
      </c>
      <c r="V1439" s="147" t="s">
        <v>6117</v>
      </c>
      <c r="W1439" s="1457" t="str">
        <f> hyperlink(vlookup(lower(R1439),'File Links'!E:F, 2, FALSE), "LINK")</f>
        <v>LINK</v>
      </c>
      <c r="X1439" s="60"/>
      <c r="Y1439" s="147" t="s">
        <v>139</v>
      </c>
      <c r="Z1439" s="1460" t="s">
        <v>9192</v>
      </c>
      <c r="AA1439" s="1460" t="s">
        <v>9193</v>
      </c>
      <c r="AB1439" s="1460" t="s">
        <v>9194</v>
      </c>
      <c r="AC1439" s="147" t="s">
        <v>9195</v>
      </c>
      <c r="AD1439" s="144">
        <v>10.0</v>
      </c>
      <c r="AE1439" s="144">
        <v>611.0</v>
      </c>
      <c r="AF1439" s="144">
        <v>1.4</v>
      </c>
      <c r="AG1439" s="60"/>
      <c r="AH1439" s="147" t="s">
        <v>627</v>
      </c>
      <c r="AI1439" s="646">
        <v>0.001</v>
      </c>
      <c r="AJ1439" s="52" t="s">
        <v>127</v>
      </c>
      <c r="AK1439" s="52" t="s">
        <v>179</v>
      </c>
      <c r="AL1439" s="147" t="s">
        <v>132</v>
      </c>
      <c r="AM1439" s="52" t="s">
        <v>129</v>
      </c>
      <c r="AN1439" s="144">
        <v>81.0</v>
      </c>
      <c r="AO1439" s="144">
        <v>0.606295070252775</v>
      </c>
      <c r="AP1439" s="147" t="s">
        <v>166</v>
      </c>
      <c r="AQ1439" s="60"/>
      <c r="AR1439" s="144">
        <f>6.21*10^-7</f>
        <v>0.000000621</v>
      </c>
      <c r="AS1439" s="147" t="s">
        <v>164</v>
      </c>
      <c r="AT1439" s="147" t="s">
        <v>179</v>
      </c>
      <c r="AU1439" s="147" t="s">
        <v>132</v>
      </c>
      <c r="AV1439" s="1461" t="s">
        <v>9196</v>
      </c>
      <c r="AW1439" s="147" t="s">
        <v>134</v>
      </c>
      <c r="AY1439" s="60" t="s">
        <v>144</v>
      </c>
    </row>
    <row r="1440">
      <c r="A1440" s="60" t="s">
        <v>106</v>
      </c>
      <c r="B1440" s="41" t="s">
        <v>107</v>
      </c>
      <c r="C1440" s="41" t="s">
        <v>144</v>
      </c>
      <c r="E1440" s="60" t="s">
        <v>9186</v>
      </c>
      <c r="F1440" s="52" t="s">
        <v>9197</v>
      </c>
      <c r="G1440" s="147" t="s">
        <v>144</v>
      </c>
      <c r="H1440" s="140">
        <v>45687.0</v>
      </c>
      <c r="I1440" s="140">
        <v>45692.0</v>
      </c>
      <c r="J1440" s="454" t="s">
        <v>9198</v>
      </c>
      <c r="K1440" s="147" t="s">
        <v>9199</v>
      </c>
      <c r="L1440" s="147" t="s">
        <v>9188</v>
      </c>
      <c r="M1440" s="147" t="s">
        <v>9189</v>
      </c>
      <c r="N1440" s="144">
        <v>3.0</v>
      </c>
      <c r="O1440" s="145" t="s">
        <v>9200</v>
      </c>
      <c r="P1440" s="48" t="str">
        <f t="array" ref="P1440">HYPERLINK(INDEX('File Links'!B:B, MATCH(O1440, 'File Links'!C:C, 0)))
</f>
        <v>https://drive.google.com/file/d/12tiBV9g0PDIUv5jLNU3H9ESLvqe3_su6/view?usp=drivesdk</v>
      </c>
      <c r="Q1440" s="147" t="s">
        <v>6103</v>
      </c>
      <c r="R1440" s="147" t="s">
        <v>6104</v>
      </c>
      <c r="S1440" s="60"/>
      <c r="T1440" s="144">
        <v>1.0</v>
      </c>
      <c r="U1440" s="145" t="s">
        <v>6105</v>
      </c>
      <c r="V1440" s="147" t="s">
        <v>9044</v>
      </c>
      <c r="W1440" s="1455" t="str">
        <f> hyperlink(vlookup(lower(R1440),'File Links'!F:G, 2, FALSE), "LINK")</f>
        <v>LINK</v>
      </c>
      <c r="X1440" s="60"/>
      <c r="Y1440" s="147" t="s">
        <v>139</v>
      </c>
      <c r="Z1440" s="147" t="s">
        <v>9192</v>
      </c>
      <c r="AA1440" s="147" t="s">
        <v>9193</v>
      </c>
      <c r="AB1440" s="147" t="s">
        <v>9194</v>
      </c>
      <c r="AC1440" s="147" t="s">
        <v>9201</v>
      </c>
      <c r="AD1440" s="144">
        <v>10.0</v>
      </c>
      <c r="AE1440" s="144">
        <v>611.0</v>
      </c>
      <c r="AF1440" s="144">
        <v>1.4</v>
      </c>
      <c r="AG1440" s="144" t="s">
        <v>166</v>
      </c>
      <c r="AH1440" s="144" t="s">
        <v>629</v>
      </c>
      <c r="AI1440" s="646">
        <v>0.001</v>
      </c>
      <c r="AJ1440" s="52" t="s">
        <v>127</v>
      </c>
      <c r="AK1440" s="52" t="s">
        <v>179</v>
      </c>
      <c r="AL1440" s="147" t="s">
        <v>132</v>
      </c>
      <c r="AM1440" s="55"/>
      <c r="AN1440" s="144">
        <v>81.0</v>
      </c>
      <c r="AO1440" s="144" t="s">
        <v>9202</v>
      </c>
      <c r="AP1440" s="144" t="s">
        <v>162</v>
      </c>
      <c r="AQ1440" s="60"/>
      <c r="AR1440" s="144">
        <f>9.322*10^-6</f>
        <v>0.000009322</v>
      </c>
      <c r="AS1440" s="147" t="s">
        <v>164</v>
      </c>
      <c r="AT1440" s="147" t="s">
        <v>179</v>
      </c>
      <c r="AU1440" s="147" t="s">
        <v>132</v>
      </c>
      <c r="AV1440" s="410" t="s">
        <v>9196</v>
      </c>
      <c r="AW1440" s="60" t="s">
        <v>134</v>
      </c>
      <c r="AY1440" s="60" t="s">
        <v>144</v>
      </c>
    </row>
    <row r="1441">
      <c r="A1441" s="115" t="s">
        <v>5350</v>
      </c>
      <c r="B1441" s="41" t="s">
        <v>107</v>
      </c>
      <c r="C1441" s="41" t="s">
        <v>144</v>
      </c>
      <c r="E1441" s="60" t="s">
        <v>9186</v>
      </c>
      <c r="F1441" s="52" t="s">
        <v>9203</v>
      </c>
      <c r="G1441" s="147" t="s">
        <v>144</v>
      </c>
      <c r="H1441" s="140">
        <v>45687.0</v>
      </c>
      <c r="I1441" s="140">
        <v>45692.0</v>
      </c>
      <c r="J1441" s="454" t="s">
        <v>9204</v>
      </c>
      <c r="K1441" s="60"/>
      <c r="L1441" s="147" t="s">
        <v>9188</v>
      </c>
      <c r="M1441" s="147" t="s">
        <v>9189</v>
      </c>
      <c r="N1441" s="144">
        <v>3.0</v>
      </c>
      <c r="O1441" s="145" t="s">
        <v>9200</v>
      </c>
      <c r="P1441" s="48" t="str">
        <f t="array" ref="P1441">HYPERLINK(INDEX('File Links'!B:B, MATCH(O1441, 'File Links'!C:C, 0)))
</f>
        <v>https://drive.google.com/file/d/12tiBV9g0PDIUv5jLNU3H9ESLvqe3_su6/view?usp=drivesdk</v>
      </c>
      <c r="Q1441" s="147" t="s">
        <v>6103</v>
      </c>
      <c r="R1441" s="147" t="s">
        <v>6104</v>
      </c>
      <c r="S1441" s="60"/>
      <c r="T1441" s="144">
        <v>1.0</v>
      </c>
      <c r="U1441" s="145" t="s">
        <v>6105</v>
      </c>
      <c r="V1441" s="147" t="s">
        <v>9044</v>
      </c>
      <c r="W1441" s="1455" t="str">
        <f> hyperlink(vlookup(lower(R1441),'File Links'!F:G, 2, FALSE), "LINK")</f>
        <v>LINK</v>
      </c>
      <c r="X1441" s="60"/>
      <c r="Y1441" s="147" t="s">
        <v>139</v>
      </c>
      <c r="Z1441" s="147" t="s">
        <v>9192</v>
      </c>
      <c r="AA1441" s="147" t="s">
        <v>9193</v>
      </c>
      <c r="AB1441" s="147" t="s">
        <v>9205</v>
      </c>
      <c r="AC1441" s="147" t="s">
        <v>9206</v>
      </c>
      <c r="AD1441" s="144">
        <v>10.0</v>
      </c>
      <c r="AE1441" s="144">
        <v>611.0</v>
      </c>
      <c r="AF1441" s="144">
        <v>0.863</v>
      </c>
      <c r="AG1441" s="144" t="s">
        <v>162</v>
      </c>
      <c r="AH1441" s="144" t="s">
        <v>629</v>
      </c>
      <c r="AI1441" s="646">
        <v>0.1</v>
      </c>
      <c r="AJ1441" s="52" t="s">
        <v>127</v>
      </c>
      <c r="AK1441" s="52" t="s">
        <v>179</v>
      </c>
      <c r="AL1441" s="147" t="s">
        <v>132</v>
      </c>
      <c r="AM1441" s="55"/>
      <c r="AN1441" s="144">
        <v>81.0</v>
      </c>
      <c r="AO1441" s="144" t="s">
        <v>9207</v>
      </c>
      <c r="AP1441" s="144" t="s">
        <v>162</v>
      </c>
      <c r="AQ1441" s="60"/>
      <c r="AR1441" s="144">
        <v>0.01454</v>
      </c>
      <c r="AS1441" s="147" t="s">
        <v>164</v>
      </c>
      <c r="AT1441" s="147" t="s">
        <v>179</v>
      </c>
      <c r="AU1441" s="147" t="s">
        <v>132</v>
      </c>
      <c r="AV1441" s="410" t="s">
        <v>9196</v>
      </c>
      <c r="AW1441" s="60" t="s">
        <v>134</v>
      </c>
      <c r="AY1441" s="60" t="s">
        <v>144</v>
      </c>
    </row>
    <row r="1442">
      <c r="A1442" s="115" t="s">
        <v>5350</v>
      </c>
      <c r="B1442" s="41" t="s">
        <v>107</v>
      </c>
      <c r="C1442" s="41" t="s">
        <v>144</v>
      </c>
      <c r="E1442" s="60" t="s">
        <v>9186</v>
      </c>
      <c r="F1442" s="52" t="s">
        <v>9208</v>
      </c>
      <c r="G1442" s="147" t="s">
        <v>144</v>
      </c>
      <c r="H1442" s="140">
        <v>45687.0</v>
      </c>
      <c r="I1442" s="140">
        <v>45692.0</v>
      </c>
      <c r="J1442" s="454" t="s">
        <v>9209</v>
      </c>
      <c r="K1442" s="60"/>
      <c r="L1442" s="147" t="s">
        <v>9188</v>
      </c>
      <c r="M1442" s="147" t="s">
        <v>9189</v>
      </c>
      <c r="N1442" s="144">
        <v>3.0</v>
      </c>
      <c r="O1442" s="145" t="s">
        <v>9200</v>
      </c>
      <c r="P1442" s="48" t="str">
        <f t="array" ref="P1442">HYPERLINK(INDEX('File Links'!B:B, MATCH(O1442, 'File Links'!C:C, 0)))
</f>
        <v>https://drive.google.com/file/d/12tiBV9g0PDIUv5jLNU3H9ESLvqe3_su6/view?usp=drivesdk</v>
      </c>
      <c r="Q1442" s="147" t="s">
        <v>6103</v>
      </c>
      <c r="R1442" s="147" t="s">
        <v>6104</v>
      </c>
      <c r="S1442" s="60"/>
      <c r="T1442" s="144">
        <v>1.0</v>
      </c>
      <c r="U1442" s="145" t="s">
        <v>6105</v>
      </c>
      <c r="V1442" s="147" t="s">
        <v>9044</v>
      </c>
      <c r="W1442" s="1455" t="str">
        <f> hyperlink(vlookup(lower(R1442),'File Links'!F:G, 2, FALSE), "LINK")</f>
        <v>LINK</v>
      </c>
      <c r="X1442" s="60"/>
      <c r="Y1442" s="147" t="s">
        <v>139</v>
      </c>
      <c r="Z1442" s="147" t="s">
        <v>9192</v>
      </c>
      <c r="AA1442" s="147" t="s">
        <v>9193</v>
      </c>
      <c r="AB1442" s="147" t="s">
        <v>9210</v>
      </c>
      <c r="AC1442" s="147" t="s">
        <v>9211</v>
      </c>
      <c r="AD1442" s="144">
        <v>10.0</v>
      </c>
      <c r="AE1442" s="144">
        <v>611.0</v>
      </c>
      <c r="AF1442" s="144">
        <v>0.05</v>
      </c>
      <c r="AG1442" s="144" t="s">
        <v>7687</v>
      </c>
      <c r="AH1442" s="144" t="s">
        <v>629</v>
      </c>
      <c r="AI1442" s="646">
        <v>0.001</v>
      </c>
      <c r="AJ1442" s="52" t="s">
        <v>127</v>
      </c>
      <c r="AK1442" s="52" t="s">
        <v>179</v>
      </c>
      <c r="AL1442" s="147" t="s">
        <v>132</v>
      </c>
      <c r="AM1442" s="55"/>
      <c r="AN1442" s="144">
        <v>81.0</v>
      </c>
      <c r="AO1442" s="144">
        <v>0.26</v>
      </c>
      <c r="AP1442" s="144" t="s">
        <v>7687</v>
      </c>
      <c r="AQ1442" s="60"/>
      <c r="AR1442" s="144">
        <v>0.001</v>
      </c>
      <c r="AS1442" s="147" t="s">
        <v>127</v>
      </c>
      <c r="AT1442" s="147" t="s">
        <v>179</v>
      </c>
      <c r="AU1442" s="147" t="s">
        <v>132</v>
      </c>
      <c r="AV1442" s="410" t="s">
        <v>9196</v>
      </c>
      <c r="AW1442" s="60" t="s">
        <v>134</v>
      </c>
      <c r="AY1442" s="60" t="s">
        <v>144</v>
      </c>
    </row>
    <row r="1443">
      <c r="A1443" s="115" t="s">
        <v>5350</v>
      </c>
      <c r="B1443" s="41" t="s">
        <v>107</v>
      </c>
      <c r="C1443" s="41" t="s">
        <v>144</v>
      </c>
      <c r="E1443" s="60" t="s">
        <v>9186</v>
      </c>
      <c r="F1443" s="52" t="s">
        <v>9212</v>
      </c>
      <c r="G1443" s="147" t="s">
        <v>144</v>
      </c>
      <c r="H1443" s="140">
        <v>45687.0</v>
      </c>
      <c r="I1443" s="140">
        <v>45692.0</v>
      </c>
      <c r="J1443" s="412" t="s">
        <v>9213</v>
      </c>
      <c r="K1443" s="60"/>
      <c r="L1443" s="147" t="s">
        <v>9188</v>
      </c>
      <c r="M1443" s="147" t="s">
        <v>9189</v>
      </c>
      <c r="N1443" s="144">
        <v>3.0</v>
      </c>
      <c r="O1443" s="145" t="s">
        <v>9200</v>
      </c>
      <c r="P1443" s="48" t="str">
        <f t="array" ref="P1443">HYPERLINK(INDEX('File Links'!B:B, MATCH(O1443, 'File Links'!C:C, 0)))
</f>
        <v>https://drive.google.com/file/d/12tiBV9g0PDIUv5jLNU3H9ESLvqe3_su6/view?usp=drivesdk</v>
      </c>
      <c r="Q1443" s="147" t="s">
        <v>6103</v>
      </c>
      <c r="R1443" s="147" t="s">
        <v>6104</v>
      </c>
      <c r="S1443" s="60"/>
      <c r="T1443" s="144">
        <v>1.0</v>
      </c>
      <c r="U1443" s="145" t="s">
        <v>6105</v>
      </c>
      <c r="V1443" s="147" t="s">
        <v>9044</v>
      </c>
      <c r="W1443" s="1455" t="str">
        <f> hyperlink(vlookup(lower(R1443),'File Links'!F:G, 2, FALSE), "LINK")</f>
        <v>LINK</v>
      </c>
      <c r="X1443" s="60"/>
      <c r="Y1443" s="147" t="s">
        <v>139</v>
      </c>
      <c r="Z1443" s="147" t="s">
        <v>9192</v>
      </c>
      <c r="AA1443" s="147" t="s">
        <v>9193</v>
      </c>
      <c r="AB1443" s="147" t="s">
        <v>9214</v>
      </c>
      <c r="AC1443" s="147" t="s">
        <v>9215</v>
      </c>
      <c r="AD1443" s="144">
        <v>10.0</v>
      </c>
      <c r="AE1443" s="144">
        <v>611.0</v>
      </c>
      <c r="AF1443" s="144">
        <v>-0.17</v>
      </c>
      <c r="AG1443" s="144" t="s">
        <v>357</v>
      </c>
      <c r="AH1443" s="144" t="s">
        <v>629</v>
      </c>
      <c r="AI1443" s="646">
        <v>0.001</v>
      </c>
      <c r="AJ1443" s="52" t="s">
        <v>127</v>
      </c>
      <c r="AK1443" s="52" t="s">
        <v>179</v>
      </c>
      <c r="AL1443" s="147" t="s">
        <v>132</v>
      </c>
      <c r="AM1443" s="55"/>
      <c r="AN1443" s="144">
        <v>81.0</v>
      </c>
      <c r="AO1443" s="144">
        <v>-0.22</v>
      </c>
      <c r="AP1443" s="144" t="s">
        <v>357</v>
      </c>
      <c r="AQ1443" s="60"/>
      <c r="AR1443" s="144">
        <v>0.87</v>
      </c>
      <c r="AS1443" s="147" t="s">
        <v>164</v>
      </c>
      <c r="AT1443" s="147" t="s">
        <v>179</v>
      </c>
      <c r="AU1443" s="147" t="s">
        <v>132</v>
      </c>
      <c r="AV1443" s="410" t="s">
        <v>9196</v>
      </c>
      <c r="AW1443" s="60" t="s">
        <v>134</v>
      </c>
      <c r="AY1443" s="60" t="s">
        <v>144</v>
      </c>
    </row>
    <row r="1444">
      <c r="A1444" s="115" t="s">
        <v>5350</v>
      </c>
      <c r="B1444" s="41" t="s">
        <v>107</v>
      </c>
      <c r="C1444" s="41" t="s">
        <v>144</v>
      </c>
      <c r="E1444" s="60" t="s">
        <v>9186</v>
      </c>
      <c r="F1444" s="52" t="s">
        <v>9216</v>
      </c>
      <c r="G1444" s="147" t="s">
        <v>144</v>
      </c>
      <c r="H1444" s="140">
        <v>45687.0</v>
      </c>
      <c r="I1444" s="140">
        <v>45692.0</v>
      </c>
      <c r="J1444" s="454" t="s">
        <v>9217</v>
      </c>
      <c r="K1444" s="60"/>
      <c r="L1444" s="147" t="s">
        <v>9188</v>
      </c>
      <c r="M1444" s="147" t="s">
        <v>9189</v>
      </c>
      <c r="N1444" s="144">
        <v>3.0</v>
      </c>
      <c r="O1444" s="145" t="s">
        <v>9200</v>
      </c>
      <c r="P1444" s="48" t="str">
        <f t="array" ref="P1444">HYPERLINK(INDEX('File Links'!B:B, MATCH(O1444, 'File Links'!C:C, 0)))
</f>
        <v>https://drive.google.com/file/d/12tiBV9g0PDIUv5jLNU3H9ESLvqe3_su6/view?usp=drivesdk</v>
      </c>
      <c r="Q1444" s="147" t="s">
        <v>6103</v>
      </c>
      <c r="R1444" s="147" t="s">
        <v>6104</v>
      </c>
      <c r="S1444" s="60"/>
      <c r="T1444" s="144">
        <v>1.0</v>
      </c>
      <c r="U1444" s="145" t="s">
        <v>6105</v>
      </c>
      <c r="V1444" s="147" t="s">
        <v>9044</v>
      </c>
      <c r="W1444" s="1455" t="str">
        <f> hyperlink(vlookup(lower(R1444),'File Links'!F:G, 2, FALSE), "LINK")</f>
        <v>LINK</v>
      </c>
      <c r="X1444" s="60"/>
      <c r="Y1444" s="147" t="s">
        <v>139</v>
      </c>
      <c r="Z1444" s="147" t="s">
        <v>9192</v>
      </c>
      <c r="AA1444" s="147" t="s">
        <v>9193</v>
      </c>
      <c r="AB1444" s="147" t="s">
        <v>9218</v>
      </c>
      <c r="AC1444" s="147" t="s">
        <v>9219</v>
      </c>
      <c r="AD1444" s="144">
        <v>10.0</v>
      </c>
      <c r="AE1444" s="144">
        <v>611.0</v>
      </c>
      <c r="AF1444" s="144">
        <v>0.22</v>
      </c>
      <c r="AG1444" s="144" t="s">
        <v>357</v>
      </c>
      <c r="AH1444" s="144" t="s">
        <v>629</v>
      </c>
      <c r="AI1444" s="646">
        <v>0.001</v>
      </c>
      <c r="AJ1444" s="52" t="s">
        <v>164</v>
      </c>
      <c r="AK1444" s="52" t="s">
        <v>179</v>
      </c>
      <c r="AL1444" s="147" t="s">
        <v>132</v>
      </c>
      <c r="AM1444" s="55"/>
      <c r="AN1444" s="144">
        <v>81.0</v>
      </c>
      <c r="AO1444" s="144">
        <v>0.4</v>
      </c>
      <c r="AP1444" s="144" t="s">
        <v>357</v>
      </c>
      <c r="AQ1444" s="60"/>
      <c r="AR1444" s="144">
        <v>0.001</v>
      </c>
      <c r="AS1444" s="147" t="s">
        <v>127</v>
      </c>
      <c r="AT1444" s="147" t="s">
        <v>179</v>
      </c>
      <c r="AU1444" s="147" t="s">
        <v>132</v>
      </c>
      <c r="AV1444" s="410" t="s">
        <v>9196</v>
      </c>
      <c r="AW1444" s="60" t="s">
        <v>134</v>
      </c>
      <c r="AY1444" s="60" t="s">
        <v>144</v>
      </c>
    </row>
    <row r="1445">
      <c r="A1445" s="115" t="s">
        <v>5350</v>
      </c>
      <c r="B1445" s="41" t="s">
        <v>107</v>
      </c>
      <c r="C1445" s="41" t="s">
        <v>144</v>
      </c>
      <c r="E1445" s="60" t="s">
        <v>9186</v>
      </c>
      <c r="F1445" s="52" t="s">
        <v>9220</v>
      </c>
      <c r="G1445" s="147" t="s">
        <v>144</v>
      </c>
      <c r="H1445" s="140">
        <v>45687.0</v>
      </c>
      <c r="I1445" s="140">
        <v>45692.0</v>
      </c>
      <c r="J1445" s="454" t="s">
        <v>9221</v>
      </c>
      <c r="K1445" s="60"/>
      <c r="L1445" s="147" t="s">
        <v>9188</v>
      </c>
      <c r="M1445" s="147" t="s">
        <v>9189</v>
      </c>
      <c r="N1445" s="144">
        <v>3.0</v>
      </c>
      <c r="O1445" s="145" t="s">
        <v>9200</v>
      </c>
      <c r="P1445" s="48" t="str">
        <f t="array" ref="P1445">HYPERLINK(INDEX('File Links'!B:B, MATCH(O1445, 'File Links'!C:C, 0)))
</f>
        <v>https://drive.google.com/file/d/12tiBV9g0PDIUv5jLNU3H9ESLvqe3_su6/view?usp=drivesdk</v>
      </c>
      <c r="Q1445" s="147" t="s">
        <v>6103</v>
      </c>
      <c r="R1445" s="147" t="s">
        <v>6104</v>
      </c>
      <c r="S1445" s="60"/>
      <c r="T1445" s="144">
        <v>1.0</v>
      </c>
      <c r="U1445" s="145" t="s">
        <v>6105</v>
      </c>
      <c r="V1445" s="147" t="s">
        <v>9044</v>
      </c>
      <c r="W1445" s="1455" t="str">
        <f> hyperlink(vlookup(lower(R1445),'File Links'!F:G, 2, FALSE), "LINK")</f>
        <v>LINK</v>
      </c>
      <c r="X1445" s="60"/>
      <c r="Y1445" s="147" t="s">
        <v>139</v>
      </c>
      <c r="Z1445" s="147" t="s">
        <v>9192</v>
      </c>
      <c r="AA1445" s="147" t="s">
        <v>9193</v>
      </c>
      <c r="AB1445" s="147" t="s">
        <v>9222</v>
      </c>
      <c r="AC1445" s="147" t="s">
        <v>9223</v>
      </c>
      <c r="AD1445" s="144">
        <v>10.0</v>
      </c>
      <c r="AE1445" s="144">
        <v>611.0</v>
      </c>
      <c r="AF1445" s="144">
        <v>-0.1</v>
      </c>
      <c r="AG1445" s="144" t="s">
        <v>357</v>
      </c>
      <c r="AH1445" s="144" t="s">
        <v>629</v>
      </c>
      <c r="AI1445" s="646">
        <v>0.07</v>
      </c>
      <c r="AJ1445" s="52" t="s">
        <v>164</v>
      </c>
      <c r="AK1445" s="52" t="s">
        <v>179</v>
      </c>
      <c r="AL1445" s="147" t="s">
        <v>132</v>
      </c>
      <c r="AM1445" s="55"/>
      <c r="AN1445" s="144">
        <v>81.0</v>
      </c>
      <c r="AO1445" s="144">
        <v>-0.12</v>
      </c>
      <c r="AP1445" s="144" t="s">
        <v>357</v>
      </c>
      <c r="AQ1445" s="60"/>
      <c r="AR1445" s="144">
        <v>0.4</v>
      </c>
      <c r="AS1445" s="147" t="s">
        <v>164</v>
      </c>
      <c r="AT1445" s="147" t="s">
        <v>179</v>
      </c>
      <c r="AU1445" s="147" t="s">
        <v>132</v>
      </c>
      <c r="AV1445" s="410" t="s">
        <v>9196</v>
      </c>
      <c r="AW1445" s="60" t="s">
        <v>134</v>
      </c>
      <c r="AY1445" s="60" t="s">
        <v>144</v>
      </c>
    </row>
    <row r="1446">
      <c r="A1446" s="60" t="s">
        <v>106</v>
      </c>
      <c r="B1446" s="41" t="s">
        <v>107</v>
      </c>
      <c r="C1446" s="41" t="s">
        <v>243</v>
      </c>
      <c r="E1446" s="147" t="s">
        <v>9224</v>
      </c>
      <c r="F1446" s="52" t="s">
        <v>9225</v>
      </c>
      <c r="G1446" s="147" t="s">
        <v>244</v>
      </c>
      <c r="H1446" s="140">
        <v>45669.0</v>
      </c>
      <c r="I1446" s="140">
        <v>45692.0</v>
      </c>
      <c r="J1446" s="60"/>
      <c r="K1446" s="60"/>
      <c r="L1446" s="147" t="s">
        <v>9226</v>
      </c>
      <c r="M1446" s="147" t="s">
        <v>9227</v>
      </c>
      <c r="N1446" s="60"/>
      <c r="O1446" s="145" t="str">
        <f> SUBSTITUTE(lower(M1446), "/", "--") &amp;  ".pdf"</f>
        <v>10.1177--0956797618780643.pdf</v>
      </c>
      <c r="P1446" s="48" t="str">
        <f t="array" ref="P1446">HYPERLINK(INDEX('File Links'!B:B, MATCH(O1446, 'File Links'!C:C, 0)))
</f>
        <v>https://drive.google.com/file/d/13EC3dwbwBg7gIijxdeeANvWmpAfQ8_ke/view?usp=drivesdk</v>
      </c>
      <c r="Q1446" s="147" t="s">
        <v>9228</v>
      </c>
      <c r="R1446" s="147" t="s">
        <v>9229</v>
      </c>
      <c r="S1446" s="60"/>
      <c r="T1446" s="60"/>
      <c r="U1446" s="145" t="s">
        <v>6105</v>
      </c>
      <c r="V1446" s="147" t="s">
        <v>318</v>
      </c>
      <c r="W1446" s="1455" t="str">
        <f> hyperlink(vlookup(lower(R1446),'File Links'!E:F, 2, FALSE), "LINK")</f>
        <v>LINK</v>
      </c>
      <c r="X1446" s="60"/>
      <c r="Y1446" s="147" t="s">
        <v>220</v>
      </c>
      <c r="Z1446" s="60"/>
      <c r="AA1446" s="147" t="s">
        <v>9230</v>
      </c>
      <c r="AB1446" s="60"/>
      <c r="AC1446" s="147" t="s">
        <v>9231</v>
      </c>
      <c r="AD1446" s="144">
        <v>5.0</v>
      </c>
      <c r="AE1446" s="144">
        <v>141.0</v>
      </c>
      <c r="AF1446" s="144">
        <v>7.46</v>
      </c>
      <c r="AG1446" s="147" t="s">
        <v>1051</v>
      </c>
      <c r="AH1446" s="147" t="s">
        <v>894</v>
      </c>
      <c r="AI1446" s="646">
        <v>0.007</v>
      </c>
      <c r="AJ1446" s="52" t="s">
        <v>164</v>
      </c>
      <c r="AK1446" s="52" t="s">
        <v>179</v>
      </c>
      <c r="AL1446" s="147" t="s">
        <v>132</v>
      </c>
      <c r="AM1446" s="1355"/>
      <c r="AN1446" s="144">
        <v>74.0</v>
      </c>
      <c r="AO1446" s="144">
        <v>0.187471902656676</v>
      </c>
      <c r="AP1446" s="147" t="s">
        <v>166</v>
      </c>
      <c r="AQ1446" s="60"/>
      <c r="AR1446" s="144">
        <v>0.121273607571615</v>
      </c>
      <c r="AS1446" s="147" t="s">
        <v>164</v>
      </c>
      <c r="AT1446" s="147" t="s">
        <v>179</v>
      </c>
      <c r="AU1446" s="147" t="s">
        <v>132</v>
      </c>
      <c r="AV1446" s="1355" t="s">
        <v>9232</v>
      </c>
      <c r="AW1446" s="147" t="s">
        <v>134</v>
      </c>
      <c r="AY1446" s="60" t="s">
        <v>144</v>
      </c>
    </row>
    <row r="1447">
      <c r="A1447" s="115" t="s">
        <v>143</v>
      </c>
      <c r="B1447" s="41" t="s">
        <v>107</v>
      </c>
      <c r="C1447" s="41" t="s">
        <v>144</v>
      </c>
      <c r="E1447" s="60" t="s">
        <v>9225</v>
      </c>
      <c r="F1447" s="52" t="s">
        <v>9224</v>
      </c>
      <c r="G1447" s="147" t="s">
        <v>144</v>
      </c>
      <c r="H1447" s="140">
        <v>45687.0</v>
      </c>
      <c r="I1447" s="140">
        <v>45692.0</v>
      </c>
      <c r="J1447" s="412"/>
      <c r="K1447" s="60"/>
      <c r="L1447" s="147" t="s">
        <v>9226</v>
      </c>
      <c r="M1447" s="147" t="s">
        <v>9227</v>
      </c>
      <c r="N1447" s="144">
        <v>2.0</v>
      </c>
      <c r="O1447" s="145" t="s">
        <v>9233</v>
      </c>
      <c r="P1447" s="48" t="str">
        <f t="array" ref="P1447">HYPERLINK(INDEX('File Links'!B:B, MATCH(O1447, 'File Links'!C:C, 0)))
</f>
        <v>https://drive.google.com/file/d/13EC3dwbwBg7gIijxdeeANvWmpAfQ8_ke/view?usp=drivesdk</v>
      </c>
      <c r="Q1447" s="147" t="s">
        <v>6103</v>
      </c>
      <c r="R1447" s="147" t="s">
        <v>6104</v>
      </c>
      <c r="S1447" s="60"/>
      <c r="T1447" s="144">
        <v>1.0</v>
      </c>
      <c r="U1447" s="145" t="s">
        <v>6105</v>
      </c>
      <c r="V1447" s="147" t="s">
        <v>9109</v>
      </c>
      <c r="W1447" s="1455" t="str">
        <f> hyperlink(vlookup(lower(R1447),'File Links'!F:G, 2, FALSE), "LINK")</f>
        <v>LINK</v>
      </c>
      <c r="X1447" s="60"/>
      <c r="Y1447" s="147" t="s">
        <v>220</v>
      </c>
      <c r="Z1447" s="139" t="s">
        <v>9234</v>
      </c>
      <c r="AA1447" s="139" t="s">
        <v>9235</v>
      </c>
      <c r="AB1447" s="147" t="s">
        <v>9236</v>
      </c>
      <c r="AC1447" s="139" t="s">
        <v>9237</v>
      </c>
      <c r="AD1447" s="144" t="s">
        <v>892</v>
      </c>
      <c r="AE1447" s="144">
        <v>141.0</v>
      </c>
      <c r="AF1447" s="149" t="s">
        <v>9238</v>
      </c>
      <c r="AG1447" s="149" t="s">
        <v>162</v>
      </c>
      <c r="AH1447" s="144" t="s">
        <v>892</v>
      </c>
      <c r="AI1447" s="646">
        <v>0.007</v>
      </c>
      <c r="AJ1447" s="52" t="s">
        <v>164</v>
      </c>
      <c r="AK1447" s="52" t="s">
        <v>179</v>
      </c>
      <c r="AL1447" s="147" t="s">
        <v>132</v>
      </c>
      <c r="AM1447" s="544"/>
      <c r="AN1447" s="144">
        <v>74.0</v>
      </c>
      <c r="AO1447" s="149" t="s">
        <v>9239</v>
      </c>
      <c r="AP1447" s="149" t="s">
        <v>162</v>
      </c>
      <c r="AQ1447" s="109" t="s">
        <v>9240</v>
      </c>
      <c r="AR1447" s="149" t="s">
        <v>165</v>
      </c>
      <c r="AS1447" s="139" t="s">
        <v>165</v>
      </c>
      <c r="AT1447" s="147" t="s">
        <v>179</v>
      </c>
      <c r="AU1447" s="60" t="s">
        <v>132</v>
      </c>
      <c r="AV1447" s="48" t="s">
        <v>9241</v>
      </c>
      <c r="AW1447" s="60" t="s">
        <v>134</v>
      </c>
      <c r="AX1447" s="41" t="s">
        <v>9242</v>
      </c>
      <c r="AY1447" s="115" t="s">
        <v>9053</v>
      </c>
    </row>
    <row r="1448">
      <c r="A1448" s="60" t="s">
        <v>586</v>
      </c>
      <c r="B1448" s="41" t="s">
        <v>107</v>
      </c>
      <c r="C1448" s="41" t="s">
        <v>243</v>
      </c>
      <c r="E1448" s="147" t="s">
        <v>9243</v>
      </c>
      <c r="F1448" s="52" t="s">
        <v>9244</v>
      </c>
      <c r="G1448" s="147" t="s">
        <v>244</v>
      </c>
      <c r="H1448" s="140">
        <v>45669.0</v>
      </c>
      <c r="I1448" s="140">
        <v>45692.0</v>
      </c>
      <c r="J1448" s="412" t="s">
        <v>9245</v>
      </c>
      <c r="K1448" s="60" t="s">
        <v>9246</v>
      </c>
      <c r="L1448" s="147" t="s">
        <v>9247</v>
      </c>
      <c r="M1448" s="147" t="s">
        <v>9248</v>
      </c>
      <c r="N1448" s="60"/>
      <c r="O1448" s="145" t="str">
        <f> SUBSTITUTE(lower(M1448), "/", "--") &amp;  ".pdf"</f>
        <v>10.1073--pnas.1523698113.pdf</v>
      </c>
      <c r="P1448" s="48" t="str">
        <f t="array" ref="P1448">HYPERLINK(INDEX('File Links'!B:B, MATCH(O1448, 'File Links'!C:C, 0)))
</f>
        <v>https://drive.google.com/file/d/1zRO2wTJdLmK-BV5hxThrZO8prUdJXbH2/view?usp=drivesdk</v>
      </c>
      <c r="Q1448" s="147" t="s">
        <v>9249</v>
      </c>
      <c r="R1448" s="147" t="s">
        <v>9250</v>
      </c>
      <c r="S1448" s="60"/>
      <c r="T1448" s="60"/>
      <c r="U1448" s="145" t="s">
        <v>6105</v>
      </c>
      <c r="V1448" s="147" t="s">
        <v>6117</v>
      </c>
      <c r="W1448" s="1455" t="str">
        <f> hyperlink(vlookup(lower(R1448),'File Links'!E:F, 2, FALSE), "LINK")</f>
        <v>LINK</v>
      </c>
      <c r="X1448" s="60"/>
      <c r="Y1448" s="147" t="s">
        <v>220</v>
      </c>
      <c r="Z1448" s="60"/>
      <c r="AA1448" s="60"/>
      <c r="AB1448" s="60"/>
      <c r="AC1448" s="147" t="s">
        <v>9251</v>
      </c>
      <c r="AD1448" s="144">
        <v>2.0</v>
      </c>
      <c r="AE1448" s="144">
        <v>302.0</v>
      </c>
      <c r="AF1448" s="144">
        <v>2.42</v>
      </c>
      <c r="AG1448" s="147" t="s">
        <v>166</v>
      </c>
      <c r="AH1448" s="147" t="s">
        <v>2748</v>
      </c>
      <c r="AI1448" s="646">
        <v>0.001</v>
      </c>
      <c r="AJ1448" s="52" t="s">
        <v>127</v>
      </c>
      <c r="AK1448" s="52" t="s">
        <v>179</v>
      </c>
      <c r="AL1448" s="147" t="s">
        <v>821</v>
      </c>
      <c r="AM1448" s="52" t="s">
        <v>129</v>
      </c>
      <c r="AN1448" s="144">
        <v>12.0</v>
      </c>
      <c r="AO1448" s="144">
        <v>0.82579130976575</v>
      </c>
      <c r="AP1448" s="147" t="s">
        <v>166</v>
      </c>
      <c r="AQ1448" s="60"/>
      <c r="AR1448" s="144">
        <v>0.0208742712467195</v>
      </c>
      <c r="AS1448" s="147" t="s">
        <v>164</v>
      </c>
      <c r="AT1448" s="147" t="s">
        <v>179</v>
      </c>
      <c r="AU1448" s="147" t="s">
        <v>821</v>
      </c>
      <c r="AV1448" s="60"/>
      <c r="AW1448" s="147" t="s">
        <v>134</v>
      </c>
      <c r="AY1448" s="60" t="s">
        <v>144</v>
      </c>
    </row>
    <row r="1449">
      <c r="A1449" s="60" t="s">
        <v>586</v>
      </c>
      <c r="B1449" s="41" t="s">
        <v>107</v>
      </c>
      <c r="C1449" s="41" t="s">
        <v>144</v>
      </c>
      <c r="E1449" s="60" t="s">
        <v>9244</v>
      </c>
      <c r="F1449" s="52" t="s">
        <v>9243</v>
      </c>
      <c r="G1449" s="147" t="s">
        <v>144</v>
      </c>
      <c r="H1449" s="140">
        <v>45687.0</v>
      </c>
      <c r="I1449" s="140">
        <v>45692.0</v>
      </c>
      <c r="J1449" s="412" t="s">
        <v>9252</v>
      </c>
      <c r="K1449" s="147" t="s">
        <v>9246</v>
      </c>
      <c r="L1449" s="147" t="s">
        <v>9247</v>
      </c>
      <c r="M1449" s="147" t="s">
        <v>9248</v>
      </c>
      <c r="N1449" s="144">
        <v>2.0</v>
      </c>
      <c r="O1449" s="145" t="s">
        <v>9253</v>
      </c>
      <c r="P1449" s="48" t="str">
        <f t="array" ref="P1449">HYPERLINK(INDEX('File Links'!B:B, MATCH(O1449, 'File Links'!C:C, 0)))
</f>
        <v>https://drive.google.com/file/d/1zRO2wTJdLmK-BV5hxThrZO8prUdJXbH2/view?usp=drivesdk</v>
      </c>
      <c r="Q1449" s="147" t="s">
        <v>6103</v>
      </c>
      <c r="R1449" s="147" t="s">
        <v>6104</v>
      </c>
      <c r="S1449" s="60"/>
      <c r="T1449" s="144">
        <v>1.0</v>
      </c>
      <c r="U1449" s="145" t="s">
        <v>6105</v>
      </c>
      <c r="V1449" s="147" t="s">
        <v>9044</v>
      </c>
      <c r="W1449" s="1455" t="str">
        <f> hyperlink(vlookup(lower(R1449),'File Links'!F:G, 2, FALSE), "LINK")</f>
        <v>LINK</v>
      </c>
      <c r="X1449" s="60"/>
      <c r="Y1449" s="147" t="s">
        <v>220</v>
      </c>
      <c r="Z1449" s="147" t="s">
        <v>9254</v>
      </c>
      <c r="AA1449" s="147" t="s">
        <v>9255</v>
      </c>
      <c r="AB1449" s="147" t="s">
        <v>9256</v>
      </c>
      <c r="AC1449" s="147" t="s">
        <v>9257</v>
      </c>
      <c r="AD1449" s="144">
        <v>2.0</v>
      </c>
      <c r="AE1449" s="144">
        <v>300.0</v>
      </c>
      <c r="AF1449" s="144">
        <v>2.42</v>
      </c>
      <c r="AG1449" s="144" t="s">
        <v>166</v>
      </c>
      <c r="AH1449" s="144" t="s">
        <v>886</v>
      </c>
      <c r="AI1449" s="646">
        <v>0.001</v>
      </c>
      <c r="AJ1449" s="52" t="s">
        <v>127</v>
      </c>
      <c r="AK1449" s="52" t="s">
        <v>179</v>
      </c>
      <c r="AL1449" s="147" t="s">
        <v>821</v>
      </c>
      <c r="AM1449" s="55"/>
      <c r="AN1449" s="144">
        <v>12.0</v>
      </c>
      <c r="AO1449" s="144">
        <v>0.82579130976575</v>
      </c>
      <c r="AP1449" s="144" t="s">
        <v>166</v>
      </c>
      <c r="AQ1449" s="60"/>
      <c r="AR1449" s="144">
        <v>0.0208742712467195</v>
      </c>
      <c r="AS1449" s="147" t="s">
        <v>164</v>
      </c>
      <c r="AT1449" s="147" t="s">
        <v>179</v>
      </c>
      <c r="AU1449" s="147" t="s">
        <v>821</v>
      </c>
      <c r="AV1449" s="60"/>
      <c r="AW1449" s="60" t="s">
        <v>134</v>
      </c>
      <c r="AY1449" s="60" t="s">
        <v>144</v>
      </c>
    </row>
    <row r="1450">
      <c r="A1450" s="60" t="s">
        <v>106</v>
      </c>
      <c r="B1450" s="41" t="s">
        <v>107</v>
      </c>
      <c r="C1450" s="41" t="s">
        <v>243</v>
      </c>
      <c r="E1450" s="147" t="s">
        <v>9258</v>
      </c>
      <c r="F1450" s="52" t="s">
        <v>9259</v>
      </c>
      <c r="G1450" s="147" t="s">
        <v>244</v>
      </c>
      <c r="H1450" s="140">
        <v>45669.0</v>
      </c>
      <c r="I1450" s="140">
        <v>45692.0</v>
      </c>
      <c r="J1450" s="412" t="s">
        <v>9260</v>
      </c>
      <c r="K1450" s="147" t="s">
        <v>9261</v>
      </c>
      <c r="L1450" s="147" t="s">
        <v>9262</v>
      </c>
      <c r="M1450" s="147" t="s">
        <v>9263</v>
      </c>
      <c r="N1450" s="60"/>
      <c r="O1450" s="145" t="str">
        <f> SUBSTITUTE(lower(M1450), "/", "--") &amp;  ".pdf"</f>
        <v>10.1162--jocn_a_00709.pdf</v>
      </c>
      <c r="P1450" s="48" t="str">
        <f t="array" ref="P1450">HYPERLINK(INDEX('File Links'!B:B, MATCH(O1450, 'File Links'!C:C, 0)))
</f>
        <v>https://drive.google.com/file/d/1PBsIeDN2jr1Pq3CNrSLb1Xsyr21P2pXL/view?usp=drivesdk</v>
      </c>
      <c r="Q1450" s="147" t="s">
        <v>9264</v>
      </c>
      <c r="R1450" s="147" t="s">
        <v>9265</v>
      </c>
      <c r="S1450" s="60"/>
      <c r="T1450" s="60"/>
      <c r="U1450" s="145" t="s">
        <v>6105</v>
      </c>
      <c r="V1450" s="147" t="s">
        <v>318</v>
      </c>
      <c r="W1450" s="1455" t="str">
        <f> hyperlink(vlookup(lower(R1450),'File Links'!E:F, 2, FALSE), "LINK")</f>
        <v>LINK</v>
      </c>
      <c r="X1450" s="60"/>
      <c r="Y1450" s="147" t="s">
        <v>139</v>
      </c>
      <c r="Z1450" s="60"/>
      <c r="AA1450" s="147" t="s">
        <v>9266</v>
      </c>
      <c r="AB1450" s="60"/>
      <c r="AC1450" s="147" t="s">
        <v>9267</v>
      </c>
      <c r="AD1450" s="1462">
        <v>325.0</v>
      </c>
      <c r="AE1450" s="144">
        <v>45.0</v>
      </c>
      <c r="AF1450" s="1265">
        <v>0.6</v>
      </c>
      <c r="AG1450" s="147" t="s">
        <v>166</v>
      </c>
      <c r="AH1450" s="1268" t="s">
        <v>9268</v>
      </c>
      <c r="AI1450" s="646">
        <v>0.031</v>
      </c>
      <c r="AJ1450" s="52" t="s">
        <v>164</v>
      </c>
      <c r="AK1450" s="52" t="s">
        <v>179</v>
      </c>
      <c r="AL1450" s="147" t="s">
        <v>821</v>
      </c>
      <c r="AM1450" s="52" t="s">
        <v>129</v>
      </c>
      <c r="AN1450" s="1265">
        <v>45.0</v>
      </c>
      <c r="AO1450" s="1265">
        <v>-0.03</v>
      </c>
      <c r="AP1450" s="1268" t="s">
        <v>357</v>
      </c>
      <c r="AQ1450" s="60"/>
      <c r="AR1450" s="1265">
        <v>0.06</v>
      </c>
      <c r="AS1450" s="147" t="s">
        <v>164</v>
      </c>
      <c r="AT1450" s="147" t="s">
        <v>179</v>
      </c>
      <c r="AU1450" s="147" t="s">
        <v>821</v>
      </c>
      <c r="AV1450" s="60"/>
      <c r="AW1450" s="147" t="s">
        <v>134</v>
      </c>
      <c r="AY1450" s="60" t="s">
        <v>144</v>
      </c>
    </row>
    <row r="1451">
      <c r="A1451" s="115" t="s">
        <v>5350</v>
      </c>
      <c r="B1451" s="41" t="s">
        <v>107</v>
      </c>
      <c r="C1451" s="41" t="s">
        <v>144</v>
      </c>
      <c r="E1451" s="60" t="s">
        <v>9259</v>
      </c>
      <c r="F1451" s="52" t="s">
        <v>9269</v>
      </c>
      <c r="G1451" s="147" t="s">
        <v>144</v>
      </c>
      <c r="H1451" s="140">
        <v>45687.0</v>
      </c>
      <c r="I1451" s="140">
        <v>45692.0</v>
      </c>
      <c r="J1451" s="454" t="s">
        <v>9270</v>
      </c>
      <c r="K1451" s="60"/>
      <c r="L1451" s="147" t="s">
        <v>9262</v>
      </c>
      <c r="M1451" s="60"/>
      <c r="N1451" s="144">
        <v>1.0</v>
      </c>
      <c r="O1451" s="145" t="s">
        <v>351</v>
      </c>
      <c r="P1451" s="544" t="str">
        <f t="array" ref="P1451">HYPERLINK(INDEX('File Links'!B:B, MATCH(O1451, 'File Links'!C:C, 0)))
</f>
        <v>#N/A</v>
      </c>
      <c r="Q1451" s="147" t="s">
        <v>6103</v>
      </c>
      <c r="R1451" s="147" t="s">
        <v>6104</v>
      </c>
      <c r="S1451" s="60"/>
      <c r="T1451" s="144">
        <v>1.0</v>
      </c>
      <c r="U1451" s="145" t="s">
        <v>6105</v>
      </c>
      <c r="V1451" s="147" t="s">
        <v>9109</v>
      </c>
      <c r="W1451" s="1455" t="str">
        <f> hyperlink(vlookup(lower(R1451),'File Links'!F:G, 2, FALSE), "LINK")</f>
        <v>LINK</v>
      </c>
      <c r="X1451" s="60"/>
      <c r="Y1451" s="147" t="s">
        <v>139</v>
      </c>
      <c r="Z1451" s="147" t="s">
        <v>9271</v>
      </c>
      <c r="AA1451" s="412" t="s">
        <v>9272</v>
      </c>
      <c r="AB1451" s="147" t="s">
        <v>9273</v>
      </c>
      <c r="AC1451" s="147" t="s">
        <v>9274</v>
      </c>
      <c r="AD1451" s="144">
        <v>7.0</v>
      </c>
      <c r="AE1451" s="144">
        <v>45.0</v>
      </c>
      <c r="AF1451" s="144">
        <v>-0.06</v>
      </c>
      <c r="AG1451" s="144" t="s">
        <v>1006</v>
      </c>
      <c r="AH1451" s="144" t="s">
        <v>125</v>
      </c>
      <c r="AI1451" s="646">
        <v>0.031</v>
      </c>
      <c r="AJ1451" s="52" t="s">
        <v>164</v>
      </c>
      <c r="AK1451" s="52" t="s">
        <v>179</v>
      </c>
      <c r="AL1451" s="147" t="s">
        <v>821</v>
      </c>
      <c r="AM1451" s="55"/>
      <c r="AN1451" s="144">
        <v>25.0</v>
      </c>
      <c r="AO1451" s="144">
        <v>-0.3</v>
      </c>
      <c r="AP1451" s="144" t="s">
        <v>1006</v>
      </c>
      <c r="AQ1451" s="144" t="s">
        <v>625</v>
      </c>
      <c r="AR1451" s="144">
        <v>0.6</v>
      </c>
      <c r="AS1451" s="147" t="s">
        <v>164</v>
      </c>
      <c r="AT1451" s="147" t="s">
        <v>179</v>
      </c>
      <c r="AU1451" s="147" t="s">
        <v>821</v>
      </c>
      <c r="AV1451" s="60"/>
      <c r="AW1451" s="60" t="s">
        <v>134</v>
      </c>
      <c r="AY1451" s="60" t="s">
        <v>144</v>
      </c>
    </row>
    <row r="1452">
      <c r="A1452" s="115" t="s">
        <v>5350</v>
      </c>
      <c r="B1452" s="41" t="s">
        <v>107</v>
      </c>
      <c r="C1452" s="41" t="s">
        <v>144</v>
      </c>
      <c r="E1452" s="60" t="s">
        <v>9259</v>
      </c>
      <c r="F1452" s="52" t="s">
        <v>9275</v>
      </c>
      <c r="G1452" s="147" t="s">
        <v>144</v>
      </c>
      <c r="H1452" s="140">
        <v>45687.0</v>
      </c>
      <c r="I1452" s="140">
        <v>45692.0</v>
      </c>
      <c r="J1452" s="454" t="s">
        <v>9276</v>
      </c>
      <c r="K1452" s="60"/>
      <c r="L1452" s="147" t="s">
        <v>9262</v>
      </c>
      <c r="M1452" s="60"/>
      <c r="N1452" s="144">
        <v>1.0</v>
      </c>
      <c r="O1452" s="145" t="s">
        <v>351</v>
      </c>
      <c r="P1452" s="544" t="str">
        <f t="array" ref="P1452">HYPERLINK(INDEX('File Links'!B:B, MATCH(O1452, 'File Links'!C:C, 0)))
</f>
        <v>#N/A</v>
      </c>
      <c r="Q1452" s="147" t="s">
        <v>6103</v>
      </c>
      <c r="R1452" s="147" t="s">
        <v>6104</v>
      </c>
      <c r="S1452" s="60"/>
      <c r="T1452" s="144">
        <v>1.0</v>
      </c>
      <c r="U1452" s="145" t="s">
        <v>6105</v>
      </c>
      <c r="V1452" s="147" t="s">
        <v>155</v>
      </c>
      <c r="W1452" s="1455" t="str">
        <f> hyperlink(vlookup(lower(R1452),'File Links'!F:G, 2, FALSE), "LINK")</f>
        <v>LINK</v>
      </c>
      <c r="X1452" s="60"/>
      <c r="Y1452" s="147" t="s">
        <v>960</v>
      </c>
      <c r="Z1452" s="147" t="s">
        <v>9271</v>
      </c>
      <c r="AA1452" s="412" t="s">
        <v>9272</v>
      </c>
      <c r="AB1452" s="147" t="s">
        <v>9277</v>
      </c>
      <c r="AC1452" s="147" t="s">
        <v>9278</v>
      </c>
      <c r="AD1452" s="1370">
        <v>45908.0</v>
      </c>
      <c r="AE1452" s="144">
        <v>45.0</v>
      </c>
      <c r="AF1452" s="144">
        <v>-0.02</v>
      </c>
      <c r="AG1452" s="144" t="s">
        <v>1006</v>
      </c>
      <c r="AH1452" s="144" t="s">
        <v>5284</v>
      </c>
      <c r="AI1452" s="646">
        <v>0.307</v>
      </c>
      <c r="AJ1452" s="52" t="s">
        <v>164</v>
      </c>
      <c r="AK1452" s="52" t="s">
        <v>179</v>
      </c>
      <c r="AL1452" s="147" t="s">
        <v>821</v>
      </c>
      <c r="AM1452" s="55"/>
      <c r="AN1452" s="144">
        <v>25.0</v>
      </c>
      <c r="AO1452" s="60"/>
      <c r="AP1452" s="60"/>
      <c r="AQ1452" s="144" t="s">
        <v>625</v>
      </c>
      <c r="AR1452" s="144">
        <v>0.01</v>
      </c>
      <c r="AS1452" s="147" t="s">
        <v>127</v>
      </c>
      <c r="AT1452" s="147" t="s">
        <v>128</v>
      </c>
      <c r="AU1452" s="60" t="s">
        <v>129</v>
      </c>
      <c r="AV1452" s="60"/>
      <c r="AW1452" s="60" t="s">
        <v>134</v>
      </c>
      <c r="AY1452" s="60" t="s">
        <v>144</v>
      </c>
    </row>
    <row r="1453">
      <c r="A1453" s="115" t="s">
        <v>5350</v>
      </c>
      <c r="B1453" s="41" t="s">
        <v>107</v>
      </c>
      <c r="C1453" s="41" t="s">
        <v>144</v>
      </c>
      <c r="E1453" s="60" t="s">
        <v>9259</v>
      </c>
      <c r="F1453" s="52" t="s">
        <v>9279</v>
      </c>
      <c r="G1453" s="147" t="s">
        <v>144</v>
      </c>
      <c r="H1453" s="140">
        <v>45687.0</v>
      </c>
      <c r="I1453" s="140">
        <v>45692.0</v>
      </c>
      <c r="J1453" s="454" t="s">
        <v>9280</v>
      </c>
      <c r="K1453" s="60"/>
      <c r="L1453" s="147" t="s">
        <v>9262</v>
      </c>
      <c r="M1453" s="60"/>
      <c r="N1453" s="144">
        <v>1.0</v>
      </c>
      <c r="O1453" s="145" t="s">
        <v>351</v>
      </c>
      <c r="P1453" s="544" t="str">
        <f t="array" ref="P1453">HYPERLINK(INDEX('File Links'!B:B, MATCH(O1453, 'File Links'!C:C, 0)))
</f>
        <v>#N/A</v>
      </c>
      <c r="Q1453" s="147" t="s">
        <v>6103</v>
      </c>
      <c r="R1453" s="147" t="s">
        <v>6104</v>
      </c>
      <c r="S1453" s="60"/>
      <c r="T1453" s="144">
        <v>1.0</v>
      </c>
      <c r="U1453" s="145" t="s">
        <v>6105</v>
      </c>
      <c r="V1453" s="147" t="s">
        <v>155</v>
      </c>
      <c r="W1453" s="1455" t="str">
        <f> hyperlink(vlookup(lower(R1453),'File Links'!F:G, 2, FALSE), "LINK")</f>
        <v>LINK</v>
      </c>
      <c r="X1453" s="60"/>
      <c r="Y1453" s="147" t="s">
        <v>960</v>
      </c>
      <c r="Z1453" s="147" t="s">
        <v>9271</v>
      </c>
      <c r="AA1453" s="412" t="s">
        <v>9272</v>
      </c>
      <c r="AB1453" s="147" t="s">
        <v>9281</v>
      </c>
      <c r="AC1453" s="147" t="s">
        <v>9282</v>
      </c>
      <c r="AD1453" s="144">
        <v>8.0</v>
      </c>
      <c r="AE1453" s="144">
        <v>45.0</v>
      </c>
      <c r="AF1453" s="144">
        <v>0.16</v>
      </c>
      <c r="AG1453" s="144" t="s">
        <v>1006</v>
      </c>
      <c r="AH1453" s="144" t="s">
        <v>5284</v>
      </c>
      <c r="AI1453" s="646">
        <v>1.0E-4</v>
      </c>
      <c r="AJ1453" s="52" t="s">
        <v>127</v>
      </c>
      <c r="AK1453" s="52" t="s">
        <v>179</v>
      </c>
      <c r="AL1453" s="147" t="s">
        <v>821</v>
      </c>
      <c r="AM1453" s="55"/>
      <c r="AN1453" s="144">
        <v>25.0</v>
      </c>
      <c r="AO1453" s="144" t="s">
        <v>9283</v>
      </c>
      <c r="AP1453" s="144" t="s">
        <v>162</v>
      </c>
      <c r="AQ1453" s="144" t="s">
        <v>131</v>
      </c>
      <c r="AR1453" s="60"/>
      <c r="AS1453" s="60"/>
      <c r="AT1453" s="147" t="s">
        <v>128</v>
      </c>
      <c r="AU1453" s="60" t="s">
        <v>129</v>
      </c>
      <c r="AV1453" s="60"/>
      <c r="AW1453" s="60" t="s">
        <v>134</v>
      </c>
      <c r="AY1453" s="60" t="s">
        <v>144</v>
      </c>
    </row>
    <row r="1454">
      <c r="A1454" s="115" t="s">
        <v>5350</v>
      </c>
      <c r="B1454" s="41" t="s">
        <v>107</v>
      </c>
      <c r="C1454" s="41" t="s">
        <v>144</v>
      </c>
      <c r="E1454" s="60" t="s">
        <v>9259</v>
      </c>
      <c r="F1454" s="52" t="s">
        <v>9284</v>
      </c>
      <c r="G1454" s="147" t="s">
        <v>144</v>
      </c>
      <c r="H1454" s="140">
        <v>45687.0</v>
      </c>
      <c r="I1454" s="140">
        <v>45692.0</v>
      </c>
      <c r="J1454" s="454" t="s">
        <v>9285</v>
      </c>
      <c r="K1454" s="60"/>
      <c r="L1454" s="147" t="s">
        <v>9262</v>
      </c>
      <c r="M1454" s="60"/>
      <c r="N1454" s="144">
        <v>1.0</v>
      </c>
      <c r="O1454" s="145" t="s">
        <v>351</v>
      </c>
      <c r="P1454" s="544" t="str">
        <f t="array" ref="P1454">HYPERLINK(INDEX('File Links'!B:B, MATCH(O1454, 'File Links'!C:C, 0)))
</f>
        <v>#N/A</v>
      </c>
      <c r="Q1454" s="147" t="s">
        <v>6103</v>
      </c>
      <c r="R1454" s="147" t="s">
        <v>6104</v>
      </c>
      <c r="S1454" s="60"/>
      <c r="T1454" s="144">
        <v>1.0</v>
      </c>
      <c r="U1454" s="145" t="s">
        <v>6105</v>
      </c>
      <c r="V1454" s="147" t="s">
        <v>155</v>
      </c>
      <c r="W1454" s="1455" t="str">
        <f> hyperlink(vlookup(lower(R1454),'File Links'!F:G, 2, FALSE), "LINK")</f>
        <v>LINK</v>
      </c>
      <c r="X1454" s="60"/>
      <c r="Y1454" s="147" t="s">
        <v>960</v>
      </c>
      <c r="Z1454" s="147" t="s">
        <v>9271</v>
      </c>
      <c r="AA1454" s="412" t="s">
        <v>9272</v>
      </c>
      <c r="AB1454" s="147" t="s">
        <v>9286</v>
      </c>
      <c r="AC1454" s="147" t="s">
        <v>9287</v>
      </c>
      <c r="AD1454" s="144">
        <v>8.0</v>
      </c>
      <c r="AE1454" s="144">
        <v>45.0</v>
      </c>
      <c r="AF1454" s="144">
        <v>0.08</v>
      </c>
      <c r="AG1454" s="144" t="s">
        <v>1006</v>
      </c>
      <c r="AH1454" s="144" t="s">
        <v>5284</v>
      </c>
      <c r="AI1454" s="646">
        <v>0.001</v>
      </c>
      <c r="AJ1454" s="52" t="s">
        <v>164</v>
      </c>
      <c r="AK1454" s="52" t="s">
        <v>179</v>
      </c>
      <c r="AL1454" s="147" t="s">
        <v>821</v>
      </c>
      <c r="AM1454" s="55"/>
      <c r="AN1454" s="144">
        <v>25.0</v>
      </c>
      <c r="AO1454" s="144" t="s">
        <v>9288</v>
      </c>
      <c r="AP1454" s="144" t="s">
        <v>162</v>
      </c>
      <c r="AQ1454" s="144" t="s">
        <v>131</v>
      </c>
      <c r="AR1454" s="144">
        <v>0.05</v>
      </c>
      <c r="AS1454" s="147" t="s">
        <v>127</v>
      </c>
      <c r="AT1454" s="147" t="s">
        <v>128</v>
      </c>
      <c r="AU1454" s="60" t="s">
        <v>129</v>
      </c>
      <c r="AV1454" s="60"/>
      <c r="AW1454" s="60" t="s">
        <v>134</v>
      </c>
      <c r="AY1454" s="60" t="s">
        <v>144</v>
      </c>
    </row>
    <row r="1455">
      <c r="A1455" s="115" t="s">
        <v>5350</v>
      </c>
      <c r="B1455" s="41" t="s">
        <v>107</v>
      </c>
      <c r="C1455" s="41" t="s">
        <v>144</v>
      </c>
      <c r="E1455" s="60" t="s">
        <v>9259</v>
      </c>
      <c r="F1455" s="52" t="s">
        <v>9289</v>
      </c>
      <c r="G1455" s="147" t="s">
        <v>144</v>
      </c>
      <c r="H1455" s="140">
        <v>45687.0</v>
      </c>
      <c r="I1455" s="140">
        <v>45692.0</v>
      </c>
      <c r="J1455" s="454" t="s">
        <v>9290</v>
      </c>
      <c r="K1455" s="60"/>
      <c r="L1455" s="147" t="s">
        <v>9262</v>
      </c>
      <c r="M1455" s="60"/>
      <c r="N1455" s="144">
        <v>1.0</v>
      </c>
      <c r="O1455" s="145" t="s">
        <v>351</v>
      </c>
      <c r="P1455" s="544" t="str">
        <f t="array" ref="P1455">HYPERLINK(INDEX('File Links'!B:B, MATCH(O1455, 'File Links'!C:C, 0)))
</f>
        <v>#N/A</v>
      </c>
      <c r="Q1455" s="147" t="s">
        <v>6103</v>
      </c>
      <c r="R1455" s="147" t="s">
        <v>6104</v>
      </c>
      <c r="S1455" s="60"/>
      <c r="T1455" s="144">
        <v>1.0</v>
      </c>
      <c r="U1455" s="145" t="s">
        <v>6105</v>
      </c>
      <c r="V1455" s="147" t="s">
        <v>155</v>
      </c>
      <c r="W1455" s="1455" t="str">
        <f> hyperlink(vlookup(lower(R1455),'File Links'!F:G, 2, FALSE), "LINK")</f>
        <v>LINK</v>
      </c>
      <c r="X1455" s="60"/>
      <c r="Y1455" s="147" t="s">
        <v>960</v>
      </c>
      <c r="Z1455" s="147" t="s">
        <v>9271</v>
      </c>
      <c r="AA1455" s="412" t="s">
        <v>9272</v>
      </c>
      <c r="AB1455" s="147" t="s">
        <v>9291</v>
      </c>
      <c r="AC1455" s="147" t="s">
        <v>9292</v>
      </c>
      <c r="AD1455" s="144">
        <v>8.0</v>
      </c>
      <c r="AE1455" s="144">
        <v>45.0</v>
      </c>
      <c r="AF1455" s="144">
        <v>0.04</v>
      </c>
      <c r="AG1455" s="144" t="s">
        <v>1006</v>
      </c>
      <c r="AH1455" s="144" t="s">
        <v>5284</v>
      </c>
      <c r="AI1455" s="646">
        <v>0.116</v>
      </c>
      <c r="AJ1455" s="52" t="s">
        <v>164</v>
      </c>
      <c r="AK1455" s="52" t="s">
        <v>179</v>
      </c>
      <c r="AL1455" s="147" t="s">
        <v>821</v>
      </c>
      <c r="AM1455" s="55"/>
      <c r="AN1455" s="144">
        <v>25.0</v>
      </c>
      <c r="AO1455" s="144" t="s">
        <v>9293</v>
      </c>
      <c r="AP1455" s="144" t="s">
        <v>162</v>
      </c>
      <c r="AQ1455" s="144" t="s">
        <v>131</v>
      </c>
      <c r="AR1455" s="144">
        <v>0.05</v>
      </c>
      <c r="AS1455" s="147" t="s">
        <v>127</v>
      </c>
      <c r="AT1455" s="147" t="s">
        <v>128</v>
      </c>
      <c r="AU1455" s="60" t="s">
        <v>129</v>
      </c>
      <c r="AV1455" s="60"/>
      <c r="AW1455" s="60" t="s">
        <v>134</v>
      </c>
      <c r="AY1455" s="60" t="s">
        <v>144</v>
      </c>
    </row>
    <row r="1456">
      <c r="A1456" s="115" t="s">
        <v>5350</v>
      </c>
      <c r="B1456" s="41" t="s">
        <v>107</v>
      </c>
      <c r="C1456" s="41" t="s">
        <v>144</v>
      </c>
      <c r="E1456" s="60" t="s">
        <v>9259</v>
      </c>
      <c r="F1456" s="52" t="s">
        <v>9294</v>
      </c>
      <c r="G1456" s="147" t="s">
        <v>144</v>
      </c>
      <c r="H1456" s="140">
        <v>45687.0</v>
      </c>
      <c r="I1456" s="140">
        <v>45692.0</v>
      </c>
      <c r="J1456" s="454" t="s">
        <v>9295</v>
      </c>
      <c r="K1456" s="60"/>
      <c r="L1456" s="147" t="s">
        <v>9262</v>
      </c>
      <c r="M1456" s="60"/>
      <c r="N1456" s="144">
        <v>1.0</v>
      </c>
      <c r="O1456" s="145" t="s">
        <v>351</v>
      </c>
      <c r="P1456" s="544" t="str">
        <f t="array" ref="P1456">HYPERLINK(INDEX('File Links'!B:B, MATCH(O1456, 'File Links'!C:C, 0)))
</f>
        <v>#N/A</v>
      </c>
      <c r="Q1456" s="147" t="s">
        <v>6103</v>
      </c>
      <c r="R1456" s="147" t="s">
        <v>6104</v>
      </c>
      <c r="S1456" s="60"/>
      <c r="T1456" s="144">
        <v>1.0</v>
      </c>
      <c r="U1456" s="145" t="s">
        <v>6105</v>
      </c>
      <c r="V1456" s="147" t="s">
        <v>155</v>
      </c>
      <c r="W1456" s="1455" t="str">
        <f> hyperlink(vlookup(lower(R1456),'File Links'!F:G, 2, FALSE), "LINK")</f>
        <v>LINK</v>
      </c>
      <c r="X1456" s="60"/>
      <c r="Y1456" s="147" t="s">
        <v>960</v>
      </c>
      <c r="Z1456" s="147" t="s">
        <v>9271</v>
      </c>
      <c r="AA1456" s="412" t="s">
        <v>9272</v>
      </c>
      <c r="AB1456" s="147" t="s">
        <v>9296</v>
      </c>
      <c r="AC1456" s="147" t="s">
        <v>9297</v>
      </c>
      <c r="AD1456" s="144">
        <v>9.0</v>
      </c>
      <c r="AE1456" s="144">
        <v>45.0</v>
      </c>
      <c r="AF1456" s="144">
        <v>0.04</v>
      </c>
      <c r="AG1456" s="144" t="s">
        <v>1006</v>
      </c>
      <c r="AH1456" s="144" t="s">
        <v>5284</v>
      </c>
      <c r="AI1456" s="646">
        <v>0.143</v>
      </c>
      <c r="AJ1456" s="52" t="s">
        <v>164</v>
      </c>
      <c r="AK1456" s="52" t="s">
        <v>179</v>
      </c>
      <c r="AL1456" s="147" t="s">
        <v>821</v>
      </c>
      <c r="AM1456" s="55"/>
      <c r="AN1456" s="144">
        <v>25.0</v>
      </c>
      <c r="AO1456" s="144">
        <v>0.13</v>
      </c>
      <c r="AP1456" s="144" t="s">
        <v>1006</v>
      </c>
      <c r="AQ1456" s="144" t="s">
        <v>625</v>
      </c>
      <c r="AR1456" s="144">
        <v>0.15</v>
      </c>
      <c r="AS1456" s="147" t="s">
        <v>329</v>
      </c>
      <c r="AT1456" s="147" t="s">
        <v>128</v>
      </c>
      <c r="AU1456" s="60" t="s">
        <v>129</v>
      </c>
      <c r="AV1456" s="60"/>
      <c r="AW1456" s="60" t="s">
        <v>134</v>
      </c>
      <c r="AY1456" s="60" t="s">
        <v>144</v>
      </c>
    </row>
    <row r="1457">
      <c r="A1457" s="60" t="s">
        <v>106</v>
      </c>
      <c r="B1457" s="41" t="s">
        <v>107</v>
      </c>
      <c r="C1457" s="41" t="s">
        <v>243</v>
      </c>
      <c r="E1457" s="147" t="s">
        <v>9298</v>
      </c>
      <c r="F1457" s="52" t="s">
        <v>9299</v>
      </c>
      <c r="G1457" s="147" t="s">
        <v>244</v>
      </c>
      <c r="H1457" s="140">
        <v>45663.0</v>
      </c>
      <c r="I1457" s="140">
        <v>45692.0</v>
      </c>
      <c r="J1457" s="60"/>
      <c r="K1457" s="60"/>
      <c r="L1457" s="147" t="s">
        <v>9300</v>
      </c>
      <c r="M1457" s="147" t="s">
        <v>8087</v>
      </c>
      <c r="N1457" s="60"/>
      <c r="O1457" s="145" t="str">
        <f> SUBSTITUTE(lower(M1457), "/", "--") &amp;  ".pdf"</f>
        <v>10.1037--0022-3514.94.2.94.2.196.pdf</v>
      </c>
      <c r="P1457" s="48" t="str">
        <f t="array" ref="P1457">HYPERLINK(INDEX('File Links'!B:B, MATCH(O1457, 'File Links'!C:C, 0)))
</f>
        <v>https://drive.google.com/file/d/1UKyZSyadeWWKlD03-UFjhlFvSy-jY0H-/view?usp=drivesdk</v>
      </c>
      <c r="Q1457" s="147" t="s">
        <v>9301</v>
      </c>
      <c r="R1457" s="147" t="s">
        <v>9302</v>
      </c>
      <c r="S1457" s="60"/>
      <c r="T1457" s="60"/>
      <c r="U1457" s="145" t="s">
        <v>6105</v>
      </c>
      <c r="V1457" s="147" t="s">
        <v>318</v>
      </c>
      <c r="W1457" s="1455" t="str">
        <f> hyperlink(vlookup(lower(R1457),'File Links'!E:F, 2, FALSE), "LINK")</f>
        <v>LINK</v>
      </c>
      <c r="X1457" s="60"/>
      <c r="Y1457" s="147" t="s">
        <v>220</v>
      </c>
      <c r="Z1457" s="60"/>
      <c r="AA1457" s="60"/>
      <c r="AB1457" s="60"/>
      <c r="AC1457" s="147" t="s">
        <v>9303</v>
      </c>
      <c r="AD1457" s="144">
        <v>208.0</v>
      </c>
      <c r="AE1457" s="144">
        <v>124.0</v>
      </c>
      <c r="AF1457" s="144">
        <v>5.12</v>
      </c>
      <c r="AG1457" s="147" t="s">
        <v>1051</v>
      </c>
      <c r="AH1457" s="147" t="s">
        <v>9304</v>
      </c>
      <c r="AI1457" s="646">
        <v>0.025</v>
      </c>
      <c r="AJ1457" s="52" t="s">
        <v>164</v>
      </c>
      <c r="AK1457" s="52" t="s">
        <v>179</v>
      </c>
      <c r="AL1457" s="147" t="s">
        <v>132</v>
      </c>
      <c r="AM1457" s="52" t="s">
        <v>129</v>
      </c>
      <c r="AN1457" s="144">
        <v>209.0</v>
      </c>
      <c r="AO1457" s="144">
        <v>0.0506346969034163</v>
      </c>
      <c r="AP1457" s="147" t="s">
        <v>166</v>
      </c>
      <c r="AQ1457" s="60"/>
      <c r="AR1457" s="144">
        <v>0.466054495151454</v>
      </c>
      <c r="AS1457" s="147" t="s">
        <v>164</v>
      </c>
      <c r="AT1457" s="147" t="s">
        <v>179</v>
      </c>
      <c r="AU1457" s="1268" t="s">
        <v>132</v>
      </c>
      <c r="AV1457" s="60"/>
      <c r="AW1457" s="147" t="s">
        <v>134</v>
      </c>
      <c r="AY1457" s="60" t="s">
        <v>144</v>
      </c>
    </row>
    <row r="1458">
      <c r="A1458" s="115" t="s">
        <v>143</v>
      </c>
      <c r="B1458" s="41" t="s">
        <v>107</v>
      </c>
      <c r="C1458" s="1463" t="s">
        <v>144</v>
      </c>
      <c r="D1458" s="1463" t="s">
        <v>9305</v>
      </c>
      <c r="E1458" s="60" t="s">
        <v>9299</v>
      </c>
      <c r="F1458" s="52" t="s">
        <v>9298</v>
      </c>
      <c r="G1458" s="642" t="s">
        <v>9306</v>
      </c>
      <c r="H1458" s="140">
        <v>45687.0</v>
      </c>
      <c r="I1458" s="140">
        <v>45692.0</v>
      </c>
      <c r="J1458" s="412"/>
      <c r="K1458" s="60"/>
      <c r="L1458" s="147" t="s">
        <v>9300</v>
      </c>
      <c r="M1458" s="147" t="s">
        <v>8087</v>
      </c>
      <c r="N1458" s="149" t="s">
        <v>9307</v>
      </c>
      <c r="O1458" s="145" t="s">
        <v>8089</v>
      </c>
      <c r="P1458" s="48" t="str">
        <f t="array" ref="P1458">HYPERLINK(INDEX('File Links'!B:B, MATCH(O1458, 'File Links'!C:C, 0)))
</f>
        <v>https://drive.google.com/file/d/1UKyZSyadeWWKlD03-UFjhlFvSy-jY0H-/view?usp=drivesdk</v>
      </c>
      <c r="Q1458" s="147" t="s">
        <v>6103</v>
      </c>
      <c r="R1458" s="147" t="s">
        <v>6104</v>
      </c>
      <c r="S1458" s="638" t="s">
        <v>8091</v>
      </c>
      <c r="T1458" s="144">
        <v>1.0</v>
      </c>
      <c r="U1458" s="145" t="s">
        <v>6105</v>
      </c>
      <c r="V1458" s="147" t="s">
        <v>9109</v>
      </c>
      <c r="W1458" s="1464" t="s">
        <v>8091</v>
      </c>
      <c r="X1458" s="60"/>
      <c r="Y1458" s="147" t="s">
        <v>220</v>
      </c>
      <c r="Z1458" s="147" t="s">
        <v>8099</v>
      </c>
      <c r="AA1458" s="147" t="s">
        <v>9308</v>
      </c>
      <c r="AB1458" s="147" t="s">
        <v>9309</v>
      </c>
      <c r="AC1458" s="139" t="s">
        <v>9310</v>
      </c>
      <c r="AD1458" s="149" t="s">
        <v>9304</v>
      </c>
      <c r="AE1458" s="144">
        <v>124.0</v>
      </c>
      <c r="AF1458" s="149" t="s">
        <v>8096</v>
      </c>
      <c r="AG1458" s="149" t="s">
        <v>162</v>
      </c>
      <c r="AH1458" s="149" t="s">
        <v>9304</v>
      </c>
      <c r="AI1458" s="149">
        <v>0.002</v>
      </c>
      <c r="AJ1458" s="52" t="s">
        <v>164</v>
      </c>
      <c r="AK1458" s="52" t="s">
        <v>179</v>
      </c>
      <c r="AL1458" s="139" t="s">
        <v>129</v>
      </c>
      <c r="AM1458" s="55"/>
      <c r="AN1458" s="144">
        <v>209.0</v>
      </c>
      <c r="AO1458" s="1350" t="s">
        <v>9311</v>
      </c>
      <c r="AP1458" s="149" t="s">
        <v>162</v>
      </c>
      <c r="AQ1458" s="115" t="s">
        <v>861</v>
      </c>
      <c r="AR1458" s="149">
        <v>0.49</v>
      </c>
      <c r="AS1458" s="147" t="s">
        <v>164</v>
      </c>
      <c r="AT1458" s="147" t="s">
        <v>179</v>
      </c>
      <c r="AU1458" s="115" t="s">
        <v>129</v>
      </c>
      <c r="AV1458" s="60"/>
      <c r="AW1458" s="60" t="s">
        <v>134</v>
      </c>
      <c r="AY1458" s="115" t="s">
        <v>9053</v>
      </c>
    </row>
    <row r="1459">
      <c r="A1459" s="60" t="s">
        <v>106</v>
      </c>
      <c r="B1459" s="41" t="s">
        <v>107</v>
      </c>
      <c r="C1459" s="41" t="s">
        <v>144</v>
      </c>
      <c r="E1459" s="60" t="s">
        <v>9299</v>
      </c>
      <c r="F1459" s="52" t="s">
        <v>9298</v>
      </c>
      <c r="G1459" s="147" t="s">
        <v>144</v>
      </c>
      <c r="H1459" s="140">
        <v>45687.0</v>
      </c>
      <c r="I1459" s="140">
        <v>45692.0</v>
      </c>
      <c r="J1459" s="454" t="s">
        <v>9312</v>
      </c>
      <c r="K1459" s="60"/>
      <c r="L1459" s="147" t="s">
        <v>9300</v>
      </c>
      <c r="M1459" s="147" t="s">
        <v>8087</v>
      </c>
      <c r="N1459" s="144" t="s">
        <v>9313</v>
      </c>
      <c r="O1459" s="145" t="s">
        <v>8089</v>
      </c>
      <c r="P1459" s="48" t="str">
        <f t="array" ref="P1459">HYPERLINK(INDEX('File Links'!B:B, MATCH(O1459, 'File Links'!C:C, 0)))
</f>
        <v>https://drive.google.com/file/d/1UKyZSyadeWWKlD03-UFjhlFvSy-jY0H-/view?usp=drivesdk</v>
      </c>
      <c r="Q1459" s="147" t="s">
        <v>6103</v>
      </c>
      <c r="R1459" s="147" t="s">
        <v>6104</v>
      </c>
      <c r="S1459" s="60"/>
      <c r="T1459" s="144">
        <v>1.0</v>
      </c>
      <c r="U1459" s="145" t="s">
        <v>6105</v>
      </c>
      <c r="V1459" s="147" t="s">
        <v>9109</v>
      </c>
      <c r="W1459" s="1455" t="str">
        <f> hyperlink(vlookup(lower(R1459),'File Links'!F:G, 2, FALSE), "LINK")</f>
        <v>LINK</v>
      </c>
      <c r="X1459" s="60"/>
      <c r="Y1459" s="147" t="s">
        <v>220</v>
      </c>
      <c r="Z1459" s="147" t="s">
        <v>8099</v>
      </c>
      <c r="AA1459" s="147" t="s">
        <v>9308</v>
      </c>
      <c r="AB1459" s="147" t="s">
        <v>9309</v>
      </c>
      <c r="AC1459" s="147" t="s">
        <v>9314</v>
      </c>
      <c r="AD1459" s="144">
        <v>13.0</v>
      </c>
      <c r="AE1459" s="144">
        <v>124.0</v>
      </c>
      <c r="AF1459" s="144">
        <v>0.40700273690976</v>
      </c>
      <c r="AG1459" s="144" t="s">
        <v>166</v>
      </c>
      <c r="AH1459" s="144" t="s">
        <v>432</v>
      </c>
      <c r="AI1459" s="1351">
        <v>1.47769853598369E-5</v>
      </c>
      <c r="AJ1459" s="52" t="s">
        <v>164</v>
      </c>
      <c r="AK1459" s="52" t="s">
        <v>179</v>
      </c>
      <c r="AL1459" s="147" t="s">
        <v>132</v>
      </c>
      <c r="AM1459" s="55"/>
      <c r="AN1459" s="144">
        <v>209.0</v>
      </c>
      <c r="AO1459" s="327" t="s">
        <v>9315</v>
      </c>
      <c r="AP1459" s="144" t="s">
        <v>166</v>
      </c>
      <c r="AQ1459" s="60"/>
      <c r="AR1459" s="144" t="s">
        <v>9316</v>
      </c>
      <c r="AS1459" s="147" t="s">
        <v>164</v>
      </c>
      <c r="AT1459" s="147" t="s">
        <v>179</v>
      </c>
      <c r="AU1459" s="60" t="s">
        <v>821</v>
      </c>
      <c r="AV1459" s="60"/>
      <c r="AW1459" s="60" t="s">
        <v>134</v>
      </c>
      <c r="AY1459" s="60" t="s">
        <v>144</v>
      </c>
    </row>
    <row r="1460">
      <c r="A1460" s="60" t="s">
        <v>586</v>
      </c>
      <c r="B1460" s="41" t="s">
        <v>107</v>
      </c>
      <c r="C1460" s="41" t="s">
        <v>144</v>
      </c>
      <c r="E1460" s="60" t="s">
        <v>9317</v>
      </c>
      <c r="F1460" s="52" t="s">
        <v>9318</v>
      </c>
      <c r="G1460" s="147" t="s">
        <v>144</v>
      </c>
      <c r="H1460" s="140">
        <v>45687.0</v>
      </c>
      <c r="I1460" s="140">
        <v>45692.0</v>
      </c>
      <c r="J1460" s="60"/>
      <c r="K1460" s="147" t="s">
        <v>9319</v>
      </c>
      <c r="L1460" s="147" t="s">
        <v>5640</v>
      </c>
      <c r="M1460" s="147" t="s">
        <v>5641</v>
      </c>
      <c r="N1460" s="144">
        <v>1.0</v>
      </c>
      <c r="O1460" s="145" t="s">
        <v>5647</v>
      </c>
      <c r="P1460" s="48" t="str">
        <f t="array" ref="P1460">HYPERLINK(INDEX('File Links'!B:B, MATCH(O1460, 'File Links'!C:C, 0)))
</f>
        <v>https://drive.google.com/file/d/1peHj2qn55XShERDto7FmUKmKRW04vw25/view?usp=drivesdk</v>
      </c>
      <c r="Q1460" s="147" t="s">
        <v>6103</v>
      </c>
      <c r="R1460" s="147" t="s">
        <v>6104</v>
      </c>
      <c r="S1460" s="60"/>
      <c r="T1460" s="144">
        <v>1.0</v>
      </c>
      <c r="U1460" s="145" t="s">
        <v>6105</v>
      </c>
      <c r="V1460" s="147" t="s">
        <v>155</v>
      </c>
      <c r="W1460" s="1455" t="str">
        <f> hyperlink(vlookup(lower(R1460),'File Links'!F:G, 2, FALSE), "LINK")</f>
        <v>LINK</v>
      </c>
      <c r="X1460" s="60"/>
      <c r="Y1460" s="147" t="s">
        <v>139</v>
      </c>
      <c r="Z1460" s="412" t="s">
        <v>9320</v>
      </c>
      <c r="AA1460" s="412" t="s">
        <v>9321</v>
      </c>
      <c r="AB1460" s="147" t="s">
        <v>9322</v>
      </c>
      <c r="AC1460" s="147" t="s">
        <v>9323</v>
      </c>
      <c r="AD1460" s="144">
        <v>4.0</v>
      </c>
      <c r="AE1460" s="144">
        <v>92.0</v>
      </c>
      <c r="AF1460" s="144" t="s">
        <v>9324</v>
      </c>
      <c r="AG1460" s="144" t="s">
        <v>162</v>
      </c>
      <c r="AH1460" s="144" t="s">
        <v>861</v>
      </c>
      <c r="AI1460" s="646">
        <v>0.96</v>
      </c>
      <c r="AJ1460" s="52" t="s">
        <v>164</v>
      </c>
      <c r="AK1460" s="52" t="s">
        <v>128</v>
      </c>
      <c r="AL1460" s="60" t="s">
        <v>129</v>
      </c>
      <c r="AM1460" s="55"/>
      <c r="AN1460" s="144">
        <v>82.0</v>
      </c>
      <c r="AO1460" s="144" t="s">
        <v>9325</v>
      </c>
      <c r="AP1460" s="144" t="s">
        <v>162</v>
      </c>
      <c r="AQ1460" s="144" t="s">
        <v>299</v>
      </c>
      <c r="AR1460" s="144">
        <v>0.633</v>
      </c>
      <c r="AS1460" s="147" t="s">
        <v>164</v>
      </c>
      <c r="AT1460" s="147" t="s">
        <v>128</v>
      </c>
      <c r="AU1460" s="60" t="s">
        <v>129</v>
      </c>
      <c r="AV1460" s="60"/>
      <c r="AW1460" s="60" t="s">
        <v>134</v>
      </c>
      <c r="AY1460" s="60" t="s">
        <v>144</v>
      </c>
    </row>
    <row r="1461">
      <c r="A1461" s="60" t="s">
        <v>586</v>
      </c>
      <c r="B1461" s="41" t="s">
        <v>107</v>
      </c>
      <c r="C1461" s="41" t="s">
        <v>144</v>
      </c>
      <c r="E1461" s="60" t="s">
        <v>9317</v>
      </c>
      <c r="F1461" s="52" t="s">
        <v>9326</v>
      </c>
      <c r="G1461" s="147" t="s">
        <v>144</v>
      </c>
      <c r="H1461" s="140">
        <v>45687.0</v>
      </c>
      <c r="I1461" s="140">
        <v>45692.0</v>
      </c>
      <c r="J1461" s="60"/>
      <c r="K1461" s="147" t="s">
        <v>9319</v>
      </c>
      <c r="L1461" s="147" t="s">
        <v>5640</v>
      </c>
      <c r="M1461" s="147" t="s">
        <v>5641</v>
      </c>
      <c r="N1461" s="144">
        <v>1.0</v>
      </c>
      <c r="O1461" s="145" t="s">
        <v>5647</v>
      </c>
      <c r="P1461" s="48" t="str">
        <f t="array" ref="P1461">HYPERLINK(INDEX('File Links'!B:B, MATCH(O1461, 'File Links'!C:C, 0)))
</f>
        <v>https://drive.google.com/file/d/1peHj2qn55XShERDto7FmUKmKRW04vw25/view?usp=drivesdk</v>
      </c>
      <c r="Q1461" s="147" t="s">
        <v>6103</v>
      </c>
      <c r="R1461" s="147" t="s">
        <v>6104</v>
      </c>
      <c r="S1461" s="60"/>
      <c r="T1461" s="144">
        <v>1.0</v>
      </c>
      <c r="U1461" s="145" t="s">
        <v>6105</v>
      </c>
      <c r="V1461" s="147" t="s">
        <v>155</v>
      </c>
      <c r="W1461" s="1455" t="str">
        <f> hyperlink(vlookup(lower(R1461),'File Links'!F:G, 2, FALSE), "LINK")</f>
        <v>LINK</v>
      </c>
      <c r="X1461" s="60"/>
      <c r="Y1461" s="147" t="s">
        <v>139</v>
      </c>
      <c r="Z1461" s="412" t="s">
        <v>9320</v>
      </c>
      <c r="AA1461" s="412" t="s">
        <v>9321</v>
      </c>
      <c r="AB1461" s="147" t="s">
        <v>9327</v>
      </c>
      <c r="AC1461" s="147" t="s">
        <v>9328</v>
      </c>
      <c r="AD1461" s="144">
        <v>4.0</v>
      </c>
      <c r="AE1461" s="144">
        <v>92.0</v>
      </c>
      <c r="AF1461" s="144">
        <v>0.43</v>
      </c>
      <c r="AG1461" s="144" t="s">
        <v>166</v>
      </c>
      <c r="AH1461" s="144" t="s">
        <v>861</v>
      </c>
      <c r="AI1461" s="646">
        <v>0.05</v>
      </c>
      <c r="AJ1461" s="52" t="s">
        <v>164</v>
      </c>
      <c r="AK1461" s="52" t="s">
        <v>128</v>
      </c>
      <c r="AL1461" s="60" t="s">
        <v>129</v>
      </c>
      <c r="AM1461" s="55"/>
      <c r="AN1461" s="144">
        <v>82.0</v>
      </c>
      <c r="AO1461" s="144" t="s">
        <v>9329</v>
      </c>
      <c r="AP1461" s="144" t="s">
        <v>162</v>
      </c>
      <c r="AQ1461" s="144" t="s">
        <v>299</v>
      </c>
      <c r="AR1461" s="144">
        <v>0.723</v>
      </c>
      <c r="AS1461" s="147" t="s">
        <v>164</v>
      </c>
      <c r="AT1461" s="147" t="s">
        <v>128</v>
      </c>
      <c r="AU1461" s="60" t="s">
        <v>129</v>
      </c>
      <c r="AV1461" s="60"/>
      <c r="AW1461" s="60" t="s">
        <v>134</v>
      </c>
      <c r="AY1461" s="60" t="s">
        <v>144</v>
      </c>
    </row>
    <row r="1462">
      <c r="A1462" s="60" t="s">
        <v>586</v>
      </c>
      <c r="B1462" s="41" t="s">
        <v>107</v>
      </c>
      <c r="C1462" s="41" t="s">
        <v>144</v>
      </c>
      <c r="E1462" s="60" t="s">
        <v>9317</v>
      </c>
      <c r="F1462" s="52" t="s">
        <v>9330</v>
      </c>
      <c r="G1462" s="147" t="s">
        <v>144</v>
      </c>
      <c r="H1462" s="140">
        <v>45687.0</v>
      </c>
      <c r="I1462" s="140">
        <v>45692.0</v>
      </c>
      <c r="J1462" s="60"/>
      <c r="K1462" s="147" t="s">
        <v>9319</v>
      </c>
      <c r="L1462" s="147" t="s">
        <v>5640</v>
      </c>
      <c r="M1462" s="147" t="s">
        <v>5641</v>
      </c>
      <c r="N1462" s="144">
        <v>1.0</v>
      </c>
      <c r="O1462" s="145" t="s">
        <v>5647</v>
      </c>
      <c r="P1462" s="48" t="str">
        <f t="array" ref="P1462">HYPERLINK(INDEX('File Links'!B:B, MATCH(O1462, 'File Links'!C:C, 0)))
</f>
        <v>https://drive.google.com/file/d/1peHj2qn55XShERDto7FmUKmKRW04vw25/view?usp=drivesdk</v>
      </c>
      <c r="Q1462" s="147" t="s">
        <v>6103</v>
      </c>
      <c r="R1462" s="147" t="s">
        <v>6104</v>
      </c>
      <c r="S1462" s="60"/>
      <c r="T1462" s="144">
        <v>1.0</v>
      </c>
      <c r="U1462" s="145" t="s">
        <v>6105</v>
      </c>
      <c r="V1462" s="147" t="s">
        <v>155</v>
      </c>
      <c r="W1462" s="1455" t="str">
        <f> hyperlink(vlookup(lower(R1462),'File Links'!F:G, 2, FALSE), "LINK")</f>
        <v>LINK</v>
      </c>
      <c r="X1462" s="60"/>
      <c r="Y1462" s="147" t="s">
        <v>139</v>
      </c>
      <c r="Z1462" s="412" t="s">
        <v>9320</v>
      </c>
      <c r="AA1462" s="412" t="s">
        <v>9321</v>
      </c>
      <c r="AB1462" s="147" t="s">
        <v>9331</v>
      </c>
      <c r="AC1462" s="147" t="s">
        <v>9332</v>
      </c>
      <c r="AD1462" s="144">
        <v>4.0</v>
      </c>
      <c r="AE1462" s="144">
        <v>92.0</v>
      </c>
      <c r="AF1462" s="144">
        <v>0.39</v>
      </c>
      <c r="AG1462" s="144" t="s">
        <v>208</v>
      </c>
      <c r="AH1462" s="144" t="s">
        <v>861</v>
      </c>
      <c r="AI1462" s="646">
        <v>0.001</v>
      </c>
      <c r="AJ1462" s="52" t="s">
        <v>164</v>
      </c>
      <c r="AK1462" s="52" t="s">
        <v>128</v>
      </c>
      <c r="AL1462" s="60" t="s">
        <v>129</v>
      </c>
      <c r="AM1462" s="55"/>
      <c r="AN1462" s="144">
        <v>82.0</v>
      </c>
      <c r="AO1462" s="144" t="s">
        <v>9333</v>
      </c>
      <c r="AP1462" s="144" t="s">
        <v>162</v>
      </c>
      <c r="AQ1462" s="144" t="s">
        <v>609</v>
      </c>
      <c r="AR1462" s="144">
        <v>0.3155</v>
      </c>
      <c r="AS1462" s="147" t="s">
        <v>164</v>
      </c>
      <c r="AT1462" s="147" t="s">
        <v>128</v>
      </c>
      <c r="AU1462" s="60" t="s">
        <v>129</v>
      </c>
      <c r="AV1462" s="60"/>
      <c r="AW1462" s="60" t="s">
        <v>134</v>
      </c>
      <c r="AY1462" s="60" t="s">
        <v>144</v>
      </c>
    </row>
    <row r="1463">
      <c r="A1463" s="60" t="s">
        <v>586</v>
      </c>
      <c r="B1463" s="41" t="s">
        <v>107</v>
      </c>
      <c r="C1463" s="329" t="s">
        <v>144</v>
      </c>
      <c r="E1463" s="60" t="s">
        <v>9317</v>
      </c>
      <c r="F1463" s="52" t="s">
        <v>9334</v>
      </c>
      <c r="G1463" s="147" t="s">
        <v>144</v>
      </c>
      <c r="H1463" s="140">
        <v>45687.0</v>
      </c>
      <c r="I1463" s="140">
        <v>45692.0</v>
      </c>
      <c r="J1463" s="60"/>
      <c r="K1463" s="147" t="s">
        <v>9319</v>
      </c>
      <c r="L1463" s="147" t="s">
        <v>5640</v>
      </c>
      <c r="M1463" s="147" t="s">
        <v>5641</v>
      </c>
      <c r="N1463" s="144">
        <v>1.0</v>
      </c>
      <c r="O1463" s="145" t="s">
        <v>5647</v>
      </c>
      <c r="P1463" s="48" t="str">
        <f t="array" ref="P1463">HYPERLINK(INDEX('File Links'!B:B, MATCH(O1463, 'File Links'!C:C, 0)))
</f>
        <v>https://drive.google.com/file/d/1peHj2qn55XShERDto7FmUKmKRW04vw25/view?usp=drivesdk</v>
      </c>
      <c r="Q1463" s="147" t="s">
        <v>6103</v>
      </c>
      <c r="R1463" s="147" t="s">
        <v>6104</v>
      </c>
      <c r="S1463" s="60"/>
      <c r="T1463" s="144">
        <v>1.0</v>
      </c>
      <c r="U1463" s="145" t="s">
        <v>6105</v>
      </c>
      <c r="V1463" s="147" t="s">
        <v>155</v>
      </c>
      <c r="W1463" s="1455" t="str">
        <f> hyperlink(vlookup(lower(R1463),'File Links'!F:G, 2, FALSE), "LINK")</f>
        <v>LINK</v>
      </c>
      <c r="X1463" s="60"/>
      <c r="Y1463" s="147" t="s">
        <v>139</v>
      </c>
      <c r="Z1463" s="412" t="s">
        <v>9320</v>
      </c>
      <c r="AA1463" s="412" t="s">
        <v>9321</v>
      </c>
      <c r="AB1463" s="147" t="s">
        <v>9335</v>
      </c>
      <c r="AC1463" s="147" t="s">
        <v>9336</v>
      </c>
      <c r="AD1463" s="144">
        <v>4.0</v>
      </c>
      <c r="AE1463" s="144">
        <v>92.0</v>
      </c>
      <c r="AF1463" s="144" t="s">
        <v>9337</v>
      </c>
      <c r="AG1463" s="144" t="s">
        <v>162</v>
      </c>
      <c r="AH1463" s="144" t="s">
        <v>861</v>
      </c>
      <c r="AI1463" s="646">
        <v>0.01</v>
      </c>
      <c r="AJ1463" s="52" t="s">
        <v>164</v>
      </c>
      <c r="AK1463" s="52" t="s">
        <v>128</v>
      </c>
      <c r="AL1463" s="60" t="s">
        <v>129</v>
      </c>
      <c r="AM1463" s="55"/>
      <c r="AN1463" s="144">
        <v>82.0</v>
      </c>
      <c r="AO1463" s="144" t="s">
        <v>9338</v>
      </c>
      <c r="AP1463" s="144" t="s">
        <v>162</v>
      </c>
      <c r="AQ1463" s="144" t="s">
        <v>432</v>
      </c>
      <c r="AR1463" s="60"/>
      <c r="AS1463" s="60"/>
      <c r="AT1463" s="147" t="s">
        <v>128</v>
      </c>
      <c r="AU1463" s="60" t="s">
        <v>129</v>
      </c>
      <c r="AV1463" s="60"/>
      <c r="AW1463" s="60" t="s">
        <v>134</v>
      </c>
      <c r="AY1463" s="60" t="s">
        <v>144</v>
      </c>
    </row>
    <row r="1464">
      <c r="A1464" s="60" t="s">
        <v>586</v>
      </c>
      <c r="B1464" s="41" t="s">
        <v>107</v>
      </c>
      <c r="C1464" s="41" t="s">
        <v>144</v>
      </c>
      <c r="E1464" s="60" t="s">
        <v>9317</v>
      </c>
      <c r="F1464" s="52" t="s">
        <v>9339</v>
      </c>
      <c r="G1464" s="147" t="s">
        <v>144</v>
      </c>
      <c r="H1464" s="140">
        <v>45687.0</v>
      </c>
      <c r="I1464" s="140">
        <v>45692.0</v>
      </c>
      <c r="J1464" s="60"/>
      <c r="K1464" s="147" t="s">
        <v>9319</v>
      </c>
      <c r="L1464" s="147" t="s">
        <v>5640</v>
      </c>
      <c r="M1464" s="147" t="s">
        <v>5641</v>
      </c>
      <c r="N1464" s="144">
        <v>1.0</v>
      </c>
      <c r="O1464" s="145" t="s">
        <v>5647</v>
      </c>
      <c r="P1464" s="48" t="str">
        <f t="array" ref="P1464">HYPERLINK(INDEX('File Links'!B:B, MATCH(O1464, 'File Links'!C:C, 0)))
</f>
        <v>https://drive.google.com/file/d/1peHj2qn55XShERDto7FmUKmKRW04vw25/view?usp=drivesdk</v>
      </c>
      <c r="Q1464" s="147" t="s">
        <v>6103</v>
      </c>
      <c r="R1464" s="147" t="s">
        <v>6104</v>
      </c>
      <c r="S1464" s="60"/>
      <c r="T1464" s="144">
        <v>1.0</v>
      </c>
      <c r="U1464" s="145" t="s">
        <v>6105</v>
      </c>
      <c r="V1464" s="147" t="s">
        <v>155</v>
      </c>
      <c r="W1464" s="1455" t="str">
        <f> hyperlink(vlookup(lower(R1464),'File Links'!F:G, 2, FALSE), "LINK")</f>
        <v>LINK</v>
      </c>
      <c r="X1464" s="60"/>
      <c r="Y1464" s="147" t="s">
        <v>139</v>
      </c>
      <c r="Z1464" s="412" t="s">
        <v>9320</v>
      </c>
      <c r="AA1464" s="412" t="s">
        <v>9321</v>
      </c>
      <c r="AB1464" s="147" t="s">
        <v>9340</v>
      </c>
      <c r="AC1464" s="147" t="s">
        <v>9341</v>
      </c>
      <c r="AD1464" s="144">
        <v>5.0</v>
      </c>
      <c r="AE1464" s="144">
        <v>92.0</v>
      </c>
      <c r="AF1464" s="144" t="s">
        <v>9342</v>
      </c>
      <c r="AG1464" s="144" t="s">
        <v>162</v>
      </c>
      <c r="AH1464" s="144" t="s">
        <v>892</v>
      </c>
      <c r="AI1464" s="646">
        <v>0.41</v>
      </c>
      <c r="AJ1464" s="52" t="s">
        <v>164</v>
      </c>
      <c r="AK1464" s="52" t="s">
        <v>128</v>
      </c>
      <c r="AL1464" s="60" t="s">
        <v>129</v>
      </c>
      <c r="AM1464" s="55"/>
      <c r="AN1464" s="144">
        <v>82.0</v>
      </c>
      <c r="AO1464" s="144" t="s">
        <v>9343</v>
      </c>
      <c r="AP1464" s="144" t="s">
        <v>162</v>
      </c>
      <c r="AQ1464" s="144" t="s">
        <v>2232</v>
      </c>
      <c r="AR1464" s="144">
        <v>0.1847</v>
      </c>
      <c r="AS1464" s="147" t="s">
        <v>164</v>
      </c>
      <c r="AT1464" s="147" t="s">
        <v>128</v>
      </c>
      <c r="AU1464" s="60" t="s">
        <v>129</v>
      </c>
      <c r="AV1464" s="60"/>
      <c r="AW1464" s="60" t="s">
        <v>134</v>
      </c>
      <c r="AY1464" s="60" t="s">
        <v>144</v>
      </c>
    </row>
    <row r="1465">
      <c r="A1465" s="60" t="s">
        <v>106</v>
      </c>
      <c r="B1465" s="41" t="s">
        <v>107</v>
      </c>
      <c r="C1465" s="41" t="s">
        <v>243</v>
      </c>
      <c r="E1465" s="147" t="s">
        <v>9344</v>
      </c>
      <c r="F1465" s="52" t="s">
        <v>9345</v>
      </c>
      <c r="G1465" s="147" t="s">
        <v>244</v>
      </c>
      <c r="H1465" s="140">
        <v>45669.0</v>
      </c>
      <c r="I1465" s="140">
        <v>45692.0</v>
      </c>
      <c r="J1465" s="60"/>
      <c r="K1465" s="147" t="s">
        <v>9261</v>
      </c>
      <c r="L1465" s="147" t="s">
        <v>9346</v>
      </c>
      <c r="M1465" s="147" t="s">
        <v>9347</v>
      </c>
      <c r="N1465" s="60"/>
      <c r="O1465" s="145" t="str">
        <f> SUBSTITUTE(lower(M1465), "/", "--") &amp;  ".pdf"</f>
        <v>10.1111--j.1467-9280.2008.02157.x.pdf</v>
      </c>
      <c r="P1465" s="48" t="str">
        <f t="array" ref="P1465">HYPERLINK(INDEX('File Links'!B:B, MATCH(O1465, 'File Links'!C:C, 0)))
</f>
        <v>https://drive.google.com/file/d/1VNZVfi392roXkffFia5wqQeCQjwEpyCc/view?usp=drivesdk</v>
      </c>
      <c r="Q1465" s="147" t="s">
        <v>9348</v>
      </c>
      <c r="R1465" s="147" t="s">
        <v>9349</v>
      </c>
      <c r="S1465" s="60"/>
      <c r="T1465" s="60"/>
      <c r="U1465" s="145" t="s">
        <v>6105</v>
      </c>
      <c r="V1465" s="147" t="s">
        <v>6349</v>
      </c>
      <c r="W1465" s="1455" t="str">
        <f> hyperlink(vlookup(lower(R1465),'File Links'!E:F, 2, FALSE), "LINK")</f>
        <v>LINK</v>
      </c>
      <c r="X1465" s="60"/>
      <c r="Y1465" s="147" t="s">
        <v>139</v>
      </c>
      <c r="Z1465" s="60"/>
      <c r="AA1465" s="147" t="s">
        <v>9350</v>
      </c>
      <c r="AB1465" s="60"/>
      <c r="AC1465" s="147" t="s">
        <v>9351</v>
      </c>
      <c r="AD1465" s="1265">
        <v>785.0</v>
      </c>
      <c r="AE1465" s="144">
        <v>48.0</v>
      </c>
      <c r="AF1465" s="1265">
        <v>11.5</v>
      </c>
      <c r="AG1465" s="1268" t="s">
        <v>1051</v>
      </c>
      <c r="AH1465" s="1268" t="s">
        <v>9352</v>
      </c>
      <c r="AI1465" s="646">
        <v>0.001</v>
      </c>
      <c r="AJ1465" s="1465" t="s">
        <v>127</v>
      </c>
      <c r="AK1465" s="52" t="s">
        <v>179</v>
      </c>
      <c r="AL1465" s="147" t="s">
        <v>132</v>
      </c>
      <c r="AM1465" s="52" t="s">
        <v>129</v>
      </c>
      <c r="AN1465" s="144">
        <v>23.0</v>
      </c>
      <c r="AO1465" s="144">
        <v>0.637931439685434</v>
      </c>
      <c r="AP1465" s="147" t="s">
        <v>166</v>
      </c>
      <c r="AQ1465" s="60"/>
      <c r="AR1465" s="1351">
        <v>0.141014403121108</v>
      </c>
      <c r="AS1465" s="147" t="s">
        <v>164</v>
      </c>
      <c r="AT1465" s="147" t="s">
        <v>179</v>
      </c>
      <c r="AU1465" s="147" t="s">
        <v>132</v>
      </c>
      <c r="AV1465" s="60"/>
      <c r="AW1465" s="147" t="s">
        <v>142</v>
      </c>
      <c r="AY1465" s="60" t="s">
        <v>144</v>
      </c>
    </row>
    <row r="1466">
      <c r="A1466" s="115" t="s">
        <v>5350</v>
      </c>
      <c r="B1466" s="41" t="s">
        <v>107</v>
      </c>
      <c r="C1466" s="41" t="s">
        <v>144</v>
      </c>
      <c r="E1466" s="60" t="s">
        <v>9345</v>
      </c>
      <c r="F1466" s="52" t="s">
        <v>9353</v>
      </c>
      <c r="G1466" s="147" t="s">
        <v>144</v>
      </c>
      <c r="H1466" s="140">
        <v>45687.0</v>
      </c>
      <c r="I1466" s="140">
        <v>45692.0</v>
      </c>
      <c r="J1466" s="412" t="s">
        <v>9354</v>
      </c>
      <c r="K1466" s="60"/>
      <c r="L1466" s="147" t="s">
        <v>9346</v>
      </c>
      <c r="M1466" s="147" t="s">
        <v>9347</v>
      </c>
      <c r="N1466" s="144">
        <v>1.0</v>
      </c>
      <c r="O1466" s="145" t="s">
        <v>9355</v>
      </c>
      <c r="P1466" s="48" t="str">
        <f t="array" ref="P1466">HYPERLINK(INDEX('File Links'!B:B, MATCH(O1466, 'File Links'!C:C, 0)))
</f>
        <v>https://drive.google.com/file/d/1VNZVfi392roXkffFia5wqQeCQjwEpyCc/view?usp=drivesdk</v>
      </c>
      <c r="Q1466" s="147" t="s">
        <v>6103</v>
      </c>
      <c r="R1466" s="147" t="s">
        <v>6104</v>
      </c>
      <c r="S1466" s="60"/>
      <c r="T1466" s="144">
        <v>1.0</v>
      </c>
      <c r="U1466" s="145" t="s">
        <v>6105</v>
      </c>
      <c r="V1466" s="147" t="s">
        <v>9072</v>
      </c>
      <c r="W1466" s="1455" t="str">
        <f> hyperlink(vlookup(lower(R1466),'File Links'!F:G, 2, FALSE), "LINK")</f>
        <v>LINK</v>
      </c>
      <c r="X1466" s="60"/>
      <c r="Y1466" s="147" t="s">
        <v>139</v>
      </c>
      <c r="Z1466" s="147" t="s">
        <v>9356</v>
      </c>
      <c r="AA1466" s="412" t="s">
        <v>9357</v>
      </c>
      <c r="AB1466" s="147" t="s">
        <v>9358</v>
      </c>
      <c r="AC1466" s="147" t="s">
        <v>9359</v>
      </c>
      <c r="AD1466" s="327">
        <v>5.0</v>
      </c>
      <c r="AE1466" s="144">
        <v>48.0</v>
      </c>
      <c r="AF1466" s="327">
        <v>0.14</v>
      </c>
      <c r="AG1466" s="144" t="s">
        <v>1785</v>
      </c>
      <c r="AH1466" s="327" t="s">
        <v>892</v>
      </c>
      <c r="AI1466" s="328">
        <v>0.008</v>
      </c>
      <c r="AJ1466" s="52" t="s">
        <v>164</v>
      </c>
      <c r="AK1466" s="52" t="s">
        <v>179</v>
      </c>
      <c r="AL1466" s="147" t="s">
        <v>132</v>
      </c>
      <c r="AM1466" s="55"/>
      <c r="AN1466" s="144">
        <v>23.0</v>
      </c>
      <c r="AO1466" s="1466">
        <v>0.002712308</v>
      </c>
      <c r="AP1466" s="144" t="s">
        <v>1785</v>
      </c>
      <c r="AQ1466" s="327" t="s">
        <v>125</v>
      </c>
      <c r="AR1466" s="144">
        <v>0.640291853</v>
      </c>
      <c r="AS1466" s="147" t="s">
        <v>164</v>
      </c>
      <c r="AT1466" s="147" t="s">
        <v>179</v>
      </c>
      <c r="AU1466" s="147" t="s">
        <v>132</v>
      </c>
      <c r="AV1466" s="531" t="s">
        <v>9360</v>
      </c>
      <c r="AW1466" s="60" t="s">
        <v>142</v>
      </c>
      <c r="AY1466" s="60" t="s">
        <v>144</v>
      </c>
    </row>
    <row r="1467">
      <c r="A1467" s="115" t="s">
        <v>5350</v>
      </c>
      <c r="B1467" s="41" t="s">
        <v>107</v>
      </c>
      <c r="C1467" s="41" t="s">
        <v>144</v>
      </c>
      <c r="E1467" s="60" t="s">
        <v>9345</v>
      </c>
      <c r="F1467" s="52" t="s">
        <v>9361</v>
      </c>
      <c r="G1467" s="147" t="s">
        <v>144</v>
      </c>
      <c r="H1467" s="140">
        <v>45687.0</v>
      </c>
      <c r="I1467" s="140">
        <v>45692.0</v>
      </c>
      <c r="J1467" s="412" t="s">
        <v>9354</v>
      </c>
      <c r="K1467" s="60"/>
      <c r="L1467" s="147" t="s">
        <v>9346</v>
      </c>
      <c r="M1467" s="147" t="s">
        <v>9347</v>
      </c>
      <c r="N1467" s="144">
        <v>1.0</v>
      </c>
      <c r="O1467" s="145" t="s">
        <v>9355</v>
      </c>
      <c r="P1467" s="48" t="str">
        <f t="array" ref="P1467">HYPERLINK(INDEX('File Links'!B:B, MATCH(O1467, 'File Links'!C:C, 0)))
</f>
        <v>https://drive.google.com/file/d/1VNZVfi392roXkffFia5wqQeCQjwEpyCc/view?usp=drivesdk</v>
      </c>
      <c r="Q1467" s="147" t="s">
        <v>6103</v>
      </c>
      <c r="R1467" s="147" t="s">
        <v>6104</v>
      </c>
      <c r="S1467" s="60"/>
      <c r="T1467" s="144">
        <v>1.0</v>
      </c>
      <c r="U1467" s="145" t="s">
        <v>6105</v>
      </c>
      <c r="V1467" s="147" t="s">
        <v>9072</v>
      </c>
      <c r="W1467" s="1455" t="str">
        <f> hyperlink(vlookup(lower(R1467),'File Links'!F:G, 2, FALSE), "LINK")</f>
        <v>LINK</v>
      </c>
      <c r="X1467" s="60"/>
      <c r="Y1467" s="147" t="s">
        <v>139</v>
      </c>
      <c r="Z1467" s="147" t="s">
        <v>9356</v>
      </c>
      <c r="AA1467" s="412" t="s">
        <v>9357</v>
      </c>
      <c r="AB1467" s="147" t="s">
        <v>9362</v>
      </c>
      <c r="AC1467" s="147" t="s">
        <v>9363</v>
      </c>
      <c r="AD1467" s="327">
        <v>5.0</v>
      </c>
      <c r="AE1467" s="144">
        <v>48.0</v>
      </c>
      <c r="AF1467" s="327">
        <v>0.2</v>
      </c>
      <c r="AG1467" s="144" t="s">
        <v>1785</v>
      </c>
      <c r="AH1467" s="327" t="s">
        <v>892</v>
      </c>
      <c r="AI1467" s="328">
        <v>0.001</v>
      </c>
      <c r="AJ1467" s="52" t="s">
        <v>164</v>
      </c>
      <c r="AK1467" s="52" t="s">
        <v>179</v>
      </c>
      <c r="AL1467" s="147" t="s">
        <v>132</v>
      </c>
      <c r="AM1467" s="55"/>
      <c r="AN1467" s="144">
        <v>23.0</v>
      </c>
      <c r="AO1467" s="1466">
        <v>0.008920207</v>
      </c>
      <c r="AP1467" s="144" t="s">
        <v>1785</v>
      </c>
      <c r="AQ1467" s="327" t="s">
        <v>125</v>
      </c>
      <c r="AR1467" s="144">
        <v>0.144231002</v>
      </c>
      <c r="AS1467" s="147" t="s">
        <v>164</v>
      </c>
      <c r="AT1467" s="147" t="s">
        <v>179</v>
      </c>
      <c r="AU1467" s="147" t="s">
        <v>132</v>
      </c>
      <c r="AV1467" s="410" t="s">
        <v>9360</v>
      </c>
      <c r="AW1467" s="60" t="s">
        <v>142</v>
      </c>
      <c r="AY1467" s="60" t="s">
        <v>144</v>
      </c>
    </row>
    <row r="1468">
      <c r="A1468" s="115" t="s">
        <v>5350</v>
      </c>
      <c r="B1468" s="41" t="s">
        <v>107</v>
      </c>
      <c r="C1468" s="41" t="s">
        <v>144</v>
      </c>
      <c r="E1468" s="60" t="s">
        <v>9345</v>
      </c>
      <c r="F1468" s="52" t="s">
        <v>9364</v>
      </c>
      <c r="G1468" s="147" t="s">
        <v>144</v>
      </c>
      <c r="H1468" s="140">
        <v>45687.0</v>
      </c>
      <c r="I1468" s="140">
        <v>45692.0</v>
      </c>
      <c r="J1468" s="412" t="s">
        <v>9354</v>
      </c>
      <c r="K1468" s="60"/>
      <c r="L1468" s="147" t="s">
        <v>9346</v>
      </c>
      <c r="M1468" s="147" t="s">
        <v>9347</v>
      </c>
      <c r="N1468" s="144">
        <v>1.0</v>
      </c>
      <c r="O1468" s="145" t="s">
        <v>9355</v>
      </c>
      <c r="P1468" s="48" t="str">
        <f t="array" ref="P1468">HYPERLINK(INDEX('File Links'!B:B, MATCH(O1468, 'File Links'!C:C, 0)))
</f>
        <v>https://drive.google.com/file/d/1VNZVfi392roXkffFia5wqQeCQjwEpyCc/view?usp=drivesdk</v>
      </c>
      <c r="Q1468" s="147" t="s">
        <v>6103</v>
      </c>
      <c r="R1468" s="147" t="s">
        <v>6104</v>
      </c>
      <c r="S1468" s="60"/>
      <c r="T1468" s="144">
        <v>1.0</v>
      </c>
      <c r="U1468" s="145" t="s">
        <v>6105</v>
      </c>
      <c r="V1468" s="147" t="s">
        <v>9072</v>
      </c>
      <c r="W1468" s="1455" t="str">
        <f> hyperlink(vlookup(lower(R1468),'File Links'!F:G, 2, FALSE), "LINK")</f>
        <v>LINK</v>
      </c>
      <c r="X1468" s="60"/>
      <c r="Y1468" s="147" t="s">
        <v>139</v>
      </c>
      <c r="Z1468" s="147" t="s">
        <v>9356</v>
      </c>
      <c r="AA1468" s="412" t="s">
        <v>9357</v>
      </c>
      <c r="AB1468" s="147" t="s">
        <v>9365</v>
      </c>
      <c r="AC1468" s="147" t="s">
        <v>9366</v>
      </c>
      <c r="AD1468" s="327">
        <v>5.0</v>
      </c>
      <c r="AE1468" s="144">
        <v>48.0</v>
      </c>
      <c r="AF1468" s="327">
        <v>0.1</v>
      </c>
      <c r="AG1468" s="144" t="s">
        <v>1785</v>
      </c>
      <c r="AH1468" s="327" t="s">
        <v>892</v>
      </c>
      <c r="AI1468" s="328">
        <v>0.03</v>
      </c>
      <c r="AJ1468" s="52" t="s">
        <v>164</v>
      </c>
      <c r="AK1468" s="52" t="s">
        <v>179</v>
      </c>
      <c r="AL1468" s="147" t="s">
        <v>132</v>
      </c>
      <c r="AM1468" s="55"/>
      <c r="AN1468" s="144">
        <v>23.0</v>
      </c>
      <c r="AO1468" s="1466">
        <v>0.004606713</v>
      </c>
      <c r="AP1468" s="144" t="s">
        <v>1785</v>
      </c>
      <c r="AQ1468" s="327" t="s">
        <v>125</v>
      </c>
      <c r="AR1468" s="144">
        <v>0.371</v>
      </c>
      <c r="AS1468" s="147" t="s">
        <v>164</v>
      </c>
      <c r="AT1468" s="147" t="s">
        <v>179</v>
      </c>
      <c r="AU1468" s="147" t="s">
        <v>132</v>
      </c>
      <c r="AV1468" s="410" t="s">
        <v>9360</v>
      </c>
      <c r="AW1468" s="60" t="s">
        <v>142</v>
      </c>
      <c r="AY1468" s="60" t="s">
        <v>144</v>
      </c>
    </row>
    <row r="1469">
      <c r="A1469" s="115" t="s">
        <v>5350</v>
      </c>
      <c r="B1469" s="41" t="s">
        <v>107</v>
      </c>
      <c r="C1469" s="41" t="s">
        <v>144</v>
      </c>
      <c r="E1469" s="60" t="s">
        <v>9345</v>
      </c>
      <c r="F1469" s="52" t="s">
        <v>9367</v>
      </c>
      <c r="G1469" s="147" t="s">
        <v>144</v>
      </c>
      <c r="H1469" s="140">
        <v>45687.0</v>
      </c>
      <c r="I1469" s="140">
        <v>45692.0</v>
      </c>
      <c r="J1469" s="412" t="s">
        <v>9354</v>
      </c>
      <c r="K1469" s="60"/>
      <c r="L1469" s="147" t="s">
        <v>9346</v>
      </c>
      <c r="M1469" s="147" t="s">
        <v>9347</v>
      </c>
      <c r="N1469" s="144">
        <v>1.0</v>
      </c>
      <c r="O1469" s="145" t="s">
        <v>9355</v>
      </c>
      <c r="P1469" s="48" t="str">
        <f t="array" ref="P1469">HYPERLINK(INDEX('File Links'!B:B, MATCH(O1469, 'File Links'!C:C, 0)))
</f>
        <v>https://drive.google.com/file/d/1VNZVfi392roXkffFia5wqQeCQjwEpyCc/view?usp=drivesdk</v>
      </c>
      <c r="Q1469" s="147" t="s">
        <v>6103</v>
      </c>
      <c r="R1469" s="147" t="s">
        <v>6104</v>
      </c>
      <c r="S1469" s="60"/>
      <c r="T1469" s="144">
        <v>1.0</v>
      </c>
      <c r="U1469" s="145" t="s">
        <v>6105</v>
      </c>
      <c r="V1469" s="147" t="s">
        <v>9072</v>
      </c>
      <c r="W1469" s="1455" t="str">
        <f> hyperlink(vlookup(lower(R1469),'File Links'!F:G, 2, FALSE), "LINK")</f>
        <v>LINK</v>
      </c>
      <c r="X1469" s="60"/>
      <c r="Y1469" s="147" t="s">
        <v>139</v>
      </c>
      <c r="Z1469" s="147" t="s">
        <v>9356</v>
      </c>
      <c r="AA1469" s="412" t="s">
        <v>9357</v>
      </c>
      <c r="AB1469" s="147" t="s">
        <v>9368</v>
      </c>
      <c r="AC1469" s="147" t="s">
        <v>9369</v>
      </c>
      <c r="AD1469" s="327">
        <v>5.0</v>
      </c>
      <c r="AE1469" s="144">
        <v>48.0</v>
      </c>
      <c r="AF1469" s="327">
        <v>0.2</v>
      </c>
      <c r="AG1469" s="144" t="s">
        <v>1785</v>
      </c>
      <c r="AH1469" s="327" t="s">
        <v>892</v>
      </c>
      <c r="AI1469" s="328">
        <v>0.001</v>
      </c>
      <c r="AJ1469" s="52" t="s">
        <v>164</v>
      </c>
      <c r="AK1469" s="52" t="s">
        <v>179</v>
      </c>
      <c r="AL1469" s="147" t="s">
        <v>132</v>
      </c>
      <c r="AM1469" s="55"/>
      <c r="AN1469" s="144">
        <v>23.0</v>
      </c>
      <c r="AO1469" s="327">
        <v>0.025</v>
      </c>
      <c r="AP1469" s="144" t="s">
        <v>1785</v>
      </c>
      <c r="AQ1469" s="327" t="s">
        <v>125</v>
      </c>
      <c r="AR1469" s="144">
        <v>0.141</v>
      </c>
      <c r="AS1469" s="147" t="s">
        <v>164</v>
      </c>
      <c r="AT1469" s="147" t="s">
        <v>179</v>
      </c>
      <c r="AU1469" s="147" t="s">
        <v>132</v>
      </c>
      <c r="AV1469" s="410" t="s">
        <v>9360</v>
      </c>
      <c r="AW1469" s="60" t="s">
        <v>142</v>
      </c>
      <c r="AY1469" s="60" t="s">
        <v>144</v>
      </c>
    </row>
    <row r="1470">
      <c r="A1470" s="115" t="s">
        <v>5350</v>
      </c>
      <c r="B1470" s="41" t="s">
        <v>107</v>
      </c>
      <c r="C1470" s="41" t="s">
        <v>144</v>
      </c>
      <c r="E1470" s="60" t="s">
        <v>9345</v>
      </c>
      <c r="F1470" s="52" t="s">
        <v>9370</v>
      </c>
      <c r="G1470" s="147" t="s">
        <v>144</v>
      </c>
      <c r="H1470" s="140">
        <v>45687.0</v>
      </c>
      <c r="I1470" s="140">
        <v>45692.0</v>
      </c>
      <c r="J1470" s="412" t="s">
        <v>9354</v>
      </c>
      <c r="K1470" s="60"/>
      <c r="L1470" s="147" t="s">
        <v>9346</v>
      </c>
      <c r="M1470" s="147" t="s">
        <v>9347</v>
      </c>
      <c r="N1470" s="144">
        <v>1.0</v>
      </c>
      <c r="O1470" s="145" t="s">
        <v>9355</v>
      </c>
      <c r="P1470" s="48" t="str">
        <f t="array" ref="P1470">HYPERLINK(INDEX('File Links'!B:B, MATCH(O1470, 'File Links'!C:C, 0)))
</f>
        <v>https://drive.google.com/file/d/1VNZVfi392roXkffFia5wqQeCQjwEpyCc/view?usp=drivesdk</v>
      </c>
      <c r="Q1470" s="147" t="s">
        <v>6103</v>
      </c>
      <c r="R1470" s="147" t="s">
        <v>6104</v>
      </c>
      <c r="S1470" s="60"/>
      <c r="T1470" s="144">
        <v>1.0</v>
      </c>
      <c r="U1470" s="145" t="s">
        <v>6105</v>
      </c>
      <c r="V1470" s="147" t="s">
        <v>9072</v>
      </c>
      <c r="W1470" s="1455" t="str">
        <f> hyperlink(vlookup(lower(R1470),'File Links'!F:G, 2, FALSE), "LINK")</f>
        <v>LINK</v>
      </c>
      <c r="X1470" s="60"/>
      <c r="Y1470" s="147" t="s">
        <v>139</v>
      </c>
      <c r="Z1470" s="147" t="s">
        <v>9356</v>
      </c>
      <c r="AA1470" s="412" t="s">
        <v>9357</v>
      </c>
      <c r="AB1470" s="147" t="s">
        <v>9371</v>
      </c>
      <c r="AC1470" s="147" t="s">
        <v>9372</v>
      </c>
      <c r="AD1470" s="327">
        <v>5.0</v>
      </c>
      <c r="AE1470" s="144">
        <v>48.0</v>
      </c>
      <c r="AF1470" s="60"/>
      <c r="AG1470" s="60"/>
      <c r="AH1470" s="327" t="s">
        <v>892</v>
      </c>
      <c r="AI1470" s="328">
        <v>0.1</v>
      </c>
      <c r="AJ1470" s="52" t="s">
        <v>329</v>
      </c>
      <c r="AK1470" s="52" t="s">
        <v>179</v>
      </c>
      <c r="AL1470" s="147" t="s">
        <v>132</v>
      </c>
      <c r="AM1470" s="55"/>
      <c r="AN1470" s="144">
        <v>23.0</v>
      </c>
      <c r="AO1470" s="1467">
        <v>0.001</v>
      </c>
      <c r="AP1470" s="144" t="s">
        <v>1785</v>
      </c>
      <c r="AQ1470" s="327" t="s">
        <v>610</v>
      </c>
      <c r="AR1470" s="144">
        <v>0.761</v>
      </c>
      <c r="AS1470" s="147" t="s">
        <v>164</v>
      </c>
      <c r="AT1470" s="147" t="s">
        <v>179</v>
      </c>
      <c r="AU1470" s="147" t="s">
        <v>132</v>
      </c>
      <c r="AV1470" s="410" t="s">
        <v>9360</v>
      </c>
      <c r="AW1470" s="60" t="s">
        <v>142</v>
      </c>
      <c r="AY1470" s="60" t="s">
        <v>144</v>
      </c>
    </row>
    <row r="1471">
      <c r="A1471" s="115" t="s">
        <v>143</v>
      </c>
      <c r="B1471" s="41" t="s">
        <v>107</v>
      </c>
      <c r="C1471" s="41" t="s">
        <v>243</v>
      </c>
      <c r="E1471" s="147" t="s">
        <v>9373</v>
      </c>
      <c r="F1471" s="52" t="s">
        <v>9374</v>
      </c>
      <c r="G1471" s="147" t="s">
        <v>244</v>
      </c>
      <c r="H1471" s="140">
        <v>45669.0</v>
      </c>
      <c r="I1471" s="140">
        <v>45692.0</v>
      </c>
      <c r="J1471" s="412" t="s">
        <v>9375</v>
      </c>
      <c r="K1471" s="139" t="s">
        <v>9376</v>
      </c>
      <c r="L1471" s="147" t="s">
        <v>9377</v>
      </c>
      <c r="M1471" s="147" t="s">
        <v>9378</v>
      </c>
      <c r="N1471" s="115">
        <v>2.0</v>
      </c>
      <c r="O1471" s="145" t="str">
        <f t="shared" ref="O1471:O1474" si="76"> SUBSTITUTE(lower(M1471), "/", "--") &amp;  ".pdf"</f>
        <v>10.3758--s13428-021-01694-3.pdf</v>
      </c>
      <c r="P1471" s="48" t="str">
        <f t="array" ref="P1471">HYPERLINK(INDEX('File Links'!B:B, MATCH(O1471, 'File Links'!C:C, 0)))
</f>
        <v>https://drive.google.com/file/d/1pWRSPkrpkB4P8JrAypP4cdltGfovv0wT/view?usp=drivesdk</v>
      </c>
      <c r="Q1471" s="147" t="s">
        <v>9379</v>
      </c>
      <c r="R1471" s="147" t="s">
        <v>9380</v>
      </c>
      <c r="S1471" s="638" t="s">
        <v>9381</v>
      </c>
      <c r="T1471" s="60"/>
      <c r="U1471" s="145" t="s">
        <v>6105</v>
      </c>
      <c r="V1471" s="1460" t="s">
        <v>7707</v>
      </c>
      <c r="W1471" s="1464" t="s">
        <v>9381</v>
      </c>
      <c r="X1471" s="60"/>
      <c r="Y1471" s="147" t="s">
        <v>139</v>
      </c>
      <c r="Z1471" s="1468" t="s">
        <v>9382</v>
      </c>
      <c r="AA1471" s="1460" t="s">
        <v>9383</v>
      </c>
      <c r="AB1471" s="60"/>
      <c r="AC1471" s="1468" t="s">
        <v>9384</v>
      </c>
      <c r="AD1471" s="1352" t="s">
        <v>9385</v>
      </c>
      <c r="AE1471" s="149">
        <v>972.0</v>
      </c>
      <c r="AF1471" s="149">
        <v>0.869</v>
      </c>
      <c r="AG1471" s="147" t="s">
        <v>166</v>
      </c>
      <c r="AH1471" s="1468" t="s">
        <v>9386</v>
      </c>
      <c r="AI1471" s="149" t="s">
        <v>165</v>
      </c>
      <c r="AJ1471" s="139" t="s">
        <v>165</v>
      </c>
      <c r="AK1471" s="52" t="s">
        <v>179</v>
      </c>
      <c r="AL1471" s="147" t="s">
        <v>129</v>
      </c>
      <c r="AM1471" s="1469" t="s">
        <v>9387</v>
      </c>
      <c r="AN1471" s="149">
        <v>108.0</v>
      </c>
      <c r="AO1471" s="149">
        <v>0.751</v>
      </c>
      <c r="AP1471" s="147" t="s">
        <v>166</v>
      </c>
      <c r="AQ1471" s="115" t="s">
        <v>9388</v>
      </c>
      <c r="AR1471" s="1350" t="s">
        <v>165</v>
      </c>
      <c r="AS1471" s="139" t="s">
        <v>165</v>
      </c>
      <c r="AT1471" s="147" t="s">
        <v>179</v>
      </c>
      <c r="AU1471" s="147" t="s">
        <v>129</v>
      </c>
      <c r="AV1471" s="1461" t="s">
        <v>9389</v>
      </c>
      <c r="AW1471" s="147" t="s">
        <v>134</v>
      </c>
      <c r="AY1471" s="115" t="s">
        <v>9053</v>
      </c>
    </row>
    <row r="1472">
      <c r="A1472" s="115" t="s">
        <v>143</v>
      </c>
      <c r="B1472" s="41" t="s">
        <v>107</v>
      </c>
      <c r="C1472" s="41" t="s">
        <v>243</v>
      </c>
      <c r="E1472" s="147" t="s">
        <v>9373</v>
      </c>
      <c r="F1472" s="52" t="s">
        <v>9374</v>
      </c>
      <c r="G1472" s="147" t="s">
        <v>244</v>
      </c>
      <c r="H1472" s="140">
        <v>45669.0</v>
      </c>
      <c r="I1472" s="140">
        <v>45692.0</v>
      </c>
      <c r="J1472" s="412" t="s">
        <v>9375</v>
      </c>
      <c r="K1472" s="139" t="s">
        <v>9376</v>
      </c>
      <c r="L1472" s="147" t="s">
        <v>9377</v>
      </c>
      <c r="M1472" s="147" t="s">
        <v>9378</v>
      </c>
      <c r="N1472" s="115">
        <v>2.0</v>
      </c>
      <c r="O1472" s="145" t="str">
        <f t="shared" si="76"/>
        <v>10.3758--s13428-021-01694-3.pdf</v>
      </c>
      <c r="P1472" s="48" t="str">
        <f t="array" ref="P1472">HYPERLINK(INDEX('File Links'!B:B, MATCH(O1472, 'File Links'!C:C, 0)))
</f>
        <v>https://drive.google.com/file/d/1pWRSPkrpkB4P8JrAypP4cdltGfovv0wT/view?usp=drivesdk</v>
      </c>
      <c r="Q1472" s="147" t="s">
        <v>9379</v>
      </c>
      <c r="R1472" s="147" t="s">
        <v>9380</v>
      </c>
      <c r="S1472" s="638" t="s">
        <v>9381</v>
      </c>
      <c r="T1472" s="60"/>
      <c r="U1472" s="145" t="s">
        <v>6105</v>
      </c>
      <c r="V1472" s="1460" t="s">
        <v>7707</v>
      </c>
      <c r="W1472" s="1464" t="s">
        <v>9381</v>
      </c>
      <c r="X1472" s="60"/>
      <c r="Y1472" s="147" t="s">
        <v>139</v>
      </c>
      <c r="Z1472" s="1468" t="s">
        <v>9390</v>
      </c>
      <c r="AA1472" s="1460" t="s">
        <v>9383</v>
      </c>
      <c r="AB1472" s="60"/>
      <c r="AC1472" s="1468" t="s">
        <v>9391</v>
      </c>
      <c r="AD1472" s="1352" t="s">
        <v>9385</v>
      </c>
      <c r="AE1472" s="149">
        <v>661.0</v>
      </c>
      <c r="AF1472" s="149">
        <v>0.792</v>
      </c>
      <c r="AG1472" s="147" t="s">
        <v>166</v>
      </c>
      <c r="AH1472" s="1468" t="s">
        <v>9392</v>
      </c>
      <c r="AI1472" s="149" t="s">
        <v>165</v>
      </c>
      <c r="AJ1472" s="139" t="s">
        <v>165</v>
      </c>
      <c r="AK1472" s="52" t="s">
        <v>179</v>
      </c>
      <c r="AL1472" s="147" t="s">
        <v>129</v>
      </c>
      <c r="AM1472" s="1469" t="s">
        <v>9387</v>
      </c>
      <c r="AN1472" s="149">
        <v>108.0</v>
      </c>
      <c r="AO1472" s="1470">
        <v>-0.4249782071450829</v>
      </c>
      <c r="AP1472" s="147" t="s">
        <v>166</v>
      </c>
      <c r="AQ1472" s="115" t="s">
        <v>9393</v>
      </c>
      <c r="AR1472" s="1350" t="s">
        <v>165</v>
      </c>
      <c r="AS1472" s="139" t="s">
        <v>165</v>
      </c>
      <c r="AT1472" s="147" t="s">
        <v>179</v>
      </c>
      <c r="AU1472" s="147" t="s">
        <v>129</v>
      </c>
      <c r="AV1472" s="1461" t="s">
        <v>9389</v>
      </c>
      <c r="AW1472" s="147" t="s">
        <v>134</v>
      </c>
      <c r="AY1472" s="115" t="s">
        <v>9053</v>
      </c>
    </row>
    <row r="1473">
      <c r="A1473" s="60" t="s">
        <v>106</v>
      </c>
      <c r="B1473" s="41" t="s">
        <v>107</v>
      </c>
      <c r="C1473" s="41" t="s">
        <v>144</v>
      </c>
      <c r="E1473" s="60" t="s">
        <v>9374</v>
      </c>
      <c r="F1473" s="52" t="s">
        <v>9373</v>
      </c>
      <c r="G1473" s="147" t="s">
        <v>144</v>
      </c>
      <c r="H1473" s="140">
        <v>45687.0</v>
      </c>
      <c r="I1473" s="140">
        <v>45692.0</v>
      </c>
      <c r="J1473" s="454" t="s">
        <v>9394</v>
      </c>
      <c r="K1473" s="60"/>
      <c r="L1473" s="147" t="s">
        <v>9377</v>
      </c>
      <c r="M1473" s="147" t="s">
        <v>9378</v>
      </c>
      <c r="N1473" s="144">
        <v>2.0</v>
      </c>
      <c r="O1473" s="145" t="str">
        <f t="shared" si="76"/>
        <v>10.3758--s13428-021-01694-3.pdf</v>
      </c>
      <c r="P1473" s="48" t="str">
        <f t="array" ref="P1473">HYPERLINK(INDEX('File Links'!B:B, MATCH(O1473, 'File Links'!C:C, 0)))
</f>
        <v>https://drive.google.com/file/d/1pWRSPkrpkB4P8JrAypP4cdltGfovv0wT/view?usp=drivesdk</v>
      </c>
      <c r="Q1473" s="147" t="s">
        <v>6103</v>
      </c>
      <c r="R1473" s="147" t="s">
        <v>6104</v>
      </c>
      <c r="S1473" s="60"/>
      <c r="T1473" s="144">
        <v>1.0</v>
      </c>
      <c r="U1473" s="145" t="s">
        <v>6105</v>
      </c>
      <c r="V1473" s="147" t="s">
        <v>7707</v>
      </c>
      <c r="W1473" s="1455" t="str">
        <f> hyperlink(vlookup(lower(R1473),'File Links'!F:G, 2, FALSE), "LINK")</f>
        <v>LINK</v>
      </c>
      <c r="X1473" s="42"/>
      <c r="Y1473" s="147" t="s">
        <v>139</v>
      </c>
      <c r="Z1473" s="147" t="s">
        <v>9395</v>
      </c>
      <c r="AA1473" s="147" t="s">
        <v>9383</v>
      </c>
      <c r="AB1473" s="60"/>
      <c r="AC1473" s="147" t="s">
        <v>9396</v>
      </c>
      <c r="AD1473" s="144">
        <v>13.0</v>
      </c>
      <c r="AE1473" s="144">
        <v>500.0</v>
      </c>
      <c r="AF1473" s="144" t="s">
        <v>9397</v>
      </c>
      <c r="AG1473" s="144" t="s">
        <v>162</v>
      </c>
      <c r="AH1473" s="144" t="s">
        <v>432</v>
      </c>
      <c r="AI1473" s="646">
        <v>0.001</v>
      </c>
      <c r="AJ1473" s="52" t="s">
        <v>127</v>
      </c>
      <c r="AK1473" s="52" t="s">
        <v>179</v>
      </c>
      <c r="AL1473" s="147" t="s">
        <v>129</v>
      </c>
      <c r="AM1473" s="48" t="s">
        <v>9387</v>
      </c>
      <c r="AN1473" s="144">
        <v>235.0</v>
      </c>
      <c r="AO1473" s="144" t="s">
        <v>9398</v>
      </c>
      <c r="AP1473" s="144" t="s">
        <v>162</v>
      </c>
      <c r="AQ1473" s="144" t="s">
        <v>9399</v>
      </c>
      <c r="AR1473" s="144">
        <f>3.44*10^-6 </f>
        <v>0.00000344</v>
      </c>
      <c r="AS1473" s="147" t="s">
        <v>164</v>
      </c>
      <c r="AT1473" s="147" t="s">
        <v>179</v>
      </c>
      <c r="AU1473" s="147" t="s">
        <v>129</v>
      </c>
      <c r="AV1473" s="410" t="s">
        <v>9389</v>
      </c>
      <c r="AW1473" s="60" t="s">
        <v>134</v>
      </c>
      <c r="AY1473" s="60" t="s">
        <v>144</v>
      </c>
    </row>
    <row r="1474">
      <c r="A1474" s="60" t="s">
        <v>586</v>
      </c>
      <c r="B1474" s="41" t="s">
        <v>107</v>
      </c>
      <c r="C1474" s="41" t="s">
        <v>243</v>
      </c>
      <c r="E1474" s="147" t="s">
        <v>9400</v>
      </c>
      <c r="F1474" s="52" t="s">
        <v>9401</v>
      </c>
      <c r="G1474" s="147" t="s">
        <v>244</v>
      </c>
      <c r="H1474" s="140">
        <v>45669.0</v>
      </c>
      <c r="I1474" s="140">
        <v>45692.0</v>
      </c>
      <c r="J1474" s="412" t="s">
        <v>9402</v>
      </c>
      <c r="K1474" s="147" t="s">
        <v>9403</v>
      </c>
      <c r="L1474" s="147" t="s">
        <v>9404</v>
      </c>
      <c r="M1474" s="147" t="s">
        <v>9405</v>
      </c>
      <c r="N1474" s="60"/>
      <c r="O1474" s="145" t="str">
        <f t="shared" si="76"/>
        <v>10.1177--0956797617728270.pdf</v>
      </c>
      <c r="P1474" s="48" t="str">
        <f t="array" ref="P1474">HYPERLINK(INDEX('File Links'!B:B, MATCH(O1474, 'File Links'!C:C, 0)))
</f>
        <v>https://drive.google.com/file/d/1Oz7Zj6fZnvvCizj-IHEQF-K0o27fi6QN/view?usp=drivesdk</v>
      </c>
      <c r="Q1474" s="147" t="s">
        <v>9406</v>
      </c>
      <c r="R1474" s="147" t="s">
        <v>9407</v>
      </c>
      <c r="S1474" s="60"/>
      <c r="T1474" s="60"/>
      <c r="U1474" s="145" t="s">
        <v>6105</v>
      </c>
      <c r="V1474" s="147" t="s">
        <v>6291</v>
      </c>
      <c r="W1474" s="1455" t="str">
        <f> hyperlink(vlookup(lower(R1474),'File Links'!E:F, 2, FALSE), "LINK")</f>
        <v>LINK</v>
      </c>
      <c r="X1474" s="60"/>
      <c r="Y1474" s="147" t="s">
        <v>220</v>
      </c>
      <c r="Z1474" s="60"/>
      <c r="AA1474" s="60"/>
      <c r="AB1474" s="60"/>
      <c r="AC1474" s="147" t="s">
        <v>9408</v>
      </c>
      <c r="AD1474" s="144">
        <v>5.0</v>
      </c>
      <c r="AE1474" s="144">
        <v>600.0</v>
      </c>
      <c r="AF1474" s="144">
        <v>0.34</v>
      </c>
      <c r="AG1474" s="147" t="s">
        <v>6861</v>
      </c>
      <c r="AH1474" s="147" t="s">
        <v>894</v>
      </c>
      <c r="AI1474" s="646">
        <v>0.007</v>
      </c>
      <c r="AJ1474" s="52" t="s">
        <v>164</v>
      </c>
      <c r="AK1474" s="52" t="s">
        <v>179</v>
      </c>
      <c r="AL1474" s="147" t="s">
        <v>132</v>
      </c>
      <c r="AM1474" s="52" t="s">
        <v>129</v>
      </c>
      <c r="AN1474" s="144">
        <v>224.0</v>
      </c>
      <c r="AO1474" s="147" t="s">
        <v>165</v>
      </c>
      <c r="AP1474" s="60"/>
      <c r="AQ1474" s="60"/>
      <c r="AR1474" s="147" t="s">
        <v>165</v>
      </c>
      <c r="AS1474" s="60"/>
      <c r="AT1474" s="147" t="s">
        <v>179</v>
      </c>
      <c r="AU1474" s="147" t="s">
        <v>132</v>
      </c>
      <c r="AV1474" s="60"/>
      <c r="AW1474" s="147" t="s">
        <v>134</v>
      </c>
      <c r="AY1474" s="60" t="s">
        <v>144</v>
      </c>
    </row>
    <row r="1475">
      <c r="A1475" s="60" t="s">
        <v>586</v>
      </c>
      <c r="B1475" s="41" t="s">
        <v>107</v>
      </c>
      <c r="C1475" s="41" t="s">
        <v>144</v>
      </c>
      <c r="E1475" s="60" t="s">
        <v>9401</v>
      </c>
      <c r="F1475" s="52" t="s">
        <v>9409</v>
      </c>
      <c r="G1475" s="147" t="s">
        <v>144</v>
      </c>
      <c r="H1475" s="140">
        <v>45687.0</v>
      </c>
      <c r="I1475" s="140">
        <v>45692.0</v>
      </c>
      <c r="J1475" s="454" t="s">
        <v>9410</v>
      </c>
      <c r="K1475" s="147" t="s">
        <v>9403</v>
      </c>
      <c r="L1475" s="147" t="s">
        <v>9404</v>
      </c>
      <c r="M1475" s="147" t="s">
        <v>9405</v>
      </c>
      <c r="N1475" s="144">
        <v>1.0</v>
      </c>
      <c r="O1475" s="145" t="s">
        <v>9411</v>
      </c>
      <c r="P1475" s="48" t="str">
        <f t="array" ref="P1475">HYPERLINK(INDEX('File Links'!B:B, MATCH(O1475, 'File Links'!C:C, 0)))
</f>
        <v>https://drive.google.com/file/d/1Oz7Zj6fZnvvCizj-IHEQF-K0o27fi6QN/view?usp=drivesdk</v>
      </c>
      <c r="Q1475" s="147" t="s">
        <v>6103</v>
      </c>
      <c r="R1475" s="147" t="s">
        <v>6104</v>
      </c>
      <c r="S1475" s="60"/>
      <c r="T1475" s="144">
        <v>1.0</v>
      </c>
      <c r="U1475" s="145" t="s">
        <v>6105</v>
      </c>
      <c r="V1475" s="147" t="s">
        <v>7707</v>
      </c>
      <c r="W1475" s="1455" t="str">
        <f> hyperlink(vlookup(lower(R1475),'File Links'!F:G, 2, FALSE), "LINK")</f>
        <v>LINK</v>
      </c>
      <c r="X1475" s="60"/>
      <c r="Y1475" s="147" t="s">
        <v>220</v>
      </c>
      <c r="Z1475" s="147" t="s">
        <v>7824</v>
      </c>
      <c r="AA1475" s="147" t="s">
        <v>9412</v>
      </c>
      <c r="AB1475" s="147" t="s">
        <v>9413</v>
      </c>
      <c r="AC1475" s="147" t="s">
        <v>9414</v>
      </c>
      <c r="AD1475" s="144">
        <v>5.0</v>
      </c>
      <c r="AE1475" s="144">
        <v>600.0</v>
      </c>
      <c r="AF1475" s="144">
        <v>0.34</v>
      </c>
      <c r="AG1475" s="144" t="s">
        <v>1006</v>
      </c>
      <c r="AH1475" s="144" t="s">
        <v>892</v>
      </c>
      <c r="AI1475" s="646">
        <v>0.007</v>
      </c>
      <c r="AJ1475" s="52" t="s">
        <v>164</v>
      </c>
      <c r="AK1475" s="52" t="s">
        <v>179</v>
      </c>
      <c r="AL1475" s="147" t="s">
        <v>132</v>
      </c>
      <c r="AM1475" s="55"/>
      <c r="AN1475" s="144">
        <v>224.0</v>
      </c>
      <c r="AO1475" s="144">
        <v>0.37</v>
      </c>
      <c r="AP1475" s="144" t="s">
        <v>1006</v>
      </c>
      <c r="AQ1475" s="60"/>
      <c r="AR1475" s="144">
        <v>0.13</v>
      </c>
      <c r="AS1475" s="147" t="s">
        <v>164</v>
      </c>
      <c r="AT1475" s="147" t="s">
        <v>179</v>
      </c>
      <c r="AU1475" s="147" t="s">
        <v>132</v>
      </c>
      <c r="AV1475" s="410" t="s">
        <v>9415</v>
      </c>
      <c r="AW1475" s="60" t="s">
        <v>134</v>
      </c>
      <c r="AY1475" s="60" t="s">
        <v>144</v>
      </c>
    </row>
    <row r="1476">
      <c r="A1476" s="60" t="s">
        <v>106</v>
      </c>
      <c r="B1476" s="41" t="s">
        <v>107</v>
      </c>
      <c r="C1476" s="41" t="s">
        <v>144</v>
      </c>
      <c r="E1476" s="60" t="s">
        <v>9401</v>
      </c>
      <c r="F1476" s="52" t="s">
        <v>9416</v>
      </c>
      <c r="G1476" s="147" t="s">
        <v>144</v>
      </c>
      <c r="H1476" s="140">
        <v>45687.0</v>
      </c>
      <c r="I1476" s="140">
        <v>45692.0</v>
      </c>
      <c r="J1476" s="454" t="s">
        <v>9417</v>
      </c>
      <c r="K1476" s="60"/>
      <c r="L1476" s="147" t="s">
        <v>9404</v>
      </c>
      <c r="M1476" s="147" t="s">
        <v>9405</v>
      </c>
      <c r="N1476" s="144">
        <v>1.0</v>
      </c>
      <c r="O1476" s="145" t="s">
        <v>9411</v>
      </c>
      <c r="P1476" s="48" t="str">
        <f t="array" ref="P1476">HYPERLINK(INDEX('File Links'!B:B, MATCH(O1476, 'File Links'!C:C, 0)))
</f>
        <v>https://drive.google.com/file/d/1Oz7Zj6fZnvvCizj-IHEQF-K0o27fi6QN/view?usp=drivesdk</v>
      </c>
      <c r="Q1476" s="147" t="s">
        <v>6103</v>
      </c>
      <c r="R1476" s="147" t="s">
        <v>6104</v>
      </c>
      <c r="S1476" s="60"/>
      <c r="T1476" s="144">
        <v>1.0</v>
      </c>
      <c r="U1476" s="145" t="s">
        <v>6105</v>
      </c>
      <c r="V1476" s="147" t="s">
        <v>7707</v>
      </c>
      <c r="W1476" s="1455" t="str">
        <f> hyperlink(vlookup(lower(R1476),'File Links'!F:G, 2, FALSE), "LINK")</f>
        <v>LINK</v>
      </c>
      <c r="X1476" s="60"/>
      <c r="Y1476" s="147" t="s">
        <v>220</v>
      </c>
      <c r="Z1476" s="147" t="s">
        <v>7824</v>
      </c>
      <c r="AA1476" s="147" t="s">
        <v>9412</v>
      </c>
      <c r="AB1476" s="147" t="s">
        <v>9418</v>
      </c>
      <c r="AC1476" s="147" t="s">
        <v>9419</v>
      </c>
      <c r="AD1476" s="327">
        <v>5.0</v>
      </c>
      <c r="AE1476" s="144">
        <v>600.0</v>
      </c>
      <c r="AF1476" s="327">
        <v>0.8</v>
      </c>
      <c r="AG1476" s="144" t="s">
        <v>1006</v>
      </c>
      <c r="AH1476" s="327" t="s">
        <v>892</v>
      </c>
      <c r="AI1476" s="328">
        <v>0.001</v>
      </c>
      <c r="AJ1476" s="52" t="s">
        <v>127</v>
      </c>
      <c r="AK1476" s="52" t="s">
        <v>179</v>
      </c>
      <c r="AL1476" s="147" t="s">
        <v>132</v>
      </c>
      <c r="AM1476" s="55"/>
      <c r="AN1476" s="144">
        <v>224.0</v>
      </c>
      <c r="AO1476" s="327">
        <v>0.24</v>
      </c>
      <c r="AP1476" s="144" t="s">
        <v>1006</v>
      </c>
      <c r="AQ1476" s="60"/>
      <c r="AR1476" s="144">
        <v>0.21</v>
      </c>
      <c r="AS1476" s="147" t="s">
        <v>164</v>
      </c>
      <c r="AT1476" s="147" t="s">
        <v>128</v>
      </c>
      <c r="AU1476" s="60" t="s">
        <v>129</v>
      </c>
      <c r="AV1476" s="410" t="s">
        <v>9415</v>
      </c>
      <c r="AW1476" s="60" t="s">
        <v>134</v>
      </c>
      <c r="AY1476" s="60" t="s">
        <v>144</v>
      </c>
    </row>
    <row r="1477">
      <c r="A1477" s="60" t="s">
        <v>106</v>
      </c>
      <c r="B1477" s="41" t="s">
        <v>107</v>
      </c>
      <c r="C1477" s="41" t="s">
        <v>243</v>
      </c>
      <c r="E1477" s="147" t="s">
        <v>9420</v>
      </c>
      <c r="F1477" s="52" t="s">
        <v>9421</v>
      </c>
      <c r="G1477" s="147" t="s">
        <v>244</v>
      </c>
      <c r="H1477" s="140">
        <v>45669.0</v>
      </c>
      <c r="I1477" s="140">
        <v>45692.0</v>
      </c>
      <c r="J1477" s="412" t="s">
        <v>9422</v>
      </c>
      <c r="K1477" s="147" t="s">
        <v>9078</v>
      </c>
      <c r="L1477" s="147" t="s">
        <v>9423</v>
      </c>
      <c r="M1477" s="147" t="s">
        <v>9424</v>
      </c>
      <c r="N1477" s="60"/>
      <c r="O1477" s="145" t="str">
        <f> SUBSTITUTE(lower(M1477), "/", "--") &amp;  ".pdf"</f>
        <v>10.1073--pnas.1118373109.pdf</v>
      </c>
      <c r="P1477" s="48" t="str">
        <f t="array" ref="P1477">HYPERLINK(INDEX('File Links'!B:B, MATCH(O1477, 'File Links'!C:C, 0)))
</f>
        <v>https://drive.google.com/file/d/1Q984rmQXqbwrrnMY-wB5jcpYKEpb-2Qg/view?usp=drivesdk</v>
      </c>
      <c r="Q1477" s="147" t="s">
        <v>9425</v>
      </c>
      <c r="R1477" s="147" t="s">
        <v>9426</v>
      </c>
      <c r="S1477" s="60"/>
      <c r="T1477" s="60"/>
      <c r="U1477" s="145" t="s">
        <v>6105</v>
      </c>
      <c r="V1477" s="147" t="s">
        <v>6291</v>
      </c>
      <c r="W1477" s="1455" t="str">
        <f> hyperlink(vlookup(lower(R1477),'File Links'!E:F, 2, FALSE), "LINK")</f>
        <v>LINK</v>
      </c>
      <c r="X1477" s="60"/>
      <c r="Y1477" s="147" t="s">
        <v>220</v>
      </c>
      <c r="Z1477" s="60"/>
      <c r="AA1477" s="60"/>
      <c r="AB1477" s="60"/>
      <c r="AC1477" s="147" t="s">
        <v>9427</v>
      </c>
      <c r="AD1477" s="144">
        <v>4088.0</v>
      </c>
      <c r="AE1477" s="144">
        <v>80.0</v>
      </c>
      <c r="AF1477" s="144">
        <v>-0.24</v>
      </c>
      <c r="AG1477" s="147" t="s">
        <v>1006</v>
      </c>
      <c r="AH1477" s="147" t="s">
        <v>9428</v>
      </c>
      <c r="AI1477" s="1471">
        <v>0.003</v>
      </c>
      <c r="AJ1477" s="52" t="s">
        <v>127</v>
      </c>
      <c r="AK1477" s="52" t="s">
        <v>179</v>
      </c>
      <c r="AL1477" s="147" t="s">
        <v>132</v>
      </c>
      <c r="AM1477" s="55"/>
      <c r="AN1477" s="144">
        <v>84.0</v>
      </c>
      <c r="AO1477" s="147" t="s">
        <v>165</v>
      </c>
      <c r="AP1477" s="60"/>
      <c r="AQ1477" s="60"/>
      <c r="AR1477" s="147" t="s">
        <v>165</v>
      </c>
      <c r="AS1477" s="60"/>
      <c r="AT1477" s="147" t="s">
        <v>179</v>
      </c>
      <c r="AU1477" s="147" t="s">
        <v>132</v>
      </c>
      <c r="AV1477" s="60"/>
      <c r="AW1477" s="147" t="s">
        <v>134</v>
      </c>
      <c r="AY1477" s="60" t="s">
        <v>144</v>
      </c>
    </row>
    <row r="1478">
      <c r="A1478" s="60" t="s">
        <v>106</v>
      </c>
      <c r="B1478" s="41" t="s">
        <v>107</v>
      </c>
      <c r="C1478" s="41" t="s">
        <v>144</v>
      </c>
      <c r="E1478" s="60" t="s">
        <v>9421</v>
      </c>
      <c r="F1478" s="52" t="s">
        <v>9420</v>
      </c>
      <c r="G1478" s="147" t="s">
        <v>144</v>
      </c>
      <c r="H1478" s="140">
        <v>45687.0</v>
      </c>
      <c r="I1478" s="140">
        <v>45692.0</v>
      </c>
      <c r="J1478" s="60"/>
      <c r="K1478" s="60"/>
      <c r="L1478" s="147" t="s">
        <v>9423</v>
      </c>
      <c r="M1478" s="147" t="s">
        <v>9424</v>
      </c>
      <c r="N1478" s="144">
        <v>7.0</v>
      </c>
      <c r="O1478" s="145" t="s">
        <v>9429</v>
      </c>
      <c r="P1478" s="48" t="str">
        <f t="array" ref="P1478">HYPERLINK(INDEX('File Links'!B:B, MATCH(O1478, 'File Links'!C:C, 0)))
</f>
        <v>https://drive.google.com/file/d/1Q984rmQXqbwrrnMY-wB5jcpYKEpb-2Qg/view?usp=drivesdk</v>
      </c>
      <c r="Q1478" s="147" t="s">
        <v>6103</v>
      </c>
      <c r="R1478" s="147" t="s">
        <v>6104</v>
      </c>
      <c r="S1478" s="60"/>
      <c r="T1478" s="144">
        <v>1.0</v>
      </c>
      <c r="U1478" s="145" t="s">
        <v>6105</v>
      </c>
      <c r="V1478" s="147" t="s">
        <v>7707</v>
      </c>
      <c r="W1478" s="1455" t="str">
        <f> hyperlink(vlookup(lower(R1478),'File Links'!F:G, 2, FALSE), "LINK")</f>
        <v>LINK</v>
      </c>
      <c r="X1478" s="60"/>
      <c r="Y1478" s="147" t="s">
        <v>220</v>
      </c>
      <c r="Z1478" s="147" t="s">
        <v>7920</v>
      </c>
      <c r="AA1478" s="147" t="s">
        <v>9430</v>
      </c>
      <c r="AB1478" s="147" t="s">
        <v>9431</v>
      </c>
      <c r="AC1478" s="147" t="s">
        <v>9432</v>
      </c>
      <c r="AD1478" s="144">
        <v>3.0</v>
      </c>
      <c r="AE1478" s="144">
        <v>90.0</v>
      </c>
      <c r="AF1478" s="144">
        <v>0.58</v>
      </c>
      <c r="AG1478" s="144" t="s">
        <v>166</v>
      </c>
      <c r="AH1478" s="144" t="s">
        <v>210</v>
      </c>
      <c r="AI1478" s="646">
        <v>0.58</v>
      </c>
      <c r="AJ1478" s="52" t="s">
        <v>164</v>
      </c>
      <c r="AK1478" s="52" t="s">
        <v>179</v>
      </c>
      <c r="AL1478" s="147" t="s">
        <v>132</v>
      </c>
      <c r="AM1478" s="55"/>
      <c r="AN1478" s="144">
        <v>84.0</v>
      </c>
      <c r="AO1478" s="144" t="s">
        <v>9433</v>
      </c>
      <c r="AP1478" s="144" t="s">
        <v>162</v>
      </c>
      <c r="AQ1478" s="144" t="s">
        <v>886</v>
      </c>
      <c r="AR1478" s="144">
        <v>0.66</v>
      </c>
      <c r="AS1478" s="147" t="s">
        <v>164</v>
      </c>
      <c r="AT1478" s="147" t="s">
        <v>179</v>
      </c>
      <c r="AU1478" s="147" t="s">
        <v>132</v>
      </c>
      <c r="AV1478" s="410" t="s">
        <v>9434</v>
      </c>
      <c r="AW1478" s="60" t="s">
        <v>134</v>
      </c>
      <c r="AY1478" s="60" t="s">
        <v>144</v>
      </c>
    </row>
    <row r="1479">
      <c r="A1479" s="60" t="s">
        <v>106</v>
      </c>
      <c r="B1479" s="41" t="s">
        <v>107</v>
      </c>
      <c r="C1479" s="41" t="s">
        <v>144</v>
      </c>
      <c r="E1479" s="60" t="s">
        <v>9421</v>
      </c>
      <c r="F1479" s="52" t="s">
        <v>9435</v>
      </c>
      <c r="G1479" s="147" t="s">
        <v>144</v>
      </c>
      <c r="H1479" s="140">
        <v>45687.0</v>
      </c>
      <c r="I1479" s="140">
        <v>45692.0</v>
      </c>
      <c r="J1479" s="60"/>
      <c r="K1479" s="60"/>
      <c r="L1479" s="147" t="s">
        <v>9423</v>
      </c>
      <c r="M1479" s="147" t="s">
        <v>9424</v>
      </c>
      <c r="N1479" s="144">
        <v>7.0</v>
      </c>
      <c r="O1479" s="145" t="s">
        <v>9429</v>
      </c>
      <c r="P1479" s="48" t="str">
        <f t="array" ref="P1479">HYPERLINK(INDEX('File Links'!B:B, MATCH(O1479, 'File Links'!C:C, 0)))
</f>
        <v>https://drive.google.com/file/d/1Q984rmQXqbwrrnMY-wB5jcpYKEpb-2Qg/view?usp=drivesdk</v>
      </c>
      <c r="Q1479" s="147" t="s">
        <v>6103</v>
      </c>
      <c r="R1479" s="147" t="s">
        <v>6104</v>
      </c>
      <c r="S1479" s="60"/>
      <c r="T1479" s="144">
        <v>1.0</v>
      </c>
      <c r="U1479" s="145" t="s">
        <v>6105</v>
      </c>
      <c r="V1479" s="147" t="s">
        <v>7707</v>
      </c>
      <c r="W1479" s="1455" t="str">
        <f> hyperlink(vlookup(lower(R1479),'File Links'!F:G, 2, FALSE), "LINK")</f>
        <v>LINK</v>
      </c>
      <c r="X1479" s="60"/>
      <c r="Y1479" s="147" t="s">
        <v>220</v>
      </c>
      <c r="Z1479" s="147" t="s">
        <v>7920</v>
      </c>
      <c r="AA1479" s="147" t="s">
        <v>9430</v>
      </c>
      <c r="AB1479" s="147" t="s">
        <v>9436</v>
      </c>
      <c r="AC1479" s="147" t="s">
        <v>9437</v>
      </c>
      <c r="AD1479" s="327">
        <v>3.0</v>
      </c>
      <c r="AE1479" s="144">
        <v>90.0</v>
      </c>
      <c r="AF1479" s="327">
        <v>0.13</v>
      </c>
      <c r="AG1479" s="144" t="s">
        <v>1006</v>
      </c>
      <c r="AH1479" s="327" t="s">
        <v>210</v>
      </c>
      <c r="AI1479" s="328">
        <v>0.05</v>
      </c>
      <c r="AJ1479" s="52" t="s">
        <v>127</v>
      </c>
      <c r="AK1479" s="52" t="s">
        <v>179</v>
      </c>
      <c r="AL1479" s="147" t="s">
        <v>132</v>
      </c>
      <c r="AM1479" s="55"/>
      <c r="AN1479" s="144">
        <v>84.0</v>
      </c>
      <c r="AO1479" s="327" t="s">
        <v>9438</v>
      </c>
      <c r="AP1479" s="144" t="s">
        <v>162</v>
      </c>
      <c r="AQ1479" s="144" t="s">
        <v>886</v>
      </c>
      <c r="AR1479" s="144">
        <v>0.08</v>
      </c>
      <c r="AS1479" s="147" t="s">
        <v>164</v>
      </c>
      <c r="AT1479" s="147" t="s">
        <v>179</v>
      </c>
      <c r="AU1479" s="147" t="s">
        <v>132</v>
      </c>
      <c r="AV1479" s="410" t="s">
        <v>9434</v>
      </c>
      <c r="AW1479" s="60" t="s">
        <v>134</v>
      </c>
      <c r="AY1479" s="60" t="s">
        <v>144</v>
      </c>
    </row>
    <row r="1480">
      <c r="A1480" s="60" t="s">
        <v>106</v>
      </c>
      <c r="B1480" s="41" t="s">
        <v>107</v>
      </c>
      <c r="C1480" s="41" t="s">
        <v>144</v>
      </c>
      <c r="E1480" s="60" t="s">
        <v>9421</v>
      </c>
      <c r="F1480" s="52" t="s">
        <v>9439</v>
      </c>
      <c r="G1480" s="147" t="s">
        <v>144</v>
      </c>
      <c r="H1480" s="140">
        <v>45687.0</v>
      </c>
      <c r="I1480" s="140">
        <v>45692.0</v>
      </c>
      <c r="J1480" s="60"/>
      <c r="K1480" s="60"/>
      <c r="L1480" s="147" t="s">
        <v>9423</v>
      </c>
      <c r="M1480" s="147" t="s">
        <v>9424</v>
      </c>
      <c r="N1480" s="144">
        <v>7.0</v>
      </c>
      <c r="O1480" s="145" t="s">
        <v>9429</v>
      </c>
      <c r="P1480" s="48" t="str">
        <f t="array" ref="P1480">HYPERLINK(INDEX('File Links'!B:B, MATCH(O1480, 'File Links'!C:C, 0)))
</f>
        <v>https://drive.google.com/file/d/1Q984rmQXqbwrrnMY-wB5jcpYKEpb-2Qg/view?usp=drivesdk</v>
      </c>
      <c r="Q1480" s="147" t="s">
        <v>6103</v>
      </c>
      <c r="R1480" s="147" t="s">
        <v>6104</v>
      </c>
      <c r="S1480" s="60"/>
      <c r="T1480" s="144">
        <v>1.0</v>
      </c>
      <c r="U1480" s="145" t="s">
        <v>6105</v>
      </c>
      <c r="V1480" s="147" t="s">
        <v>7707</v>
      </c>
      <c r="W1480" s="1455" t="str">
        <f> hyperlink(vlookup(lower(R1480),'File Links'!F:G, 2, FALSE), "LINK")</f>
        <v>LINK</v>
      </c>
      <c r="X1480" s="60"/>
      <c r="Y1480" s="147" t="s">
        <v>220</v>
      </c>
      <c r="Z1480" s="147" t="s">
        <v>7920</v>
      </c>
      <c r="AA1480" s="147" t="s">
        <v>9430</v>
      </c>
      <c r="AB1480" s="147" t="s">
        <v>9440</v>
      </c>
      <c r="AC1480" s="147" t="s">
        <v>9441</v>
      </c>
      <c r="AD1480" s="1472">
        <v>3.0</v>
      </c>
      <c r="AE1480" s="144">
        <v>90.0</v>
      </c>
      <c r="AF1480" s="327">
        <v>-0.24</v>
      </c>
      <c r="AG1480" s="144" t="s">
        <v>1006</v>
      </c>
      <c r="AH1480" s="1472" t="s">
        <v>210</v>
      </c>
      <c r="AI1480" s="328">
        <v>0.03</v>
      </c>
      <c r="AJ1480" s="52" t="s">
        <v>127</v>
      </c>
      <c r="AK1480" s="52" t="s">
        <v>179</v>
      </c>
      <c r="AL1480" s="147" t="s">
        <v>132</v>
      </c>
      <c r="AM1480" s="55"/>
      <c r="AN1480" s="144">
        <v>84.0</v>
      </c>
      <c r="AO1480" s="327" t="s">
        <v>9442</v>
      </c>
      <c r="AP1480" s="144" t="s">
        <v>162</v>
      </c>
      <c r="AQ1480" s="144" t="s">
        <v>886</v>
      </c>
      <c r="AR1480" s="144">
        <v>0.35</v>
      </c>
      <c r="AS1480" s="147" t="s">
        <v>164</v>
      </c>
      <c r="AT1480" s="147" t="s">
        <v>179</v>
      </c>
      <c r="AU1480" s="147" t="s">
        <v>132</v>
      </c>
      <c r="AV1480" s="410" t="s">
        <v>9434</v>
      </c>
      <c r="AW1480" s="60" t="s">
        <v>134</v>
      </c>
      <c r="AY1480" s="60" t="s">
        <v>144</v>
      </c>
    </row>
    <row r="1481" hidden="1">
      <c r="A1481" s="115" t="s">
        <v>5350</v>
      </c>
      <c r="B1481" s="41" t="s">
        <v>107</v>
      </c>
      <c r="C1481" s="1463" t="s">
        <v>144</v>
      </c>
      <c r="D1481" s="1463" t="s">
        <v>9305</v>
      </c>
      <c r="E1481" s="147" t="s">
        <v>9420</v>
      </c>
      <c r="F1481" s="52" t="s">
        <v>9421</v>
      </c>
      <c r="G1481" s="642" t="s">
        <v>9306</v>
      </c>
      <c r="H1481" s="140">
        <v>45669.0</v>
      </c>
      <c r="I1481" s="140">
        <v>45692.0</v>
      </c>
      <c r="J1481" s="412" t="s">
        <v>9443</v>
      </c>
      <c r="K1481" s="147" t="s">
        <v>9078</v>
      </c>
      <c r="L1481" s="147" t="s">
        <v>9423</v>
      </c>
      <c r="M1481" s="147" t="s">
        <v>9424</v>
      </c>
      <c r="N1481" s="60"/>
      <c r="O1481" s="145" t="str">
        <f t="shared" ref="O1481:O1482" si="77"> SUBSTITUTE(lower(M1481), "/", "--") &amp;  ".pdf"</f>
        <v>10.1073--pnas.1118373109.pdf</v>
      </c>
      <c r="P1481" s="48" t="str">
        <f t="array" ref="P1481">HYPERLINK(INDEX('File Links'!B:B, MATCH(O1481, 'File Links'!C:C, 0)))
</f>
        <v>https://drive.google.com/file/d/1Q984rmQXqbwrrnMY-wB5jcpYKEpb-2Qg/view?usp=drivesdk</v>
      </c>
      <c r="Q1481" s="147" t="s">
        <v>9425</v>
      </c>
      <c r="R1481" s="147" t="s">
        <v>9426</v>
      </c>
      <c r="S1481" s="60"/>
      <c r="T1481" s="60"/>
      <c r="U1481" s="145" t="s">
        <v>6105</v>
      </c>
      <c r="V1481" s="147" t="s">
        <v>6291</v>
      </c>
      <c r="W1481" s="1455" t="str">
        <f> hyperlink(vlookup(lower(R1481),'File Links'!E:F, 2, FALSE), "LINK")</f>
        <v>LINK</v>
      </c>
      <c r="X1481" s="60" t="s">
        <v>8923</v>
      </c>
      <c r="Y1481" s="60"/>
      <c r="Z1481" s="60"/>
      <c r="AA1481" s="60"/>
      <c r="AB1481" s="60"/>
      <c r="AC1481" s="60"/>
      <c r="AD1481" s="60"/>
      <c r="AE1481" s="60"/>
      <c r="AF1481" s="60"/>
      <c r="AG1481" s="60"/>
      <c r="AH1481" s="60"/>
      <c r="AI1481" s="329"/>
      <c r="AJ1481" s="55"/>
      <c r="AK1481" s="55"/>
      <c r="AL1481" s="60"/>
      <c r="AM1481" s="55"/>
      <c r="AN1481" s="60"/>
      <c r="AO1481" s="60"/>
      <c r="AP1481" s="60"/>
      <c r="AQ1481" s="60"/>
      <c r="AR1481" s="60"/>
      <c r="AS1481" s="60"/>
      <c r="AT1481" s="60"/>
      <c r="AU1481" s="60"/>
      <c r="AV1481" s="60"/>
      <c r="AW1481" s="60"/>
      <c r="AY1481" s="60" t="s">
        <v>144</v>
      </c>
    </row>
    <row r="1482">
      <c r="A1482" s="60" t="s">
        <v>106</v>
      </c>
      <c r="B1482" s="41" t="s">
        <v>107</v>
      </c>
      <c r="C1482" s="41" t="s">
        <v>243</v>
      </c>
      <c r="E1482" s="147" t="s">
        <v>9444</v>
      </c>
      <c r="F1482" s="52" t="s">
        <v>9445</v>
      </c>
      <c r="G1482" s="147" t="s">
        <v>244</v>
      </c>
      <c r="H1482" s="140">
        <v>45669.0</v>
      </c>
      <c r="I1482" s="140">
        <v>45692.0</v>
      </c>
      <c r="J1482" s="412" t="s">
        <v>9446</v>
      </c>
      <c r="K1482" s="60"/>
      <c r="L1482" s="147" t="s">
        <v>9447</v>
      </c>
      <c r="M1482" s="147" t="s">
        <v>9448</v>
      </c>
      <c r="N1482" s="60"/>
      <c r="O1482" s="145" t="str">
        <f t="shared" si="77"/>
        <v>10.1177--0956797618818484.pdf</v>
      </c>
      <c r="P1482" s="48" t="str">
        <f t="array" ref="P1482">HYPERLINK(INDEX('File Links'!B:B, MATCH(O1482, 'File Links'!C:C, 0)))
</f>
        <v>https://drive.google.com/file/d/1-BRDJtnfY2i7YBG-IeupwHTxHic0hQnP/view?usp=drivesdk</v>
      </c>
      <c r="Q1482" s="147" t="s">
        <v>9449</v>
      </c>
      <c r="R1482" s="147" t="s">
        <v>9450</v>
      </c>
      <c r="S1482" s="60"/>
      <c r="T1482" s="60"/>
      <c r="U1482" s="145" t="s">
        <v>6105</v>
      </c>
      <c r="V1482" s="147" t="s">
        <v>6291</v>
      </c>
      <c r="W1482" s="1455" t="str">
        <f> hyperlink(vlookup(lower(R1482),'File Links'!E:F, 2, FALSE), "LINK")</f>
        <v>LINK</v>
      </c>
      <c r="X1482" s="60"/>
      <c r="Y1482" s="147" t="s">
        <v>139</v>
      </c>
      <c r="Z1482" s="60"/>
      <c r="AA1482" s="147" t="s">
        <v>9451</v>
      </c>
      <c r="AB1482" s="60"/>
      <c r="AC1482" s="147" t="s">
        <v>165</v>
      </c>
      <c r="AD1482" s="144">
        <v>6.0</v>
      </c>
      <c r="AE1482" s="144">
        <v>193.0</v>
      </c>
      <c r="AF1482" s="144">
        <v>0.612803903785751</v>
      </c>
      <c r="AG1482" s="147" t="s">
        <v>166</v>
      </c>
      <c r="AH1482" s="147" t="s">
        <v>9452</v>
      </c>
      <c r="AI1482" s="1351">
        <v>5.66347582420852E-15</v>
      </c>
      <c r="AJ1482" s="52" t="s">
        <v>164</v>
      </c>
      <c r="AK1482" s="52" t="s">
        <v>179</v>
      </c>
      <c r="AL1482" s="147" t="s">
        <v>821</v>
      </c>
      <c r="AM1482" s="52" t="s">
        <v>129</v>
      </c>
      <c r="AN1482" s="144">
        <v>58.0</v>
      </c>
      <c r="AO1482" s="144">
        <v>0.92897291317576</v>
      </c>
      <c r="AP1482" s="147" t="s">
        <v>166</v>
      </c>
      <c r="AQ1482" s="60"/>
      <c r="AR1482" s="1351">
        <v>3.28644168173073E-9</v>
      </c>
      <c r="AS1482" s="147" t="s">
        <v>164</v>
      </c>
      <c r="AT1482" s="147" t="s">
        <v>179</v>
      </c>
      <c r="AU1482" s="147" t="s">
        <v>821</v>
      </c>
      <c r="AV1482" s="60"/>
      <c r="AW1482" s="147" t="s">
        <v>134</v>
      </c>
      <c r="AY1482" s="60" t="s">
        <v>144</v>
      </c>
    </row>
    <row r="1483">
      <c r="A1483" s="115" t="s">
        <v>5350</v>
      </c>
      <c r="B1483" s="41" t="s">
        <v>107</v>
      </c>
      <c r="C1483" s="41" t="s">
        <v>144</v>
      </c>
      <c r="E1483" s="60" t="s">
        <v>9445</v>
      </c>
      <c r="F1483" s="52" t="s">
        <v>9444</v>
      </c>
      <c r="G1483" s="147" t="s">
        <v>144</v>
      </c>
      <c r="H1483" s="140">
        <v>45687.0</v>
      </c>
      <c r="I1483" s="140">
        <v>45692.0</v>
      </c>
      <c r="J1483" s="412" t="s">
        <v>9453</v>
      </c>
      <c r="K1483" s="60"/>
      <c r="L1483" s="147" t="s">
        <v>9447</v>
      </c>
      <c r="M1483" s="147" t="s">
        <v>9448</v>
      </c>
      <c r="N1483" s="144">
        <v>2.0</v>
      </c>
      <c r="O1483" s="145" t="s">
        <v>9454</v>
      </c>
      <c r="P1483" s="48" t="str">
        <f t="array" ref="P1483">HYPERLINK(INDEX('File Links'!B:B, MATCH(O1483, 'File Links'!C:C, 0)))
</f>
        <v>https://drive.google.com/file/d/1-BRDJtnfY2i7YBG-IeupwHTxHic0hQnP/view?usp=drivesdk</v>
      </c>
      <c r="Q1483" s="147" t="s">
        <v>6103</v>
      </c>
      <c r="R1483" s="147" t="s">
        <v>6104</v>
      </c>
      <c r="S1483" s="60"/>
      <c r="T1483" s="144">
        <v>1.0</v>
      </c>
      <c r="U1483" s="145" t="s">
        <v>6105</v>
      </c>
      <c r="V1483" s="147" t="s">
        <v>7707</v>
      </c>
      <c r="W1483" s="1455" t="str">
        <f> hyperlink(vlookup(lower(R1483),'File Links'!F:G, 2, FALSE), "LINK")</f>
        <v>LINK</v>
      </c>
      <c r="X1483" s="42"/>
      <c r="Y1483" s="147" t="s">
        <v>139</v>
      </c>
      <c r="Z1483" s="147" t="s">
        <v>9455</v>
      </c>
      <c r="AA1483" s="147" t="s">
        <v>9456</v>
      </c>
      <c r="AB1483" s="147" t="s">
        <v>9457</v>
      </c>
      <c r="AC1483" s="147" t="s">
        <v>9458</v>
      </c>
      <c r="AD1483" s="144">
        <v>5.0</v>
      </c>
      <c r="AE1483" s="144">
        <v>193.0</v>
      </c>
      <c r="AF1483" s="60" t="s">
        <v>9459</v>
      </c>
      <c r="AG1483" s="144" t="s">
        <v>166</v>
      </c>
      <c r="AH1483" s="327" t="s">
        <v>131</v>
      </c>
      <c r="AI1483" s="329"/>
      <c r="AJ1483" s="55"/>
      <c r="AK1483" s="52" t="s">
        <v>179</v>
      </c>
      <c r="AL1483" s="147" t="s">
        <v>821</v>
      </c>
      <c r="AM1483" s="55"/>
      <c r="AN1483" s="327">
        <v>58.0</v>
      </c>
      <c r="AO1483" s="60" t="s">
        <v>9460</v>
      </c>
      <c r="AP1483" s="144" t="s">
        <v>166</v>
      </c>
      <c r="AQ1483" s="327" t="s">
        <v>175</v>
      </c>
      <c r="AR1483" s="327">
        <f>3.28644168173073*10^-9</f>
        <v>0.000000003286441682</v>
      </c>
      <c r="AS1483" s="147" t="s">
        <v>164</v>
      </c>
      <c r="AT1483" s="147" t="s">
        <v>179</v>
      </c>
      <c r="AU1483" s="147" t="s">
        <v>821</v>
      </c>
      <c r="AV1483" s="60"/>
      <c r="AW1483" s="60" t="s">
        <v>134</v>
      </c>
      <c r="AY1483" s="60" t="s">
        <v>144</v>
      </c>
    </row>
    <row r="1484">
      <c r="A1484" s="60" t="s">
        <v>106</v>
      </c>
      <c r="B1484" s="41" t="s">
        <v>107</v>
      </c>
      <c r="C1484" s="41" t="s">
        <v>243</v>
      </c>
      <c r="E1484" s="115" t="s">
        <v>9461</v>
      </c>
      <c r="F1484" s="52" t="s">
        <v>9462</v>
      </c>
      <c r="G1484" s="147" t="s">
        <v>244</v>
      </c>
      <c r="H1484" s="140">
        <v>45670.0</v>
      </c>
      <c r="I1484" s="140">
        <v>45692.0</v>
      </c>
      <c r="J1484" s="412" t="s">
        <v>9463</v>
      </c>
      <c r="K1484" s="60"/>
      <c r="L1484" s="147" t="s">
        <v>9464</v>
      </c>
      <c r="M1484" s="147" t="s">
        <v>9465</v>
      </c>
      <c r="N1484" s="60"/>
      <c r="O1484" s="145" t="str">
        <f t="shared" ref="O1484:O1487" si="78"> SUBSTITUTE(lower(M1484), "/", "--") &amp;  ".pdf"</f>
        <v>10.1177--0956797615612202.pdf</v>
      </c>
      <c r="P1484" s="48" t="str">
        <f t="array" ref="P1484">HYPERLINK(INDEX('File Links'!B:B, MATCH(O1484, 'File Links'!C:C, 0)))
</f>
        <v>https://drive.google.com/file/d/1d70WNl03Y6R-FQ2zFUG_7JzLtb7KIhMn/view?usp=drivesdk</v>
      </c>
      <c r="Q1484" s="147" t="s">
        <v>9466</v>
      </c>
      <c r="R1484" s="147" t="s">
        <v>9467</v>
      </c>
      <c r="S1484" s="60"/>
      <c r="T1484" s="60"/>
      <c r="U1484" s="145" t="s">
        <v>6105</v>
      </c>
      <c r="V1484" s="147" t="s">
        <v>318</v>
      </c>
      <c r="W1484" s="1455" t="str">
        <f> hyperlink(vlookup(lower(R1484),'File Links'!E:F, 2, FALSE), "LINK")</f>
        <v>LINK</v>
      </c>
      <c r="X1484" s="60"/>
      <c r="Y1484" s="147" t="s">
        <v>220</v>
      </c>
      <c r="Z1484" s="60"/>
      <c r="AA1484" s="147" t="s">
        <v>9468</v>
      </c>
      <c r="AB1484" s="60"/>
      <c r="AC1484" s="147" t="s">
        <v>9469</v>
      </c>
      <c r="AD1484" s="144">
        <v>3.0</v>
      </c>
      <c r="AE1484" s="144">
        <v>88.0</v>
      </c>
      <c r="AF1484" s="144">
        <v>0.62</v>
      </c>
      <c r="AG1484" s="147" t="s">
        <v>166</v>
      </c>
      <c r="AH1484" s="147" t="s">
        <v>210</v>
      </c>
      <c r="AI1484" s="646">
        <v>0.005</v>
      </c>
      <c r="AJ1484" s="52" t="s">
        <v>164</v>
      </c>
      <c r="AK1484" s="52" t="s">
        <v>179</v>
      </c>
      <c r="AL1484" s="147" t="s">
        <v>132</v>
      </c>
      <c r="AM1484" s="52" t="s">
        <v>129</v>
      </c>
      <c r="AN1484" s="144">
        <v>119.0</v>
      </c>
      <c r="AO1484" s="144">
        <v>0.720525018664174</v>
      </c>
      <c r="AP1484" s="147" t="s">
        <v>166</v>
      </c>
      <c r="AQ1484" s="60"/>
      <c r="AR1484" s="1351">
        <v>1.44241082036131E-4</v>
      </c>
      <c r="AS1484" s="147" t="s">
        <v>164</v>
      </c>
      <c r="AT1484" s="147" t="s">
        <v>179</v>
      </c>
      <c r="AU1484" s="147" t="s">
        <v>132</v>
      </c>
      <c r="AV1484" s="60"/>
      <c r="AW1484" s="147" t="s">
        <v>134</v>
      </c>
      <c r="AY1484" s="60" t="s">
        <v>144</v>
      </c>
    </row>
    <row r="1485">
      <c r="A1485" s="60" t="s">
        <v>106</v>
      </c>
      <c r="B1485" s="41" t="s">
        <v>107</v>
      </c>
      <c r="C1485" s="41" t="s">
        <v>243</v>
      </c>
      <c r="E1485" s="115" t="s">
        <v>9461</v>
      </c>
      <c r="F1485" s="52" t="s">
        <v>9470</v>
      </c>
      <c r="G1485" s="147" t="s">
        <v>244</v>
      </c>
      <c r="H1485" s="140">
        <v>45670.0</v>
      </c>
      <c r="I1485" s="140">
        <v>45692.0</v>
      </c>
      <c r="J1485" s="412" t="s">
        <v>9471</v>
      </c>
      <c r="K1485" s="60"/>
      <c r="L1485" s="147" t="s">
        <v>9464</v>
      </c>
      <c r="M1485" s="147" t="s">
        <v>9465</v>
      </c>
      <c r="N1485" s="60"/>
      <c r="O1485" s="145" t="str">
        <f t="shared" si="78"/>
        <v>10.1177--0956797615612202.pdf</v>
      </c>
      <c r="P1485" s="48" t="str">
        <f t="array" ref="P1485">HYPERLINK(INDEX('File Links'!B:B, MATCH(O1485, 'File Links'!C:C, 0)))
</f>
        <v>https://drive.google.com/file/d/1d70WNl03Y6R-FQ2zFUG_7JzLtb7KIhMn/view?usp=drivesdk</v>
      </c>
      <c r="Q1485" s="147" t="s">
        <v>9472</v>
      </c>
      <c r="R1485" s="147" t="s">
        <v>9473</v>
      </c>
      <c r="S1485" s="60"/>
      <c r="T1485" s="60"/>
      <c r="U1485" s="145" t="s">
        <v>6105</v>
      </c>
      <c r="V1485" s="147" t="s">
        <v>6291</v>
      </c>
      <c r="W1485" s="1455" t="str">
        <f> hyperlink(vlookup(lower(R1485),'File Links'!E:F, 2, FALSE), "LINK")</f>
        <v>LINK</v>
      </c>
      <c r="X1485" s="60"/>
      <c r="Y1485" s="147" t="s">
        <v>220</v>
      </c>
      <c r="Z1485" s="60"/>
      <c r="AA1485" s="147" t="s">
        <v>9468</v>
      </c>
      <c r="AB1485" s="60"/>
      <c r="AC1485" s="147" t="s">
        <v>9469</v>
      </c>
      <c r="AD1485" s="144">
        <v>3.0</v>
      </c>
      <c r="AE1485" s="144">
        <v>88.0</v>
      </c>
      <c r="AF1485" s="144">
        <v>0.62</v>
      </c>
      <c r="AG1485" s="147" t="s">
        <v>166</v>
      </c>
      <c r="AH1485" s="147" t="s">
        <v>210</v>
      </c>
      <c r="AI1485" s="646">
        <v>0.005</v>
      </c>
      <c r="AJ1485" s="52" t="s">
        <v>164</v>
      </c>
      <c r="AK1485" s="52" t="s">
        <v>179</v>
      </c>
      <c r="AL1485" s="147" t="s">
        <v>132</v>
      </c>
      <c r="AM1485" s="52" t="s">
        <v>129</v>
      </c>
      <c r="AN1485" s="144">
        <v>87.0</v>
      </c>
      <c r="AO1485" s="144">
        <v>0.141071199656719</v>
      </c>
      <c r="AP1485" s="147" t="s">
        <v>166</v>
      </c>
      <c r="AQ1485" s="60"/>
      <c r="AR1485" s="1351">
        <v>0.517488992438142</v>
      </c>
      <c r="AS1485" s="147" t="s">
        <v>164</v>
      </c>
      <c r="AT1485" s="147" t="s">
        <v>179</v>
      </c>
      <c r="AU1485" s="147" t="s">
        <v>132</v>
      </c>
      <c r="AV1485" s="60"/>
      <c r="AW1485" s="147" t="s">
        <v>134</v>
      </c>
      <c r="AY1485" s="60" t="s">
        <v>144</v>
      </c>
    </row>
    <row r="1486">
      <c r="A1486" s="60" t="s">
        <v>106</v>
      </c>
      <c r="B1486" s="41" t="s">
        <v>107</v>
      </c>
      <c r="C1486" s="41" t="s">
        <v>243</v>
      </c>
      <c r="E1486" s="115" t="s">
        <v>9461</v>
      </c>
      <c r="F1486" s="52" t="s">
        <v>9474</v>
      </c>
      <c r="G1486" s="147" t="s">
        <v>244</v>
      </c>
      <c r="H1486" s="140">
        <v>45670.0</v>
      </c>
      <c r="I1486" s="140">
        <v>45692.0</v>
      </c>
      <c r="J1486" s="412" t="s">
        <v>66</v>
      </c>
      <c r="K1486" s="60"/>
      <c r="L1486" s="147" t="s">
        <v>9464</v>
      </c>
      <c r="M1486" s="147" t="s">
        <v>9465</v>
      </c>
      <c r="N1486" s="60"/>
      <c r="O1486" s="145" t="str">
        <f t="shared" si="78"/>
        <v>10.1177--0956797615612202.pdf</v>
      </c>
      <c r="P1486" s="48" t="str">
        <f t="array" ref="P1486">HYPERLINK(INDEX('File Links'!B:B, MATCH(O1486, 'File Links'!C:C, 0)))
</f>
        <v>https://drive.google.com/file/d/1d70WNl03Y6R-FQ2zFUG_7JzLtb7KIhMn/view?usp=drivesdk</v>
      </c>
      <c r="Q1486" s="147" t="s">
        <v>9475</v>
      </c>
      <c r="R1486" s="147" t="s">
        <v>9476</v>
      </c>
      <c r="S1486" s="60"/>
      <c r="T1486" s="60"/>
      <c r="U1486" s="145" t="s">
        <v>6105</v>
      </c>
      <c r="V1486" s="147" t="s">
        <v>6291</v>
      </c>
      <c r="W1486" s="1455" t="str">
        <f> hyperlink(vlookup(lower(R1486),'File Links'!E:F, 2, FALSE), "LINK")</f>
        <v>LINK</v>
      </c>
      <c r="X1486" s="60"/>
      <c r="Y1486" s="147" t="s">
        <v>220</v>
      </c>
      <c r="Z1486" s="60"/>
      <c r="AA1486" s="147" t="s">
        <v>9477</v>
      </c>
      <c r="AB1486" s="60"/>
      <c r="AC1486" s="147" t="s">
        <v>9478</v>
      </c>
      <c r="AD1486" s="144">
        <v>4.0</v>
      </c>
      <c r="AE1486" s="144">
        <v>118.0</v>
      </c>
      <c r="AF1486" s="144">
        <v>0.6</v>
      </c>
      <c r="AG1486" s="147" t="s">
        <v>166</v>
      </c>
      <c r="AH1486" s="147" t="s">
        <v>494</v>
      </c>
      <c r="AI1486" s="646">
        <v>0.002</v>
      </c>
      <c r="AJ1486" s="52" t="s">
        <v>164</v>
      </c>
      <c r="AK1486" s="52" t="s">
        <v>179</v>
      </c>
      <c r="AL1486" s="147" t="s">
        <v>132</v>
      </c>
      <c r="AM1486" s="52" t="s">
        <v>129</v>
      </c>
      <c r="AN1486" s="144">
        <v>78.0</v>
      </c>
      <c r="AO1486" s="144">
        <v>0.562417563503757</v>
      </c>
      <c r="AP1486" s="147" t="s">
        <v>166</v>
      </c>
      <c r="AQ1486" s="60"/>
      <c r="AR1486" s="1351">
        <v>4.61188901659452E-6</v>
      </c>
      <c r="AS1486" s="147" t="s">
        <v>164</v>
      </c>
      <c r="AT1486" s="147" t="s">
        <v>179</v>
      </c>
      <c r="AU1486" s="147" t="s">
        <v>821</v>
      </c>
      <c r="AV1486" s="60"/>
      <c r="AW1486" s="147" t="s">
        <v>134</v>
      </c>
      <c r="AY1486" s="60" t="s">
        <v>144</v>
      </c>
    </row>
    <row r="1487">
      <c r="A1487" s="60" t="s">
        <v>106</v>
      </c>
      <c r="B1487" s="41" t="s">
        <v>107</v>
      </c>
      <c r="C1487" s="41" t="s">
        <v>243</v>
      </c>
      <c r="E1487" s="147" t="s">
        <v>9461</v>
      </c>
      <c r="F1487" s="52" t="s">
        <v>9479</v>
      </c>
      <c r="G1487" s="147" t="s">
        <v>244</v>
      </c>
      <c r="H1487" s="140">
        <v>45670.0</v>
      </c>
      <c r="I1487" s="140">
        <v>45692.0</v>
      </c>
      <c r="J1487" s="60"/>
      <c r="K1487" s="60"/>
      <c r="L1487" s="147" t="s">
        <v>9464</v>
      </c>
      <c r="M1487" s="147" t="s">
        <v>9465</v>
      </c>
      <c r="N1487" s="60"/>
      <c r="O1487" s="145" t="str">
        <f t="shared" si="78"/>
        <v>10.1177--0956797615612202.pdf</v>
      </c>
      <c r="P1487" s="48" t="str">
        <f t="array" ref="P1487">HYPERLINK(INDEX('File Links'!B:B, MATCH(O1487, 'File Links'!C:C, 0)))
</f>
        <v>https://drive.google.com/file/d/1d70WNl03Y6R-FQ2zFUG_7JzLtb7KIhMn/view?usp=drivesdk</v>
      </c>
      <c r="Q1487" s="147" t="s">
        <v>9480</v>
      </c>
      <c r="R1487" s="147" t="s">
        <v>9481</v>
      </c>
      <c r="S1487" s="60"/>
      <c r="T1487" s="60"/>
      <c r="U1487" s="145" t="s">
        <v>6105</v>
      </c>
      <c r="V1487" s="147" t="s">
        <v>318</v>
      </c>
      <c r="W1487" s="1455" t="str">
        <f> hyperlink(vlookup(lower(R1487),'File Links'!E:F, 2, FALSE), "LINK")</f>
        <v>LINK</v>
      </c>
      <c r="X1487" s="60"/>
      <c r="Y1487" s="147" t="s">
        <v>220</v>
      </c>
      <c r="Z1487" s="60"/>
      <c r="AA1487" s="60"/>
      <c r="AB1487" s="60"/>
      <c r="AC1487" s="147" t="s">
        <v>165</v>
      </c>
      <c r="AD1487" s="147" t="s">
        <v>165</v>
      </c>
      <c r="AE1487" s="144">
        <v>145.0</v>
      </c>
      <c r="AF1487" s="147" t="s">
        <v>165</v>
      </c>
      <c r="AG1487" s="147" t="s">
        <v>165</v>
      </c>
      <c r="AH1487" s="147" t="s">
        <v>165</v>
      </c>
      <c r="AI1487" s="330" t="s">
        <v>165</v>
      </c>
      <c r="AJ1487" s="55"/>
      <c r="AK1487" s="52" t="s">
        <v>179</v>
      </c>
      <c r="AL1487" s="147" t="s">
        <v>132</v>
      </c>
      <c r="AM1487" s="52" t="s">
        <v>129</v>
      </c>
      <c r="AN1487" s="144">
        <v>168.0</v>
      </c>
      <c r="AO1487" s="147" t="s">
        <v>165</v>
      </c>
      <c r="AP1487" s="60"/>
      <c r="AQ1487" s="60"/>
      <c r="AR1487" s="147" t="s">
        <v>165</v>
      </c>
      <c r="AS1487" s="60"/>
      <c r="AT1487" s="147" t="s">
        <v>179</v>
      </c>
      <c r="AU1487" s="147" t="s">
        <v>821</v>
      </c>
      <c r="AV1487" s="60"/>
      <c r="AW1487" s="147" t="s">
        <v>134</v>
      </c>
      <c r="AY1487" s="60" t="s">
        <v>144</v>
      </c>
    </row>
    <row r="1488">
      <c r="A1488" s="115" t="s">
        <v>5350</v>
      </c>
      <c r="B1488" s="41" t="s">
        <v>107</v>
      </c>
      <c r="C1488" s="41" t="s">
        <v>144</v>
      </c>
      <c r="E1488" s="60" t="s">
        <v>9479</v>
      </c>
      <c r="F1488" s="52" t="s">
        <v>9461</v>
      </c>
      <c r="G1488" s="147" t="s">
        <v>144</v>
      </c>
      <c r="H1488" s="140">
        <v>45687.0</v>
      </c>
      <c r="I1488" s="140">
        <v>45692.0</v>
      </c>
      <c r="J1488" s="454" t="s">
        <v>9482</v>
      </c>
      <c r="K1488" s="60"/>
      <c r="L1488" s="147" t="s">
        <v>9464</v>
      </c>
      <c r="M1488" s="147" t="s">
        <v>9465</v>
      </c>
      <c r="N1488" s="144">
        <v>3.0</v>
      </c>
      <c r="O1488" s="145" t="s">
        <v>9483</v>
      </c>
      <c r="P1488" s="48" t="str">
        <f t="array" ref="P1488">HYPERLINK(INDEX('File Links'!B:B, MATCH(O1488, 'File Links'!C:C, 0)))
</f>
        <v>https://drive.google.com/file/d/1d70WNl03Y6R-FQ2zFUG_7JzLtb7KIhMn/view?usp=drivesdk</v>
      </c>
      <c r="Q1488" s="147" t="s">
        <v>6103</v>
      </c>
      <c r="R1488" s="147" t="s">
        <v>6104</v>
      </c>
      <c r="S1488" s="60"/>
      <c r="T1488" s="144">
        <v>1.0</v>
      </c>
      <c r="U1488" s="145" t="s">
        <v>6105</v>
      </c>
      <c r="V1488" s="147" t="s">
        <v>155</v>
      </c>
      <c r="W1488" s="1455" t="str">
        <f> hyperlink(vlookup(lower(R1488),'File Links'!F:G, 2, FALSE), "LINK")</f>
        <v>LINK</v>
      </c>
      <c r="X1488" s="60"/>
      <c r="Y1488" s="147" t="s">
        <v>220</v>
      </c>
      <c r="Z1488" s="147" t="s">
        <v>9484</v>
      </c>
      <c r="AA1488" s="147" t="s">
        <v>9485</v>
      </c>
      <c r="AB1488" s="147" t="s">
        <v>9486</v>
      </c>
      <c r="AC1488" s="147" t="s">
        <v>9487</v>
      </c>
      <c r="AD1488" s="327">
        <v>5.0</v>
      </c>
      <c r="AE1488" s="144">
        <v>145.0</v>
      </c>
      <c r="AF1488" s="327">
        <v>0.56</v>
      </c>
      <c r="AG1488" s="144" t="s">
        <v>166</v>
      </c>
      <c r="AH1488" s="327" t="s">
        <v>892</v>
      </c>
      <c r="AI1488" s="328">
        <v>0.01</v>
      </c>
      <c r="AJ1488" s="52" t="s">
        <v>127</v>
      </c>
      <c r="AK1488" s="52" t="s">
        <v>179</v>
      </c>
      <c r="AL1488" s="147" t="s">
        <v>132</v>
      </c>
      <c r="AM1488" s="55"/>
      <c r="AN1488" s="327">
        <v>128.0</v>
      </c>
      <c r="AO1488" s="327">
        <v>-11.47</v>
      </c>
      <c r="AP1488" s="144" t="s">
        <v>1006</v>
      </c>
      <c r="AQ1488" s="60"/>
      <c r="AR1488" s="144">
        <v>0.159</v>
      </c>
      <c r="AS1488" s="147" t="s">
        <v>164</v>
      </c>
      <c r="AT1488" s="147" t="s">
        <v>179</v>
      </c>
      <c r="AU1488" s="147" t="s">
        <v>132</v>
      </c>
      <c r="AV1488" s="60"/>
      <c r="AW1488" s="60" t="s">
        <v>142</v>
      </c>
      <c r="AY1488" s="60" t="s">
        <v>144</v>
      </c>
    </row>
    <row r="1489">
      <c r="A1489" s="115" t="s">
        <v>5350</v>
      </c>
      <c r="B1489" s="41" t="s">
        <v>107</v>
      </c>
      <c r="C1489" s="41" t="s">
        <v>144</v>
      </c>
      <c r="E1489" s="60" t="s">
        <v>9479</v>
      </c>
      <c r="F1489" s="52" t="s">
        <v>9461</v>
      </c>
      <c r="G1489" s="147" t="s">
        <v>144</v>
      </c>
      <c r="H1489" s="140">
        <v>45687.0</v>
      </c>
      <c r="I1489" s="140">
        <v>45692.0</v>
      </c>
      <c r="J1489" s="454" t="s">
        <v>9488</v>
      </c>
      <c r="K1489" s="60"/>
      <c r="L1489" s="1473" t="s">
        <v>9464</v>
      </c>
      <c r="M1489" s="147" t="s">
        <v>9465</v>
      </c>
      <c r="N1489" s="144">
        <v>3.0</v>
      </c>
      <c r="O1489" s="145" t="s">
        <v>9483</v>
      </c>
      <c r="P1489" s="48" t="str">
        <f t="array" ref="P1489">HYPERLINK(INDEX('File Links'!B:B, MATCH(O1489, 'File Links'!C:C, 0)))
</f>
        <v>https://drive.google.com/file/d/1d70WNl03Y6R-FQ2zFUG_7JzLtb7KIhMn/view?usp=drivesdk</v>
      </c>
      <c r="Q1489" s="147" t="s">
        <v>6103</v>
      </c>
      <c r="R1489" s="147" t="s">
        <v>6104</v>
      </c>
      <c r="S1489" s="60"/>
      <c r="T1489" s="144">
        <v>1.0</v>
      </c>
      <c r="U1489" s="145" t="s">
        <v>6105</v>
      </c>
      <c r="V1489" s="147" t="s">
        <v>155</v>
      </c>
      <c r="W1489" s="1455" t="str">
        <f> hyperlink(vlookup(lower(R1489),'File Links'!F:G, 2, FALSE), "LINK")</f>
        <v>LINK</v>
      </c>
      <c r="X1489" s="60"/>
      <c r="Y1489" s="147" t="s">
        <v>220</v>
      </c>
      <c r="Z1489" s="147" t="s">
        <v>9484</v>
      </c>
      <c r="AA1489" s="147" t="s">
        <v>9485</v>
      </c>
      <c r="AB1489" s="147" t="s">
        <v>9489</v>
      </c>
      <c r="AC1489" s="147" t="s">
        <v>9490</v>
      </c>
      <c r="AD1489" s="327">
        <v>6.0</v>
      </c>
      <c r="AE1489" s="144">
        <v>145.0</v>
      </c>
      <c r="AF1489" s="327">
        <v>0.51</v>
      </c>
      <c r="AG1489" s="144" t="s">
        <v>166</v>
      </c>
      <c r="AH1489" s="327" t="s">
        <v>131</v>
      </c>
      <c r="AI1489" s="328">
        <v>0.01</v>
      </c>
      <c r="AJ1489" s="52" t="s">
        <v>127</v>
      </c>
      <c r="AK1489" s="52" t="s">
        <v>179</v>
      </c>
      <c r="AL1489" s="147" t="s">
        <v>132</v>
      </c>
      <c r="AM1489" s="55"/>
      <c r="AN1489" s="327">
        <v>128.0</v>
      </c>
      <c r="AO1489" s="327">
        <v>-1.4</v>
      </c>
      <c r="AP1489" s="144" t="s">
        <v>1006</v>
      </c>
      <c r="AQ1489" s="60"/>
      <c r="AR1489" s="144">
        <v>0.48611</v>
      </c>
      <c r="AS1489" s="147" t="s">
        <v>164</v>
      </c>
      <c r="AT1489" s="147" t="s">
        <v>179</v>
      </c>
      <c r="AU1489" s="147" t="s">
        <v>132</v>
      </c>
      <c r="AV1489" s="60"/>
      <c r="AW1489" s="60" t="s">
        <v>142</v>
      </c>
      <c r="AY1489" s="60" t="s">
        <v>144</v>
      </c>
    </row>
    <row r="1490">
      <c r="A1490" s="115" t="s">
        <v>5350</v>
      </c>
      <c r="B1490" s="41" t="s">
        <v>107</v>
      </c>
      <c r="C1490" s="41" t="s">
        <v>243</v>
      </c>
      <c r="E1490" s="60" t="s">
        <v>9479</v>
      </c>
      <c r="F1490" s="52" t="s">
        <v>9491</v>
      </c>
      <c r="G1490" s="147" t="s">
        <v>244</v>
      </c>
      <c r="H1490" s="140">
        <v>45670.0</v>
      </c>
      <c r="I1490" s="140">
        <v>45692.0</v>
      </c>
      <c r="J1490" s="60"/>
      <c r="K1490" s="60"/>
      <c r="L1490" s="147" t="s">
        <v>9464</v>
      </c>
      <c r="M1490" s="147" t="s">
        <v>9465</v>
      </c>
      <c r="N1490" s="60"/>
      <c r="O1490" s="145" t="str">
        <f> SUBSTITUTE(lower(M1490), "/", "--") &amp;  ".pdf"</f>
        <v>10.1177--0956797615612202.pdf</v>
      </c>
      <c r="P1490" s="48" t="str">
        <f t="array" ref="P1490">HYPERLINK(INDEX('File Links'!B:B, MATCH(O1490, 'File Links'!C:C, 0)))
</f>
        <v>https://drive.google.com/file/d/1d70WNl03Y6R-FQ2zFUG_7JzLtb7KIhMn/view?usp=drivesdk</v>
      </c>
      <c r="Q1490" s="147" t="s">
        <v>9492</v>
      </c>
      <c r="R1490" s="147" t="s">
        <v>9493</v>
      </c>
      <c r="S1490" s="60"/>
      <c r="T1490" s="60"/>
      <c r="U1490" s="145" t="s">
        <v>6105</v>
      </c>
      <c r="V1490" s="147" t="s">
        <v>6117</v>
      </c>
      <c r="W1490" s="1455" t="str">
        <f> hyperlink(vlookup(lower(R1490),'File Links'!E:F, 2, FALSE), "LINK")</f>
        <v>LINK</v>
      </c>
      <c r="X1490" s="60"/>
      <c r="Y1490" s="147" t="s">
        <v>220</v>
      </c>
      <c r="Z1490" s="60"/>
      <c r="AA1490" s="147" t="s">
        <v>9468</v>
      </c>
      <c r="AB1490" s="60"/>
      <c r="AC1490" s="147" t="s">
        <v>9494</v>
      </c>
      <c r="AD1490" s="144">
        <v>6.0</v>
      </c>
      <c r="AE1490" s="144">
        <v>145.0</v>
      </c>
      <c r="AF1490" s="144">
        <v>0.51</v>
      </c>
      <c r="AG1490" s="147" t="s">
        <v>166</v>
      </c>
      <c r="AH1490" s="147" t="s">
        <v>131</v>
      </c>
      <c r="AI1490" s="646">
        <v>0.01</v>
      </c>
      <c r="AJ1490" s="52" t="s">
        <v>127</v>
      </c>
      <c r="AK1490" s="52" t="s">
        <v>179</v>
      </c>
      <c r="AL1490" s="147" t="s">
        <v>132</v>
      </c>
      <c r="AM1490" s="52" t="s">
        <v>129</v>
      </c>
      <c r="AN1490" s="144">
        <v>126.0</v>
      </c>
      <c r="AO1490" s="144">
        <v>0.370016595170749</v>
      </c>
      <c r="AP1490" s="147" t="s">
        <v>166</v>
      </c>
      <c r="AQ1490" s="60"/>
      <c r="AR1490" s="1351">
        <v>0.0506886504493445</v>
      </c>
      <c r="AS1490" s="147" t="s">
        <v>164</v>
      </c>
      <c r="AT1490" s="147" t="s">
        <v>179</v>
      </c>
      <c r="AU1490" s="147" t="s">
        <v>132</v>
      </c>
      <c r="AV1490" s="60"/>
      <c r="AW1490" s="147" t="s">
        <v>134</v>
      </c>
      <c r="AY1490" s="60" t="s">
        <v>144</v>
      </c>
    </row>
    <row r="1491">
      <c r="A1491" s="115" t="s">
        <v>5350</v>
      </c>
      <c r="B1491" s="41" t="s">
        <v>107</v>
      </c>
      <c r="C1491" s="41" t="s">
        <v>144</v>
      </c>
      <c r="E1491" s="60" t="s">
        <v>9479</v>
      </c>
      <c r="F1491" s="52" t="s">
        <v>9461</v>
      </c>
      <c r="G1491" s="147" t="s">
        <v>144</v>
      </c>
      <c r="H1491" s="140">
        <v>45687.0</v>
      </c>
      <c r="I1491" s="140">
        <v>45692.0</v>
      </c>
      <c r="J1491" s="454" t="s">
        <v>9495</v>
      </c>
      <c r="K1491" s="60"/>
      <c r="L1491" s="147" t="s">
        <v>9464</v>
      </c>
      <c r="M1491" s="147" t="s">
        <v>9465</v>
      </c>
      <c r="N1491" s="144">
        <v>3.0</v>
      </c>
      <c r="O1491" s="145" t="s">
        <v>9483</v>
      </c>
      <c r="P1491" s="48" t="str">
        <f t="array" ref="P1491">HYPERLINK(INDEX('File Links'!B:B, MATCH(O1491, 'File Links'!C:C, 0)))
</f>
        <v>https://drive.google.com/file/d/1d70WNl03Y6R-FQ2zFUG_7JzLtb7KIhMn/view?usp=drivesdk</v>
      </c>
      <c r="Q1491" s="147" t="s">
        <v>6103</v>
      </c>
      <c r="R1491" s="147" t="s">
        <v>6104</v>
      </c>
      <c r="S1491" s="60"/>
      <c r="T1491" s="144">
        <v>1.0</v>
      </c>
      <c r="U1491" s="145" t="s">
        <v>6105</v>
      </c>
      <c r="V1491" s="147" t="s">
        <v>155</v>
      </c>
      <c r="W1491" s="1455" t="str">
        <f> hyperlink(vlookup(lower(R1491),'File Links'!F:G, 2, FALSE), "LINK")</f>
        <v>LINK</v>
      </c>
      <c r="X1491" s="60"/>
      <c r="Y1491" s="147" t="s">
        <v>220</v>
      </c>
      <c r="Z1491" s="147" t="s">
        <v>9484</v>
      </c>
      <c r="AA1491" s="147" t="s">
        <v>9485</v>
      </c>
      <c r="AB1491" s="147" t="s">
        <v>9496</v>
      </c>
      <c r="AC1491" s="147" t="s">
        <v>9497</v>
      </c>
      <c r="AD1491" s="327">
        <v>6.0</v>
      </c>
      <c r="AE1491" s="144">
        <v>145.0</v>
      </c>
      <c r="AF1491" s="327" t="s">
        <v>9498</v>
      </c>
      <c r="AG1491" s="144" t="s">
        <v>162</v>
      </c>
      <c r="AH1491" s="327" t="s">
        <v>131</v>
      </c>
      <c r="AI1491" s="329"/>
      <c r="AJ1491" s="55"/>
      <c r="AK1491" s="52" t="s">
        <v>179</v>
      </c>
      <c r="AL1491" s="147" t="s">
        <v>132</v>
      </c>
      <c r="AM1491" s="55"/>
      <c r="AN1491" s="327">
        <v>128.0</v>
      </c>
      <c r="AO1491" s="327">
        <v>-9.25</v>
      </c>
      <c r="AP1491" s="144" t="s">
        <v>1006</v>
      </c>
      <c r="AQ1491" s="60"/>
      <c r="AR1491" s="144">
        <v>5.85E-4</v>
      </c>
      <c r="AS1491" s="147" t="s">
        <v>164</v>
      </c>
      <c r="AT1491" s="147" t="s">
        <v>179</v>
      </c>
      <c r="AU1491" s="147" t="s">
        <v>132</v>
      </c>
      <c r="AV1491" s="60"/>
      <c r="AW1491" s="60" t="s">
        <v>142</v>
      </c>
      <c r="AY1491" s="60" t="s">
        <v>144</v>
      </c>
    </row>
    <row r="1492">
      <c r="A1492" s="115" t="s">
        <v>5350</v>
      </c>
      <c r="B1492" s="41" t="s">
        <v>107</v>
      </c>
      <c r="C1492" s="41" t="s">
        <v>144</v>
      </c>
      <c r="E1492" s="60" t="s">
        <v>9499</v>
      </c>
      <c r="F1492" s="52" t="s">
        <v>9500</v>
      </c>
      <c r="G1492" s="147" t="s">
        <v>144</v>
      </c>
      <c r="H1492" s="140">
        <v>45687.0</v>
      </c>
      <c r="I1492" s="140">
        <v>45692.0</v>
      </c>
      <c r="J1492" s="454" t="s">
        <v>9501</v>
      </c>
      <c r="K1492" s="60"/>
      <c r="L1492" s="147" t="s">
        <v>9464</v>
      </c>
      <c r="M1492" s="147" t="s">
        <v>9465</v>
      </c>
      <c r="N1492" s="144" t="s">
        <v>3771</v>
      </c>
      <c r="O1492" s="145" t="s">
        <v>9483</v>
      </c>
      <c r="P1492" s="48" t="str">
        <f t="array" ref="P1492">HYPERLINK(INDEX('File Links'!B:B, MATCH(O1492, 'File Links'!C:C, 0)))
</f>
        <v>https://drive.google.com/file/d/1d70WNl03Y6R-FQ2zFUG_7JzLtb7KIhMn/view?usp=drivesdk</v>
      </c>
      <c r="Q1492" s="147" t="s">
        <v>6103</v>
      </c>
      <c r="R1492" s="147" t="s">
        <v>6104</v>
      </c>
      <c r="S1492" s="60"/>
      <c r="T1492" s="144">
        <v>1.0</v>
      </c>
      <c r="U1492" s="145" t="s">
        <v>6105</v>
      </c>
      <c r="V1492" s="147" t="s">
        <v>155</v>
      </c>
      <c r="W1492" s="1455" t="str">
        <f> hyperlink(vlookup(lower(R1492),'File Links'!F:G, 2, FALSE), "LINK")</f>
        <v>LINK</v>
      </c>
      <c r="X1492" s="60"/>
      <c r="Y1492" s="147" t="s">
        <v>220</v>
      </c>
      <c r="Z1492" s="147" t="s">
        <v>9484</v>
      </c>
      <c r="AA1492" s="147" t="s">
        <v>9485</v>
      </c>
      <c r="AB1492" s="147" t="s">
        <v>9502</v>
      </c>
      <c r="AC1492" s="147" t="s">
        <v>9503</v>
      </c>
      <c r="AD1492" s="144">
        <v>3.0</v>
      </c>
      <c r="AE1492" s="144">
        <v>88.0</v>
      </c>
      <c r="AF1492" s="144">
        <v>0.53</v>
      </c>
      <c r="AG1492" s="144" t="s">
        <v>166</v>
      </c>
      <c r="AH1492" s="144" t="s">
        <v>210</v>
      </c>
      <c r="AI1492" s="646">
        <v>0.016</v>
      </c>
      <c r="AJ1492" s="52" t="s">
        <v>127</v>
      </c>
      <c r="AK1492" s="52" t="s">
        <v>179</v>
      </c>
      <c r="AL1492" s="147" t="s">
        <v>132</v>
      </c>
      <c r="AM1492" s="48" t="s">
        <v>9504</v>
      </c>
      <c r="AN1492" s="144">
        <v>119.0</v>
      </c>
      <c r="AO1492" s="144">
        <v>0.64</v>
      </c>
      <c r="AP1492" s="144" t="s">
        <v>166</v>
      </c>
      <c r="AQ1492" s="1467" t="s">
        <v>892</v>
      </c>
      <c r="AR1492" s="144">
        <v>0.001</v>
      </c>
      <c r="AS1492" s="147" t="s">
        <v>127</v>
      </c>
      <c r="AT1492" s="147" t="s">
        <v>179</v>
      </c>
      <c r="AU1492" s="147" t="s">
        <v>132</v>
      </c>
      <c r="AV1492" s="60"/>
      <c r="AW1492" s="60" t="s">
        <v>134</v>
      </c>
      <c r="AY1492" s="60" t="s">
        <v>144</v>
      </c>
    </row>
    <row r="1493">
      <c r="A1493" s="115" t="s">
        <v>5350</v>
      </c>
      <c r="B1493" s="41" t="s">
        <v>107</v>
      </c>
      <c r="C1493" s="41" t="s">
        <v>144</v>
      </c>
      <c r="E1493" s="60" t="s">
        <v>9499</v>
      </c>
      <c r="F1493" s="52" t="s">
        <v>9505</v>
      </c>
      <c r="G1493" s="147" t="s">
        <v>144</v>
      </c>
      <c r="H1493" s="140">
        <v>45687.0</v>
      </c>
      <c r="I1493" s="140">
        <v>45692.0</v>
      </c>
      <c r="J1493" s="454" t="s">
        <v>9506</v>
      </c>
      <c r="K1493" s="60"/>
      <c r="L1493" s="147" t="s">
        <v>9464</v>
      </c>
      <c r="M1493" s="147" t="s">
        <v>9465</v>
      </c>
      <c r="N1493" s="144" t="s">
        <v>3771</v>
      </c>
      <c r="O1493" s="145" t="s">
        <v>9483</v>
      </c>
      <c r="P1493" s="48" t="str">
        <f t="array" ref="P1493">HYPERLINK(INDEX('File Links'!B:B, MATCH(O1493, 'File Links'!C:C, 0)))
</f>
        <v>https://drive.google.com/file/d/1d70WNl03Y6R-FQ2zFUG_7JzLtb7KIhMn/view?usp=drivesdk</v>
      </c>
      <c r="Q1493" s="147" t="s">
        <v>6103</v>
      </c>
      <c r="R1493" s="147" t="s">
        <v>6104</v>
      </c>
      <c r="S1493" s="60"/>
      <c r="T1493" s="144">
        <v>1.0</v>
      </c>
      <c r="U1493" s="145" t="s">
        <v>6105</v>
      </c>
      <c r="V1493" s="147" t="s">
        <v>155</v>
      </c>
      <c r="W1493" s="1455" t="str">
        <f> hyperlink(vlookup(lower(R1493),'File Links'!F:G, 2, FALSE), "LINK")</f>
        <v>LINK</v>
      </c>
      <c r="X1493" s="60"/>
      <c r="Y1493" s="147" t="s">
        <v>220</v>
      </c>
      <c r="Z1493" s="147" t="s">
        <v>9484</v>
      </c>
      <c r="AA1493" s="147" t="s">
        <v>9485</v>
      </c>
      <c r="AB1493" s="147" t="s">
        <v>9507</v>
      </c>
      <c r="AC1493" s="147" t="s">
        <v>9508</v>
      </c>
      <c r="AD1493" s="144">
        <v>3.0</v>
      </c>
      <c r="AE1493" s="144">
        <v>88.0</v>
      </c>
      <c r="AF1493" s="144">
        <v>0.8</v>
      </c>
      <c r="AG1493" s="144" t="s">
        <v>166</v>
      </c>
      <c r="AH1493" s="144" t="s">
        <v>210</v>
      </c>
      <c r="AI1493" s="646">
        <v>0.001</v>
      </c>
      <c r="AJ1493" s="52" t="s">
        <v>127</v>
      </c>
      <c r="AK1493" s="52" t="s">
        <v>179</v>
      </c>
      <c r="AL1493" s="147" t="s">
        <v>132</v>
      </c>
      <c r="AM1493" s="48" t="s">
        <v>9504</v>
      </c>
      <c r="AN1493" s="144">
        <v>119.0</v>
      </c>
      <c r="AO1493" s="144">
        <v>0.96</v>
      </c>
      <c r="AP1493" s="144" t="s">
        <v>166</v>
      </c>
      <c r="AQ1493" s="1467" t="s">
        <v>892</v>
      </c>
      <c r="AR1493" s="144">
        <v>0.001</v>
      </c>
      <c r="AS1493" s="147" t="s">
        <v>127</v>
      </c>
      <c r="AT1493" s="147" t="s">
        <v>179</v>
      </c>
      <c r="AU1493" s="147" t="s">
        <v>132</v>
      </c>
      <c r="AV1493" s="60"/>
      <c r="AW1493" s="60" t="s">
        <v>134</v>
      </c>
      <c r="AY1493" s="60" t="s">
        <v>144</v>
      </c>
    </row>
    <row r="1494">
      <c r="A1494" s="115" t="s">
        <v>5350</v>
      </c>
      <c r="B1494" s="41" t="s">
        <v>107</v>
      </c>
      <c r="C1494" s="41" t="s">
        <v>144</v>
      </c>
      <c r="E1494" s="60" t="s">
        <v>9499</v>
      </c>
      <c r="F1494" s="52" t="s">
        <v>9509</v>
      </c>
      <c r="G1494" s="147" t="s">
        <v>144</v>
      </c>
      <c r="H1494" s="140">
        <v>45687.0</v>
      </c>
      <c r="I1494" s="140">
        <v>45692.0</v>
      </c>
      <c r="J1494" s="454" t="s">
        <v>9510</v>
      </c>
      <c r="K1494" s="60"/>
      <c r="L1494" s="147" t="s">
        <v>9464</v>
      </c>
      <c r="M1494" s="147" t="s">
        <v>9465</v>
      </c>
      <c r="N1494" s="144" t="s">
        <v>3771</v>
      </c>
      <c r="O1494" s="145" t="s">
        <v>9483</v>
      </c>
      <c r="P1494" s="48" t="str">
        <f t="array" ref="P1494">HYPERLINK(INDEX('File Links'!B:B, MATCH(O1494, 'File Links'!C:C, 0)))
</f>
        <v>https://drive.google.com/file/d/1d70WNl03Y6R-FQ2zFUG_7JzLtb7KIhMn/view?usp=drivesdk</v>
      </c>
      <c r="Q1494" s="147" t="s">
        <v>6103</v>
      </c>
      <c r="R1494" s="147" t="s">
        <v>6104</v>
      </c>
      <c r="S1494" s="60"/>
      <c r="T1494" s="144">
        <v>1.0</v>
      </c>
      <c r="U1494" s="145" t="s">
        <v>6105</v>
      </c>
      <c r="V1494" s="147" t="s">
        <v>155</v>
      </c>
      <c r="W1494" s="1455" t="str">
        <f> hyperlink(vlookup(lower(R1494),'File Links'!F:G, 2, FALSE), "LINK")</f>
        <v>LINK</v>
      </c>
      <c r="X1494" s="60"/>
      <c r="Y1494" s="147" t="s">
        <v>220</v>
      </c>
      <c r="Z1494" s="147" t="s">
        <v>9484</v>
      </c>
      <c r="AA1494" s="147" t="s">
        <v>9485</v>
      </c>
      <c r="AB1494" s="147" t="s">
        <v>9511</v>
      </c>
      <c r="AC1494" s="147" t="s">
        <v>9512</v>
      </c>
      <c r="AD1494" s="144">
        <v>3.0</v>
      </c>
      <c r="AE1494" s="144">
        <v>88.0</v>
      </c>
      <c r="AF1494" s="144">
        <v>0.62</v>
      </c>
      <c r="AG1494" s="144" t="s">
        <v>166</v>
      </c>
      <c r="AH1494" s="144" t="s">
        <v>210</v>
      </c>
      <c r="AI1494" s="646">
        <v>0.005</v>
      </c>
      <c r="AJ1494" s="52" t="s">
        <v>164</v>
      </c>
      <c r="AK1494" s="52" t="s">
        <v>179</v>
      </c>
      <c r="AL1494" s="147" t="s">
        <v>132</v>
      </c>
      <c r="AM1494" s="48" t="s">
        <v>9504</v>
      </c>
      <c r="AN1494" s="144">
        <v>119.0</v>
      </c>
      <c r="AO1494" s="144">
        <v>0.72</v>
      </c>
      <c r="AP1494" s="144" t="s">
        <v>166</v>
      </c>
      <c r="AQ1494" s="1467" t="s">
        <v>125</v>
      </c>
      <c r="AR1494" s="144">
        <v>0.001</v>
      </c>
      <c r="AS1494" s="147" t="s">
        <v>127</v>
      </c>
      <c r="AT1494" s="147" t="s">
        <v>179</v>
      </c>
      <c r="AU1494" s="147" t="s">
        <v>132</v>
      </c>
      <c r="AV1494" s="60"/>
      <c r="AW1494" s="60" t="s">
        <v>134</v>
      </c>
      <c r="AY1494" s="60" t="s">
        <v>144</v>
      </c>
    </row>
    <row r="1495">
      <c r="A1495" s="115" t="s">
        <v>5350</v>
      </c>
      <c r="B1495" s="41" t="s">
        <v>107</v>
      </c>
      <c r="C1495" s="41" t="s">
        <v>144</v>
      </c>
      <c r="E1495" s="60" t="s">
        <v>9513</v>
      </c>
      <c r="F1495" s="52" t="s">
        <v>9514</v>
      </c>
      <c r="G1495" s="147" t="s">
        <v>144</v>
      </c>
      <c r="H1495" s="140">
        <v>45687.0</v>
      </c>
      <c r="I1495" s="140">
        <v>45692.0</v>
      </c>
      <c r="J1495" s="454" t="s">
        <v>9515</v>
      </c>
      <c r="K1495" s="60"/>
      <c r="L1495" s="147" t="s">
        <v>9464</v>
      </c>
      <c r="M1495" s="147" t="s">
        <v>9465</v>
      </c>
      <c r="N1495" s="144">
        <v>2.0</v>
      </c>
      <c r="O1495" s="145" t="s">
        <v>9483</v>
      </c>
      <c r="P1495" s="48" t="str">
        <f t="array" ref="P1495">HYPERLINK(INDEX('File Links'!B:B, MATCH(O1495, 'File Links'!C:C, 0)))
</f>
        <v>https://drive.google.com/file/d/1d70WNl03Y6R-FQ2zFUG_7JzLtb7KIhMn/view?usp=drivesdk</v>
      </c>
      <c r="Q1495" s="147" t="s">
        <v>6103</v>
      </c>
      <c r="R1495" s="147" t="s">
        <v>6104</v>
      </c>
      <c r="S1495" s="60"/>
      <c r="T1495" s="144">
        <v>1.0</v>
      </c>
      <c r="U1495" s="145" t="s">
        <v>6105</v>
      </c>
      <c r="V1495" s="147" t="s">
        <v>155</v>
      </c>
      <c r="W1495" s="1455" t="str">
        <f> hyperlink(vlookup(lower(R1495),'File Links'!F:G, 2, FALSE), "LINK")</f>
        <v>LINK</v>
      </c>
      <c r="X1495" s="60"/>
      <c r="Y1495" s="147" t="s">
        <v>220</v>
      </c>
      <c r="Z1495" s="147" t="s">
        <v>9484</v>
      </c>
      <c r="AA1495" s="147" t="s">
        <v>9485</v>
      </c>
      <c r="AB1495" s="147" t="s">
        <v>9516</v>
      </c>
      <c r="AC1495" s="147" t="s">
        <v>9517</v>
      </c>
      <c r="AD1495" s="327">
        <v>8.0</v>
      </c>
      <c r="AE1495" s="144">
        <v>118.0</v>
      </c>
      <c r="AF1495" s="327" t="s">
        <v>9518</v>
      </c>
      <c r="AG1495" s="144" t="s">
        <v>162</v>
      </c>
      <c r="AH1495" s="327" t="s">
        <v>610</v>
      </c>
      <c r="AI1495" s="328">
        <v>0.01</v>
      </c>
      <c r="AJ1495" s="52" t="s">
        <v>164</v>
      </c>
      <c r="AK1495" s="52" t="s">
        <v>179</v>
      </c>
      <c r="AL1495" s="147" t="s">
        <v>132</v>
      </c>
      <c r="AM1495" s="48" t="s">
        <v>9504</v>
      </c>
      <c r="AN1495" s="144">
        <v>78.0</v>
      </c>
      <c r="AO1495" s="327" t="s">
        <v>9518</v>
      </c>
      <c r="AP1495" s="144" t="s">
        <v>162</v>
      </c>
      <c r="AQ1495" s="327" t="s">
        <v>1574</v>
      </c>
      <c r="AR1495" s="144">
        <v>0.01</v>
      </c>
      <c r="AS1495" s="147" t="s">
        <v>164</v>
      </c>
      <c r="AT1495" s="147" t="s">
        <v>179</v>
      </c>
      <c r="AU1495" s="147" t="s">
        <v>132</v>
      </c>
      <c r="AV1495" s="60"/>
      <c r="AW1495" s="60" t="s">
        <v>134</v>
      </c>
      <c r="AY1495" s="60" t="s">
        <v>144</v>
      </c>
    </row>
    <row r="1496">
      <c r="A1496" s="115" t="s">
        <v>5350</v>
      </c>
      <c r="B1496" s="41" t="s">
        <v>107</v>
      </c>
      <c r="C1496" s="41" t="s">
        <v>144</v>
      </c>
      <c r="E1496" s="60" t="s">
        <v>9519</v>
      </c>
      <c r="F1496" s="52" t="s">
        <v>9520</v>
      </c>
      <c r="G1496" s="147" t="s">
        <v>144</v>
      </c>
      <c r="H1496" s="140">
        <v>45687.0</v>
      </c>
      <c r="I1496" s="140">
        <v>45692.0</v>
      </c>
      <c r="J1496" s="454" t="s">
        <v>9521</v>
      </c>
      <c r="K1496" s="60"/>
      <c r="L1496" s="147" t="s">
        <v>9464</v>
      </c>
      <c r="M1496" s="147" t="s">
        <v>9465</v>
      </c>
      <c r="N1496" s="144">
        <v>2.0</v>
      </c>
      <c r="O1496" s="145" t="s">
        <v>9483</v>
      </c>
      <c r="P1496" s="48" t="str">
        <f t="array" ref="P1496">HYPERLINK(INDEX('File Links'!B:B, MATCH(O1496, 'File Links'!C:C, 0)))
</f>
        <v>https://drive.google.com/file/d/1d70WNl03Y6R-FQ2zFUG_7JzLtb7KIhMn/view?usp=drivesdk</v>
      </c>
      <c r="Q1496" s="147" t="s">
        <v>6103</v>
      </c>
      <c r="R1496" s="147" t="s">
        <v>6104</v>
      </c>
      <c r="S1496" s="60"/>
      <c r="T1496" s="144">
        <v>1.0</v>
      </c>
      <c r="U1496" s="145" t="s">
        <v>6105</v>
      </c>
      <c r="V1496" s="147" t="s">
        <v>155</v>
      </c>
      <c r="W1496" s="1455" t="str">
        <f> hyperlink(vlookup(lower(R1496),'File Links'!F:G, 2, FALSE), "LINK")</f>
        <v>LINK</v>
      </c>
      <c r="X1496" s="60"/>
      <c r="Y1496" s="147" t="s">
        <v>220</v>
      </c>
      <c r="Z1496" s="147" t="s">
        <v>9484</v>
      </c>
      <c r="AA1496" s="147" t="s">
        <v>9485</v>
      </c>
      <c r="AB1496" s="147" t="s">
        <v>9522</v>
      </c>
      <c r="AC1496" s="147" t="s">
        <v>9523</v>
      </c>
      <c r="AD1496" s="327">
        <v>4.0</v>
      </c>
      <c r="AE1496" s="144">
        <v>118.0</v>
      </c>
      <c r="AF1496" s="327">
        <v>0.6</v>
      </c>
      <c r="AG1496" s="144" t="s">
        <v>166</v>
      </c>
      <c r="AH1496" s="327" t="s">
        <v>861</v>
      </c>
      <c r="AI1496" s="328">
        <v>0.002</v>
      </c>
      <c r="AJ1496" s="52" t="s">
        <v>164</v>
      </c>
      <c r="AK1496" s="52" t="s">
        <v>179</v>
      </c>
      <c r="AL1496" s="147" t="s">
        <v>132</v>
      </c>
      <c r="AM1496" s="48" t="s">
        <v>9504</v>
      </c>
      <c r="AN1496" s="144">
        <v>78.0</v>
      </c>
      <c r="AO1496" s="327">
        <v>0.56</v>
      </c>
      <c r="AP1496" s="327" t="s">
        <v>166</v>
      </c>
      <c r="AQ1496" s="327" t="s">
        <v>629</v>
      </c>
      <c r="AR1496" s="144">
        <v>0.014</v>
      </c>
      <c r="AS1496" s="147" t="s">
        <v>164</v>
      </c>
      <c r="AT1496" s="147" t="s">
        <v>179</v>
      </c>
      <c r="AU1496" s="147" t="s">
        <v>132</v>
      </c>
      <c r="AV1496" s="60"/>
      <c r="AW1496" s="60" t="s">
        <v>134</v>
      </c>
      <c r="AY1496" s="60" t="s">
        <v>144</v>
      </c>
    </row>
    <row r="1497">
      <c r="A1497" s="60" t="s">
        <v>106</v>
      </c>
      <c r="B1497" s="41" t="s">
        <v>107</v>
      </c>
      <c r="C1497" s="41" t="s">
        <v>243</v>
      </c>
      <c r="E1497" s="147" t="s">
        <v>9524</v>
      </c>
      <c r="F1497" s="52" t="s">
        <v>9525</v>
      </c>
      <c r="G1497" s="147" t="s">
        <v>244</v>
      </c>
      <c r="H1497" s="140">
        <v>45663.0</v>
      </c>
      <c r="I1497" s="140">
        <v>45692.0</v>
      </c>
      <c r="J1497" s="412" t="s">
        <v>6190</v>
      </c>
      <c r="K1497" s="60"/>
      <c r="L1497" s="147" t="s">
        <v>9526</v>
      </c>
      <c r="M1497" s="147" t="s">
        <v>9527</v>
      </c>
      <c r="N1497" s="60"/>
      <c r="O1497" s="145" t="str">
        <f> SUBSTITUTE(lower(M1497), "/", "--") &amp;  ".pdf"</f>
        <v>10.1177--147470491100900206.pdf</v>
      </c>
      <c r="P1497" s="48" t="str">
        <f t="array" ref="P1497">HYPERLINK(INDEX('File Links'!B:B, MATCH(O1497, 'File Links'!C:C, 0)))
</f>
        <v>https://drive.google.com/file/d/1VohCyZYrYeQ8wnGKTyDD2fOk8y16yZw3/view?usp=drivesdk</v>
      </c>
      <c r="Q1497" s="147" t="s">
        <v>9528</v>
      </c>
      <c r="R1497" s="147" t="s">
        <v>9529</v>
      </c>
      <c r="S1497" s="60"/>
      <c r="T1497" s="60"/>
      <c r="U1497" s="145" t="s">
        <v>6105</v>
      </c>
      <c r="V1497" s="147" t="s">
        <v>318</v>
      </c>
      <c r="W1497" s="1455" t="str">
        <f> hyperlink(vlookup(lower(R1497),'File Links'!E:F, 2, FALSE), "LINK")</f>
        <v>LINK</v>
      </c>
      <c r="X1497" s="60"/>
      <c r="Y1497" s="147" t="s">
        <v>2900</v>
      </c>
      <c r="Z1497" s="60"/>
      <c r="AA1497" s="60"/>
      <c r="AB1497" s="60"/>
      <c r="AC1497" s="147" t="s">
        <v>165</v>
      </c>
      <c r="AD1497" s="147" t="s">
        <v>165</v>
      </c>
      <c r="AE1497" s="144">
        <v>91.0</v>
      </c>
      <c r="AF1497" s="147" t="s">
        <v>165</v>
      </c>
      <c r="AG1497" s="147" t="s">
        <v>165</v>
      </c>
      <c r="AH1497" s="147" t="s">
        <v>165</v>
      </c>
      <c r="AI1497" s="330" t="s">
        <v>165</v>
      </c>
      <c r="AJ1497" s="55"/>
      <c r="AK1497" s="52" t="s">
        <v>179</v>
      </c>
      <c r="AL1497" s="147" t="s">
        <v>821</v>
      </c>
      <c r="AM1497" s="52" t="s">
        <v>129</v>
      </c>
      <c r="AN1497" s="144">
        <v>90.0</v>
      </c>
      <c r="AO1497" s="147" t="s">
        <v>165</v>
      </c>
      <c r="AP1497" s="60"/>
      <c r="AQ1497" s="60"/>
      <c r="AR1497" s="147" t="s">
        <v>165</v>
      </c>
      <c r="AS1497" s="60"/>
      <c r="AT1497" s="147" t="s">
        <v>179</v>
      </c>
      <c r="AU1497" s="147" t="s">
        <v>821</v>
      </c>
      <c r="AV1497" s="60"/>
      <c r="AW1497" s="147" t="s">
        <v>134</v>
      </c>
      <c r="AY1497" s="60" t="s">
        <v>144</v>
      </c>
    </row>
    <row r="1498">
      <c r="A1498" s="115" t="s">
        <v>5350</v>
      </c>
      <c r="B1498" s="41" t="s">
        <v>107</v>
      </c>
      <c r="C1498" s="41" t="s">
        <v>144</v>
      </c>
      <c r="E1498" s="60" t="s">
        <v>9530</v>
      </c>
      <c r="F1498" s="52" t="s">
        <v>9531</v>
      </c>
      <c r="G1498" s="147" t="s">
        <v>144</v>
      </c>
      <c r="H1498" s="140">
        <v>45687.0</v>
      </c>
      <c r="I1498" s="140">
        <v>45692.0</v>
      </c>
      <c r="J1498" s="454" t="s">
        <v>9532</v>
      </c>
      <c r="K1498" s="60"/>
      <c r="L1498" s="147" t="s">
        <v>9464</v>
      </c>
      <c r="M1498" s="147" t="s">
        <v>9465</v>
      </c>
      <c r="N1498" s="144">
        <v>3.0</v>
      </c>
      <c r="O1498" s="145" t="s">
        <v>9483</v>
      </c>
      <c r="P1498" s="48" t="str">
        <f t="array" ref="P1498">HYPERLINK(INDEX('File Links'!B:B, MATCH(O1498, 'File Links'!C:C, 0)))
</f>
        <v>https://drive.google.com/file/d/1d70WNl03Y6R-FQ2zFUG_7JzLtb7KIhMn/view?usp=drivesdk</v>
      </c>
      <c r="Q1498" s="147" t="s">
        <v>6103</v>
      </c>
      <c r="R1498" s="147" t="s">
        <v>6104</v>
      </c>
      <c r="S1498" s="60"/>
      <c r="T1498" s="144">
        <v>1.0</v>
      </c>
      <c r="U1498" s="145" t="s">
        <v>6105</v>
      </c>
      <c r="V1498" s="147" t="s">
        <v>155</v>
      </c>
      <c r="W1498" s="1455" t="str">
        <f> hyperlink(vlookup(lower(R1498),'File Links'!F:G, 2, FALSE), "LINK")</f>
        <v>LINK</v>
      </c>
      <c r="X1498" s="60"/>
      <c r="Y1498" s="147" t="s">
        <v>220</v>
      </c>
      <c r="Z1498" s="147" t="s">
        <v>9484</v>
      </c>
      <c r="AA1498" s="147" t="s">
        <v>9485</v>
      </c>
      <c r="AB1498" s="60"/>
      <c r="AC1498" s="147" t="s">
        <v>9533</v>
      </c>
      <c r="AD1498" s="1474">
        <v>45813.0</v>
      </c>
      <c r="AE1498" s="144">
        <v>145.0</v>
      </c>
      <c r="AF1498" s="327">
        <v>0.53</v>
      </c>
      <c r="AG1498" s="144" t="s">
        <v>166</v>
      </c>
      <c r="AH1498" s="327" t="s">
        <v>131</v>
      </c>
      <c r="AI1498" s="328">
        <v>0.01</v>
      </c>
      <c r="AJ1498" s="52" t="s">
        <v>127</v>
      </c>
      <c r="AK1498" s="52" t="s">
        <v>179</v>
      </c>
      <c r="AL1498" s="147" t="s">
        <v>132</v>
      </c>
      <c r="AM1498" s="55"/>
      <c r="AN1498" s="327">
        <v>128.0</v>
      </c>
      <c r="AO1498" s="1475">
        <v>24.0</v>
      </c>
      <c r="AP1498" s="144" t="s">
        <v>1006</v>
      </c>
      <c r="AQ1498" s="60"/>
      <c r="AR1498" s="144">
        <v>0.0126</v>
      </c>
      <c r="AS1498" s="147" t="s">
        <v>164</v>
      </c>
      <c r="AT1498" s="147" t="s">
        <v>179</v>
      </c>
      <c r="AU1498" s="147" t="s">
        <v>132</v>
      </c>
      <c r="AV1498" s="60"/>
      <c r="AW1498" s="60" t="s">
        <v>142</v>
      </c>
      <c r="AY1498" s="60" t="s">
        <v>144</v>
      </c>
    </row>
    <row r="1499">
      <c r="A1499" s="115" t="s">
        <v>5350</v>
      </c>
      <c r="B1499" s="41" t="s">
        <v>107</v>
      </c>
      <c r="C1499" s="41" t="s">
        <v>144</v>
      </c>
      <c r="E1499" s="60" t="s">
        <v>9530</v>
      </c>
      <c r="F1499" s="52" t="s">
        <v>9531</v>
      </c>
      <c r="G1499" s="147" t="s">
        <v>144</v>
      </c>
      <c r="H1499" s="140">
        <v>45687.0</v>
      </c>
      <c r="I1499" s="140">
        <v>45692.0</v>
      </c>
      <c r="J1499" s="454" t="s">
        <v>9534</v>
      </c>
      <c r="K1499" s="60"/>
      <c r="L1499" s="147" t="s">
        <v>9464</v>
      </c>
      <c r="M1499" s="147" t="s">
        <v>9465</v>
      </c>
      <c r="N1499" s="144">
        <v>3.0</v>
      </c>
      <c r="O1499" s="145" t="s">
        <v>9483</v>
      </c>
      <c r="P1499" s="48" t="str">
        <f t="array" ref="P1499">HYPERLINK(INDEX('File Links'!B:B, MATCH(O1499, 'File Links'!C:C, 0)))
</f>
        <v>https://drive.google.com/file/d/1d70WNl03Y6R-FQ2zFUG_7JzLtb7KIhMn/view?usp=drivesdk</v>
      </c>
      <c r="Q1499" s="147" t="s">
        <v>6103</v>
      </c>
      <c r="R1499" s="147" t="s">
        <v>6104</v>
      </c>
      <c r="S1499" s="60"/>
      <c r="T1499" s="144">
        <v>1.0</v>
      </c>
      <c r="U1499" s="145" t="s">
        <v>6105</v>
      </c>
      <c r="V1499" s="147" t="s">
        <v>155</v>
      </c>
      <c r="W1499" s="1455" t="str">
        <f> hyperlink(vlookup(lower(R1499),'File Links'!F:G, 2, FALSE), "LINK")</f>
        <v>LINK</v>
      </c>
      <c r="X1499" s="60"/>
      <c r="Y1499" s="147" t="s">
        <v>220</v>
      </c>
      <c r="Z1499" s="147" t="s">
        <v>9484</v>
      </c>
      <c r="AA1499" s="147" t="s">
        <v>9485</v>
      </c>
      <c r="AB1499" s="147" t="s">
        <v>9535</v>
      </c>
      <c r="AC1499" s="147" t="s">
        <v>9536</v>
      </c>
      <c r="AD1499" s="327">
        <v>6.0</v>
      </c>
      <c r="AE1499" s="144">
        <v>145.0</v>
      </c>
      <c r="AF1499" s="327" t="s">
        <v>9537</v>
      </c>
      <c r="AG1499" s="144" t="s">
        <v>162</v>
      </c>
      <c r="AH1499" s="327" t="s">
        <v>131</v>
      </c>
      <c r="AI1499" s="329"/>
      <c r="AJ1499" s="55"/>
      <c r="AK1499" s="52" t="s">
        <v>179</v>
      </c>
      <c r="AL1499" s="147" t="s">
        <v>132</v>
      </c>
      <c r="AM1499" s="55"/>
      <c r="AN1499" s="327">
        <v>128.0</v>
      </c>
      <c r="AO1499" s="327">
        <v>0.3</v>
      </c>
      <c r="AP1499" s="144" t="s">
        <v>1006</v>
      </c>
      <c r="AQ1499" s="60"/>
      <c r="AR1499" s="144">
        <v>0.88295</v>
      </c>
      <c r="AS1499" s="147" t="s">
        <v>164</v>
      </c>
      <c r="AT1499" s="147" t="s">
        <v>179</v>
      </c>
      <c r="AU1499" s="147" t="s">
        <v>132</v>
      </c>
      <c r="AV1499" s="60"/>
      <c r="AW1499" s="60" t="s">
        <v>142</v>
      </c>
      <c r="AY1499" s="60" t="s">
        <v>144</v>
      </c>
    </row>
    <row r="1500" hidden="1">
      <c r="A1500" s="115" t="s">
        <v>5350</v>
      </c>
      <c r="B1500" s="41" t="s">
        <v>107</v>
      </c>
      <c r="C1500" s="41" t="s">
        <v>144</v>
      </c>
      <c r="E1500" s="60" t="s">
        <v>9525</v>
      </c>
      <c r="F1500" s="52" t="s">
        <v>9524</v>
      </c>
      <c r="G1500" s="147" t="s">
        <v>144</v>
      </c>
      <c r="H1500" s="140">
        <v>45687.0</v>
      </c>
      <c r="I1500" s="140">
        <v>45692.0</v>
      </c>
      <c r="J1500" s="412" t="s">
        <v>9538</v>
      </c>
      <c r="K1500" s="60"/>
      <c r="L1500" s="147" t="s">
        <v>9526</v>
      </c>
      <c r="M1500" s="147" t="s">
        <v>9527</v>
      </c>
      <c r="N1500" s="144">
        <v>1.0</v>
      </c>
      <c r="O1500" s="145" t="s">
        <v>9539</v>
      </c>
      <c r="P1500" s="48" t="str">
        <f t="array" ref="P1500">HYPERLINK(INDEX('File Links'!B:B, MATCH(O1500, 'File Links'!C:C, 0)))
</f>
        <v>https://drive.google.com/file/d/1VohCyZYrYeQ8wnGKTyDD2fOk8y16yZw3/view?usp=drivesdk</v>
      </c>
      <c r="Q1500" s="147" t="s">
        <v>6103</v>
      </c>
      <c r="R1500" s="147" t="s">
        <v>6104</v>
      </c>
      <c r="S1500" s="60"/>
      <c r="T1500" s="144">
        <v>1.0</v>
      </c>
      <c r="U1500" s="145" t="s">
        <v>6105</v>
      </c>
      <c r="V1500" s="147" t="s">
        <v>155</v>
      </c>
      <c r="W1500" s="1455" t="str">
        <f> hyperlink(vlookup(lower(R1500),'File Links'!F:G, 2, FALSE), "LINK")</f>
        <v>LINK</v>
      </c>
      <c r="X1500" s="147" t="s">
        <v>9540</v>
      </c>
      <c r="Y1500" s="60"/>
      <c r="Z1500" s="60"/>
      <c r="AA1500" s="60"/>
      <c r="AB1500" s="60"/>
      <c r="AC1500" s="60"/>
      <c r="AD1500" s="60"/>
      <c r="AE1500" s="60"/>
      <c r="AF1500" s="60"/>
      <c r="AG1500" s="60"/>
      <c r="AH1500" s="60"/>
      <c r="AI1500" s="329"/>
      <c r="AJ1500" s="55"/>
      <c r="AK1500" s="55"/>
      <c r="AL1500" s="60"/>
      <c r="AM1500" s="55"/>
      <c r="AN1500" s="60"/>
      <c r="AO1500" s="60"/>
      <c r="AP1500" s="60"/>
      <c r="AQ1500" s="60"/>
      <c r="AR1500" s="60"/>
      <c r="AS1500" s="60"/>
      <c r="AT1500" s="60"/>
      <c r="AU1500" s="60"/>
      <c r="AV1500" s="60"/>
      <c r="AW1500" s="60"/>
      <c r="AY1500" s="60" t="s">
        <v>144</v>
      </c>
    </row>
    <row r="1501">
      <c r="A1501" s="115" t="s">
        <v>5350</v>
      </c>
      <c r="B1501" s="41" t="s">
        <v>107</v>
      </c>
      <c r="C1501" s="41" t="s">
        <v>144</v>
      </c>
      <c r="E1501" s="60" t="s">
        <v>9530</v>
      </c>
      <c r="F1501" s="52" t="s">
        <v>9531</v>
      </c>
      <c r="G1501" s="147" t="s">
        <v>144</v>
      </c>
      <c r="H1501" s="140">
        <v>45687.0</v>
      </c>
      <c r="I1501" s="140">
        <v>45692.0</v>
      </c>
      <c r="J1501" s="454" t="s">
        <v>9541</v>
      </c>
      <c r="K1501" s="60"/>
      <c r="L1501" s="147" t="s">
        <v>9464</v>
      </c>
      <c r="M1501" s="147" t="s">
        <v>9465</v>
      </c>
      <c r="N1501" s="144">
        <v>3.0</v>
      </c>
      <c r="O1501" s="145" t="s">
        <v>9483</v>
      </c>
      <c r="P1501" s="48" t="str">
        <f t="array" ref="P1501">HYPERLINK(INDEX('File Links'!B:B, MATCH(O1501, 'File Links'!C:C, 0)))
</f>
        <v>https://drive.google.com/file/d/1d70WNl03Y6R-FQ2zFUG_7JzLtb7KIhMn/view?usp=drivesdk</v>
      </c>
      <c r="Q1501" s="147" t="s">
        <v>6103</v>
      </c>
      <c r="R1501" s="147" t="s">
        <v>6104</v>
      </c>
      <c r="S1501" s="60"/>
      <c r="T1501" s="144">
        <v>1.0</v>
      </c>
      <c r="U1501" s="145" t="s">
        <v>6105</v>
      </c>
      <c r="V1501" s="147" t="s">
        <v>155</v>
      </c>
      <c r="W1501" s="1455" t="str">
        <f> hyperlink(vlookup(lower(R1501),'File Links'!F:G, 2, FALSE), "LINK")</f>
        <v>LINK</v>
      </c>
      <c r="X1501" s="60"/>
      <c r="Y1501" s="147" t="s">
        <v>220</v>
      </c>
      <c r="Z1501" s="147" t="s">
        <v>9484</v>
      </c>
      <c r="AA1501" s="147" t="s">
        <v>9485</v>
      </c>
      <c r="AB1501" s="147" t="s">
        <v>9542</v>
      </c>
      <c r="AC1501" s="147" t="s">
        <v>9543</v>
      </c>
      <c r="AD1501" s="327">
        <v>6.0</v>
      </c>
      <c r="AE1501" s="144">
        <v>145.0</v>
      </c>
      <c r="AF1501" s="327" t="s">
        <v>9544</v>
      </c>
      <c r="AG1501" s="144" t="s">
        <v>162</v>
      </c>
      <c r="AH1501" s="327" t="s">
        <v>131</v>
      </c>
      <c r="AI1501" s="329"/>
      <c r="AJ1501" s="55"/>
      <c r="AK1501" s="52" t="s">
        <v>179</v>
      </c>
      <c r="AL1501" s="147" t="s">
        <v>132</v>
      </c>
      <c r="AM1501" s="55"/>
      <c r="AN1501" s="327">
        <v>128.0</v>
      </c>
      <c r="AO1501" s="1475">
        <v>3.222</v>
      </c>
      <c r="AP1501" s="144" t="s">
        <v>1006</v>
      </c>
      <c r="AQ1501" s="60"/>
      <c r="AR1501" s="144">
        <v>0.199011</v>
      </c>
      <c r="AS1501" s="147" t="s">
        <v>164</v>
      </c>
      <c r="AT1501" s="147" t="s">
        <v>179</v>
      </c>
      <c r="AU1501" s="147" t="s">
        <v>132</v>
      </c>
      <c r="AV1501" s="60"/>
      <c r="AW1501" s="60" t="s">
        <v>142</v>
      </c>
      <c r="AY1501" s="60" t="s">
        <v>144</v>
      </c>
    </row>
    <row r="1502">
      <c r="A1502" s="60" t="s">
        <v>106</v>
      </c>
      <c r="B1502" s="41" t="s">
        <v>107</v>
      </c>
      <c r="C1502" s="41" t="s">
        <v>243</v>
      </c>
      <c r="E1502" s="147" t="s">
        <v>9545</v>
      </c>
      <c r="F1502" s="52" t="s">
        <v>9546</v>
      </c>
      <c r="G1502" s="147" t="s">
        <v>244</v>
      </c>
      <c r="H1502" s="140">
        <v>45670.0</v>
      </c>
      <c r="I1502" s="140">
        <v>45692.0</v>
      </c>
      <c r="J1502" s="60"/>
      <c r="K1502" s="147" t="s">
        <v>9078</v>
      </c>
      <c r="L1502" s="147" t="s">
        <v>9547</v>
      </c>
      <c r="M1502" s="147" t="s">
        <v>9548</v>
      </c>
      <c r="N1502" s="60"/>
      <c r="O1502" s="145" t="str">
        <f> SUBSTITUTE(lower(M1502), "/", "--") &amp;  ".pdf"</f>
        <v>10.1177--0956797615598739.pdf</v>
      </c>
      <c r="P1502" s="48" t="str">
        <f t="array" ref="P1502">HYPERLINK(INDEX('File Links'!B:B, MATCH(O1502, 'File Links'!C:C, 0)))
</f>
        <v>https://drive.google.com/file/d/1pCInedMgb6ub4Ncim1wJ4bHJ2ouwc85m/view?usp=drivesdk</v>
      </c>
      <c r="Q1502" s="147" t="s">
        <v>9549</v>
      </c>
      <c r="R1502" s="147" t="s">
        <v>9550</v>
      </c>
      <c r="S1502" s="60"/>
      <c r="T1502" s="60"/>
      <c r="U1502" s="145" t="s">
        <v>6105</v>
      </c>
      <c r="V1502" s="147" t="s">
        <v>318</v>
      </c>
      <c r="W1502" s="1455" t="str">
        <f> hyperlink(vlookup(lower(R1502),'File Links'!E:F, 2, FALSE), "LINK")</f>
        <v>LINK</v>
      </c>
      <c r="X1502" s="60"/>
      <c r="Y1502" s="147" t="s">
        <v>220</v>
      </c>
      <c r="Z1502" s="60"/>
      <c r="AA1502" s="147" t="s">
        <v>5593</v>
      </c>
      <c r="AB1502" s="60"/>
      <c r="AC1502" s="147" t="s">
        <v>9551</v>
      </c>
      <c r="AD1502" s="1265">
        <v>3.0</v>
      </c>
      <c r="AE1502" s="144">
        <v>80.0</v>
      </c>
      <c r="AF1502" s="144">
        <v>75.02</v>
      </c>
      <c r="AG1502" s="147" t="s">
        <v>1051</v>
      </c>
      <c r="AH1502" s="147" t="s">
        <v>494</v>
      </c>
      <c r="AI1502" s="646">
        <v>0.001</v>
      </c>
      <c r="AJ1502" s="52" t="s">
        <v>127</v>
      </c>
      <c r="AK1502" s="52" t="s">
        <v>179</v>
      </c>
      <c r="AL1502" s="147" t="s">
        <v>132</v>
      </c>
      <c r="AM1502" s="52" t="s">
        <v>129</v>
      </c>
      <c r="AN1502" s="144">
        <v>84.0</v>
      </c>
      <c r="AO1502" s="144">
        <v>1.91434434878218</v>
      </c>
      <c r="AP1502" s="147" t="s">
        <v>166</v>
      </c>
      <c r="AQ1502" s="60"/>
      <c r="AR1502" s="1351">
        <v>2.03963080148808E-13</v>
      </c>
      <c r="AS1502" s="147" t="s">
        <v>164</v>
      </c>
      <c r="AT1502" s="147" t="s">
        <v>179</v>
      </c>
      <c r="AU1502" s="147" t="s">
        <v>132</v>
      </c>
      <c r="AV1502" s="60"/>
      <c r="AW1502" s="147" t="s">
        <v>134</v>
      </c>
      <c r="AY1502" s="60" t="s">
        <v>144</v>
      </c>
    </row>
    <row r="1503">
      <c r="A1503" s="60" t="s">
        <v>586</v>
      </c>
      <c r="B1503" s="41" t="s">
        <v>107</v>
      </c>
      <c r="C1503" s="41" t="s">
        <v>144</v>
      </c>
      <c r="E1503" s="60" t="s">
        <v>9546</v>
      </c>
      <c r="F1503" s="52" t="s">
        <v>9552</v>
      </c>
      <c r="G1503" s="147" t="s">
        <v>144</v>
      </c>
      <c r="H1503" s="140">
        <v>45687.0</v>
      </c>
      <c r="I1503" s="140">
        <v>45692.0</v>
      </c>
      <c r="J1503" s="454" t="s">
        <v>9553</v>
      </c>
      <c r="K1503" s="147" t="s">
        <v>9554</v>
      </c>
      <c r="L1503" s="147" t="s">
        <v>9547</v>
      </c>
      <c r="M1503" s="147" t="s">
        <v>9548</v>
      </c>
      <c r="N1503" s="144">
        <v>1.0</v>
      </c>
      <c r="O1503" s="145" t="s">
        <v>9555</v>
      </c>
      <c r="P1503" s="48" t="str">
        <f t="array" ref="P1503">HYPERLINK(INDEX('File Links'!B:B, MATCH(O1503, 'File Links'!C:C, 0)))
</f>
        <v>https://drive.google.com/file/d/1pCInedMgb6ub4Ncim1wJ4bHJ2ouwc85m/view?usp=drivesdk</v>
      </c>
      <c r="Q1503" s="147" t="s">
        <v>6103</v>
      </c>
      <c r="R1503" s="147" t="s">
        <v>6104</v>
      </c>
      <c r="S1503" s="60"/>
      <c r="T1503" s="144">
        <v>1.0</v>
      </c>
      <c r="U1503" s="145" t="s">
        <v>6105</v>
      </c>
      <c r="V1503" s="147" t="s">
        <v>9109</v>
      </c>
      <c r="W1503" s="1455" t="str">
        <f> hyperlink(vlookup(lower(R1503),'File Links'!F:G, 2, FALSE), "LINK")</f>
        <v>LINK</v>
      </c>
      <c r="X1503" s="60"/>
      <c r="Y1503" s="147" t="s">
        <v>220</v>
      </c>
      <c r="Z1503" s="147" t="s">
        <v>9556</v>
      </c>
      <c r="AA1503" s="412" t="s">
        <v>9557</v>
      </c>
      <c r="AB1503" s="147" t="s">
        <v>9558</v>
      </c>
      <c r="AC1503" s="147" t="s">
        <v>9559</v>
      </c>
      <c r="AD1503" s="144">
        <v>4.0</v>
      </c>
      <c r="AE1503" s="144">
        <v>80.0</v>
      </c>
      <c r="AF1503" s="144">
        <v>0.49</v>
      </c>
      <c r="AG1503" s="144" t="s">
        <v>1785</v>
      </c>
      <c r="AH1503" s="144" t="s">
        <v>861</v>
      </c>
      <c r="AI1503" s="646">
        <v>0.001</v>
      </c>
      <c r="AJ1503" s="52" t="s">
        <v>127</v>
      </c>
      <c r="AK1503" s="52" t="s">
        <v>179</v>
      </c>
      <c r="AL1503" s="147" t="s">
        <v>132</v>
      </c>
      <c r="AM1503" s="55"/>
      <c r="AN1503" s="144">
        <v>84.0</v>
      </c>
      <c r="AO1503" s="144" t="s">
        <v>9560</v>
      </c>
      <c r="AP1503" s="144" t="s">
        <v>162</v>
      </c>
      <c r="AQ1503" s="60"/>
      <c r="AR1503" s="144">
        <v>0.0169</v>
      </c>
      <c r="AS1503" s="147" t="s">
        <v>164</v>
      </c>
      <c r="AT1503" s="147" t="s">
        <v>179</v>
      </c>
      <c r="AU1503" s="147" t="s">
        <v>132</v>
      </c>
      <c r="AV1503" s="60"/>
      <c r="AW1503" s="60" t="s">
        <v>142</v>
      </c>
      <c r="AY1503" s="60" t="s">
        <v>144</v>
      </c>
    </row>
    <row r="1504">
      <c r="A1504" s="115" t="s">
        <v>5350</v>
      </c>
      <c r="B1504" s="41" t="s">
        <v>107</v>
      </c>
      <c r="C1504" s="41" t="s">
        <v>144</v>
      </c>
      <c r="E1504" s="60" t="s">
        <v>9546</v>
      </c>
      <c r="F1504" s="52" t="s">
        <v>9561</v>
      </c>
      <c r="G1504" s="147" t="s">
        <v>144</v>
      </c>
      <c r="H1504" s="140">
        <v>45687.0</v>
      </c>
      <c r="I1504" s="140">
        <v>45692.0</v>
      </c>
      <c r="J1504" s="454" t="s">
        <v>9562</v>
      </c>
      <c r="K1504" s="60"/>
      <c r="L1504" s="147" t="s">
        <v>9547</v>
      </c>
      <c r="M1504" s="147" t="s">
        <v>9548</v>
      </c>
      <c r="N1504" s="144">
        <v>1.0</v>
      </c>
      <c r="O1504" s="145" t="s">
        <v>9555</v>
      </c>
      <c r="P1504" s="48" t="str">
        <f t="array" ref="P1504">HYPERLINK(INDEX('File Links'!B:B, MATCH(O1504, 'File Links'!C:C, 0)))
</f>
        <v>https://drive.google.com/file/d/1pCInedMgb6ub4Ncim1wJ4bHJ2ouwc85m/view?usp=drivesdk</v>
      </c>
      <c r="Q1504" s="147" t="s">
        <v>6103</v>
      </c>
      <c r="R1504" s="147" t="s">
        <v>6104</v>
      </c>
      <c r="S1504" s="60"/>
      <c r="T1504" s="144">
        <v>1.0</v>
      </c>
      <c r="U1504" s="145" t="s">
        <v>6105</v>
      </c>
      <c r="V1504" s="147" t="s">
        <v>9109</v>
      </c>
      <c r="W1504" s="1455" t="str">
        <f> hyperlink(vlookup(lower(R1504),'File Links'!F:G, 2, FALSE), "LINK")</f>
        <v>LINK</v>
      </c>
      <c r="X1504" s="60"/>
      <c r="Y1504" s="147" t="s">
        <v>220</v>
      </c>
      <c r="Z1504" s="147" t="s">
        <v>9556</v>
      </c>
      <c r="AA1504" s="412" t="s">
        <v>9557</v>
      </c>
      <c r="AB1504" s="147" t="s">
        <v>9563</v>
      </c>
      <c r="AC1504" s="147" t="s">
        <v>9564</v>
      </c>
      <c r="AD1504" s="327">
        <v>4.0</v>
      </c>
      <c r="AE1504" s="144">
        <v>80.0</v>
      </c>
      <c r="AF1504" s="327">
        <v>0.04</v>
      </c>
      <c r="AG1504" s="144" t="s">
        <v>1785</v>
      </c>
      <c r="AH1504" s="327" t="s">
        <v>861</v>
      </c>
      <c r="AI1504" s="328">
        <v>0.84</v>
      </c>
      <c r="AJ1504" s="52" t="s">
        <v>164</v>
      </c>
      <c r="AK1504" s="52" t="s">
        <v>179</v>
      </c>
      <c r="AL1504" s="147" t="s">
        <v>132</v>
      </c>
      <c r="AM1504" s="55"/>
      <c r="AN1504" s="144">
        <v>84.0</v>
      </c>
      <c r="AO1504" s="327" t="s">
        <v>9565</v>
      </c>
      <c r="AP1504" s="144" t="s">
        <v>162</v>
      </c>
      <c r="AQ1504" s="60"/>
      <c r="AR1504" s="144">
        <v>0.8952</v>
      </c>
      <c r="AS1504" s="147" t="s">
        <v>164</v>
      </c>
      <c r="AT1504" s="147" t="s">
        <v>179</v>
      </c>
      <c r="AU1504" s="147" t="s">
        <v>132</v>
      </c>
      <c r="AV1504" s="60"/>
      <c r="AW1504" s="60" t="s">
        <v>142</v>
      </c>
      <c r="AY1504" s="60" t="s">
        <v>144</v>
      </c>
    </row>
    <row r="1505">
      <c r="A1505" s="115" t="s">
        <v>5350</v>
      </c>
      <c r="B1505" s="41" t="s">
        <v>107</v>
      </c>
      <c r="C1505" s="41" t="s">
        <v>144</v>
      </c>
      <c r="E1505" s="60" t="s">
        <v>9546</v>
      </c>
      <c r="F1505" s="52" t="s">
        <v>9566</v>
      </c>
      <c r="G1505" s="147" t="s">
        <v>144</v>
      </c>
      <c r="H1505" s="140">
        <v>45687.0</v>
      </c>
      <c r="I1505" s="140">
        <v>45692.0</v>
      </c>
      <c r="J1505" s="454" t="s">
        <v>9567</v>
      </c>
      <c r="K1505" s="60"/>
      <c r="L1505" s="147" t="s">
        <v>9547</v>
      </c>
      <c r="M1505" s="147" t="s">
        <v>9548</v>
      </c>
      <c r="N1505" s="144">
        <v>1.0</v>
      </c>
      <c r="O1505" s="145" t="s">
        <v>9555</v>
      </c>
      <c r="P1505" s="48" t="str">
        <f t="array" ref="P1505">HYPERLINK(INDEX('File Links'!B:B, MATCH(O1505, 'File Links'!C:C, 0)))
</f>
        <v>https://drive.google.com/file/d/1pCInedMgb6ub4Ncim1wJ4bHJ2ouwc85m/view?usp=drivesdk</v>
      </c>
      <c r="Q1505" s="147" t="s">
        <v>6103</v>
      </c>
      <c r="R1505" s="147" t="s">
        <v>6104</v>
      </c>
      <c r="S1505" s="60"/>
      <c r="T1505" s="144">
        <v>1.0</v>
      </c>
      <c r="U1505" s="145" t="s">
        <v>6105</v>
      </c>
      <c r="V1505" s="147" t="s">
        <v>9109</v>
      </c>
      <c r="W1505" s="1455" t="str">
        <f> hyperlink(vlookup(lower(R1505),'File Links'!F:G, 2, FALSE), "LINK")</f>
        <v>LINK</v>
      </c>
      <c r="X1505" s="60"/>
      <c r="Y1505" s="147" t="s">
        <v>220</v>
      </c>
      <c r="Z1505" s="147" t="s">
        <v>9556</v>
      </c>
      <c r="AA1505" s="412" t="s">
        <v>9557</v>
      </c>
      <c r="AB1505" s="147" t="s">
        <v>9568</v>
      </c>
      <c r="AC1505" s="147" t="s">
        <v>9569</v>
      </c>
      <c r="AD1505" s="327">
        <v>4.0</v>
      </c>
      <c r="AE1505" s="144">
        <v>80.0</v>
      </c>
      <c r="AF1505" s="327">
        <v>1.25</v>
      </c>
      <c r="AG1505" s="144" t="s">
        <v>166</v>
      </c>
      <c r="AH1505" s="327" t="s">
        <v>861</v>
      </c>
      <c r="AI1505" s="328">
        <v>0.001</v>
      </c>
      <c r="AJ1505" s="52" t="s">
        <v>127</v>
      </c>
      <c r="AK1505" s="52" t="s">
        <v>179</v>
      </c>
      <c r="AL1505" s="147" t="s">
        <v>132</v>
      </c>
      <c r="AM1505" s="55"/>
      <c r="AN1505" s="144">
        <v>84.0</v>
      </c>
      <c r="AO1505" s="327">
        <v>0.7293456</v>
      </c>
      <c r="AP1505" s="327" t="s">
        <v>166</v>
      </c>
      <c r="AQ1505" s="60"/>
      <c r="AR1505" s="144">
        <v>0.076</v>
      </c>
      <c r="AS1505" s="147" t="s">
        <v>164</v>
      </c>
      <c r="AT1505" s="147" t="s">
        <v>179</v>
      </c>
      <c r="AU1505" s="147" t="s">
        <v>132</v>
      </c>
      <c r="AV1505" s="60"/>
      <c r="AW1505" s="60" t="s">
        <v>142</v>
      </c>
      <c r="AY1505" s="60" t="s">
        <v>144</v>
      </c>
    </row>
    <row r="1506">
      <c r="A1506" s="115" t="s">
        <v>5350</v>
      </c>
      <c r="B1506" s="41" t="s">
        <v>107</v>
      </c>
      <c r="C1506" s="41" t="s">
        <v>144</v>
      </c>
      <c r="E1506" s="60" t="s">
        <v>9546</v>
      </c>
      <c r="F1506" s="52" t="s">
        <v>9570</v>
      </c>
      <c r="G1506" s="147" t="s">
        <v>144</v>
      </c>
      <c r="H1506" s="140">
        <v>45687.0</v>
      </c>
      <c r="I1506" s="140">
        <v>45692.0</v>
      </c>
      <c r="J1506" s="454" t="s">
        <v>9571</v>
      </c>
      <c r="K1506" s="60"/>
      <c r="L1506" s="147" t="s">
        <v>9547</v>
      </c>
      <c r="M1506" s="147" t="s">
        <v>9548</v>
      </c>
      <c r="N1506" s="144">
        <v>1.0</v>
      </c>
      <c r="O1506" s="145" t="s">
        <v>9555</v>
      </c>
      <c r="P1506" s="48" t="str">
        <f t="array" ref="P1506">HYPERLINK(INDEX('File Links'!B:B, MATCH(O1506, 'File Links'!C:C, 0)))
</f>
        <v>https://drive.google.com/file/d/1pCInedMgb6ub4Ncim1wJ4bHJ2ouwc85m/view?usp=drivesdk</v>
      </c>
      <c r="Q1506" s="147" t="s">
        <v>6103</v>
      </c>
      <c r="R1506" s="147" t="s">
        <v>6104</v>
      </c>
      <c r="S1506" s="60"/>
      <c r="T1506" s="144">
        <v>1.0</v>
      </c>
      <c r="U1506" s="145" t="s">
        <v>6105</v>
      </c>
      <c r="V1506" s="147" t="s">
        <v>9109</v>
      </c>
      <c r="W1506" s="1455" t="str">
        <f> hyperlink(vlookup(lower(R1506),'File Links'!F:G, 2, FALSE), "LINK")</f>
        <v>LINK</v>
      </c>
      <c r="X1506" s="60"/>
      <c r="Y1506" s="147" t="s">
        <v>220</v>
      </c>
      <c r="Z1506" s="147" t="s">
        <v>9556</v>
      </c>
      <c r="AA1506" s="412" t="s">
        <v>9557</v>
      </c>
      <c r="AB1506" s="147" t="s">
        <v>9572</v>
      </c>
      <c r="AC1506" s="147" t="s">
        <v>9573</v>
      </c>
      <c r="AD1506" s="327">
        <v>4.0</v>
      </c>
      <c r="AE1506" s="144">
        <v>80.0</v>
      </c>
      <c r="AF1506" s="327">
        <v>0.94</v>
      </c>
      <c r="AG1506" s="144" t="s">
        <v>166</v>
      </c>
      <c r="AH1506" s="327" t="s">
        <v>861</v>
      </c>
      <c r="AI1506" s="328">
        <v>0.001</v>
      </c>
      <c r="AJ1506" s="52" t="s">
        <v>127</v>
      </c>
      <c r="AK1506" s="52" t="s">
        <v>179</v>
      </c>
      <c r="AL1506" s="147" t="s">
        <v>132</v>
      </c>
      <c r="AM1506" s="55"/>
      <c r="AN1506" s="144">
        <v>84.0</v>
      </c>
      <c r="AO1506" s="327">
        <v>0.9725716</v>
      </c>
      <c r="AP1506" s="327" t="s">
        <v>166</v>
      </c>
      <c r="AQ1506" s="60"/>
      <c r="AR1506" s="144">
        <v>0.144</v>
      </c>
      <c r="AS1506" s="147" t="s">
        <v>164</v>
      </c>
      <c r="AT1506" s="147" t="s">
        <v>179</v>
      </c>
      <c r="AU1506" s="147" t="s">
        <v>132</v>
      </c>
      <c r="AV1506" s="60"/>
      <c r="AW1506" s="60" t="s">
        <v>142</v>
      </c>
      <c r="AY1506" s="60" t="s">
        <v>144</v>
      </c>
    </row>
    <row r="1507">
      <c r="A1507" s="115" t="s">
        <v>5350</v>
      </c>
      <c r="B1507" s="41" t="s">
        <v>107</v>
      </c>
      <c r="C1507" s="41" t="s">
        <v>144</v>
      </c>
      <c r="E1507" s="60" t="s">
        <v>9546</v>
      </c>
      <c r="F1507" s="52" t="s">
        <v>9574</v>
      </c>
      <c r="G1507" s="147" t="s">
        <v>144</v>
      </c>
      <c r="H1507" s="140">
        <v>45687.0</v>
      </c>
      <c r="I1507" s="140">
        <v>45692.0</v>
      </c>
      <c r="J1507" s="454" t="s">
        <v>9575</v>
      </c>
      <c r="K1507" s="60"/>
      <c r="L1507" s="147" t="s">
        <v>9547</v>
      </c>
      <c r="M1507" s="147" t="s">
        <v>9548</v>
      </c>
      <c r="N1507" s="144">
        <v>1.0</v>
      </c>
      <c r="O1507" s="145" t="s">
        <v>9555</v>
      </c>
      <c r="P1507" s="48" t="str">
        <f t="array" ref="P1507">HYPERLINK(INDEX('File Links'!B:B, MATCH(O1507, 'File Links'!C:C, 0)))
</f>
        <v>https://drive.google.com/file/d/1pCInedMgb6ub4Ncim1wJ4bHJ2ouwc85m/view?usp=drivesdk</v>
      </c>
      <c r="Q1507" s="147" t="s">
        <v>6103</v>
      </c>
      <c r="R1507" s="147" t="s">
        <v>6104</v>
      </c>
      <c r="S1507" s="60"/>
      <c r="T1507" s="144">
        <v>1.0</v>
      </c>
      <c r="U1507" s="145" t="s">
        <v>6105</v>
      </c>
      <c r="V1507" s="147" t="s">
        <v>9109</v>
      </c>
      <c r="W1507" s="1455" t="str">
        <f> hyperlink(vlookup(lower(R1507),'File Links'!F:G, 2, FALSE), "LINK")</f>
        <v>LINK</v>
      </c>
      <c r="X1507" s="60"/>
      <c r="Y1507" s="147" t="s">
        <v>220</v>
      </c>
      <c r="Z1507" s="147" t="s">
        <v>9556</v>
      </c>
      <c r="AA1507" s="412" t="s">
        <v>9557</v>
      </c>
      <c r="AB1507" s="147" t="s">
        <v>9576</v>
      </c>
      <c r="AC1507" s="147" t="s">
        <v>9577</v>
      </c>
      <c r="AD1507" s="327">
        <v>4.0</v>
      </c>
      <c r="AE1507" s="144">
        <v>80.0</v>
      </c>
      <c r="AF1507" s="327">
        <v>0.71</v>
      </c>
      <c r="AG1507" s="144" t="s">
        <v>166</v>
      </c>
      <c r="AH1507" s="327" t="s">
        <v>861</v>
      </c>
      <c r="AI1507" s="328">
        <v>0.002</v>
      </c>
      <c r="AJ1507" s="52" t="s">
        <v>164</v>
      </c>
      <c r="AK1507" s="52" t="s">
        <v>179</v>
      </c>
      <c r="AL1507" s="147" t="s">
        <v>132</v>
      </c>
      <c r="AM1507" s="55"/>
      <c r="AN1507" s="144">
        <v>84.0</v>
      </c>
      <c r="AO1507" s="327">
        <v>0.1427911</v>
      </c>
      <c r="AP1507" s="327" t="s">
        <v>166</v>
      </c>
      <c r="AQ1507" s="511"/>
      <c r="AR1507" s="144">
        <v>0.689</v>
      </c>
      <c r="AS1507" s="147" t="s">
        <v>164</v>
      </c>
      <c r="AT1507" s="147" t="s">
        <v>179</v>
      </c>
      <c r="AU1507" s="147" t="s">
        <v>132</v>
      </c>
      <c r="AV1507" s="60"/>
      <c r="AW1507" s="60" t="s">
        <v>142</v>
      </c>
      <c r="AY1507" s="60" t="s">
        <v>144</v>
      </c>
    </row>
    <row r="1508">
      <c r="A1508" s="60" t="s">
        <v>586</v>
      </c>
      <c r="B1508" s="41" t="s">
        <v>107</v>
      </c>
      <c r="C1508" s="41" t="s">
        <v>144</v>
      </c>
      <c r="E1508" s="60" t="s">
        <v>9546</v>
      </c>
      <c r="F1508" s="52" t="s">
        <v>9578</v>
      </c>
      <c r="G1508" s="147" t="s">
        <v>144</v>
      </c>
      <c r="H1508" s="140">
        <v>45687.0</v>
      </c>
      <c r="I1508" s="140">
        <v>45692.0</v>
      </c>
      <c r="J1508" s="454" t="s">
        <v>9579</v>
      </c>
      <c r="K1508" s="1476" t="s">
        <v>9580</v>
      </c>
      <c r="L1508" s="147" t="s">
        <v>9547</v>
      </c>
      <c r="M1508" s="147" t="s">
        <v>9548</v>
      </c>
      <c r="N1508" s="144">
        <v>1.0</v>
      </c>
      <c r="O1508" s="145" t="s">
        <v>9555</v>
      </c>
      <c r="P1508" s="48" t="str">
        <f t="array" ref="P1508">HYPERLINK(INDEX('File Links'!B:B, MATCH(O1508, 'File Links'!C:C, 0)))
</f>
        <v>https://drive.google.com/file/d/1pCInedMgb6ub4Ncim1wJ4bHJ2ouwc85m/view?usp=drivesdk</v>
      </c>
      <c r="Q1508" s="147" t="s">
        <v>6103</v>
      </c>
      <c r="R1508" s="147" t="s">
        <v>6104</v>
      </c>
      <c r="S1508" s="60"/>
      <c r="T1508" s="144">
        <v>1.0</v>
      </c>
      <c r="U1508" s="145" t="s">
        <v>6105</v>
      </c>
      <c r="V1508" s="147" t="s">
        <v>9109</v>
      </c>
      <c r="W1508" s="1455" t="str">
        <f> hyperlink(vlookup(lower(R1508),'File Links'!F:G, 2, FALSE), "LINK")</f>
        <v>LINK</v>
      </c>
      <c r="X1508" s="60"/>
      <c r="Y1508" s="147" t="s">
        <v>220</v>
      </c>
      <c r="Z1508" s="147" t="s">
        <v>9556</v>
      </c>
      <c r="AA1508" s="412" t="s">
        <v>9557</v>
      </c>
      <c r="AB1508" s="147" t="s">
        <v>9581</v>
      </c>
      <c r="AC1508" s="147" t="s">
        <v>9582</v>
      </c>
      <c r="AD1508" s="327">
        <v>4.0</v>
      </c>
      <c r="AE1508" s="144">
        <v>80.0</v>
      </c>
      <c r="AF1508" s="327" t="s">
        <v>9583</v>
      </c>
      <c r="AG1508" s="144" t="s">
        <v>162</v>
      </c>
      <c r="AH1508" s="327" t="s">
        <v>861</v>
      </c>
      <c r="AI1508" s="328">
        <v>0.536</v>
      </c>
      <c r="AJ1508" s="52" t="s">
        <v>164</v>
      </c>
      <c r="AK1508" s="52" t="s">
        <v>179</v>
      </c>
      <c r="AL1508" s="147" t="s">
        <v>132</v>
      </c>
      <c r="AM1508" s="55"/>
      <c r="AN1508" s="144">
        <v>84.0</v>
      </c>
      <c r="AO1508" s="327">
        <v>0.23</v>
      </c>
      <c r="AP1508" s="327" t="s">
        <v>166</v>
      </c>
      <c r="AQ1508" s="511"/>
      <c r="AR1508" s="144">
        <v>0.52</v>
      </c>
      <c r="AS1508" s="147" t="s">
        <v>164</v>
      </c>
      <c r="AT1508" s="147" t="s">
        <v>179</v>
      </c>
      <c r="AU1508" s="147" t="s">
        <v>132</v>
      </c>
      <c r="AV1508" s="60"/>
      <c r="AW1508" s="60" t="s">
        <v>142</v>
      </c>
      <c r="AY1508" s="60" t="s">
        <v>144</v>
      </c>
    </row>
    <row r="1509">
      <c r="A1509" s="60" t="s">
        <v>106</v>
      </c>
      <c r="B1509" s="41" t="s">
        <v>107</v>
      </c>
      <c r="C1509" s="41" t="s">
        <v>243</v>
      </c>
      <c r="E1509" s="147" t="s">
        <v>9584</v>
      </c>
      <c r="F1509" s="52" t="s">
        <v>9585</v>
      </c>
      <c r="G1509" s="147" t="s">
        <v>244</v>
      </c>
      <c r="H1509" s="140">
        <v>45670.0</v>
      </c>
      <c r="I1509" s="140">
        <v>45692.0</v>
      </c>
      <c r="J1509" s="412" t="s">
        <v>9586</v>
      </c>
      <c r="K1509" s="147" t="s">
        <v>9078</v>
      </c>
      <c r="L1509" s="147" t="s">
        <v>9587</v>
      </c>
      <c r="M1509" s="147" t="s">
        <v>9588</v>
      </c>
      <c r="N1509" s="60"/>
      <c r="O1509" s="145" t="str">
        <f t="shared" ref="O1509:O1511" si="79"> SUBSTITUTE(lower(M1509), "/", "--") &amp;  ".pdf"</f>
        <v>10.1016--j.neuropsychologia.2009.05.011.pdf</v>
      </c>
      <c r="P1509" s="48" t="str">
        <f t="array" ref="P1509">HYPERLINK(INDEX('File Links'!B:B, MATCH(O1509, 'File Links'!C:C, 0)))
</f>
        <v>https://drive.google.com/file/d/1Wo_ZWAFaujgNZeZ0tdEdLIIUT-PUrDAy/view?usp=drivesdk</v>
      </c>
      <c r="Q1509" s="147" t="s">
        <v>9589</v>
      </c>
      <c r="R1509" s="147" t="s">
        <v>9590</v>
      </c>
      <c r="S1509" s="60"/>
      <c r="T1509" s="60"/>
      <c r="U1509" s="145" t="s">
        <v>6105</v>
      </c>
      <c r="V1509" s="147" t="s">
        <v>318</v>
      </c>
      <c r="W1509" s="1455" t="str">
        <f> hyperlink(vlookup(lower(R1509),'File Links'!E:F, 2, FALSE), "LINK")</f>
        <v>LINK</v>
      </c>
      <c r="X1509" s="60"/>
      <c r="Y1509" s="147" t="s">
        <v>139</v>
      </c>
      <c r="Z1509" s="60"/>
      <c r="AA1509" s="60"/>
      <c r="AB1509" s="60"/>
      <c r="AC1509" s="147" t="s">
        <v>9591</v>
      </c>
      <c r="AD1509" s="1265">
        <v>2617.0</v>
      </c>
      <c r="AE1509" s="144">
        <v>15.0</v>
      </c>
      <c r="AF1509" s="60"/>
      <c r="AG1509" s="147" t="s">
        <v>1051</v>
      </c>
      <c r="AH1509" s="1268" t="s">
        <v>9592</v>
      </c>
      <c r="AI1509" s="646">
        <v>0.06</v>
      </c>
      <c r="AJ1509" s="52" t="s">
        <v>164</v>
      </c>
      <c r="AK1509" s="52" t="s">
        <v>179</v>
      </c>
      <c r="AL1509" s="147" t="s">
        <v>132</v>
      </c>
      <c r="AM1509" s="52" t="s">
        <v>129</v>
      </c>
      <c r="AN1509" s="144">
        <v>17.0</v>
      </c>
      <c r="AO1509" s="144">
        <v>0.24</v>
      </c>
      <c r="AP1509" s="147" t="s">
        <v>1051</v>
      </c>
      <c r="AQ1509" s="60"/>
      <c r="AR1509" s="144">
        <v>0.63</v>
      </c>
      <c r="AS1509" s="147" t="s">
        <v>164</v>
      </c>
      <c r="AT1509" s="147" t="s">
        <v>179</v>
      </c>
      <c r="AU1509" s="147" t="s">
        <v>132</v>
      </c>
      <c r="AV1509" s="60"/>
      <c r="AW1509" s="147" t="s">
        <v>134</v>
      </c>
      <c r="AY1509" s="60" t="s">
        <v>144</v>
      </c>
    </row>
    <row r="1510">
      <c r="A1510" s="115" t="s">
        <v>143</v>
      </c>
      <c r="B1510" s="41" t="s">
        <v>107</v>
      </c>
      <c r="C1510" s="41" t="s">
        <v>144</v>
      </c>
      <c r="E1510" s="60" t="s">
        <v>9585</v>
      </c>
      <c r="F1510" s="52" t="s">
        <v>9584</v>
      </c>
      <c r="G1510" s="147" t="s">
        <v>144</v>
      </c>
      <c r="H1510" s="140">
        <v>45687.0</v>
      </c>
      <c r="I1510" s="140">
        <v>45692.0</v>
      </c>
      <c r="J1510" s="412" t="s">
        <v>9593</v>
      </c>
      <c r="K1510" s="60"/>
      <c r="L1510" s="147" t="s">
        <v>9587</v>
      </c>
      <c r="M1510" s="147" t="s">
        <v>9588</v>
      </c>
      <c r="N1510" s="144">
        <v>1.0</v>
      </c>
      <c r="O1510" s="145" t="str">
        <f t="shared" si="79"/>
        <v>10.1016--j.neuropsychologia.2009.05.011.pdf</v>
      </c>
      <c r="P1510" s="48" t="str">
        <f t="array" ref="P1510">HYPERLINK(INDEX('File Links'!B:B, MATCH(O1510, 'File Links'!C:C, 0)))
</f>
        <v>https://drive.google.com/file/d/1Wo_ZWAFaujgNZeZ0tdEdLIIUT-PUrDAy/view?usp=drivesdk</v>
      </c>
      <c r="Q1510" s="147" t="s">
        <v>6103</v>
      </c>
      <c r="R1510" s="147" t="s">
        <v>6104</v>
      </c>
      <c r="S1510" s="60"/>
      <c r="T1510" s="144">
        <v>1.0</v>
      </c>
      <c r="U1510" s="145" t="s">
        <v>6105</v>
      </c>
      <c r="V1510" s="147" t="s">
        <v>9109</v>
      </c>
      <c r="W1510" s="1464" t="s">
        <v>9594</v>
      </c>
      <c r="X1510" s="60"/>
      <c r="Y1510" s="147" t="s">
        <v>139</v>
      </c>
      <c r="Z1510" s="147" t="s">
        <v>9595</v>
      </c>
      <c r="AA1510" s="147" t="s">
        <v>9596</v>
      </c>
      <c r="AB1510" s="147" t="s">
        <v>9597</v>
      </c>
      <c r="AC1510" s="139" t="s">
        <v>9598</v>
      </c>
      <c r="AD1510" s="149" t="s">
        <v>9599</v>
      </c>
      <c r="AE1510" s="144">
        <v>15.0</v>
      </c>
      <c r="AF1510" s="149" t="s">
        <v>9600</v>
      </c>
      <c r="AG1510" s="144" t="s">
        <v>162</v>
      </c>
      <c r="AH1510" s="149" t="s">
        <v>9599</v>
      </c>
      <c r="AI1510" s="646">
        <v>0.06</v>
      </c>
      <c r="AJ1510" s="52" t="s">
        <v>164</v>
      </c>
      <c r="AK1510" s="52" t="s">
        <v>179</v>
      </c>
      <c r="AL1510" s="147" t="s">
        <v>132</v>
      </c>
      <c r="AM1510" s="55"/>
      <c r="AN1510" s="144">
        <v>17.0</v>
      </c>
      <c r="AO1510" s="149" t="s">
        <v>9601</v>
      </c>
      <c r="AP1510" s="144" t="s">
        <v>162</v>
      </c>
      <c r="AQ1510" s="144" t="s">
        <v>861</v>
      </c>
      <c r="AR1510" s="144">
        <v>0.63</v>
      </c>
      <c r="AS1510" s="147" t="s">
        <v>164</v>
      </c>
      <c r="AT1510" s="147" t="s">
        <v>179</v>
      </c>
      <c r="AU1510" s="147" t="s">
        <v>132</v>
      </c>
      <c r="AV1510" s="60"/>
      <c r="AW1510" s="60" t="s">
        <v>142</v>
      </c>
      <c r="AY1510" s="115" t="s">
        <v>9053</v>
      </c>
    </row>
    <row r="1511">
      <c r="A1511" s="60" t="s">
        <v>106</v>
      </c>
      <c r="B1511" s="41" t="s">
        <v>107</v>
      </c>
      <c r="C1511" s="41" t="s">
        <v>243</v>
      </c>
      <c r="E1511" s="147" t="s">
        <v>9602</v>
      </c>
      <c r="F1511" s="52" t="s">
        <v>9603</v>
      </c>
      <c r="G1511" s="147" t="s">
        <v>244</v>
      </c>
      <c r="H1511" s="140">
        <v>45670.0</v>
      </c>
      <c r="I1511" s="140">
        <v>45692.0</v>
      </c>
      <c r="J1511" s="412" t="s">
        <v>9586</v>
      </c>
      <c r="K1511" s="147" t="s">
        <v>9078</v>
      </c>
      <c r="L1511" s="147" t="s">
        <v>9604</v>
      </c>
      <c r="M1511" s="147" t="s">
        <v>9605</v>
      </c>
      <c r="N1511" s="60"/>
      <c r="O1511" s="145" t="str">
        <f t="shared" si="79"/>
        <v>10.1037--a0028216.pdf</v>
      </c>
      <c r="P1511" s="48" t="str">
        <f t="array" ref="P1511">HYPERLINK(INDEX('File Links'!B:B, MATCH(O1511, 'File Links'!C:C, 0)))
</f>
        <v>https://drive.google.com/file/d/1IK98kxqzXUKr6oiSy5Yh1iZIS2v8ZtnC/view?usp=drivesdk</v>
      </c>
      <c r="Q1511" s="147" t="s">
        <v>9606</v>
      </c>
      <c r="R1511" s="147" t="s">
        <v>9607</v>
      </c>
      <c r="S1511" s="60"/>
      <c r="T1511" s="60"/>
      <c r="U1511" s="145" t="s">
        <v>6105</v>
      </c>
      <c r="V1511" s="147" t="s">
        <v>318</v>
      </c>
      <c r="W1511" s="1455" t="str">
        <f> hyperlink(vlookup(lower(R1511),'File Links'!E:F, 2, FALSE), "LINK")</f>
        <v>LINK</v>
      </c>
      <c r="X1511" s="60"/>
      <c r="Y1511" s="147" t="s">
        <v>203</v>
      </c>
      <c r="Z1511" s="60"/>
      <c r="AA1511" s="147" t="s">
        <v>9608</v>
      </c>
      <c r="AB1511" s="60"/>
      <c r="AC1511" s="147" t="s">
        <v>9609</v>
      </c>
      <c r="AD1511" s="1265">
        <v>1680.0</v>
      </c>
      <c r="AE1511" s="144">
        <v>277.0</v>
      </c>
      <c r="AF1511" s="144">
        <v>125.46</v>
      </c>
      <c r="AG1511" s="147" t="s">
        <v>1051</v>
      </c>
      <c r="AH1511" s="1268" t="s">
        <v>9610</v>
      </c>
      <c r="AI1511" s="646">
        <v>0.005</v>
      </c>
      <c r="AJ1511" s="52" t="s">
        <v>127</v>
      </c>
      <c r="AK1511" s="52" t="s">
        <v>179</v>
      </c>
      <c r="AL1511" s="147" t="s">
        <v>132</v>
      </c>
      <c r="AM1511" s="52" t="s">
        <v>129</v>
      </c>
      <c r="AN1511" s="144">
        <v>292.0</v>
      </c>
      <c r="AO1511" s="144">
        <v>203.397</v>
      </c>
      <c r="AP1511" s="147" t="s">
        <v>1051</v>
      </c>
      <c r="AQ1511" s="60"/>
      <c r="AR1511" s="144">
        <v>0.001</v>
      </c>
      <c r="AS1511" s="147" t="s">
        <v>127</v>
      </c>
      <c r="AT1511" s="147" t="s">
        <v>211</v>
      </c>
      <c r="AU1511" s="147" t="s">
        <v>132</v>
      </c>
      <c r="AV1511" s="60"/>
      <c r="AW1511" s="147" t="s">
        <v>134</v>
      </c>
      <c r="AY1511" s="60" t="s">
        <v>144</v>
      </c>
    </row>
    <row r="1512">
      <c r="A1512" s="115" t="s">
        <v>5350</v>
      </c>
      <c r="B1512" s="41" t="s">
        <v>107</v>
      </c>
      <c r="C1512" s="41" t="s">
        <v>144</v>
      </c>
      <c r="E1512" s="60" t="s">
        <v>9603</v>
      </c>
      <c r="F1512" s="52" t="s">
        <v>9611</v>
      </c>
      <c r="G1512" s="147" t="s">
        <v>144</v>
      </c>
      <c r="H1512" s="140">
        <v>45687.0</v>
      </c>
      <c r="I1512" s="140">
        <v>45692.0</v>
      </c>
      <c r="J1512" s="412" t="s">
        <v>9612</v>
      </c>
      <c r="K1512" s="60"/>
      <c r="L1512" s="147" t="s">
        <v>9604</v>
      </c>
      <c r="M1512" s="60"/>
      <c r="N1512" s="144">
        <v>2.0</v>
      </c>
      <c r="O1512" s="145" t="s">
        <v>351</v>
      </c>
      <c r="P1512" s="544" t="str">
        <f t="array" ref="P1512">HYPERLINK(INDEX('File Links'!B:B, MATCH(O1512, 'File Links'!C:C, 0)))
</f>
        <v>#N/A</v>
      </c>
      <c r="Q1512" s="147" t="s">
        <v>6103</v>
      </c>
      <c r="R1512" s="147" t="s">
        <v>6104</v>
      </c>
      <c r="S1512" s="60"/>
      <c r="T1512" s="144">
        <v>1.0</v>
      </c>
      <c r="U1512" s="145" t="s">
        <v>6105</v>
      </c>
      <c r="V1512" s="147" t="s">
        <v>9109</v>
      </c>
      <c r="W1512" s="1455" t="str">
        <f> hyperlink(vlookup(lower(R1512),'File Links'!F:G, 2, FALSE), "LINK")</f>
        <v>LINK</v>
      </c>
      <c r="X1512" s="60"/>
      <c r="Y1512" s="147" t="s">
        <v>139</v>
      </c>
      <c r="Z1512" s="147" t="s">
        <v>9613</v>
      </c>
      <c r="AA1512" s="147" t="s">
        <v>9614</v>
      </c>
      <c r="AB1512" s="147" t="s">
        <v>9615</v>
      </c>
      <c r="AC1512" s="147" t="s">
        <v>9616</v>
      </c>
      <c r="AD1512" s="144">
        <v>6.0</v>
      </c>
      <c r="AE1512" s="144">
        <v>277.0</v>
      </c>
      <c r="AF1512" s="144">
        <v>0.31</v>
      </c>
      <c r="AG1512" s="144" t="s">
        <v>1785</v>
      </c>
      <c r="AH1512" s="144" t="s">
        <v>131</v>
      </c>
      <c r="AI1512" s="646">
        <v>0.005</v>
      </c>
      <c r="AJ1512" s="52" t="s">
        <v>127</v>
      </c>
      <c r="AK1512" s="52" t="s">
        <v>179</v>
      </c>
      <c r="AL1512" s="147" t="s">
        <v>132</v>
      </c>
      <c r="AM1512" s="55"/>
      <c r="AN1512" s="144">
        <v>292.0</v>
      </c>
      <c r="AO1512" s="144">
        <v>0.4</v>
      </c>
      <c r="AP1512" s="144" t="s">
        <v>1785</v>
      </c>
      <c r="AQ1512" s="144" t="s">
        <v>892</v>
      </c>
      <c r="AR1512" s="144">
        <v>0.001</v>
      </c>
      <c r="AS1512" s="147" t="s">
        <v>127</v>
      </c>
      <c r="AT1512" s="147" t="s">
        <v>211</v>
      </c>
      <c r="AU1512" s="147" t="s">
        <v>132</v>
      </c>
      <c r="AV1512" s="60"/>
      <c r="AW1512" s="60" t="s">
        <v>142</v>
      </c>
      <c r="AY1512" s="60" t="s">
        <v>144</v>
      </c>
    </row>
    <row r="1513">
      <c r="A1513" s="115" t="s">
        <v>5350</v>
      </c>
      <c r="B1513" s="41" t="s">
        <v>107</v>
      </c>
      <c r="C1513" s="41" t="s">
        <v>144</v>
      </c>
      <c r="E1513" s="60" t="s">
        <v>9603</v>
      </c>
      <c r="F1513" s="52" t="s">
        <v>9617</v>
      </c>
      <c r="G1513" s="147" t="s">
        <v>144</v>
      </c>
      <c r="H1513" s="140">
        <v>45687.0</v>
      </c>
      <c r="I1513" s="140">
        <v>45692.0</v>
      </c>
      <c r="J1513" s="412" t="s">
        <v>9612</v>
      </c>
      <c r="K1513" s="60"/>
      <c r="L1513" s="147" t="s">
        <v>9604</v>
      </c>
      <c r="M1513" s="60"/>
      <c r="N1513" s="144">
        <v>2.0</v>
      </c>
      <c r="O1513" s="145" t="s">
        <v>351</v>
      </c>
      <c r="P1513" s="544" t="str">
        <f t="array" ref="P1513">HYPERLINK(INDEX('File Links'!B:B, MATCH(O1513, 'File Links'!C:C, 0)))
</f>
        <v>#N/A</v>
      </c>
      <c r="Q1513" s="147" t="s">
        <v>6103</v>
      </c>
      <c r="R1513" s="147" t="s">
        <v>6104</v>
      </c>
      <c r="S1513" s="60"/>
      <c r="T1513" s="144">
        <v>1.0</v>
      </c>
      <c r="U1513" s="145" t="s">
        <v>6105</v>
      </c>
      <c r="V1513" s="147" t="s">
        <v>9109</v>
      </c>
      <c r="W1513" s="1455" t="str">
        <f> hyperlink(vlookup(lower(R1513),'File Links'!F:G, 2, FALSE), "LINK")</f>
        <v>LINK</v>
      </c>
      <c r="X1513" s="60"/>
      <c r="Y1513" s="147" t="s">
        <v>139</v>
      </c>
      <c r="Z1513" s="147" t="s">
        <v>9613</v>
      </c>
      <c r="AA1513" s="147" t="s">
        <v>9614</v>
      </c>
      <c r="AB1513" s="147" t="s">
        <v>9618</v>
      </c>
      <c r="AC1513" s="147" t="s">
        <v>9619</v>
      </c>
      <c r="AD1513" s="144">
        <v>6.0</v>
      </c>
      <c r="AE1513" s="144">
        <v>277.0</v>
      </c>
      <c r="AF1513" s="327">
        <v>0.13</v>
      </c>
      <c r="AG1513" s="144" t="s">
        <v>1785</v>
      </c>
      <c r="AH1513" s="144" t="s">
        <v>131</v>
      </c>
      <c r="AI1513" s="646">
        <v>0.005</v>
      </c>
      <c r="AJ1513" s="52" t="s">
        <v>127</v>
      </c>
      <c r="AK1513" s="52" t="s">
        <v>179</v>
      </c>
      <c r="AL1513" s="147" t="s">
        <v>132</v>
      </c>
      <c r="AM1513" s="55"/>
      <c r="AN1513" s="144">
        <v>292.0</v>
      </c>
      <c r="AO1513" s="327">
        <v>0.006</v>
      </c>
      <c r="AP1513" s="144" t="s">
        <v>1785</v>
      </c>
      <c r="AQ1513" s="144" t="s">
        <v>892</v>
      </c>
      <c r="AR1513" s="144">
        <v>0.169</v>
      </c>
      <c r="AS1513" s="147" t="s">
        <v>164</v>
      </c>
      <c r="AT1513" s="147" t="s">
        <v>211</v>
      </c>
      <c r="AU1513" s="147" t="s">
        <v>132</v>
      </c>
      <c r="AV1513" s="60"/>
      <c r="AW1513" s="60" t="s">
        <v>142</v>
      </c>
      <c r="AY1513" s="60" t="s">
        <v>144</v>
      </c>
    </row>
    <row r="1514">
      <c r="A1514" s="115" t="s">
        <v>5350</v>
      </c>
      <c r="B1514" s="41" t="s">
        <v>107</v>
      </c>
      <c r="C1514" s="41" t="s">
        <v>144</v>
      </c>
      <c r="E1514" s="60" t="s">
        <v>9603</v>
      </c>
      <c r="F1514" s="52" t="s">
        <v>9620</v>
      </c>
      <c r="G1514" s="147" t="s">
        <v>144</v>
      </c>
      <c r="H1514" s="140">
        <v>45687.0</v>
      </c>
      <c r="I1514" s="140">
        <v>45692.0</v>
      </c>
      <c r="J1514" s="412" t="s">
        <v>9612</v>
      </c>
      <c r="K1514" s="60"/>
      <c r="L1514" s="147" t="s">
        <v>9604</v>
      </c>
      <c r="M1514" s="60"/>
      <c r="N1514" s="144">
        <v>2.0</v>
      </c>
      <c r="O1514" s="145" t="s">
        <v>351</v>
      </c>
      <c r="P1514" s="544" t="str">
        <f t="array" ref="P1514">HYPERLINK(INDEX('File Links'!B:B, MATCH(O1514, 'File Links'!C:C, 0)))
</f>
        <v>#N/A</v>
      </c>
      <c r="Q1514" s="147" t="s">
        <v>6103</v>
      </c>
      <c r="R1514" s="147" t="s">
        <v>6104</v>
      </c>
      <c r="S1514" s="60"/>
      <c r="T1514" s="144">
        <v>1.0</v>
      </c>
      <c r="U1514" s="145" t="s">
        <v>6105</v>
      </c>
      <c r="V1514" s="147" t="s">
        <v>9109</v>
      </c>
      <c r="W1514" s="1455" t="str">
        <f> hyperlink(vlookup(lower(R1514),'File Links'!F:G, 2, FALSE), "LINK")</f>
        <v>LINK</v>
      </c>
      <c r="X1514" s="60"/>
      <c r="Y1514" s="147" t="s">
        <v>139</v>
      </c>
      <c r="Z1514" s="147" t="s">
        <v>9613</v>
      </c>
      <c r="AA1514" s="147" t="s">
        <v>9614</v>
      </c>
      <c r="AB1514" s="147" t="s">
        <v>9621</v>
      </c>
      <c r="AC1514" s="147" t="s">
        <v>9622</v>
      </c>
      <c r="AD1514" s="144">
        <v>6.0</v>
      </c>
      <c r="AE1514" s="144">
        <v>277.0</v>
      </c>
      <c r="AF1514" s="327">
        <v>0.06</v>
      </c>
      <c r="AG1514" s="144" t="s">
        <v>1785</v>
      </c>
      <c r="AH1514" s="144" t="s">
        <v>131</v>
      </c>
      <c r="AI1514" s="646">
        <v>0.005</v>
      </c>
      <c r="AJ1514" s="52" t="s">
        <v>127</v>
      </c>
      <c r="AK1514" s="52" t="s">
        <v>179</v>
      </c>
      <c r="AL1514" s="147" t="s">
        <v>132</v>
      </c>
      <c r="AM1514" s="55"/>
      <c r="AN1514" s="144">
        <v>292.0</v>
      </c>
      <c r="AO1514" s="327">
        <v>0.05</v>
      </c>
      <c r="AP1514" s="144" t="s">
        <v>1785</v>
      </c>
      <c r="AQ1514" s="144" t="s">
        <v>892</v>
      </c>
      <c r="AR1514" s="144">
        <v>0.001</v>
      </c>
      <c r="AS1514" s="147" t="s">
        <v>127</v>
      </c>
      <c r="AT1514" s="147" t="s">
        <v>211</v>
      </c>
      <c r="AU1514" s="147" t="s">
        <v>132</v>
      </c>
      <c r="AV1514" s="60"/>
      <c r="AW1514" s="60" t="s">
        <v>142</v>
      </c>
      <c r="AY1514" s="60" t="s">
        <v>144</v>
      </c>
    </row>
    <row r="1515">
      <c r="A1515" s="115" t="s">
        <v>5350</v>
      </c>
      <c r="B1515" s="41" t="s">
        <v>107</v>
      </c>
      <c r="C1515" s="41" t="s">
        <v>144</v>
      </c>
      <c r="E1515" s="60" t="s">
        <v>9603</v>
      </c>
      <c r="F1515" s="52" t="s">
        <v>9623</v>
      </c>
      <c r="G1515" s="147" t="s">
        <v>144</v>
      </c>
      <c r="H1515" s="140">
        <v>45687.0</v>
      </c>
      <c r="I1515" s="140">
        <v>45692.0</v>
      </c>
      <c r="J1515" s="412" t="s">
        <v>9612</v>
      </c>
      <c r="K1515" s="60"/>
      <c r="L1515" s="147" t="s">
        <v>9604</v>
      </c>
      <c r="M1515" s="60"/>
      <c r="N1515" s="144">
        <v>2.0</v>
      </c>
      <c r="O1515" s="145" t="s">
        <v>351</v>
      </c>
      <c r="P1515" s="544" t="str">
        <f t="array" ref="P1515">HYPERLINK(INDEX('File Links'!B:B, MATCH(O1515, 'File Links'!C:C, 0)))
</f>
        <v>#N/A</v>
      </c>
      <c r="Q1515" s="147" t="s">
        <v>6103</v>
      </c>
      <c r="R1515" s="147" t="s">
        <v>6104</v>
      </c>
      <c r="S1515" s="60"/>
      <c r="T1515" s="144">
        <v>1.0</v>
      </c>
      <c r="U1515" s="145" t="s">
        <v>6105</v>
      </c>
      <c r="V1515" s="147" t="s">
        <v>9109</v>
      </c>
      <c r="W1515" s="1455" t="str">
        <f> hyperlink(vlookup(lower(R1515),'File Links'!F:G, 2, FALSE), "LINK")</f>
        <v>LINK</v>
      </c>
      <c r="X1515" s="60"/>
      <c r="Y1515" s="147" t="s">
        <v>139</v>
      </c>
      <c r="Z1515" s="147" t="s">
        <v>9613</v>
      </c>
      <c r="AA1515" s="147" t="s">
        <v>9614</v>
      </c>
      <c r="AB1515" s="147" t="s">
        <v>9624</v>
      </c>
      <c r="AC1515" s="147" t="s">
        <v>9625</v>
      </c>
      <c r="AD1515" s="144">
        <v>6.0</v>
      </c>
      <c r="AE1515" s="144">
        <v>277.0</v>
      </c>
      <c r="AF1515" s="327">
        <v>0.18</v>
      </c>
      <c r="AG1515" s="144" t="s">
        <v>1785</v>
      </c>
      <c r="AH1515" s="144" t="s">
        <v>131</v>
      </c>
      <c r="AI1515" s="646">
        <v>0.005</v>
      </c>
      <c r="AJ1515" s="52" t="s">
        <v>127</v>
      </c>
      <c r="AK1515" s="52" t="s">
        <v>179</v>
      </c>
      <c r="AL1515" s="147" t="s">
        <v>132</v>
      </c>
      <c r="AM1515" s="55"/>
      <c r="AN1515" s="144">
        <v>292.0</v>
      </c>
      <c r="AO1515" s="327">
        <v>0.1</v>
      </c>
      <c r="AP1515" s="144" t="s">
        <v>1785</v>
      </c>
      <c r="AQ1515" s="144" t="s">
        <v>892</v>
      </c>
      <c r="AR1515" s="144">
        <v>0.001</v>
      </c>
      <c r="AS1515" s="147" t="s">
        <v>127</v>
      </c>
      <c r="AT1515" s="147" t="s">
        <v>211</v>
      </c>
      <c r="AU1515" s="147" t="s">
        <v>132</v>
      </c>
      <c r="AV1515" s="60"/>
      <c r="AW1515" s="60" t="s">
        <v>142</v>
      </c>
      <c r="AY1515" s="60" t="s">
        <v>144</v>
      </c>
    </row>
    <row r="1516">
      <c r="A1516" s="115" t="s">
        <v>5350</v>
      </c>
      <c r="B1516" s="41" t="s">
        <v>107</v>
      </c>
      <c r="C1516" s="41" t="s">
        <v>144</v>
      </c>
      <c r="E1516" s="60" t="s">
        <v>9603</v>
      </c>
      <c r="F1516" s="52" t="s">
        <v>9626</v>
      </c>
      <c r="G1516" s="147" t="s">
        <v>144</v>
      </c>
      <c r="H1516" s="140">
        <v>45687.0</v>
      </c>
      <c r="I1516" s="140">
        <v>45692.0</v>
      </c>
      <c r="J1516" s="412" t="s">
        <v>9627</v>
      </c>
      <c r="K1516" s="60"/>
      <c r="L1516" s="147" t="s">
        <v>9604</v>
      </c>
      <c r="M1516" s="60"/>
      <c r="N1516" s="144">
        <v>2.0</v>
      </c>
      <c r="O1516" s="145" t="s">
        <v>351</v>
      </c>
      <c r="P1516" s="544" t="str">
        <f t="array" ref="P1516">HYPERLINK(INDEX('File Links'!B:B, MATCH(O1516, 'File Links'!C:C, 0)))
</f>
        <v>#N/A</v>
      </c>
      <c r="Q1516" s="147" t="s">
        <v>6103</v>
      </c>
      <c r="R1516" s="147" t="s">
        <v>6104</v>
      </c>
      <c r="S1516" s="60"/>
      <c r="T1516" s="144">
        <v>1.0</v>
      </c>
      <c r="U1516" s="145" t="s">
        <v>6105</v>
      </c>
      <c r="V1516" s="147" t="s">
        <v>9109</v>
      </c>
      <c r="W1516" s="1455" t="str">
        <f> hyperlink(vlookup(lower(R1516),'File Links'!F:G, 2, FALSE), "LINK")</f>
        <v>LINK</v>
      </c>
      <c r="X1516" s="60"/>
      <c r="Y1516" s="147" t="s">
        <v>139</v>
      </c>
      <c r="Z1516" s="147" t="s">
        <v>9613</v>
      </c>
      <c r="AA1516" s="147" t="s">
        <v>9614</v>
      </c>
      <c r="AB1516" s="147" t="s">
        <v>9628</v>
      </c>
      <c r="AC1516" s="147" t="s">
        <v>9629</v>
      </c>
      <c r="AD1516" s="144">
        <v>6.0</v>
      </c>
      <c r="AE1516" s="144">
        <v>277.0</v>
      </c>
      <c r="AF1516" s="1477">
        <v>0.15</v>
      </c>
      <c r="AG1516" s="144" t="s">
        <v>1785</v>
      </c>
      <c r="AH1516" s="144" t="s">
        <v>131</v>
      </c>
      <c r="AI1516" s="646">
        <v>0.005</v>
      </c>
      <c r="AJ1516" s="52" t="s">
        <v>127</v>
      </c>
      <c r="AK1516" s="52" t="s">
        <v>179</v>
      </c>
      <c r="AL1516" s="147" t="s">
        <v>132</v>
      </c>
      <c r="AM1516" s="55"/>
      <c r="AN1516" s="144">
        <v>292.0</v>
      </c>
      <c r="AO1516" s="327">
        <v>0.029</v>
      </c>
      <c r="AP1516" s="144" t="s">
        <v>1785</v>
      </c>
      <c r="AQ1516" s="144" t="s">
        <v>892</v>
      </c>
      <c r="AR1516" s="144">
        <v>0.001</v>
      </c>
      <c r="AS1516" s="147" t="s">
        <v>127</v>
      </c>
      <c r="AT1516" s="147" t="s">
        <v>211</v>
      </c>
      <c r="AU1516" s="147" t="s">
        <v>132</v>
      </c>
      <c r="AV1516" s="60"/>
      <c r="AW1516" s="60" t="s">
        <v>142</v>
      </c>
      <c r="AY1516" s="60" t="s">
        <v>144</v>
      </c>
    </row>
    <row r="1517" hidden="1">
      <c r="A1517" s="115" t="s">
        <v>5350</v>
      </c>
      <c r="B1517" s="41" t="s">
        <v>107</v>
      </c>
      <c r="C1517" s="41" t="s">
        <v>144</v>
      </c>
      <c r="E1517" s="60" t="s">
        <v>9630</v>
      </c>
      <c r="F1517" s="52" t="s">
        <v>9631</v>
      </c>
      <c r="G1517" s="147" t="s">
        <v>144</v>
      </c>
      <c r="H1517" s="140">
        <v>45687.0</v>
      </c>
      <c r="I1517" s="140">
        <v>45692.0</v>
      </c>
      <c r="J1517" s="412" t="s">
        <v>9612</v>
      </c>
      <c r="K1517" s="60"/>
      <c r="L1517" s="147" t="s">
        <v>9632</v>
      </c>
      <c r="M1517" s="147" t="s">
        <v>9633</v>
      </c>
      <c r="N1517" s="144">
        <v>1.0</v>
      </c>
      <c r="O1517" s="145" t="s">
        <v>9634</v>
      </c>
      <c r="P1517" s="48" t="str">
        <f t="array" ref="P1517">HYPERLINK(INDEX('File Links'!B:B, MATCH(O1517, 'File Links'!C:C, 0)))
</f>
        <v>https://drive.google.com/file/d/1gQEP5IJLffmqgeBD8cJqZD1njhiICXaO/view?usp=drivesdk</v>
      </c>
      <c r="Q1517" s="147" t="s">
        <v>6103</v>
      </c>
      <c r="R1517" s="147" t="s">
        <v>6104</v>
      </c>
      <c r="S1517" s="60"/>
      <c r="T1517" s="144">
        <v>1.0</v>
      </c>
      <c r="U1517" s="145" t="s">
        <v>6105</v>
      </c>
      <c r="V1517" s="60"/>
      <c r="W1517" s="1455" t="str">
        <f> hyperlink(vlookup(lower(R1517),'File Links'!F:G, 2, FALSE), "LINK")</f>
        <v>LINK</v>
      </c>
      <c r="X1517" s="147" t="s">
        <v>9031</v>
      </c>
      <c r="Y1517" s="60"/>
      <c r="Z1517" s="60"/>
      <c r="AA1517" s="60"/>
      <c r="AB1517" s="60"/>
      <c r="AC1517" s="60"/>
      <c r="AD1517" s="60"/>
      <c r="AE1517" s="60"/>
      <c r="AF1517" s="60"/>
      <c r="AG1517" s="60"/>
      <c r="AH1517" s="60"/>
      <c r="AI1517" s="329"/>
      <c r="AJ1517" s="55"/>
      <c r="AK1517" s="55"/>
      <c r="AL1517" s="60"/>
      <c r="AM1517" s="55"/>
      <c r="AN1517" s="60"/>
      <c r="AO1517" s="60"/>
      <c r="AP1517" s="60"/>
      <c r="AQ1517" s="60"/>
      <c r="AR1517" s="60"/>
      <c r="AS1517" s="60"/>
      <c r="AT1517" s="60"/>
      <c r="AU1517" s="60"/>
      <c r="AV1517" s="60"/>
      <c r="AW1517" s="60"/>
      <c r="AY1517" s="60" t="s">
        <v>144</v>
      </c>
    </row>
    <row r="1518">
      <c r="A1518" s="60" t="s">
        <v>106</v>
      </c>
      <c r="B1518" s="41" t="s">
        <v>107</v>
      </c>
      <c r="C1518" s="41" t="s">
        <v>243</v>
      </c>
      <c r="E1518" s="147" t="s">
        <v>9631</v>
      </c>
      <c r="F1518" s="52" t="s">
        <v>9630</v>
      </c>
      <c r="G1518" s="147" t="s">
        <v>244</v>
      </c>
      <c r="H1518" s="140">
        <v>45670.0</v>
      </c>
      <c r="I1518" s="140">
        <v>45692.0</v>
      </c>
      <c r="J1518" s="412" t="s">
        <v>6190</v>
      </c>
      <c r="K1518" s="60"/>
      <c r="L1518" s="147" t="s">
        <v>9632</v>
      </c>
      <c r="M1518" s="147" t="s">
        <v>9633</v>
      </c>
      <c r="N1518" s="60"/>
      <c r="O1518" s="145" t="str">
        <f t="shared" ref="O1518:O1520" si="80"> SUBSTITUTE(lower(M1518), "/", "--") &amp;  ".pdf"</f>
        <v>10.1145--2470654.2481281.pdf</v>
      </c>
      <c r="P1518" s="48" t="str">
        <f t="array" ref="P1518">HYPERLINK(INDEX('File Links'!B:B, MATCH(O1518, 'File Links'!C:C, 0)))
</f>
        <v>https://drive.google.com/file/d/1gQEP5IJLffmqgeBD8cJqZD1njhiICXaO/view?usp=drivesdk</v>
      </c>
      <c r="Q1518" s="147" t="s">
        <v>9635</v>
      </c>
      <c r="R1518" s="147" t="s">
        <v>9636</v>
      </c>
      <c r="S1518" s="60"/>
      <c r="T1518" s="60"/>
      <c r="U1518" s="145" t="s">
        <v>6105</v>
      </c>
      <c r="V1518" s="147" t="s">
        <v>6117</v>
      </c>
      <c r="W1518" s="1455" t="str">
        <f> hyperlink(vlookup(lower(R1518),'File Links'!E:F, 2, FALSE), "LINK")</f>
        <v>LINK</v>
      </c>
      <c r="X1518" s="60"/>
      <c r="Y1518" s="147" t="s">
        <v>2083</v>
      </c>
      <c r="Z1518" s="60"/>
      <c r="AA1518" s="60"/>
      <c r="AB1518" s="60"/>
      <c r="AC1518" s="147" t="s">
        <v>165</v>
      </c>
      <c r="AD1518" s="147" t="s">
        <v>165</v>
      </c>
      <c r="AE1518" s="144">
        <v>184.0</v>
      </c>
      <c r="AF1518" s="147" t="s">
        <v>165</v>
      </c>
      <c r="AG1518" s="147" t="s">
        <v>165</v>
      </c>
      <c r="AH1518" s="147" t="s">
        <v>165</v>
      </c>
      <c r="AI1518" s="330" t="s">
        <v>165</v>
      </c>
      <c r="AJ1518" s="55"/>
      <c r="AK1518" s="52" t="s">
        <v>179</v>
      </c>
      <c r="AL1518" s="147" t="s">
        <v>821</v>
      </c>
      <c r="AM1518" s="52" t="s">
        <v>129</v>
      </c>
      <c r="AN1518" s="144">
        <v>82.0</v>
      </c>
      <c r="AO1518" s="147" t="s">
        <v>165</v>
      </c>
      <c r="AP1518" s="60"/>
      <c r="AQ1518" s="60"/>
      <c r="AR1518" s="147" t="s">
        <v>165</v>
      </c>
      <c r="AS1518" s="60"/>
      <c r="AT1518" s="147" t="s">
        <v>179</v>
      </c>
      <c r="AU1518" s="147" t="s">
        <v>821</v>
      </c>
      <c r="AV1518" s="60"/>
      <c r="AW1518" s="147" t="s">
        <v>134</v>
      </c>
      <c r="AY1518" s="60" t="s">
        <v>144</v>
      </c>
    </row>
    <row r="1519">
      <c r="A1519" s="60" t="s">
        <v>106</v>
      </c>
      <c r="B1519" s="41" t="s">
        <v>107</v>
      </c>
      <c r="C1519" s="41" t="s">
        <v>243</v>
      </c>
      <c r="E1519" s="147" t="s">
        <v>9637</v>
      </c>
      <c r="F1519" s="52" t="s">
        <v>9638</v>
      </c>
      <c r="G1519" s="147" t="s">
        <v>244</v>
      </c>
      <c r="H1519" s="140">
        <v>45670.0</v>
      </c>
      <c r="I1519" s="140">
        <v>45692.0</v>
      </c>
      <c r="J1519" s="60"/>
      <c r="K1519" s="147" t="s">
        <v>9078</v>
      </c>
      <c r="L1519" s="147" t="s">
        <v>9639</v>
      </c>
      <c r="M1519" s="147" t="s">
        <v>9640</v>
      </c>
      <c r="N1519" s="60"/>
      <c r="O1519" s="145" t="str">
        <f t="shared" si="80"/>
        <v>10.1016--j.jesp.2018.05.006.pdf</v>
      </c>
      <c r="P1519" s="48" t="str">
        <f t="array" ref="P1519">HYPERLINK(INDEX('File Links'!B:B, MATCH(O1519, 'File Links'!C:C, 0)))
</f>
        <v>https://drive.google.com/file/d/1bbOr5sJJaSFgt-aKadq5yMvKA8ywD97U/view?usp=drivesdk</v>
      </c>
      <c r="Q1519" s="147" t="s">
        <v>9641</v>
      </c>
      <c r="R1519" s="147" t="s">
        <v>9642</v>
      </c>
      <c r="S1519" s="60"/>
      <c r="T1519" s="60"/>
      <c r="U1519" s="145" t="s">
        <v>6105</v>
      </c>
      <c r="V1519" s="147" t="s">
        <v>318</v>
      </c>
      <c r="W1519" s="1455" t="str">
        <f> hyperlink(vlookup(lower(R1519),'File Links'!E:F, 2, FALSE), "LINK")</f>
        <v>LINK</v>
      </c>
      <c r="X1519" s="60"/>
      <c r="Y1519" s="147" t="s">
        <v>220</v>
      </c>
      <c r="Z1519" s="60"/>
      <c r="AA1519" s="60"/>
      <c r="AB1519" s="60"/>
      <c r="AC1519" s="147" t="s">
        <v>9643</v>
      </c>
      <c r="AD1519" s="1265">
        <v>29.0</v>
      </c>
      <c r="AE1519" s="144">
        <v>350.0</v>
      </c>
      <c r="AF1519" s="144">
        <v>0.024</v>
      </c>
      <c r="AG1519" s="139" t="s">
        <v>166</v>
      </c>
      <c r="AH1519" s="1268" t="s">
        <v>9644</v>
      </c>
      <c r="AI1519" s="646">
        <v>0.003</v>
      </c>
      <c r="AJ1519" s="52" t="s">
        <v>164</v>
      </c>
      <c r="AK1519" s="52" t="s">
        <v>211</v>
      </c>
      <c r="AL1519" s="147" t="s">
        <v>132</v>
      </c>
      <c r="AM1519" s="52" t="s">
        <v>129</v>
      </c>
      <c r="AN1519" s="144">
        <v>208.0</v>
      </c>
      <c r="AO1519" s="144">
        <v>-0.38123103406236</v>
      </c>
      <c r="AP1519" s="147" t="s">
        <v>166</v>
      </c>
      <c r="AQ1519" s="60"/>
      <c r="AR1519" s="1351">
        <v>1.20468940918332E-7</v>
      </c>
      <c r="AS1519" s="147" t="s">
        <v>164</v>
      </c>
      <c r="AT1519" s="147" t="s">
        <v>179</v>
      </c>
      <c r="AU1519" s="147" t="s">
        <v>132</v>
      </c>
      <c r="AV1519" s="60"/>
      <c r="AW1519" s="147" t="s">
        <v>134</v>
      </c>
      <c r="AY1519" s="60" t="s">
        <v>144</v>
      </c>
    </row>
    <row r="1520">
      <c r="A1520" s="115" t="s">
        <v>143</v>
      </c>
      <c r="B1520" s="41" t="s">
        <v>107</v>
      </c>
      <c r="C1520" s="41" t="s">
        <v>144</v>
      </c>
      <c r="E1520" s="60" t="s">
        <v>9638</v>
      </c>
      <c r="F1520" s="52" t="s">
        <v>9645</v>
      </c>
      <c r="G1520" s="147" t="s">
        <v>144</v>
      </c>
      <c r="H1520" s="140">
        <v>45687.0</v>
      </c>
      <c r="I1520" s="140">
        <v>45692.0</v>
      </c>
      <c r="J1520" s="412" t="s">
        <v>9646</v>
      </c>
      <c r="K1520" s="60"/>
      <c r="L1520" s="147" t="s">
        <v>9639</v>
      </c>
      <c r="M1520" s="147" t="s">
        <v>9640</v>
      </c>
      <c r="N1520" s="144">
        <v>5.0</v>
      </c>
      <c r="O1520" s="145" t="str">
        <f t="shared" si="80"/>
        <v>10.1016--j.jesp.2018.05.006.pdf</v>
      </c>
      <c r="P1520" s="48" t="str">
        <f t="array" ref="P1520">HYPERLINK(INDEX('File Links'!B:B, MATCH(O1520, 'File Links'!C:C, 0)))
</f>
        <v>https://drive.google.com/file/d/1bbOr5sJJaSFgt-aKadq5yMvKA8ywD97U/view?usp=drivesdk</v>
      </c>
      <c r="Q1520" s="147" t="s">
        <v>6103</v>
      </c>
      <c r="R1520" s="147" t="s">
        <v>6104</v>
      </c>
      <c r="S1520" s="638" t="s">
        <v>9647</v>
      </c>
      <c r="T1520" s="144">
        <v>1.0</v>
      </c>
      <c r="U1520" s="145" t="s">
        <v>6105</v>
      </c>
      <c r="V1520" s="147" t="s">
        <v>9109</v>
      </c>
      <c r="W1520" s="1464" t="s">
        <v>9647</v>
      </c>
      <c r="X1520" s="60"/>
      <c r="Y1520" s="147" t="s">
        <v>220</v>
      </c>
      <c r="Z1520" s="147" t="s">
        <v>9648</v>
      </c>
      <c r="AA1520" s="147" t="s">
        <v>9649</v>
      </c>
      <c r="AB1520" s="147" t="s">
        <v>9650</v>
      </c>
      <c r="AC1520" s="139" t="s">
        <v>9651</v>
      </c>
      <c r="AD1520" s="149" t="s">
        <v>9136</v>
      </c>
      <c r="AE1520" s="144">
        <v>350.0</v>
      </c>
      <c r="AF1520" s="149">
        <v>0.373</v>
      </c>
      <c r="AG1520" s="149" t="s">
        <v>166</v>
      </c>
      <c r="AH1520" s="149" t="s">
        <v>9652</v>
      </c>
      <c r="AI1520" s="646">
        <v>0.003</v>
      </c>
      <c r="AJ1520" s="52" t="s">
        <v>164</v>
      </c>
      <c r="AK1520" s="139" t="s">
        <v>179</v>
      </c>
      <c r="AL1520" s="139" t="s">
        <v>129</v>
      </c>
      <c r="AM1520" s="55"/>
      <c r="AN1520" s="144">
        <v>208.0</v>
      </c>
      <c r="AO1520" s="149">
        <v>-0.193</v>
      </c>
      <c r="AP1520" s="149" t="s">
        <v>166</v>
      </c>
      <c r="AQ1520" s="149" t="s">
        <v>9653</v>
      </c>
      <c r="AR1520" s="149">
        <v>0.1663</v>
      </c>
      <c r="AS1520" s="147" t="s">
        <v>164</v>
      </c>
      <c r="AT1520" s="139" t="s">
        <v>128</v>
      </c>
      <c r="AU1520" s="139" t="s">
        <v>129</v>
      </c>
      <c r="AV1520" s="60"/>
      <c r="AW1520" s="60" t="s">
        <v>134</v>
      </c>
      <c r="AY1520" s="115" t="s">
        <v>9053</v>
      </c>
    </row>
    <row r="1521">
      <c r="A1521" s="115" t="s">
        <v>5350</v>
      </c>
      <c r="B1521" s="41" t="s">
        <v>107</v>
      </c>
      <c r="C1521" s="41" t="s">
        <v>144</v>
      </c>
      <c r="E1521" s="60" t="s">
        <v>9638</v>
      </c>
      <c r="F1521" s="52" t="s">
        <v>9654</v>
      </c>
      <c r="G1521" s="147" t="s">
        <v>144</v>
      </c>
      <c r="H1521" s="140">
        <v>45687.0</v>
      </c>
      <c r="I1521" s="140">
        <v>45692.0</v>
      </c>
      <c r="J1521" s="412" t="s">
        <v>9655</v>
      </c>
      <c r="K1521" s="60"/>
      <c r="L1521" s="147" t="s">
        <v>9639</v>
      </c>
      <c r="M1521" s="60"/>
      <c r="N1521" s="144">
        <v>5.0</v>
      </c>
      <c r="O1521" s="145" t="s">
        <v>351</v>
      </c>
      <c r="P1521" s="544" t="str">
        <f t="array" ref="P1521">HYPERLINK(INDEX('File Links'!B:B, MATCH(O1521, 'File Links'!C:C, 0)))
</f>
        <v>#N/A</v>
      </c>
      <c r="Q1521" s="147" t="s">
        <v>6103</v>
      </c>
      <c r="R1521" s="147" t="s">
        <v>6104</v>
      </c>
      <c r="S1521" s="60"/>
      <c r="T1521" s="144">
        <v>1.0</v>
      </c>
      <c r="U1521" s="145" t="s">
        <v>6105</v>
      </c>
      <c r="V1521" s="147" t="s">
        <v>9109</v>
      </c>
      <c r="W1521" s="1455" t="str">
        <f> hyperlink(vlookup(lower(R1521),'File Links'!F:G, 2, FALSE), "LINK")</f>
        <v>LINK</v>
      </c>
      <c r="X1521" s="60"/>
      <c r="Y1521" s="147" t="s">
        <v>220</v>
      </c>
      <c r="Z1521" s="147" t="s">
        <v>9648</v>
      </c>
      <c r="AA1521" s="147" t="s">
        <v>9649</v>
      </c>
      <c r="AB1521" s="147" t="s">
        <v>9656</v>
      </c>
      <c r="AC1521" s="147" t="s">
        <v>9657</v>
      </c>
      <c r="AD1521" s="144">
        <v>9.0</v>
      </c>
      <c r="AE1521" s="144">
        <v>350.0</v>
      </c>
      <c r="AF1521" s="327">
        <v>0.004</v>
      </c>
      <c r="AG1521" s="144" t="s">
        <v>130</v>
      </c>
      <c r="AH1521" s="144" t="s">
        <v>625</v>
      </c>
      <c r="AI1521" s="328">
        <v>0.187</v>
      </c>
      <c r="AJ1521" s="52" t="s">
        <v>164</v>
      </c>
      <c r="AK1521" s="52" t="s">
        <v>211</v>
      </c>
      <c r="AL1521" s="147" t="s">
        <v>132</v>
      </c>
      <c r="AM1521" s="55"/>
      <c r="AN1521" s="144">
        <v>208.0</v>
      </c>
      <c r="AO1521" s="327">
        <v>-0.3473</v>
      </c>
      <c r="AP1521" s="144" t="s">
        <v>1006</v>
      </c>
      <c r="AQ1521" s="327" t="s">
        <v>2232</v>
      </c>
      <c r="AR1521" s="144">
        <v>0.635</v>
      </c>
      <c r="AS1521" s="147" t="s">
        <v>164</v>
      </c>
      <c r="AT1521" s="147" t="s">
        <v>179</v>
      </c>
      <c r="AU1521" s="147" t="s">
        <v>132</v>
      </c>
      <c r="AV1521" s="60"/>
      <c r="AW1521" s="60" t="s">
        <v>134</v>
      </c>
      <c r="AY1521" s="60" t="s">
        <v>144</v>
      </c>
    </row>
    <row r="1522">
      <c r="A1522" s="115" t="s">
        <v>5350</v>
      </c>
      <c r="B1522" s="41" t="s">
        <v>107</v>
      </c>
      <c r="C1522" s="41" t="s">
        <v>144</v>
      </c>
      <c r="E1522" s="60" t="s">
        <v>9638</v>
      </c>
      <c r="F1522" s="52" t="s">
        <v>9658</v>
      </c>
      <c r="G1522" s="147" t="s">
        <v>144</v>
      </c>
      <c r="H1522" s="140">
        <v>45687.0</v>
      </c>
      <c r="I1522" s="140">
        <v>45692.0</v>
      </c>
      <c r="J1522" s="412" t="s">
        <v>9655</v>
      </c>
      <c r="K1522" s="60"/>
      <c r="L1522" s="147" t="s">
        <v>9639</v>
      </c>
      <c r="M1522" s="60"/>
      <c r="N1522" s="144">
        <v>5.0</v>
      </c>
      <c r="O1522" s="145" t="s">
        <v>351</v>
      </c>
      <c r="P1522" s="544" t="str">
        <f t="array" ref="P1522">HYPERLINK(INDEX('File Links'!B:B, MATCH(O1522, 'File Links'!C:C, 0)))
</f>
        <v>#N/A</v>
      </c>
      <c r="Q1522" s="147" t="s">
        <v>6103</v>
      </c>
      <c r="R1522" s="147" t="s">
        <v>6104</v>
      </c>
      <c r="S1522" s="60"/>
      <c r="T1522" s="144">
        <v>1.0</v>
      </c>
      <c r="U1522" s="145" t="s">
        <v>6105</v>
      </c>
      <c r="V1522" s="147" t="s">
        <v>9109</v>
      </c>
      <c r="W1522" s="1455" t="str">
        <f> hyperlink(vlookup(lower(R1522),'File Links'!F:G, 2, FALSE), "LINK")</f>
        <v>LINK</v>
      </c>
      <c r="X1522" s="60"/>
      <c r="Y1522" s="147" t="s">
        <v>220</v>
      </c>
      <c r="Z1522" s="147" t="s">
        <v>9648</v>
      </c>
      <c r="AA1522" s="147" t="s">
        <v>9649</v>
      </c>
      <c r="AB1522" s="147" t="s">
        <v>9659</v>
      </c>
      <c r="AC1522" s="147" t="s">
        <v>9660</v>
      </c>
      <c r="AD1522" s="1474">
        <v>45908.0</v>
      </c>
      <c r="AE1522" s="144">
        <v>350.0</v>
      </c>
      <c r="AF1522" s="327">
        <v>0.029</v>
      </c>
      <c r="AG1522" s="144" t="s">
        <v>130</v>
      </c>
      <c r="AH1522" s="327" t="s">
        <v>625</v>
      </c>
      <c r="AI1522" s="328">
        <v>0.001</v>
      </c>
      <c r="AJ1522" s="52" t="s">
        <v>164</v>
      </c>
      <c r="AK1522" s="52" t="s">
        <v>211</v>
      </c>
      <c r="AL1522" s="147" t="s">
        <v>132</v>
      </c>
      <c r="AM1522" s="55"/>
      <c r="AN1522" s="144">
        <v>208.0</v>
      </c>
      <c r="AO1522" s="327">
        <v>0.849</v>
      </c>
      <c r="AP1522" s="144" t="s">
        <v>1006</v>
      </c>
      <c r="AQ1522" s="327" t="s">
        <v>2232</v>
      </c>
      <c r="AR1522" s="144">
        <v>0.191</v>
      </c>
      <c r="AS1522" s="147" t="s">
        <v>164</v>
      </c>
      <c r="AT1522" s="147" t="s">
        <v>179</v>
      </c>
      <c r="AU1522" s="147" t="s">
        <v>132</v>
      </c>
      <c r="AV1522" s="60"/>
      <c r="AW1522" s="60" t="s">
        <v>134</v>
      </c>
      <c r="AY1522" s="60" t="s">
        <v>144</v>
      </c>
    </row>
    <row r="1523">
      <c r="A1523" s="60" t="s">
        <v>106</v>
      </c>
      <c r="B1523" s="41" t="s">
        <v>107</v>
      </c>
      <c r="C1523" s="41" t="s">
        <v>243</v>
      </c>
      <c r="E1523" s="147" t="s">
        <v>9661</v>
      </c>
      <c r="F1523" s="52" t="s">
        <v>9662</v>
      </c>
      <c r="G1523" s="147" t="s">
        <v>244</v>
      </c>
      <c r="H1523" s="140">
        <v>45670.0</v>
      </c>
      <c r="I1523" s="140">
        <v>45692.0</v>
      </c>
      <c r="J1523" s="60"/>
      <c r="K1523" s="147" t="s">
        <v>9078</v>
      </c>
      <c r="L1523" s="147" t="s">
        <v>9663</v>
      </c>
      <c r="M1523" s="147" t="s">
        <v>9664</v>
      </c>
      <c r="N1523" s="60"/>
      <c r="O1523" s="145" t="str">
        <f> SUBSTITUTE(lower(M1523), "/", "--") &amp;  ".pdf"</f>
        <v>10.1177--0956797612444613.pdf</v>
      </c>
      <c r="P1523" s="48" t="str">
        <f t="array" ref="P1523">HYPERLINK(INDEX('File Links'!B:B, MATCH(O1523, 'File Links'!C:C, 0)))
</f>
        <v>https://drive.google.com/file/d/1YxSLKvJhCAZvjLwh2Dxi3CO9YKNSkWkP/view?usp=drivesdk</v>
      </c>
      <c r="Q1523" s="147" t="s">
        <v>9665</v>
      </c>
      <c r="R1523" s="147" t="s">
        <v>9666</v>
      </c>
      <c r="S1523" s="60"/>
      <c r="T1523" s="60"/>
      <c r="U1523" s="145" t="s">
        <v>6105</v>
      </c>
      <c r="V1523" s="147" t="s">
        <v>6117</v>
      </c>
      <c r="W1523" s="1455" t="str">
        <f> hyperlink(vlookup(lower(R1523),'File Links'!E:F, 2, FALSE), "LINK")</f>
        <v>LINK</v>
      </c>
      <c r="X1523" s="60"/>
      <c r="Y1523" s="147" t="s">
        <v>139</v>
      </c>
      <c r="Z1523" s="60"/>
      <c r="AA1523" s="147" t="s">
        <v>9667</v>
      </c>
      <c r="AB1523" s="60"/>
      <c r="AC1523" s="147" t="s">
        <v>9668</v>
      </c>
      <c r="AD1523" s="1265">
        <v>1259.0</v>
      </c>
      <c r="AE1523" s="144">
        <v>18.0</v>
      </c>
      <c r="AF1523" s="147" t="s">
        <v>9669</v>
      </c>
      <c r="AG1523" s="147" t="s">
        <v>166</v>
      </c>
      <c r="AH1523" s="1268" t="s">
        <v>9670</v>
      </c>
      <c r="AI1523" s="646">
        <v>0.05</v>
      </c>
      <c r="AJ1523" s="52" t="s">
        <v>127</v>
      </c>
      <c r="AK1523" s="52" t="s">
        <v>179</v>
      </c>
      <c r="AL1523" s="147" t="s">
        <v>132</v>
      </c>
      <c r="AM1523" s="52" t="s">
        <v>129</v>
      </c>
      <c r="AN1523" s="144">
        <v>45.0</v>
      </c>
      <c r="AO1523" s="144">
        <v>0.494916379019953</v>
      </c>
      <c r="AP1523" s="147" t="s">
        <v>166</v>
      </c>
      <c r="AQ1523" s="60"/>
      <c r="AR1523" s="144">
        <v>0.00181562866269216</v>
      </c>
      <c r="AS1523" s="147" t="s">
        <v>164</v>
      </c>
      <c r="AT1523" s="147" t="s">
        <v>179</v>
      </c>
      <c r="AU1523" s="147" t="s">
        <v>132</v>
      </c>
      <c r="AV1523" s="60"/>
      <c r="AW1523" s="147" t="s">
        <v>134</v>
      </c>
      <c r="AY1523" s="60" t="s">
        <v>144</v>
      </c>
    </row>
    <row r="1524">
      <c r="A1524" s="115" t="s">
        <v>5350</v>
      </c>
      <c r="B1524" s="41" t="s">
        <v>107</v>
      </c>
      <c r="C1524" s="41" t="s">
        <v>144</v>
      </c>
      <c r="E1524" s="60" t="s">
        <v>9662</v>
      </c>
      <c r="F1524" s="52" t="s">
        <v>9661</v>
      </c>
      <c r="G1524" s="147" t="s">
        <v>144</v>
      </c>
      <c r="H1524" s="140">
        <v>45687.0</v>
      </c>
      <c r="I1524" s="140">
        <v>45692.0</v>
      </c>
      <c r="J1524" s="412" t="s">
        <v>9671</v>
      </c>
      <c r="K1524" s="60"/>
      <c r="L1524" s="147" t="s">
        <v>9663</v>
      </c>
      <c r="M1524" s="147" t="s">
        <v>9664</v>
      </c>
      <c r="N1524" s="144">
        <v>1.0</v>
      </c>
      <c r="O1524" s="145" t="s">
        <v>9672</v>
      </c>
      <c r="P1524" s="48" t="str">
        <f t="array" ref="P1524">HYPERLINK(INDEX('File Links'!B:B, MATCH(O1524, 'File Links'!C:C, 0)))
</f>
        <v>https://drive.google.com/file/d/1YxSLKvJhCAZvjLwh2Dxi3CO9YKNSkWkP/view?usp=drivesdk</v>
      </c>
      <c r="Q1524" s="147" t="s">
        <v>6103</v>
      </c>
      <c r="R1524" s="147" t="s">
        <v>6104</v>
      </c>
      <c r="S1524" s="60"/>
      <c r="T1524" s="144">
        <v>1.0</v>
      </c>
      <c r="U1524" s="145" t="s">
        <v>6105</v>
      </c>
      <c r="V1524" s="147" t="s">
        <v>9673</v>
      </c>
      <c r="W1524" s="1455" t="str">
        <f> hyperlink(vlookup(lower(R1524),'File Links'!F:G, 2, FALSE), "LINK")</f>
        <v>LINK</v>
      </c>
      <c r="X1524" s="60"/>
      <c r="Y1524" s="147" t="s">
        <v>139</v>
      </c>
      <c r="Z1524" s="147" t="s">
        <v>7528</v>
      </c>
      <c r="AA1524" s="147" t="s">
        <v>9674</v>
      </c>
      <c r="AB1524" s="147" t="s">
        <v>9675</v>
      </c>
      <c r="AC1524" s="147" t="s">
        <v>9676</v>
      </c>
      <c r="AD1524" s="144">
        <v>5.0</v>
      </c>
      <c r="AE1524" s="144">
        <v>18.0</v>
      </c>
      <c r="AF1524" s="1478">
        <v>0.612825877028341</v>
      </c>
      <c r="AG1524" s="144" t="s">
        <v>166</v>
      </c>
      <c r="AH1524" s="144" t="s">
        <v>892</v>
      </c>
      <c r="AI1524" s="646">
        <v>0.05</v>
      </c>
      <c r="AJ1524" s="52" t="s">
        <v>127</v>
      </c>
      <c r="AK1524" s="52" t="s">
        <v>179</v>
      </c>
      <c r="AL1524" s="147" t="s">
        <v>132</v>
      </c>
      <c r="AM1524" s="55"/>
      <c r="AN1524" s="144">
        <v>45.0</v>
      </c>
      <c r="AO1524" s="327">
        <v>0.494916379019953</v>
      </c>
      <c r="AP1524" s="144" t="s">
        <v>166</v>
      </c>
      <c r="AQ1524" s="60"/>
      <c r="AR1524" s="144">
        <v>0.00181562866269216</v>
      </c>
      <c r="AS1524" s="147" t="s">
        <v>164</v>
      </c>
      <c r="AT1524" s="147" t="s">
        <v>179</v>
      </c>
      <c r="AU1524" s="147" t="s">
        <v>132</v>
      </c>
      <c r="AV1524" s="60"/>
      <c r="AW1524" s="60" t="s">
        <v>134</v>
      </c>
      <c r="AY1524" s="60" t="s">
        <v>144</v>
      </c>
    </row>
    <row r="1525">
      <c r="A1525" s="60" t="s">
        <v>586</v>
      </c>
      <c r="B1525" s="41" t="s">
        <v>107</v>
      </c>
      <c r="C1525" s="41" t="s">
        <v>243</v>
      </c>
      <c r="E1525" s="147" t="s">
        <v>9677</v>
      </c>
      <c r="F1525" s="52" t="s">
        <v>9678</v>
      </c>
      <c r="G1525" s="147" t="s">
        <v>244</v>
      </c>
      <c r="H1525" s="140">
        <v>45670.0</v>
      </c>
      <c r="I1525" s="140">
        <v>45692.0</v>
      </c>
      <c r="J1525" s="412" t="s">
        <v>9679</v>
      </c>
      <c r="K1525" s="147" t="s">
        <v>9680</v>
      </c>
      <c r="L1525" s="147" t="s">
        <v>9681</v>
      </c>
      <c r="M1525" s="147" t="s">
        <v>8004</v>
      </c>
      <c r="N1525" s="60"/>
      <c r="O1525" s="145" t="str">
        <f> SUBSTITUTE(lower(M1525), "/", "--") &amp;  ".pdf"</f>
        <v>10.1037--0022-3514.95.2.293.pdf</v>
      </c>
      <c r="P1525" s="48" t="str">
        <f t="array" ref="P1525">HYPERLINK(INDEX('File Links'!B:B, MATCH(O1525, 'File Links'!C:C, 0)))
</f>
        <v>https://drive.google.com/file/d/1Gkz07e_5xnoHy7zdKAHfWY6layqbA2lX/view?usp=drivesdk</v>
      </c>
      <c r="Q1525" s="147" t="s">
        <v>9682</v>
      </c>
      <c r="R1525" s="147" t="s">
        <v>9683</v>
      </c>
      <c r="S1525" s="60"/>
      <c r="T1525" s="60"/>
      <c r="U1525" s="145" t="s">
        <v>6105</v>
      </c>
      <c r="V1525" s="147" t="s">
        <v>318</v>
      </c>
      <c r="W1525" s="1455" t="str">
        <f> hyperlink(vlookup(lower(R1525),'File Links'!E:F, 2, FALSE), "LINK")</f>
        <v>LINK</v>
      </c>
      <c r="X1525" s="60"/>
      <c r="Y1525" s="147" t="s">
        <v>220</v>
      </c>
      <c r="Z1525" s="60"/>
      <c r="AA1525" s="147" t="s">
        <v>9684</v>
      </c>
      <c r="AB1525" s="60"/>
      <c r="AC1525" s="147" t="s">
        <v>9685</v>
      </c>
      <c r="AD1525" s="1265">
        <v>302.0</v>
      </c>
      <c r="AE1525" s="144">
        <v>120.0</v>
      </c>
      <c r="AF1525" s="144">
        <v>4.15</v>
      </c>
      <c r="AG1525" s="147" t="s">
        <v>1051</v>
      </c>
      <c r="AH1525" s="1268" t="s">
        <v>9686</v>
      </c>
      <c r="AI1525" s="646">
        <v>0.05</v>
      </c>
      <c r="AJ1525" s="52" t="s">
        <v>127</v>
      </c>
      <c r="AK1525" s="52" t="s">
        <v>128</v>
      </c>
      <c r="AL1525" s="147" t="s">
        <v>132</v>
      </c>
      <c r="AM1525" s="52" t="s">
        <v>129</v>
      </c>
      <c r="AN1525" s="144">
        <v>226.0</v>
      </c>
      <c r="AO1525" s="1265">
        <v>10.275</v>
      </c>
      <c r="AP1525" s="1268" t="s">
        <v>1051</v>
      </c>
      <c r="AQ1525" s="60"/>
      <c r="AR1525" s="144">
        <v>0.002</v>
      </c>
      <c r="AS1525" s="147" t="s">
        <v>164</v>
      </c>
      <c r="AT1525" s="147" t="s">
        <v>128</v>
      </c>
      <c r="AU1525" s="147" t="s">
        <v>132</v>
      </c>
      <c r="AV1525" s="60"/>
      <c r="AW1525" s="1268" t="s">
        <v>134</v>
      </c>
      <c r="AY1525" s="60" t="s">
        <v>144</v>
      </c>
    </row>
    <row r="1526">
      <c r="A1526" s="115" t="s">
        <v>5350</v>
      </c>
      <c r="B1526" s="41" t="s">
        <v>107</v>
      </c>
      <c r="C1526" s="41" t="s">
        <v>144</v>
      </c>
      <c r="E1526" s="60" t="s">
        <v>9678</v>
      </c>
      <c r="F1526" s="52" t="s">
        <v>9687</v>
      </c>
      <c r="G1526" s="147" t="s">
        <v>144</v>
      </c>
      <c r="H1526" s="140">
        <v>45687.0</v>
      </c>
      <c r="I1526" s="140">
        <v>45692.0</v>
      </c>
      <c r="J1526" s="412" t="s">
        <v>9688</v>
      </c>
      <c r="K1526" s="60"/>
      <c r="L1526" s="147" t="s">
        <v>9681</v>
      </c>
      <c r="M1526" s="60"/>
      <c r="N1526" s="144">
        <v>6.0</v>
      </c>
      <c r="O1526" s="145" t="s">
        <v>351</v>
      </c>
      <c r="P1526" s="544" t="str">
        <f t="array" ref="P1526">HYPERLINK(INDEX('File Links'!B:B, MATCH(O1526, 'File Links'!C:C, 0)))
</f>
        <v>#N/A</v>
      </c>
      <c r="Q1526" s="147" t="s">
        <v>6103</v>
      </c>
      <c r="R1526" s="147" t="s">
        <v>6104</v>
      </c>
      <c r="S1526" s="60"/>
      <c r="T1526" s="144">
        <v>1.0</v>
      </c>
      <c r="U1526" s="145" t="s">
        <v>6105</v>
      </c>
      <c r="V1526" s="147" t="s">
        <v>155</v>
      </c>
      <c r="W1526" s="1455" t="str">
        <f> hyperlink(vlookup(lower(R1526),'File Links'!F:G, 2, FALSE), "LINK")</f>
        <v>LINK</v>
      </c>
      <c r="X1526" s="60"/>
      <c r="Y1526" s="147" t="s">
        <v>220</v>
      </c>
      <c r="Z1526" s="1479" t="s">
        <v>9689</v>
      </c>
      <c r="AA1526" s="147" t="s">
        <v>8017</v>
      </c>
      <c r="AB1526" s="147" t="s">
        <v>9690</v>
      </c>
      <c r="AC1526" s="147" t="s">
        <v>9691</v>
      </c>
      <c r="AD1526" s="144">
        <v>10.0</v>
      </c>
      <c r="AE1526" s="144">
        <v>120.0</v>
      </c>
      <c r="AF1526" s="144" t="s">
        <v>9692</v>
      </c>
      <c r="AG1526" s="144" t="s">
        <v>162</v>
      </c>
      <c r="AH1526" s="144" t="s">
        <v>629</v>
      </c>
      <c r="AI1526" s="646">
        <v>0.001</v>
      </c>
      <c r="AJ1526" s="52" t="s">
        <v>127</v>
      </c>
      <c r="AK1526" s="52" t="s">
        <v>128</v>
      </c>
      <c r="AL1526" s="147" t="s">
        <v>132</v>
      </c>
      <c r="AM1526" s="55"/>
      <c r="AN1526" s="144">
        <v>226.0</v>
      </c>
      <c r="AO1526" s="144" t="s">
        <v>9693</v>
      </c>
      <c r="AP1526" s="144" t="s">
        <v>162</v>
      </c>
      <c r="AQ1526" s="144" t="s">
        <v>131</v>
      </c>
      <c r="AR1526" s="144">
        <v>0.002</v>
      </c>
      <c r="AS1526" s="147" t="s">
        <v>164</v>
      </c>
      <c r="AT1526" s="147" t="s">
        <v>128</v>
      </c>
      <c r="AU1526" s="147" t="s">
        <v>132</v>
      </c>
      <c r="AV1526" s="60"/>
      <c r="AW1526" s="60" t="s">
        <v>142</v>
      </c>
      <c r="AY1526" s="60" t="s">
        <v>144</v>
      </c>
    </row>
    <row r="1527">
      <c r="A1527" s="115" t="s">
        <v>5350</v>
      </c>
      <c r="B1527" s="41" t="s">
        <v>107</v>
      </c>
      <c r="C1527" s="41" t="s">
        <v>144</v>
      </c>
      <c r="E1527" s="60" t="s">
        <v>9678</v>
      </c>
      <c r="F1527" s="52" t="s">
        <v>9694</v>
      </c>
      <c r="G1527" s="147" t="s">
        <v>144</v>
      </c>
      <c r="H1527" s="140">
        <v>45687.0</v>
      </c>
      <c r="I1527" s="140">
        <v>45692.0</v>
      </c>
      <c r="J1527" s="412" t="s">
        <v>9688</v>
      </c>
      <c r="K1527" s="60"/>
      <c r="L1527" s="147" t="s">
        <v>9681</v>
      </c>
      <c r="M1527" s="60"/>
      <c r="N1527" s="144">
        <v>6.0</v>
      </c>
      <c r="O1527" s="145" t="s">
        <v>351</v>
      </c>
      <c r="P1527" s="544" t="str">
        <f t="array" ref="P1527">HYPERLINK(INDEX('File Links'!B:B, MATCH(O1527, 'File Links'!C:C, 0)))
</f>
        <v>#N/A</v>
      </c>
      <c r="Q1527" s="147" t="s">
        <v>6103</v>
      </c>
      <c r="R1527" s="147" t="s">
        <v>6104</v>
      </c>
      <c r="S1527" s="60"/>
      <c r="T1527" s="144">
        <v>1.0</v>
      </c>
      <c r="U1527" s="145" t="s">
        <v>6105</v>
      </c>
      <c r="V1527" s="147" t="s">
        <v>155</v>
      </c>
      <c r="W1527" s="1455" t="str">
        <f> hyperlink(vlookup(lower(R1527),'File Links'!F:G, 2, FALSE), "LINK")</f>
        <v>LINK</v>
      </c>
      <c r="X1527" s="60"/>
      <c r="Y1527" s="147" t="s">
        <v>220</v>
      </c>
      <c r="Z1527" s="1479" t="s">
        <v>9689</v>
      </c>
      <c r="AA1527" s="147" t="s">
        <v>8017</v>
      </c>
      <c r="AB1527" s="147" t="s">
        <v>9695</v>
      </c>
      <c r="AC1527" s="147" t="s">
        <v>9696</v>
      </c>
      <c r="AD1527" s="144">
        <v>10.0</v>
      </c>
      <c r="AE1527" s="144">
        <v>120.0</v>
      </c>
      <c r="AF1527" s="327" t="s">
        <v>9697</v>
      </c>
      <c r="AG1527" s="144" t="s">
        <v>162</v>
      </c>
      <c r="AH1527" s="144" t="s">
        <v>629</v>
      </c>
      <c r="AI1527" s="646">
        <v>0.001</v>
      </c>
      <c r="AJ1527" s="52" t="s">
        <v>127</v>
      </c>
      <c r="AK1527" s="52" t="s">
        <v>128</v>
      </c>
      <c r="AL1527" s="147" t="s">
        <v>132</v>
      </c>
      <c r="AM1527" s="55"/>
      <c r="AN1527" s="144">
        <v>226.0</v>
      </c>
      <c r="AO1527" s="327" t="s">
        <v>9698</v>
      </c>
      <c r="AP1527" s="144" t="s">
        <v>162</v>
      </c>
      <c r="AQ1527" s="144" t="s">
        <v>131</v>
      </c>
      <c r="AR1527" s="144">
        <v>0.48</v>
      </c>
      <c r="AS1527" s="147" t="s">
        <v>164</v>
      </c>
      <c r="AT1527" s="147" t="s">
        <v>128</v>
      </c>
      <c r="AU1527" s="147" t="s">
        <v>132</v>
      </c>
      <c r="AV1527" s="60"/>
      <c r="AW1527" s="60" t="s">
        <v>142</v>
      </c>
      <c r="AY1527" s="60" t="s">
        <v>144</v>
      </c>
    </row>
    <row r="1528">
      <c r="A1528" s="115" t="s">
        <v>5350</v>
      </c>
      <c r="B1528" s="41" t="s">
        <v>107</v>
      </c>
      <c r="C1528" s="41" t="s">
        <v>144</v>
      </c>
      <c r="E1528" s="60" t="s">
        <v>9678</v>
      </c>
      <c r="F1528" s="52" t="s">
        <v>9699</v>
      </c>
      <c r="G1528" s="147" t="s">
        <v>144</v>
      </c>
      <c r="H1528" s="140">
        <v>45687.0</v>
      </c>
      <c r="I1528" s="140">
        <v>45692.0</v>
      </c>
      <c r="J1528" s="412" t="s">
        <v>9700</v>
      </c>
      <c r="K1528" s="147" t="s">
        <v>9701</v>
      </c>
      <c r="L1528" s="147" t="s">
        <v>9681</v>
      </c>
      <c r="M1528" s="60"/>
      <c r="N1528" s="144">
        <v>6.0</v>
      </c>
      <c r="O1528" s="145" t="s">
        <v>351</v>
      </c>
      <c r="P1528" s="544" t="str">
        <f t="array" ref="P1528">HYPERLINK(INDEX('File Links'!B:B, MATCH(O1528, 'File Links'!C:C, 0)))
</f>
        <v>#N/A</v>
      </c>
      <c r="Q1528" s="147" t="s">
        <v>6103</v>
      </c>
      <c r="R1528" s="147" t="s">
        <v>6104</v>
      </c>
      <c r="S1528" s="60"/>
      <c r="T1528" s="144">
        <v>1.0</v>
      </c>
      <c r="U1528" s="145" t="s">
        <v>6105</v>
      </c>
      <c r="V1528" s="147" t="s">
        <v>9109</v>
      </c>
      <c r="W1528" s="1455" t="str">
        <f> hyperlink(vlookup(lower(R1528),'File Links'!F:G, 2, FALSE), "LINK")</f>
        <v>LINK</v>
      </c>
      <c r="X1528" s="60"/>
      <c r="Y1528" s="147" t="s">
        <v>220</v>
      </c>
      <c r="Z1528" s="1479" t="s">
        <v>9689</v>
      </c>
      <c r="AA1528" s="147" t="s">
        <v>8017</v>
      </c>
      <c r="AB1528" s="147" t="s">
        <v>9702</v>
      </c>
      <c r="AC1528" s="147" t="s">
        <v>9703</v>
      </c>
      <c r="AD1528" s="144">
        <v>10.0</v>
      </c>
      <c r="AE1528" s="144">
        <v>120.0</v>
      </c>
      <c r="AF1528" s="327" t="s">
        <v>9704</v>
      </c>
      <c r="AG1528" s="144" t="s">
        <v>162</v>
      </c>
      <c r="AH1528" s="144" t="s">
        <v>629</v>
      </c>
      <c r="AI1528" s="646">
        <v>0.05</v>
      </c>
      <c r="AJ1528" s="52" t="s">
        <v>127</v>
      </c>
      <c r="AK1528" s="52" t="s">
        <v>128</v>
      </c>
      <c r="AL1528" s="147" t="s">
        <v>132</v>
      </c>
      <c r="AM1528" s="55"/>
      <c r="AN1528" s="144">
        <v>226.0</v>
      </c>
      <c r="AO1528" s="327" t="s">
        <v>9705</v>
      </c>
      <c r="AP1528" s="144" t="s">
        <v>162</v>
      </c>
      <c r="AQ1528" s="144" t="s">
        <v>131</v>
      </c>
      <c r="AR1528" s="144">
        <v>0.961</v>
      </c>
      <c r="AS1528" s="147" t="s">
        <v>164</v>
      </c>
      <c r="AT1528" s="147" t="s">
        <v>128</v>
      </c>
      <c r="AU1528" s="147" t="s">
        <v>132</v>
      </c>
      <c r="AV1528" s="60"/>
      <c r="AW1528" s="60" t="s">
        <v>142</v>
      </c>
      <c r="AY1528" s="60" t="s">
        <v>144</v>
      </c>
    </row>
    <row r="1529">
      <c r="A1529" s="60" t="s">
        <v>106</v>
      </c>
      <c r="B1529" s="41" t="s">
        <v>107</v>
      </c>
      <c r="C1529" s="41" t="s">
        <v>243</v>
      </c>
      <c r="E1529" s="147" t="s">
        <v>9706</v>
      </c>
      <c r="F1529" s="52" t="s">
        <v>9707</v>
      </c>
      <c r="G1529" s="147" t="s">
        <v>244</v>
      </c>
      <c r="H1529" s="140">
        <v>45670.0</v>
      </c>
      <c r="I1529" s="140">
        <v>45692.0</v>
      </c>
      <c r="J1529" s="60"/>
      <c r="K1529" s="60"/>
      <c r="L1529" s="147" t="s">
        <v>9708</v>
      </c>
      <c r="M1529" s="147" t="s">
        <v>9709</v>
      </c>
      <c r="N1529" s="60"/>
      <c r="O1529" s="145" t="str">
        <f> SUBSTITUTE(lower(M1529), "/", "--") &amp;  ".pdf"</f>
        <v>10.1037--pspi0000081.pdf</v>
      </c>
      <c r="P1529" s="48" t="str">
        <f t="array" ref="P1529">HYPERLINK(INDEX('File Links'!B:B, MATCH(O1529, 'File Links'!C:C, 0)))
</f>
        <v>https://drive.google.com/file/d/1GTnjtSM79S6hEZLXrpWxGtZd34NCBmBN/view?usp=drivesdk</v>
      </c>
      <c r="Q1529" s="147" t="s">
        <v>9710</v>
      </c>
      <c r="R1529" s="147" t="s">
        <v>9711</v>
      </c>
      <c r="S1529" s="60"/>
      <c r="T1529" s="60"/>
      <c r="U1529" s="145" t="s">
        <v>6105</v>
      </c>
      <c r="V1529" s="147" t="s">
        <v>6117</v>
      </c>
      <c r="W1529" s="1455" t="str">
        <f> hyperlink(vlookup(lower(R1529),'File Links'!E:F, 2, FALSE), "LINK")</f>
        <v>LINK</v>
      </c>
      <c r="X1529" s="60"/>
      <c r="Y1529" s="147" t="s">
        <v>220</v>
      </c>
      <c r="Z1529" s="60"/>
      <c r="AA1529" s="147" t="s">
        <v>6267</v>
      </c>
      <c r="AB1529" s="60"/>
      <c r="AC1529" s="147" t="s">
        <v>9712</v>
      </c>
      <c r="AD1529" s="144">
        <v>466.0</v>
      </c>
      <c r="AE1529" s="144">
        <v>155.0</v>
      </c>
      <c r="AF1529" s="147" t="s">
        <v>165</v>
      </c>
      <c r="AG1529" s="147" t="s">
        <v>165</v>
      </c>
      <c r="AH1529" s="147" t="s">
        <v>9713</v>
      </c>
      <c r="AI1529" s="646">
        <v>0.91</v>
      </c>
      <c r="AJ1529" s="52" t="s">
        <v>164</v>
      </c>
      <c r="AK1529" s="52" t="s">
        <v>179</v>
      </c>
      <c r="AL1529" s="147" t="s">
        <v>821</v>
      </c>
      <c r="AM1529" s="615" t="s">
        <v>9714</v>
      </c>
      <c r="AN1529" s="144">
        <v>152.0</v>
      </c>
      <c r="AO1529" s="147" t="s">
        <v>165</v>
      </c>
      <c r="AP1529" s="60"/>
      <c r="AQ1529" s="60"/>
      <c r="AR1529" s="144">
        <v>0.09</v>
      </c>
      <c r="AS1529" s="147" t="s">
        <v>164</v>
      </c>
      <c r="AT1529" s="147" t="s">
        <v>179</v>
      </c>
      <c r="AU1529" s="147" t="s">
        <v>821</v>
      </c>
      <c r="AV1529" s="60"/>
      <c r="AW1529" s="147" t="s">
        <v>134</v>
      </c>
      <c r="AY1529" s="60" t="s">
        <v>144</v>
      </c>
    </row>
    <row r="1530">
      <c r="A1530" s="115" t="s">
        <v>5350</v>
      </c>
      <c r="B1530" s="41" t="s">
        <v>107</v>
      </c>
      <c r="C1530" s="41" t="s">
        <v>144</v>
      </c>
      <c r="E1530" s="60" t="s">
        <v>9707</v>
      </c>
      <c r="F1530" s="52" t="s">
        <v>9715</v>
      </c>
      <c r="G1530" s="147" t="s">
        <v>144</v>
      </c>
      <c r="H1530" s="140">
        <v>45687.0</v>
      </c>
      <c r="I1530" s="140">
        <v>45692.0</v>
      </c>
      <c r="J1530" s="412" t="s">
        <v>9716</v>
      </c>
      <c r="K1530" s="60"/>
      <c r="L1530" s="147" t="s">
        <v>9708</v>
      </c>
      <c r="M1530" s="60"/>
      <c r="N1530" s="144">
        <v>3.0</v>
      </c>
      <c r="O1530" s="145" t="s">
        <v>351</v>
      </c>
      <c r="P1530" s="544" t="str">
        <f t="array" ref="P1530">HYPERLINK(INDEX('File Links'!B:B, MATCH(O1530, 'File Links'!C:C, 0)))
</f>
        <v>#N/A</v>
      </c>
      <c r="Q1530" s="147" t="s">
        <v>6103</v>
      </c>
      <c r="R1530" s="147" t="s">
        <v>6104</v>
      </c>
      <c r="S1530" s="60"/>
      <c r="T1530" s="144">
        <v>1.0</v>
      </c>
      <c r="U1530" s="145" t="s">
        <v>6105</v>
      </c>
      <c r="V1530" s="147" t="s">
        <v>9044</v>
      </c>
      <c r="W1530" s="1455" t="str">
        <f> hyperlink(vlookup(lower(R1530),'File Links'!F:G, 2, FALSE), "LINK")</f>
        <v>LINK</v>
      </c>
      <c r="X1530" s="60"/>
      <c r="Y1530" s="147" t="s">
        <v>220</v>
      </c>
      <c r="Z1530" s="147" t="s">
        <v>9717</v>
      </c>
      <c r="AA1530" s="147" t="s">
        <v>9718</v>
      </c>
      <c r="AB1530" s="147" t="s">
        <v>9719</v>
      </c>
      <c r="AC1530" s="147" t="s">
        <v>9720</v>
      </c>
      <c r="AD1530" s="327">
        <v>11.0</v>
      </c>
      <c r="AE1530" s="144">
        <v>155.0</v>
      </c>
      <c r="AF1530" s="327">
        <v>1.06</v>
      </c>
      <c r="AG1530" s="144" t="s">
        <v>1006</v>
      </c>
      <c r="AH1530" s="327" t="s">
        <v>299</v>
      </c>
      <c r="AI1530" s="328">
        <v>0.002</v>
      </c>
      <c r="AJ1530" s="52" t="s">
        <v>164</v>
      </c>
      <c r="AK1530" s="52" t="s">
        <v>179</v>
      </c>
      <c r="AL1530" s="147" t="s">
        <v>821</v>
      </c>
      <c r="AM1530" s="55"/>
      <c r="AN1530" s="144">
        <v>152.0</v>
      </c>
      <c r="AO1530" s="327">
        <v>-0.9943</v>
      </c>
      <c r="AP1530" s="144" t="s">
        <v>1006</v>
      </c>
      <c r="AQ1530" s="327" t="s">
        <v>299</v>
      </c>
      <c r="AR1530" s="144">
        <v>0.00662</v>
      </c>
      <c r="AS1530" s="147" t="s">
        <v>164</v>
      </c>
      <c r="AT1530" s="147" t="s">
        <v>179</v>
      </c>
      <c r="AU1530" s="147" t="s">
        <v>821</v>
      </c>
      <c r="AV1530" s="60"/>
      <c r="AW1530" s="60" t="s">
        <v>134</v>
      </c>
      <c r="AY1530" s="60" t="s">
        <v>144</v>
      </c>
    </row>
    <row r="1531">
      <c r="A1531" s="115" t="s">
        <v>5350</v>
      </c>
      <c r="B1531" s="41" t="s">
        <v>107</v>
      </c>
      <c r="C1531" s="41" t="s">
        <v>144</v>
      </c>
      <c r="E1531" s="60" t="s">
        <v>9707</v>
      </c>
      <c r="F1531" s="52" t="s">
        <v>9721</v>
      </c>
      <c r="G1531" s="147" t="s">
        <v>144</v>
      </c>
      <c r="H1531" s="140">
        <v>45687.0</v>
      </c>
      <c r="I1531" s="140">
        <v>45692.0</v>
      </c>
      <c r="J1531" s="412" t="s">
        <v>9716</v>
      </c>
      <c r="K1531" s="60"/>
      <c r="L1531" s="147" t="s">
        <v>9708</v>
      </c>
      <c r="M1531" s="60"/>
      <c r="N1531" s="144">
        <v>3.0</v>
      </c>
      <c r="O1531" s="145" t="s">
        <v>351</v>
      </c>
      <c r="P1531" s="544" t="str">
        <f t="array" ref="P1531">HYPERLINK(INDEX('File Links'!B:B, MATCH(O1531, 'File Links'!C:C, 0)))
</f>
        <v>#N/A</v>
      </c>
      <c r="Q1531" s="147" t="s">
        <v>6103</v>
      </c>
      <c r="R1531" s="147" t="s">
        <v>6104</v>
      </c>
      <c r="S1531" s="60"/>
      <c r="T1531" s="144">
        <v>1.0</v>
      </c>
      <c r="U1531" s="145" t="s">
        <v>6105</v>
      </c>
      <c r="V1531" s="147" t="s">
        <v>9044</v>
      </c>
      <c r="W1531" s="1455" t="str">
        <f> hyperlink(vlookup(lower(R1531),'File Links'!F:G, 2, FALSE), "LINK")</f>
        <v>LINK</v>
      </c>
      <c r="X1531" s="60"/>
      <c r="Y1531" s="147" t="s">
        <v>220</v>
      </c>
      <c r="Z1531" s="147" t="s">
        <v>9717</v>
      </c>
      <c r="AA1531" s="147" t="s">
        <v>9718</v>
      </c>
      <c r="AB1531" s="147" t="s">
        <v>9722</v>
      </c>
      <c r="AC1531" s="147" t="s">
        <v>9723</v>
      </c>
      <c r="AD1531" s="327">
        <v>11.0</v>
      </c>
      <c r="AE1531" s="144">
        <v>155.0</v>
      </c>
      <c r="AF1531" s="327">
        <v>-0.31</v>
      </c>
      <c r="AG1531" s="144" t="s">
        <v>1006</v>
      </c>
      <c r="AH1531" s="327" t="s">
        <v>299</v>
      </c>
      <c r="AI1531" s="328">
        <v>0.36</v>
      </c>
      <c r="AJ1531" s="52" t="s">
        <v>164</v>
      </c>
      <c r="AK1531" s="52" t="s">
        <v>179</v>
      </c>
      <c r="AL1531" s="147" t="s">
        <v>821</v>
      </c>
      <c r="AM1531" s="55"/>
      <c r="AN1531" s="144">
        <v>152.0</v>
      </c>
      <c r="AO1531" s="327">
        <v>0.04378</v>
      </c>
      <c r="AP1531" s="144" t="s">
        <v>1006</v>
      </c>
      <c r="AQ1531" s="327" t="s">
        <v>629</v>
      </c>
      <c r="AR1531" s="144">
        <v>0.90065</v>
      </c>
      <c r="AS1531" s="147" t="s">
        <v>164</v>
      </c>
      <c r="AT1531" s="147" t="s">
        <v>179</v>
      </c>
      <c r="AU1531" s="147" t="s">
        <v>821</v>
      </c>
      <c r="AV1531" s="60"/>
      <c r="AW1531" s="60" t="s">
        <v>134</v>
      </c>
      <c r="AY1531" s="60" t="s">
        <v>144</v>
      </c>
    </row>
    <row r="1532">
      <c r="A1532" s="115" t="s">
        <v>5350</v>
      </c>
      <c r="B1532" s="41" t="s">
        <v>107</v>
      </c>
      <c r="C1532" s="41" t="s">
        <v>144</v>
      </c>
      <c r="E1532" s="60" t="s">
        <v>9707</v>
      </c>
      <c r="F1532" s="52" t="s">
        <v>9724</v>
      </c>
      <c r="G1532" s="147" t="s">
        <v>144</v>
      </c>
      <c r="H1532" s="140">
        <v>45687.0</v>
      </c>
      <c r="I1532" s="140">
        <v>45692.0</v>
      </c>
      <c r="J1532" s="412" t="s">
        <v>9716</v>
      </c>
      <c r="K1532" s="60"/>
      <c r="L1532" s="147" t="s">
        <v>9708</v>
      </c>
      <c r="M1532" s="60"/>
      <c r="N1532" s="144">
        <v>3.0</v>
      </c>
      <c r="O1532" s="145" t="s">
        <v>351</v>
      </c>
      <c r="P1532" s="544" t="str">
        <f t="array" ref="P1532">HYPERLINK(INDEX('File Links'!B:B, MATCH(O1532, 'File Links'!C:C, 0)))
</f>
        <v>#N/A</v>
      </c>
      <c r="Q1532" s="147" t="s">
        <v>6103</v>
      </c>
      <c r="R1532" s="147" t="s">
        <v>6104</v>
      </c>
      <c r="S1532" s="60"/>
      <c r="T1532" s="144">
        <v>1.0</v>
      </c>
      <c r="U1532" s="145" t="s">
        <v>6105</v>
      </c>
      <c r="V1532" s="147" t="s">
        <v>9044</v>
      </c>
      <c r="W1532" s="1455" t="str">
        <f> hyperlink(vlookup(lower(R1532),'File Links'!F:G, 2, FALSE), "LINK")</f>
        <v>LINK</v>
      </c>
      <c r="X1532" s="60"/>
      <c r="Y1532" s="147" t="s">
        <v>220</v>
      </c>
      <c r="Z1532" s="147" t="s">
        <v>9717</v>
      </c>
      <c r="AA1532" s="147" t="s">
        <v>9718</v>
      </c>
      <c r="AB1532" s="147" t="s">
        <v>9725</v>
      </c>
      <c r="AC1532" s="147" t="s">
        <v>9726</v>
      </c>
      <c r="AD1532" s="327">
        <v>11.0</v>
      </c>
      <c r="AE1532" s="144">
        <v>155.0</v>
      </c>
      <c r="AF1532" s="327">
        <v>0.87</v>
      </c>
      <c r="AG1532" s="144" t="s">
        <v>1006</v>
      </c>
      <c r="AH1532" s="327" t="s">
        <v>299</v>
      </c>
      <c r="AI1532" s="328">
        <v>0.01</v>
      </c>
      <c r="AJ1532" s="52" t="s">
        <v>164</v>
      </c>
      <c r="AK1532" s="52" t="s">
        <v>179</v>
      </c>
      <c r="AL1532" s="147" t="s">
        <v>821</v>
      </c>
      <c r="AM1532" s="55"/>
      <c r="AN1532" s="144">
        <v>152.0</v>
      </c>
      <c r="AO1532" s="327">
        <v>0.9505</v>
      </c>
      <c r="AP1532" s="144" t="s">
        <v>1006</v>
      </c>
      <c r="AQ1532" s="327" t="s">
        <v>299</v>
      </c>
      <c r="AR1532" s="144">
        <v>0.00905</v>
      </c>
      <c r="AS1532" s="147" t="s">
        <v>164</v>
      </c>
      <c r="AT1532" s="147" t="s">
        <v>179</v>
      </c>
      <c r="AU1532" s="147" t="s">
        <v>821</v>
      </c>
      <c r="AV1532" s="60"/>
      <c r="AW1532" s="60" t="s">
        <v>134</v>
      </c>
      <c r="AY1532" s="60" t="s">
        <v>144</v>
      </c>
    </row>
    <row r="1533">
      <c r="A1533" s="115" t="s">
        <v>5350</v>
      </c>
      <c r="B1533" s="41" t="s">
        <v>107</v>
      </c>
      <c r="C1533" s="41" t="s">
        <v>144</v>
      </c>
      <c r="E1533" s="60" t="s">
        <v>9707</v>
      </c>
      <c r="F1533" s="52" t="s">
        <v>9727</v>
      </c>
      <c r="G1533" s="147" t="s">
        <v>144</v>
      </c>
      <c r="H1533" s="140">
        <v>45687.0</v>
      </c>
      <c r="I1533" s="140">
        <v>45692.0</v>
      </c>
      <c r="J1533" s="412" t="s">
        <v>9716</v>
      </c>
      <c r="K1533" s="60"/>
      <c r="L1533" s="147" t="s">
        <v>9708</v>
      </c>
      <c r="M1533" s="60"/>
      <c r="N1533" s="144">
        <v>3.0</v>
      </c>
      <c r="O1533" s="145" t="s">
        <v>351</v>
      </c>
      <c r="P1533" s="544" t="str">
        <f t="array" ref="P1533">HYPERLINK(INDEX('File Links'!B:B, MATCH(O1533, 'File Links'!C:C, 0)))
</f>
        <v>#N/A</v>
      </c>
      <c r="Q1533" s="147" t="s">
        <v>6103</v>
      </c>
      <c r="R1533" s="147" t="s">
        <v>6104</v>
      </c>
      <c r="S1533" s="60"/>
      <c r="T1533" s="144">
        <v>1.0</v>
      </c>
      <c r="U1533" s="145" t="s">
        <v>6105</v>
      </c>
      <c r="V1533" s="147" t="s">
        <v>9044</v>
      </c>
      <c r="W1533" s="1455" t="str">
        <f> hyperlink(vlookup(lower(R1533),'File Links'!F:G, 2, FALSE), "LINK")</f>
        <v>LINK</v>
      </c>
      <c r="X1533" s="60"/>
      <c r="Y1533" s="147" t="s">
        <v>220</v>
      </c>
      <c r="Z1533" s="147" t="s">
        <v>9717</v>
      </c>
      <c r="AA1533" s="147" t="s">
        <v>9718</v>
      </c>
      <c r="AB1533" s="147" t="s">
        <v>9728</v>
      </c>
      <c r="AC1533" s="147" t="s">
        <v>9729</v>
      </c>
      <c r="AD1533" s="327">
        <v>11.0</v>
      </c>
      <c r="AE1533" s="144">
        <v>155.0</v>
      </c>
      <c r="AF1533" s="327">
        <v>0.04</v>
      </c>
      <c r="AG1533" s="144" t="s">
        <v>1006</v>
      </c>
      <c r="AH1533" s="327" t="s">
        <v>299</v>
      </c>
      <c r="AI1533" s="328">
        <v>0.91</v>
      </c>
      <c r="AJ1533" s="52" t="s">
        <v>164</v>
      </c>
      <c r="AK1533" s="52" t="s">
        <v>179</v>
      </c>
      <c r="AL1533" s="147" t="s">
        <v>821</v>
      </c>
      <c r="AM1533" s="55"/>
      <c r="AN1533" s="144">
        <v>152.0</v>
      </c>
      <c r="AO1533" s="327">
        <v>-0.04378</v>
      </c>
      <c r="AP1533" s="144" t="s">
        <v>1006</v>
      </c>
      <c r="AQ1533" s="327" t="s">
        <v>609</v>
      </c>
      <c r="AR1533" s="144">
        <v>0.90065</v>
      </c>
      <c r="AS1533" s="147" t="s">
        <v>164</v>
      </c>
      <c r="AT1533" s="147" t="s">
        <v>179</v>
      </c>
      <c r="AU1533" s="147" t="s">
        <v>821</v>
      </c>
      <c r="AV1533" s="60"/>
      <c r="AW1533" s="60" t="s">
        <v>134</v>
      </c>
      <c r="AY1533" s="60" t="s">
        <v>144</v>
      </c>
    </row>
    <row r="1534">
      <c r="A1534" s="115" t="s">
        <v>5350</v>
      </c>
      <c r="B1534" s="41" t="s">
        <v>107</v>
      </c>
      <c r="C1534" s="41" t="s">
        <v>144</v>
      </c>
      <c r="E1534" s="60" t="s">
        <v>9707</v>
      </c>
      <c r="F1534" s="52" t="s">
        <v>9730</v>
      </c>
      <c r="G1534" s="147" t="s">
        <v>144</v>
      </c>
      <c r="H1534" s="140">
        <v>45687.0</v>
      </c>
      <c r="I1534" s="140">
        <v>45692.0</v>
      </c>
      <c r="J1534" s="412" t="s">
        <v>9716</v>
      </c>
      <c r="K1534" s="60"/>
      <c r="L1534" s="147" t="s">
        <v>9708</v>
      </c>
      <c r="M1534" s="60"/>
      <c r="N1534" s="144">
        <v>3.0</v>
      </c>
      <c r="O1534" s="145" t="s">
        <v>351</v>
      </c>
      <c r="P1534" s="544" t="str">
        <f t="array" ref="P1534">HYPERLINK(INDEX('File Links'!B:B, MATCH(O1534, 'File Links'!C:C, 0)))
</f>
        <v>#N/A</v>
      </c>
      <c r="Q1534" s="147" t="s">
        <v>6103</v>
      </c>
      <c r="R1534" s="147" t="s">
        <v>6104</v>
      </c>
      <c r="S1534" s="60"/>
      <c r="T1534" s="144">
        <v>1.0</v>
      </c>
      <c r="U1534" s="145" t="s">
        <v>6105</v>
      </c>
      <c r="V1534" s="147" t="s">
        <v>9044</v>
      </c>
      <c r="W1534" s="1455" t="str">
        <f> hyperlink(vlookup(lower(R1534),'File Links'!F:G, 2, FALSE), "LINK")</f>
        <v>LINK</v>
      </c>
      <c r="X1534" s="60"/>
      <c r="Y1534" s="147" t="s">
        <v>220</v>
      </c>
      <c r="Z1534" s="147" t="s">
        <v>9717</v>
      </c>
      <c r="AA1534" s="147" t="s">
        <v>9718</v>
      </c>
      <c r="AB1534" s="147" t="s">
        <v>9731</v>
      </c>
      <c r="AC1534" s="147" t="s">
        <v>9732</v>
      </c>
      <c r="AD1534" s="327">
        <v>11.0</v>
      </c>
      <c r="AE1534" s="144">
        <v>155.0</v>
      </c>
      <c r="AF1534" s="327">
        <v>-1.0</v>
      </c>
      <c r="AG1534" s="144" t="s">
        <v>1006</v>
      </c>
      <c r="AH1534" s="327" t="s">
        <v>299</v>
      </c>
      <c r="AI1534" s="328">
        <v>0.002</v>
      </c>
      <c r="AJ1534" s="52" t="s">
        <v>164</v>
      </c>
      <c r="AK1534" s="52" t="s">
        <v>179</v>
      </c>
      <c r="AL1534" s="147" t="s">
        <v>821</v>
      </c>
      <c r="AM1534" s="55"/>
      <c r="AN1534" s="144">
        <v>152.0</v>
      </c>
      <c r="AO1534" s="327">
        <v>-2.0041</v>
      </c>
      <c r="AP1534" s="144" t="s">
        <v>1006</v>
      </c>
      <c r="AQ1534" s="327" t="s">
        <v>175</v>
      </c>
      <c r="AR1534" s="144">
        <f>4.42 * 10^-9</f>
        <v>0.00000000442</v>
      </c>
      <c r="AS1534" s="147" t="s">
        <v>164</v>
      </c>
      <c r="AT1534" s="147" t="s">
        <v>179</v>
      </c>
      <c r="AU1534" s="147" t="s">
        <v>821</v>
      </c>
      <c r="AV1534" s="60"/>
      <c r="AW1534" s="60" t="s">
        <v>134</v>
      </c>
      <c r="AY1534" s="60" t="s">
        <v>144</v>
      </c>
    </row>
    <row r="1535">
      <c r="A1535" s="115" t="s">
        <v>5350</v>
      </c>
      <c r="B1535" s="41" t="s">
        <v>107</v>
      </c>
      <c r="C1535" s="41" t="s">
        <v>144</v>
      </c>
      <c r="E1535" s="60" t="s">
        <v>9707</v>
      </c>
      <c r="F1535" s="52" t="s">
        <v>9733</v>
      </c>
      <c r="G1535" s="147" t="s">
        <v>144</v>
      </c>
      <c r="H1535" s="140">
        <v>45687.0</v>
      </c>
      <c r="I1535" s="140">
        <v>45692.0</v>
      </c>
      <c r="J1535" s="412" t="s">
        <v>9716</v>
      </c>
      <c r="K1535" s="60"/>
      <c r="L1535" s="147" t="s">
        <v>9708</v>
      </c>
      <c r="M1535" s="60"/>
      <c r="N1535" s="144">
        <v>3.0</v>
      </c>
      <c r="O1535" s="145" t="s">
        <v>351</v>
      </c>
      <c r="P1535" s="544" t="str">
        <f t="array" ref="P1535">HYPERLINK(INDEX('File Links'!B:B, MATCH(O1535, 'File Links'!C:C, 0)))
</f>
        <v>#N/A</v>
      </c>
      <c r="Q1535" s="147" t="s">
        <v>6103</v>
      </c>
      <c r="R1535" s="147" t="s">
        <v>6104</v>
      </c>
      <c r="S1535" s="60"/>
      <c r="T1535" s="144">
        <v>1.0</v>
      </c>
      <c r="U1535" s="145" t="s">
        <v>6105</v>
      </c>
      <c r="V1535" s="147" t="s">
        <v>9044</v>
      </c>
      <c r="W1535" s="1455" t="str">
        <f> hyperlink(vlookup(lower(R1535),'File Links'!F:G, 2, FALSE), "LINK")</f>
        <v>LINK</v>
      </c>
      <c r="X1535" s="60"/>
      <c r="Y1535" s="147" t="s">
        <v>220</v>
      </c>
      <c r="Z1535" s="147" t="s">
        <v>9717</v>
      </c>
      <c r="AA1535" s="147" t="s">
        <v>9718</v>
      </c>
      <c r="AB1535" s="147" t="s">
        <v>9734</v>
      </c>
      <c r="AC1535" s="147" t="s">
        <v>9735</v>
      </c>
      <c r="AD1535" s="327">
        <v>11.0</v>
      </c>
      <c r="AE1535" s="144">
        <v>155.0</v>
      </c>
      <c r="AF1535" s="327">
        <v>-1.36</v>
      </c>
      <c r="AG1535" s="144" t="s">
        <v>1006</v>
      </c>
      <c r="AH1535" s="327" t="s">
        <v>299</v>
      </c>
      <c r="AI1535" s="328">
        <v>0.001</v>
      </c>
      <c r="AJ1535" s="52" t="s">
        <v>127</v>
      </c>
      <c r="AK1535" s="52" t="s">
        <v>179</v>
      </c>
      <c r="AL1535" s="147" t="s">
        <v>821</v>
      </c>
      <c r="AM1535" s="55"/>
      <c r="AN1535" s="144">
        <v>152.0</v>
      </c>
      <c r="AO1535" s="327">
        <v>-1.401</v>
      </c>
      <c r="AP1535" s="144" t="s">
        <v>1006</v>
      </c>
      <c r="AQ1535" s="327" t="s">
        <v>175</v>
      </c>
      <c r="AR1535" s="144">
        <f>2.24 * 10^-5</f>
        <v>0.0000224</v>
      </c>
      <c r="AS1535" s="147" t="s">
        <v>164</v>
      </c>
      <c r="AT1535" s="147" t="s">
        <v>179</v>
      </c>
      <c r="AU1535" s="147" t="s">
        <v>821</v>
      </c>
      <c r="AV1535" s="60"/>
      <c r="AW1535" s="60" t="s">
        <v>134</v>
      </c>
      <c r="AY1535" s="60" t="s">
        <v>144</v>
      </c>
    </row>
    <row r="1536">
      <c r="A1536" s="115" t="s">
        <v>5350</v>
      </c>
      <c r="B1536" s="41" t="s">
        <v>107</v>
      </c>
      <c r="C1536" s="41" t="s">
        <v>144</v>
      </c>
      <c r="E1536" s="60" t="s">
        <v>9707</v>
      </c>
      <c r="F1536" s="52" t="s">
        <v>9736</v>
      </c>
      <c r="G1536" s="147" t="s">
        <v>144</v>
      </c>
      <c r="H1536" s="140">
        <v>45687.0</v>
      </c>
      <c r="I1536" s="140">
        <v>45692.0</v>
      </c>
      <c r="J1536" s="412" t="s">
        <v>9716</v>
      </c>
      <c r="K1536" s="60"/>
      <c r="L1536" s="147" t="s">
        <v>9708</v>
      </c>
      <c r="M1536" s="60"/>
      <c r="N1536" s="144">
        <v>3.0</v>
      </c>
      <c r="O1536" s="145" t="s">
        <v>351</v>
      </c>
      <c r="P1536" s="544" t="str">
        <f t="array" ref="P1536">HYPERLINK(INDEX('File Links'!B:B, MATCH(O1536, 'File Links'!C:C, 0)))
</f>
        <v>#N/A</v>
      </c>
      <c r="Q1536" s="147" t="s">
        <v>6103</v>
      </c>
      <c r="R1536" s="147" t="s">
        <v>6104</v>
      </c>
      <c r="S1536" s="60"/>
      <c r="T1536" s="144">
        <v>1.0</v>
      </c>
      <c r="U1536" s="145" t="s">
        <v>6105</v>
      </c>
      <c r="V1536" s="147" t="s">
        <v>9044</v>
      </c>
      <c r="W1536" s="1455" t="str">
        <f> hyperlink(vlookup(lower(R1536),'File Links'!F:G, 2, FALSE), "LINK")</f>
        <v>LINK</v>
      </c>
      <c r="X1536" s="60"/>
      <c r="Y1536" s="147" t="s">
        <v>220</v>
      </c>
      <c r="Z1536" s="147" t="s">
        <v>9717</v>
      </c>
      <c r="AA1536" s="147" t="s">
        <v>9718</v>
      </c>
      <c r="AB1536" s="147" t="s">
        <v>9737</v>
      </c>
      <c r="AC1536" s="147" t="s">
        <v>9738</v>
      </c>
      <c r="AD1536" s="327">
        <v>11.0</v>
      </c>
      <c r="AE1536" s="144">
        <v>155.0</v>
      </c>
      <c r="AF1536" s="327">
        <v>0.36</v>
      </c>
      <c r="AG1536" s="144" t="s">
        <v>1006</v>
      </c>
      <c r="AH1536" s="327" t="s">
        <v>299</v>
      </c>
      <c r="AI1536" s="328">
        <v>0.26</v>
      </c>
      <c r="AJ1536" s="52" t="s">
        <v>164</v>
      </c>
      <c r="AK1536" s="52" t="s">
        <v>179</v>
      </c>
      <c r="AL1536" s="147" t="s">
        <v>821</v>
      </c>
      <c r="AM1536" s="55"/>
      <c r="AN1536" s="144">
        <v>152.0</v>
      </c>
      <c r="AO1536" s="327">
        <v>-0.603</v>
      </c>
      <c r="AP1536" s="144" t="s">
        <v>1006</v>
      </c>
      <c r="AQ1536" s="327" t="s">
        <v>175</v>
      </c>
      <c r="AR1536" s="144">
        <v>0.0549</v>
      </c>
      <c r="AS1536" s="147" t="s">
        <v>164</v>
      </c>
      <c r="AT1536" s="147" t="s">
        <v>179</v>
      </c>
      <c r="AU1536" s="147" t="s">
        <v>821</v>
      </c>
      <c r="AV1536" s="60"/>
      <c r="AW1536" s="60" t="s">
        <v>134</v>
      </c>
      <c r="AY1536" s="60" t="s">
        <v>144</v>
      </c>
    </row>
    <row r="1537">
      <c r="A1537" s="115" t="s">
        <v>5350</v>
      </c>
      <c r="B1537" s="41" t="s">
        <v>107</v>
      </c>
      <c r="C1537" s="41" t="s">
        <v>144</v>
      </c>
      <c r="E1537" s="60" t="s">
        <v>9707</v>
      </c>
      <c r="F1537" s="52" t="s">
        <v>9739</v>
      </c>
      <c r="G1537" s="147" t="s">
        <v>144</v>
      </c>
      <c r="H1537" s="140">
        <v>45687.0</v>
      </c>
      <c r="I1537" s="140">
        <v>45692.0</v>
      </c>
      <c r="J1537" s="412" t="s">
        <v>9716</v>
      </c>
      <c r="K1537" s="60"/>
      <c r="L1537" s="147" t="s">
        <v>9708</v>
      </c>
      <c r="M1537" s="60"/>
      <c r="N1537" s="144">
        <v>3.0</v>
      </c>
      <c r="O1537" s="145" t="s">
        <v>351</v>
      </c>
      <c r="P1537" s="544" t="str">
        <f t="array" ref="P1537">HYPERLINK(INDEX('File Links'!B:B, MATCH(O1537, 'File Links'!C:C, 0)))
</f>
        <v>#N/A</v>
      </c>
      <c r="Q1537" s="147" t="s">
        <v>6103</v>
      </c>
      <c r="R1537" s="147" t="s">
        <v>6104</v>
      </c>
      <c r="S1537" s="60"/>
      <c r="T1537" s="144">
        <v>1.0</v>
      </c>
      <c r="U1537" s="145" t="s">
        <v>6105</v>
      </c>
      <c r="V1537" s="147" t="s">
        <v>9044</v>
      </c>
      <c r="W1537" s="1455" t="str">
        <f> hyperlink(vlookup(lower(R1537),'File Links'!F:G, 2, FALSE), "LINK")</f>
        <v>LINK</v>
      </c>
      <c r="X1537" s="60"/>
      <c r="Y1537" s="147" t="s">
        <v>220</v>
      </c>
      <c r="Z1537" s="147" t="s">
        <v>9717</v>
      </c>
      <c r="AA1537" s="147" t="s">
        <v>9718</v>
      </c>
      <c r="AB1537" s="147" t="s">
        <v>9740</v>
      </c>
      <c r="AC1537" s="147" t="s">
        <v>9741</v>
      </c>
      <c r="AD1537" s="327">
        <v>11.0</v>
      </c>
      <c r="AE1537" s="144">
        <v>155.0</v>
      </c>
      <c r="AF1537" s="327">
        <v>-0.78</v>
      </c>
      <c r="AG1537" s="144" t="s">
        <v>1006</v>
      </c>
      <c r="AH1537" s="327" t="s">
        <v>299</v>
      </c>
      <c r="AI1537" s="328">
        <v>0.02</v>
      </c>
      <c r="AJ1537" s="52" t="s">
        <v>164</v>
      </c>
      <c r="AK1537" s="52" t="s">
        <v>179</v>
      </c>
      <c r="AL1537" s="147" t="s">
        <v>821</v>
      </c>
      <c r="AM1537" s="55"/>
      <c r="AN1537" s="144">
        <v>152.0</v>
      </c>
      <c r="AO1537" s="327">
        <v>-1.48</v>
      </c>
      <c r="AP1537" s="144" t="s">
        <v>1006</v>
      </c>
      <c r="AQ1537" s="327" t="s">
        <v>297</v>
      </c>
      <c r="AR1537" s="144">
        <f>1.06 * 10^-5</f>
        <v>0.0000106</v>
      </c>
      <c r="AS1537" s="147" t="s">
        <v>164</v>
      </c>
      <c r="AT1537" s="147" t="s">
        <v>179</v>
      </c>
      <c r="AU1537" s="147" t="s">
        <v>821</v>
      </c>
      <c r="AV1537" s="60"/>
      <c r="AW1537" s="60" t="s">
        <v>134</v>
      </c>
      <c r="AY1537" s="60" t="s">
        <v>144</v>
      </c>
    </row>
    <row r="1538">
      <c r="A1538" s="115" t="s">
        <v>5350</v>
      </c>
      <c r="B1538" s="41" t="s">
        <v>107</v>
      </c>
      <c r="C1538" s="41" t="s">
        <v>144</v>
      </c>
      <c r="E1538" s="60" t="s">
        <v>9707</v>
      </c>
      <c r="F1538" s="52" t="s">
        <v>9742</v>
      </c>
      <c r="G1538" s="147" t="s">
        <v>144</v>
      </c>
      <c r="H1538" s="140">
        <v>45687.0</v>
      </c>
      <c r="I1538" s="140">
        <v>45692.0</v>
      </c>
      <c r="J1538" s="412" t="s">
        <v>9716</v>
      </c>
      <c r="K1538" s="60"/>
      <c r="L1538" s="147" t="s">
        <v>9708</v>
      </c>
      <c r="M1538" s="60"/>
      <c r="N1538" s="144">
        <v>3.0</v>
      </c>
      <c r="O1538" s="145" t="s">
        <v>351</v>
      </c>
      <c r="P1538" s="544" t="str">
        <f t="array" ref="P1538">HYPERLINK(INDEX('File Links'!B:B, MATCH(O1538, 'File Links'!C:C, 0)))
</f>
        <v>#N/A</v>
      </c>
      <c r="Q1538" s="147" t="s">
        <v>6103</v>
      </c>
      <c r="R1538" s="147" t="s">
        <v>6104</v>
      </c>
      <c r="S1538" s="60"/>
      <c r="T1538" s="144">
        <v>1.0</v>
      </c>
      <c r="U1538" s="145" t="s">
        <v>6105</v>
      </c>
      <c r="V1538" s="147" t="s">
        <v>9044</v>
      </c>
      <c r="W1538" s="1455" t="str">
        <f> hyperlink(vlookup(lower(R1538),'File Links'!F:G, 2, FALSE), "LINK")</f>
        <v>LINK</v>
      </c>
      <c r="X1538" s="60"/>
      <c r="Y1538" s="147" t="s">
        <v>220</v>
      </c>
      <c r="Z1538" s="147" t="s">
        <v>9717</v>
      </c>
      <c r="AA1538" s="147" t="s">
        <v>9718</v>
      </c>
      <c r="AB1538" s="147" t="s">
        <v>9743</v>
      </c>
      <c r="AC1538" s="147" t="s">
        <v>9744</v>
      </c>
      <c r="AD1538" s="327">
        <v>11.0</v>
      </c>
      <c r="AE1538" s="144">
        <v>155.0</v>
      </c>
      <c r="AF1538" s="327">
        <v>-0.77</v>
      </c>
      <c r="AG1538" s="144" t="s">
        <v>1006</v>
      </c>
      <c r="AH1538" s="327" t="s">
        <v>299</v>
      </c>
      <c r="AI1538" s="328">
        <v>0.03</v>
      </c>
      <c r="AJ1538" s="52" t="s">
        <v>164</v>
      </c>
      <c r="AK1538" s="52" t="s">
        <v>179</v>
      </c>
      <c r="AL1538" s="147" t="s">
        <v>821</v>
      </c>
      <c r="AM1538" s="55"/>
      <c r="AN1538" s="144">
        <v>152.0</v>
      </c>
      <c r="AO1538" s="327">
        <v>-1.0783</v>
      </c>
      <c r="AP1538" s="144" t="s">
        <v>1006</v>
      </c>
      <c r="AQ1538" s="327" t="s">
        <v>297</v>
      </c>
      <c r="AR1538" s="144">
        <v>0.00107</v>
      </c>
      <c r="AS1538" s="147" t="s">
        <v>164</v>
      </c>
      <c r="AT1538" s="147" t="s">
        <v>179</v>
      </c>
      <c r="AU1538" s="147" t="s">
        <v>821</v>
      </c>
      <c r="AV1538" s="60"/>
      <c r="AW1538" s="60" t="s">
        <v>134</v>
      </c>
      <c r="AY1538" s="60" t="s">
        <v>144</v>
      </c>
    </row>
    <row r="1539">
      <c r="A1539" s="115" t="s">
        <v>5350</v>
      </c>
      <c r="B1539" s="41" t="s">
        <v>107</v>
      </c>
      <c r="C1539" s="41" t="s">
        <v>144</v>
      </c>
      <c r="E1539" s="60" t="s">
        <v>9707</v>
      </c>
      <c r="F1539" s="52" t="s">
        <v>9745</v>
      </c>
      <c r="G1539" s="147" t="s">
        <v>144</v>
      </c>
      <c r="H1539" s="140">
        <v>45687.0</v>
      </c>
      <c r="I1539" s="140">
        <v>45692.0</v>
      </c>
      <c r="J1539" s="412" t="s">
        <v>9716</v>
      </c>
      <c r="K1539" s="60"/>
      <c r="L1539" s="147" t="s">
        <v>9708</v>
      </c>
      <c r="M1539" s="60"/>
      <c r="N1539" s="144">
        <v>3.0</v>
      </c>
      <c r="O1539" s="145" t="s">
        <v>351</v>
      </c>
      <c r="P1539" s="544" t="str">
        <f t="array" ref="P1539">HYPERLINK(INDEX('File Links'!B:B, MATCH(O1539, 'File Links'!C:C, 0)))
</f>
        <v>#N/A</v>
      </c>
      <c r="Q1539" s="147" t="s">
        <v>6103</v>
      </c>
      <c r="R1539" s="147" t="s">
        <v>6104</v>
      </c>
      <c r="S1539" s="60"/>
      <c r="T1539" s="144">
        <v>1.0</v>
      </c>
      <c r="U1539" s="145" t="s">
        <v>6105</v>
      </c>
      <c r="V1539" s="147" t="s">
        <v>9044</v>
      </c>
      <c r="W1539" s="1455" t="str">
        <f> hyperlink(vlookup(lower(R1539),'File Links'!F:G, 2, FALSE), "LINK")</f>
        <v>LINK</v>
      </c>
      <c r="X1539" s="60"/>
      <c r="Y1539" s="147" t="s">
        <v>220</v>
      </c>
      <c r="Z1539" s="147" t="s">
        <v>9717</v>
      </c>
      <c r="AA1539" s="147" t="s">
        <v>9718</v>
      </c>
      <c r="AB1539" s="147" t="s">
        <v>9746</v>
      </c>
      <c r="AC1539" s="147" t="s">
        <v>9747</v>
      </c>
      <c r="AD1539" s="327">
        <v>11.0</v>
      </c>
      <c r="AE1539" s="144">
        <v>155.0</v>
      </c>
      <c r="AF1539" s="327">
        <v>-0.01</v>
      </c>
      <c r="AG1539" s="144" t="s">
        <v>1006</v>
      </c>
      <c r="AH1539" s="327" t="s">
        <v>299</v>
      </c>
      <c r="AI1539" s="328">
        <v>0.97</v>
      </c>
      <c r="AJ1539" s="52" t="s">
        <v>164</v>
      </c>
      <c r="AK1539" s="52" t="s">
        <v>179</v>
      </c>
      <c r="AL1539" s="147" t="s">
        <v>821</v>
      </c>
      <c r="AM1539" s="55"/>
      <c r="AN1539" s="144">
        <v>152.0</v>
      </c>
      <c r="AO1539" s="327">
        <v>-0.4017</v>
      </c>
      <c r="AP1539" s="144" t="s">
        <v>1006</v>
      </c>
      <c r="AQ1539" s="327" t="s">
        <v>297</v>
      </c>
      <c r="AR1539" s="144">
        <v>0.20379</v>
      </c>
      <c r="AS1539" s="147" t="s">
        <v>164</v>
      </c>
      <c r="AT1539" s="147" t="s">
        <v>179</v>
      </c>
      <c r="AU1539" s="147" t="s">
        <v>821</v>
      </c>
      <c r="AV1539" s="60"/>
      <c r="AW1539" s="60" t="s">
        <v>134</v>
      </c>
      <c r="AY1539" s="60" t="s">
        <v>144</v>
      </c>
    </row>
    <row r="1540">
      <c r="A1540" s="60" t="s">
        <v>586</v>
      </c>
      <c r="B1540" s="41" t="s">
        <v>107</v>
      </c>
      <c r="C1540" s="41" t="s">
        <v>243</v>
      </c>
      <c r="E1540" s="147" t="s">
        <v>9748</v>
      </c>
      <c r="F1540" s="52" t="s">
        <v>9749</v>
      </c>
      <c r="G1540" s="147" t="s">
        <v>244</v>
      </c>
      <c r="H1540" s="140">
        <v>45670.0</v>
      </c>
      <c r="I1540" s="140">
        <v>45692.0</v>
      </c>
      <c r="J1540" s="412" t="s">
        <v>9750</v>
      </c>
      <c r="K1540" s="147" t="s">
        <v>9751</v>
      </c>
      <c r="L1540" s="147" t="s">
        <v>9752</v>
      </c>
      <c r="M1540" s="147" t="s">
        <v>9753</v>
      </c>
      <c r="N1540" s="60"/>
      <c r="O1540" s="145" t="str">
        <f> SUBSTITUTE(lower(M1540), "/", "--") &amp;  ".pdf"</f>
        <v>10.1177--0956797619855382.pdf</v>
      </c>
      <c r="P1540" s="48" t="str">
        <f t="array" ref="P1540">HYPERLINK(INDEX('File Links'!B:B, MATCH(O1540, 'File Links'!C:C, 0)))
</f>
        <v>https://drive.google.com/file/d/1ITD043otUXSzSXwJBI77ZEGc7YfO0lXl/view?usp=drivesdk</v>
      </c>
      <c r="Q1540" s="147" t="s">
        <v>9754</v>
      </c>
      <c r="R1540" s="147" t="s">
        <v>9755</v>
      </c>
      <c r="S1540" s="60"/>
      <c r="T1540" s="60"/>
      <c r="U1540" s="145" t="s">
        <v>6105</v>
      </c>
      <c r="V1540" s="147" t="s">
        <v>7707</v>
      </c>
      <c r="W1540" s="1455" t="str">
        <f> hyperlink(vlookup(lower(R1540),'File Links'!E:F, 2, FALSE), "LINK")</f>
        <v>LINK</v>
      </c>
      <c r="X1540" s="60"/>
      <c r="Y1540" s="1268" t="s">
        <v>501</v>
      </c>
      <c r="Z1540" s="147" t="s">
        <v>9756</v>
      </c>
      <c r="AA1540" s="147" t="s">
        <v>9757</v>
      </c>
      <c r="AB1540" s="147" t="s">
        <v>9758</v>
      </c>
      <c r="AC1540" s="147" t="s">
        <v>9759</v>
      </c>
      <c r="AD1540" s="144">
        <v>3.0</v>
      </c>
      <c r="AE1540" s="144">
        <v>177.0</v>
      </c>
      <c r="AF1540" s="144">
        <v>0.56766426264502</v>
      </c>
      <c r="AG1540" s="147" t="s">
        <v>166</v>
      </c>
      <c r="AH1540" s="144" t="s">
        <v>505</v>
      </c>
      <c r="AI1540" s="1480">
        <f>2.52625057832611*10^-12</f>
        <v>0</v>
      </c>
      <c r="AJ1540" s="52" t="s">
        <v>164</v>
      </c>
      <c r="AK1540" s="52" t="s">
        <v>179</v>
      </c>
      <c r="AL1540" s="147" t="s">
        <v>129</v>
      </c>
      <c r="AM1540" s="615" t="s">
        <v>9760</v>
      </c>
      <c r="AN1540" s="144">
        <v>157.0</v>
      </c>
      <c r="AO1540" s="144">
        <v>0.398805704566971</v>
      </c>
      <c r="AP1540" s="147" t="s">
        <v>166</v>
      </c>
      <c r="AQ1540" s="60"/>
      <c r="AR1540" s="1459">
        <f>1.66062956998421*10^-6</f>
        <v>0.00000166062957</v>
      </c>
      <c r="AS1540" s="147" t="s">
        <v>164</v>
      </c>
      <c r="AT1540" s="147" t="s">
        <v>179</v>
      </c>
      <c r="AU1540" s="147" t="s">
        <v>129</v>
      </c>
      <c r="AV1540" s="60"/>
      <c r="AW1540" s="147" t="s">
        <v>134</v>
      </c>
      <c r="AY1540" s="60" t="s">
        <v>144</v>
      </c>
    </row>
    <row r="1541">
      <c r="A1541" s="60" t="s">
        <v>586</v>
      </c>
      <c r="B1541" s="41" t="s">
        <v>107</v>
      </c>
      <c r="C1541" s="41" t="s">
        <v>144</v>
      </c>
      <c r="E1541" s="60" t="s">
        <v>9749</v>
      </c>
      <c r="F1541" s="52" t="s">
        <v>9761</v>
      </c>
      <c r="G1541" s="147" t="s">
        <v>144</v>
      </c>
      <c r="H1541" s="140">
        <v>45687.0</v>
      </c>
      <c r="I1541" s="140">
        <v>45692.0</v>
      </c>
      <c r="J1541" s="454" t="s">
        <v>9762</v>
      </c>
      <c r="K1541" s="60"/>
      <c r="L1541" s="147" t="s">
        <v>9752</v>
      </c>
      <c r="M1541" s="147" t="s">
        <v>9753</v>
      </c>
      <c r="N1541" s="144">
        <v>1.0</v>
      </c>
      <c r="O1541" s="145" t="s">
        <v>9763</v>
      </c>
      <c r="P1541" s="48" t="str">
        <f t="array" ref="P1541">HYPERLINK(INDEX('File Links'!B:B, MATCH(O1541, 'File Links'!C:C, 0)))
</f>
        <v>https://drive.google.com/file/d/1ITD043otUXSzSXwJBI77ZEGc7YfO0lXl/view?usp=drivesdk</v>
      </c>
      <c r="Q1541" s="147" t="s">
        <v>6103</v>
      </c>
      <c r="R1541" s="147" t="s">
        <v>6104</v>
      </c>
      <c r="S1541" s="60"/>
      <c r="T1541" s="144">
        <v>1.0</v>
      </c>
      <c r="U1541" s="145" t="s">
        <v>6105</v>
      </c>
      <c r="V1541" s="147" t="s">
        <v>7707</v>
      </c>
      <c r="W1541" s="1455" t="str">
        <f> hyperlink(vlookup(lower(R1541),'File Links'!F:G, 2, FALSE), "LINK")</f>
        <v>LINK</v>
      </c>
      <c r="X1541" s="60"/>
      <c r="Y1541" s="147" t="s">
        <v>960</v>
      </c>
      <c r="Z1541" s="147" t="s">
        <v>9756</v>
      </c>
      <c r="AA1541" s="147" t="s">
        <v>9757</v>
      </c>
      <c r="AB1541" s="147" t="s">
        <v>9764</v>
      </c>
      <c r="AC1541" s="147" t="s">
        <v>9765</v>
      </c>
      <c r="AD1541" s="144">
        <v>4.0</v>
      </c>
      <c r="AE1541" s="144">
        <v>177.0</v>
      </c>
      <c r="AF1541" s="144">
        <v>9.599</v>
      </c>
      <c r="AG1541" s="144" t="s">
        <v>1006</v>
      </c>
      <c r="AH1541" s="144" t="s">
        <v>861</v>
      </c>
      <c r="AI1541" s="646">
        <v>0.001</v>
      </c>
      <c r="AJ1541" s="52" t="s">
        <v>127</v>
      </c>
      <c r="AK1541" s="52" t="s">
        <v>179</v>
      </c>
      <c r="AL1541" s="147" t="s">
        <v>129</v>
      </c>
      <c r="AM1541" s="55"/>
      <c r="AN1541" s="144">
        <v>157.0</v>
      </c>
      <c r="AO1541" s="144">
        <v>-6.8322</v>
      </c>
      <c r="AP1541" s="144" t="s">
        <v>1006</v>
      </c>
      <c r="AQ1541" s="60"/>
      <c r="AR1541" s="60"/>
      <c r="AS1541" s="60"/>
      <c r="AT1541" s="147" t="s">
        <v>179</v>
      </c>
      <c r="AU1541" s="147" t="s">
        <v>129</v>
      </c>
      <c r="AV1541" s="410" t="s">
        <v>9766</v>
      </c>
      <c r="AW1541" s="60" t="s">
        <v>134</v>
      </c>
      <c r="AY1541" s="60" t="s">
        <v>144</v>
      </c>
    </row>
    <row r="1542">
      <c r="A1542" s="60" t="s">
        <v>586</v>
      </c>
      <c r="B1542" s="41" t="s">
        <v>107</v>
      </c>
      <c r="C1542" s="41" t="s">
        <v>144</v>
      </c>
      <c r="E1542" s="60" t="s">
        <v>9749</v>
      </c>
      <c r="F1542" s="52" t="s">
        <v>9767</v>
      </c>
      <c r="G1542" s="147" t="s">
        <v>144</v>
      </c>
      <c r="H1542" s="140">
        <v>45687.0</v>
      </c>
      <c r="I1542" s="140">
        <v>45692.0</v>
      </c>
      <c r="J1542" s="454" t="s">
        <v>9768</v>
      </c>
      <c r="K1542" s="60"/>
      <c r="L1542" s="147" t="s">
        <v>9752</v>
      </c>
      <c r="M1542" s="147" t="s">
        <v>9753</v>
      </c>
      <c r="N1542" s="144">
        <v>1.0</v>
      </c>
      <c r="O1542" s="145" t="s">
        <v>9763</v>
      </c>
      <c r="P1542" s="48" t="str">
        <f t="array" ref="P1542">HYPERLINK(INDEX('File Links'!B:B, MATCH(O1542, 'File Links'!C:C, 0)))
</f>
        <v>https://drive.google.com/file/d/1ITD043otUXSzSXwJBI77ZEGc7YfO0lXl/view?usp=drivesdk</v>
      </c>
      <c r="Q1542" s="147" t="s">
        <v>6103</v>
      </c>
      <c r="R1542" s="147" t="s">
        <v>6104</v>
      </c>
      <c r="S1542" s="60"/>
      <c r="T1542" s="144">
        <v>1.0</v>
      </c>
      <c r="U1542" s="145" t="s">
        <v>6105</v>
      </c>
      <c r="V1542" s="147" t="s">
        <v>7707</v>
      </c>
      <c r="W1542" s="1455" t="str">
        <f> hyperlink(vlookup(lower(R1542),'File Links'!F:G, 2, FALSE), "LINK")</f>
        <v>LINK</v>
      </c>
      <c r="X1542" s="60"/>
      <c r="Y1542" s="147" t="s">
        <v>960</v>
      </c>
      <c r="Z1542" s="147" t="s">
        <v>9756</v>
      </c>
      <c r="AA1542" s="147" t="s">
        <v>9757</v>
      </c>
      <c r="AB1542" s="147" t="s">
        <v>9769</v>
      </c>
      <c r="AC1542" s="147" t="s">
        <v>9770</v>
      </c>
      <c r="AD1542" s="144">
        <v>4.0</v>
      </c>
      <c r="AE1542" s="144">
        <v>177.0</v>
      </c>
      <c r="AF1542" s="327">
        <v>9.199</v>
      </c>
      <c r="AG1542" s="144" t="s">
        <v>1006</v>
      </c>
      <c r="AH1542" s="144" t="s">
        <v>861</v>
      </c>
      <c r="AI1542" s="328">
        <v>0.001</v>
      </c>
      <c r="AJ1542" s="52" t="s">
        <v>127</v>
      </c>
      <c r="AK1542" s="52" t="s">
        <v>179</v>
      </c>
      <c r="AL1542" s="147" t="s">
        <v>129</v>
      </c>
      <c r="AM1542" s="55"/>
      <c r="AN1542" s="144">
        <v>157.0</v>
      </c>
      <c r="AO1542" s="144">
        <v>7.356</v>
      </c>
      <c r="AP1542" s="144" t="s">
        <v>1006</v>
      </c>
      <c r="AQ1542" s="60"/>
      <c r="AR1542" s="60"/>
      <c r="AS1542" s="60"/>
      <c r="AT1542" s="147" t="s">
        <v>179</v>
      </c>
      <c r="AU1542" s="147" t="s">
        <v>129</v>
      </c>
      <c r="AV1542" s="410" t="s">
        <v>9766</v>
      </c>
      <c r="AW1542" s="60" t="s">
        <v>134</v>
      </c>
      <c r="AY1542" s="60" t="s">
        <v>144</v>
      </c>
    </row>
    <row r="1543">
      <c r="A1543" s="60" t="s">
        <v>586</v>
      </c>
      <c r="B1543" s="41" t="s">
        <v>107</v>
      </c>
      <c r="C1543" s="41" t="s">
        <v>144</v>
      </c>
      <c r="E1543" s="60" t="s">
        <v>9749</v>
      </c>
      <c r="F1543" s="52" t="s">
        <v>9771</v>
      </c>
      <c r="G1543" s="147" t="s">
        <v>144</v>
      </c>
      <c r="H1543" s="140">
        <v>45687.0</v>
      </c>
      <c r="I1543" s="140">
        <v>45692.0</v>
      </c>
      <c r="J1543" s="454" t="s">
        <v>9772</v>
      </c>
      <c r="K1543" s="60"/>
      <c r="L1543" s="147" t="s">
        <v>9752</v>
      </c>
      <c r="M1543" s="147" t="s">
        <v>9753</v>
      </c>
      <c r="N1543" s="144">
        <v>1.0</v>
      </c>
      <c r="O1543" s="145" t="s">
        <v>9763</v>
      </c>
      <c r="P1543" s="48" t="str">
        <f t="array" ref="P1543">HYPERLINK(INDEX('File Links'!B:B, MATCH(O1543, 'File Links'!C:C, 0)))
</f>
        <v>https://drive.google.com/file/d/1ITD043otUXSzSXwJBI77ZEGc7YfO0lXl/view?usp=drivesdk</v>
      </c>
      <c r="Q1543" s="147" t="s">
        <v>6103</v>
      </c>
      <c r="R1543" s="147" t="s">
        <v>6104</v>
      </c>
      <c r="S1543" s="60"/>
      <c r="T1543" s="144">
        <v>1.0</v>
      </c>
      <c r="U1543" s="145" t="s">
        <v>6105</v>
      </c>
      <c r="V1543" s="147" t="s">
        <v>7707</v>
      </c>
      <c r="W1543" s="1455" t="str">
        <f> hyperlink(vlookup(lower(R1543),'File Links'!F:G, 2, FALSE), "LINK")</f>
        <v>LINK</v>
      </c>
      <c r="X1543" s="60"/>
      <c r="Y1543" s="147" t="s">
        <v>960</v>
      </c>
      <c r="Z1543" s="147" t="s">
        <v>9756</v>
      </c>
      <c r="AA1543" s="147" t="s">
        <v>9757</v>
      </c>
      <c r="AB1543" s="147" t="s">
        <v>9773</v>
      </c>
      <c r="AC1543" s="147" t="s">
        <v>9774</v>
      </c>
      <c r="AD1543" s="144">
        <v>4.0</v>
      </c>
      <c r="AE1543" s="144">
        <v>177.0</v>
      </c>
      <c r="AF1543" s="327">
        <v>3.4</v>
      </c>
      <c r="AG1543" s="144" t="s">
        <v>1006</v>
      </c>
      <c r="AH1543" s="144" t="s">
        <v>861</v>
      </c>
      <c r="AI1543" s="328">
        <v>0.625</v>
      </c>
      <c r="AJ1543" s="52" t="s">
        <v>164</v>
      </c>
      <c r="AK1543" s="52" t="s">
        <v>179</v>
      </c>
      <c r="AL1543" s="147" t="s">
        <v>129</v>
      </c>
      <c r="AM1543" s="55"/>
      <c r="AN1543" s="144">
        <v>157.0</v>
      </c>
      <c r="AO1543" s="144">
        <v>-3.523</v>
      </c>
      <c r="AP1543" s="144" t="s">
        <v>1006</v>
      </c>
      <c r="AQ1543" s="60"/>
      <c r="AR1543" s="60"/>
      <c r="AS1543" s="60"/>
      <c r="AT1543" s="147" t="s">
        <v>179</v>
      </c>
      <c r="AU1543" s="147" t="s">
        <v>129</v>
      </c>
      <c r="AV1543" s="410" t="s">
        <v>9766</v>
      </c>
      <c r="AW1543" s="60" t="s">
        <v>134</v>
      </c>
      <c r="AY1543" s="60" t="s">
        <v>144</v>
      </c>
    </row>
    <row r="1544">
      <c r="A1544" s="60" t="s">
        <v>106</v>
      </c>
      <c r="B1544" s="41" t="s">
        <v>107</v>
      </c>
      <c r="C1544" s="41" t="s">
        <v>243</v>
      </c>
      <c r="E1544" s="147" t="s">
        <v>9775</v>
      </c>
      <c r="F1544" s="52" t="s">
        <v>9776</v>
      </c>
      <c r="G1544" s="147" t="s">
        <v>244</v>
      </c>
      <c r="H1544" s="140">
        <v>45663.0</v>
      </c>
      <c r="I1544" s="140">
        <v>45692.0</v>
      </c>
      <c r="J1544" s="60"/>
      <c r="K1544" s="147" t="s">
        <v>9078</v>
      </c>
      <c r="L1544" s="147" t="s">
        <v>9777</v>
      </c>
      <c r="M1544" s="147" t="s">
        <v>9778</v>
      </c>
      <c r="N1544" s="60"/>
      <c r="O1544" s="145" t="str">
        <f> SUBSTITUTE(lower(M1544), "/", "--") &amp;  ".pdf"</f>
        <v>10.1177--0956797610397956.pdf</v>
      </c>
      <c r="P1544" s="48" t="str">
        <f t="array" ref="P1544">HYPERLINK(INDEX('File Links'!B:B, MATCH(O1544, 'File Links'!C:C, 0)))
</f>
        <v>https://drive.google.com/file/d/10j2TatiM7HXzQ8gGJAAToPEOpY8k8IgA/view?usp=drivesdk</v>
      </c>
      <c r="Q1544" s="147" t="s">
        <v>9779</v>
      </c>
      <c r="R1544" s="147" t="s">
        <v>9780</v>
      </c>
      <c r="S1544" s="109" t="s">
        <v>9781</v>
      </c>
      <c r="T1544" s="60"/>
      <c r="U1544" s="145" t="s">
        <v>6105</v>
      </c>
      <c r="V1544" s="147" t="s">
        <v>318</v>
      </c>
      <c r="W1544" s="1455" t="str">
        <f> hyperlink(vlookup(lower(R1544),'File Links'!E:F, 2, FALSE), "LINK")</f>
        <v>LINK</v>
      </c>
      <c r="X1544" s="60"/>
      <c r="Y1544" s="147" t="s">
        <v>139</v>
      </c>
      <c r="Z1544" s="60"/>
      <c r="AA1544" s="147" t="s">
        <v>6763</v>
      </c>
      <c r="AB1544" s="60"/>
      <c r="AC1544" s="147" t="s">
        <v>9782</v>
      </c>
      <c r="AD1544" s="1265">
        <v>386.0</v>
      </c>
      <c r="AE1544" s="1265">
        <v>20.0</v>
      </c>
      <c r="AF1544" s="144">
        <v>0.909968602284088</v>
      </c>
      <c r="AG1544" s="147" t="s">
        <v>166</v>
      </c>
      <c r="AH1544" s="1268" t="s">
        <v>9783</v>
      </c>
      <c r="AI1544" s="646">
        <v>4.0E-4</v>
      </c>
      <c r="AJ1544" s="52" t="s">
        <v>164</v>
      </c>
      <c r="AK1544" s="52" t="s">
        <v>179</v>
      </c>
      <c r="AL1544" s="147" t="s">
        <v>129</v>
      </c>
      <c r="AM1544" s="52" t="s">
        <v>129</v>
      </c>
      <c r="AN1544" s="144">
        <v>19.0</v>
      </c>
      <c r="AO1544" s="144">
        <v>1.16543192806245</v>
      </c>
      <c r="AP1544" s="147" t="s">
        <v>166</v>
      </c>
      <c r="AQ1544" s="60"/>
      <c r="AR1544" s="1481">
        <v>7.8106E-5</v>
      </c>
      <c r="AS1544" s="147" t="s">
        <v>164</v>
      </c>
      <c r="AT1544" s="147" t="s">
        <v>179</v>
      </c>
      <c r="AU1544" s="147" t="s">
        <v>129</v>
      </c>
      <c r="AV1544" s="60"/>
      <c r="AW1544" s="147" t="s">
        <v>134</v>
      </c>
      <c r="AY1544" s="60" t="s">
        <v>144</v>
      </c>
    </row>
    <row r="1545">
      <c r="A1545" s="115" t="s">
        <v>143</v>
      </c>
      <c r="B1545" s="41" t="s">
        <v>107</v>
      </c>
      <c r="C1545" s="41" t="s">
        <v>144</v>
      </c>
      <c r="E1545" s="60" t="s">
        <v>9776</v>
      </c>
      <c r="F1545" s="52" t="s">
        <v>9775</v>
      </c>
      <c r="G1545" s="147" t="s">
        <v>144</v>
      </c>
      <c r="H1545" s="140">
        <v>45687.0</v>
      </c>
      <c r="I1545" s="140">
        <v>45692.0</v>
      </c>
      <c r="J1545" s="412" t="s">
        <v>9784</v>
      </c>
      <c r="K1545" s="60"/>
      <c r="L1545" s="147" t="s">
        <v>9777</v>
      </c>
      <c r="M1545" s="147" t="s">
        <v>9778</v>
      </c>
      <c r="N1545" s="144">
        <v>1.0</v>
      </c>
      <c r="O1545" s="145" t="s">
        <v>9785</v>
      </c>
      <c r="P1545" s="48" t="str">
        <f t="array" ref="P1545">HYPERLINK(INDEX('File Links'!B:B, MATCH(O1545, 'File Links'!C:C, 0)))
</f>
        <v>https://drive.google.com/file/d/10j2TatiM7HXzQ8gGJAAToPEOpY8k8IgA/view?usp=drivesdk</v>
      </c>
      <c r="Q1545" s="147" t="s">
        <v>6103</v>
      </c>
      <c r="R1545" s="147" t="s">
        <v>6104</v>
      </c>
      <c r="S1545" s="109" t="s">
        <v>9781</v>
      </c>
      <c r="T1545" s="144">
        <v>1.0</v>
      </c>
      <c r="U1545" s="145" t="s">
        <v>6105</v>
      </c>
      <c r="V1545" s="147" t="s">
        <v>9109</v>
      </c>
      <c r="W1545" s="1455" t="str">
        <f> hyperlink(vlookup(lower(R1545),'File Links'!F:G, 2, FALSE), "LINK")</f>
        <v>LINK</v>
      </c>
      <c r="X1545" s="60"/>
      <c r="Y1545" s="147" t="s">
        <v>139</v>
      </c>
      <c r="Z1545" s="139" t="s">
        <v>9786</v>
      </c>
      <c r="AA1545" s="147" t="s">
        <v>9787</v>
      </c>
      <c r="AB1545" s="147" t="s">
        <v>9788</v>
      </c>
      <c r="AC1545" s="139" t="s">
        <v>9789</v>
      </c>
      <c r="AD1545" s="144">
        <v>3.0</v>
      </c>
      <c r="AE1545" s="144">
        <v>21.0</v>
      </c>
      <c r="AF1545" s="144" t="s">
        <v>9790</v>
      </c>
      <c r="AG1545" s="144" t="s">
        <v>162</v>
      </c>
      <c r="AH1545" s="144" t="s">
        <v>210</v>
      </c>
      <c r="AI1545" s="646">
        <v>4.0E-4</v>
      </c>
      <c r="AJ1545" s="52" t="s">
        <v>164</v>
      </c>
      <c r="AK1545" s="52" t="s">
        <v>179</v>
      </c>
      <c r="AL1545" s="147" t="s">
        <v>129</v>
      </c>
      <c r="AM1545" s="55"/>
      <c r="AN1545" s="144">
        <v>19.0</v>
      </c>
      <c r="AO1545" s="144" t="s">
        <v>9791</v>
      </c>
      <c r="AP1545" s="144" t="s">
        <v>162</v>
      </c>
      <c r="AQ1545" s="144" t="s">
        <v>892</v>
      </c>
      <c r="AR1545" s="144">
        <f>3.9*10^-5</f>
        <v>0.000039</v>
      </c>
      <c r="AS1545" s="147" t="s">
        <v>164</v>
      </c>
      <c r="AT1545" s="147" t="s">
        <v>179</v>
      </c>
      <c r="AU1545" s="147" t="s">
        <v>129</v>
      </c>
      <c r="AV1545" s="60"/>
      <c r="AW1545" s="60" t="s">
        <v>134</v>
      </c>
      <c r="AY1545" s="115" t="s">
        <v>9053</v>
      </c>
    </row>
    <row r="1546">
      <c r="A1546" s="60" t="s">
        <v>106</v>
      </c>
      <c r="B1546" s="41" t="s">
        <v>107</v>
      </c>
      <c r="C1546" s="41" t="s">
        <v>243</v>
      </c>
      <c r="E1546" s="147" t="s">
        <v>9792</v>
      </c>
      <c r="F1546" s="52" t="s">
        <v>9793</v>
      </c>
      <c r="G1546" s="147" t="s">
        <v>244</v>
      </c>
      <c r="H1546" s="140">
        <v>45670.0</v>
      </c>
      <c r="I1546" s="140">
        <v>45692.0</v>
      </c>
      <c r="J1546" s="412" t="s">
        <v>6190</v>
      </c>
      <c r="K1546" s="60"/>
      <c r="L1546" s="147" t="s">
        <v>9794</v>
      </c>
      <c r="M1546" s="147" t="s">
        <v>9795</v>
      </c>
      <c r="N1546" s="60"/>
      <c r="O1546" s="145" t="str">
        <f t="shared" ref="O1546:O1547" si="81"> SUBSTITUTE(lower(M1546), "/", "--") &amp;  ".pdf"</f>
        <v>10.1177--0956797617706082.pdf</v>
      </c>
      <c r="P1546" s="48" t="str">
        <f t="array" ref="P1546">HYPERLINK(INDEX('File Links'!B:B, MATCH(O1546, 'File Links'!C:C, 0)))
</f>
        <v>https://drive.google.com/file/d/104J0KhnQN8hx7uBldyQ1evQEW8N7petE/view?usp=drivesdk</v>
      </c>
      <c r="Q1546" s="147" t="s">
        <v>9796</v>
      </c>
      <c r="R1546" s="147" t="s">
        <v>9797</v>
      </c>
      <c r="S1546" s="60"/>
      <c r="T1546" s="60"/>
      <c r="U1546" s="145" t="s">
        <v>6105</v>
      </c>
      <c r="V1546" s="147" t="s">
        <v>6117</v>
      </c>
      <c r="W1546" s="1455" t="str">
        <f> hyperlink(vlookup(lower(R1546),'File Links'!E:F, 2, FALSE), "LINK")</f>
        <v>LINK</v>
      </c>
      <c r="X1546" s="60"/>
      <c r="Y1546" s="147" t="s">
        <v>220</v>
      </c>
      <c r="Z1546" s="60"/>
      <c r="AA1546" s="60"/>
      <c r="AB1546" s="60"/>
      <c r="AC1546" s="147" t="s">
        <v>165</v>
      </c>
      <c r="AD1546" s="147" t="s">
        <v>165</v>
      </c>
      <c r="AE1546" s="144">
        <v>73.0</v>
      </c>
      <c r="AF1546" s="147" t="s">
        <v>165</v>
      </c>
      <c r="AG1546" s="147" t="s">
        <v>165</v>
      </c>
      <c r="AH1546" s="147" t="s">
        <v>165</v>
      </c>
      <c r="AI1546" s="330" t="s">
        <v>165</v>
      </c>
      <c r="AJ1546" s="55"/>
      <c r="AK1546" s="52" t="s">
        <v>179</v>
      </c>
      <c r="AL1546" s="147" t="s">
        <v>821</v>
      </c>
      <c r="AM1546" s="52" t="s">
        <v>129</v>
      </c>
      <c r="AN1546" s="144">
        <v>51.0</v>
      </c>
      <c r="AO1546" s="147" t="s">
        <v>165</v>
      </c>
      <c r="AP1546" s="60"/>
      <c r="AQ1546" s="60"/>
      <c r="AR1546" s="147" t="s">
        <v>165</v>
      </c>
      <c r="AS1546" s="60"/>
      <c r="AT1546" s="147" t="s">
        <v>179</v>
      </c>
      <c r="AU1546" s="147" t="s">
        <v>821</v>
      </c>
      <c r="AV1546" s="60"/>
      <c r="AW1546" s="147" t="s">
        <v>134</v>
      </c>
      <c r="AY1546" s="60" t="s">
        <v>144</v>
      </c>
    </row>
    <row r="1547">
      <c r="A1547" s="60" t="s">
        <v>106</v>
      </c>
      <c r="B1547" s="41" t="s">
        <v>107</v>
      </c>
      <c r="C1547" s="41" t="s">
        <v>243</v>
      </c>
      <c r="E1547" s="147" t="s">
        <v>9798</v>
      </c>
      <c r="F1547" s="52" t="s">
        <v>9799</v>
      </c>
      <c r="G1547" s="147" t="s">
        <v>244</v>
      </c>
      <c r="H1547" s="140">
        <v>45670.0</v>
      </c>
      <c r="I1547" s="140">
        <v>45692.0</v>
      </c>
      <c r="J1547" s="412" t="s">
        <v>9800</v>
      </c>
      <c r="K1547" s="60"/>
      <c r="L1547" s="147" t="s">
        <v>9801</v>
      </c>
      <c r="M1547" s="147" t="s">
        <v>9802</v>
      </c>
      <c r="N1547" s="60"/>
      <c r="O1547" s="145" t="str">
        <f t="shared" si="81"/>
        <v>10.1523--jneurosci.18-23-10105.1998.pdf</v>
      </c>
      <c r="P1547" s="48" t="str">
        <f t="array" ref="P1547">HYPERLINK(INDEX('File Links'!B:B, MATCH(O1547, 'File Links'!C:C, 0)))
</f>
        <v>https://drive.google.com/file/d/1tMrBtPVk07Vt3IgjI_4ese_KDvqQCuKK/view?usp=drivesdk</v>
      </c>
      <c r="Q1547" s="147" t="s">
        <v>9803</v>
      </c>
      <c r="R1547" s="147" t="s">
        <v>9804</v>
      </c>
      <c r="S1547" s="60"/>
      <c r="T1547" s="60"/>
      <c r="U1547" s="145" t="s">
        <v>6105</v>
      </c>
      <c r="V1547" s="147" t="s">
        <v>6349</v>
      </c>
      <c r="W1547" s="1455" t="str">
        <f> hyperlink(vlookup(lower(R1547),'File Links'!E:F, 2, FALSE), "LINK")</f>
        <v>LINK</v>
      </c>
      <c r="X1547" s="60"/>
      <c r="Y1547" s="147" t="s">
        <v>139</v>
      </c>
      <c r="Z1547" s="60"/>
      <c r="AA1547" s="60"/>
      <c r="AB1547" s="60"/>
      <c r="AC1547" s="147" t="s">
        <v>165</v>
      </c>
      <c r="AD1547" s="147" t="s">
        <v>165</v>
      </c>
      <c r="AE1547" s="144">
        <v>5.0</v>
      </c>
      <c r="AF1547" s="147" t="s">
        <v>165</v>
      </c>
      <c r="AG1547" s="147" t="s">
        <v>165</v>
      </c>
      <c r="AH1547" s="147" t="s">
        <v>165</v>
      </c>
      <c r="AI1547" s="330" t="s">
        <v>165</v>
      </c>
      <c r="AJ1547" s="55"/>
      <c r="AK1547" s="52" t="s">
        <v>179</v>
      </c>
      <c r="AL1547" s="147" t="s">
        <v>821</v>
      </c>
      <c r="AM1547" s="52" t="s">
        <v>129</v>
      </c>
      <c r="AN1547" s="144">
        <v>5.0</v>
      </c>
      <c r="AO1547" s="147" t="s">
        <v>165</v>
      </c>
      <c r="AP1547" s="60"/>
      <c r="AQ1547" s="60"/>
      <c r="AR1547" s="147" t="s">
        <v>165</v>
      </c>
      <c r="AS1547" s="60"/>
      <c r="AT1547" s="147" t="s">
        <v>179</v>
      </c>
      <c r="AU1547" s="147" t="s">
        <v>821</v>
      </c>
      <c r="AV1547" s="60"/>
      <c r="AW1547" s="147" t="s">
        <v>142</v>
      </c>
      <c r="AY1547" s="60" t="s">
        <v>144</v>
      </c>
    </row>
    <row r="1548" hidden="1">
      <c r="A1548" s="115" t="s">
        <v>5350</v>
      </c>
      <c r="B1548" s="41" t="s">
        <v>107</v>
      </c>
      <c r="C1548" s="41" t="s">
        <v>144</v>
      </c>
      <c r="E1548" s="60" t="s">
        <v>9793</v>
      </c>
      <c r="F1548" s="52" t="s">
        <v>9792</v>
      </c>
      <c r="G1548" s="147" t="s">
        <v>144</v>
      </c>
      <c r="H1548" s="140">
        <v>45687.0</v>
      </c>
      <c r="I1548" s="140">
        <v>45692.0</v>
      </c>
      <c r="J1548" s="60"/>
      <c r="K1548" s="60"/>
      <c r="L1548" s="147" t="s">
        <v>9794</v>
      </c>
      <c r="M1548" s="147" t="s">
        <v>9795</v>
      </c>
      <c r="N1548" s="144" t="s">
        <v>9805</v>
      </c>
      <c r="O1548" s="145" t="s">
        <v>9806</v>
      </c>
      <c r="P1548" s="48" t="str">
        <f t="array" ref="P1548">HYPERLINK(INDEX('File Links'!B:B, MATCH(O1548, 'File Links'!C:C, 0)))
</f>
        <v>https://drive.google.com/file/d/104J0KhnQN8hx7uBldyQ1evQEW8N7petE/view?usp=drivesdk</v>
      </c>
      <c r="Q1548" s="147" t="s">
        <v>6103</v>
      </c>
      <c r="R1548" s="147" t="s">
        <v>6104</v>
      </c>
      <c r="S1548" s="60"/>
      <c r="T1548" s="144">
        <v>1.0</v>
      </c>
      <c r="U1548" s="145" t="s">
        <v>6105</v>
      </c>
      <c r="V1548" s="60"/>
      <c r="W1548" s="1455" t="str">
        <f> hyperlink(vlookup(lower(R1548),'File Links'!F:G, 2, FALSE), "LINK")</f>
        <v>LINK</v>
      </c>
      <c r="X1548" s="147" t="s">
        <v>9031</v>
      </c>
      <c r="Y1548" s="60"/>
      <c r="Z1548" s="60"/>
      <c r="AA1548" s="60"/>
      <c r="AB1548" s="60"/>
      <c r="AC1548" s="60"/>
      <c r="AD1548" s="60"/>
      <c r="AE1548" s="60"/>
      <c r="AF1548" s="60"/>
      <c r="AG1548" s="60"/>
      <c r="AH1548" s="60"/>
      <c r="AI1548" s="329"/>
      <c r="AJ1548" s="55"/>
      <c r="AK1548" s="55"/>
      <c r="AL1548" s="60"/>
      <c r="AM1548" s="55"/>
      <c r="AN1548" s="60"/>
      <c r="AO1548" s="60"/>
      <c r="AP1548" s="60"/>
      <c r="AQ1548" s="144" t="s">
        <v>9807</v>
      </c>
      <c r="AR1548" s="60"/>
      <c r="AS1548" s="60"/>
      <c r="AT1548" s="60"/>
      <c r="AU1548" s="60"/>
      <c r="AV1548" s="60"/>
      <c r="AW1548" s="60"/>
      <c r="AY1548" s="60" t="s">
        <v>144</v>
      </c>
    </row>
    <row r="1549">
      <c r="A1549" s="60" t="s">
        <v>106</v>
      </c>
      <c r="B1549" s="41" t="s">
        <v>107</v>
      </c>
      <c r="C1549" s="41" t="s">
        <v>243</v>
      </c>
      <c r="E1549" s="147" t="s">
        <v>9808</v>
      </c>
      <c r="F1549" s="52" t="s">
        <v>9809</v>
      </c>
      <c r="G1549" s="147" t="s">
        <v>244</v>
      </c>
      <c r="H1549" s="140">
        <v>45670.0</v>
      </c>
      <c r="I1549" s="140">
        <v>45692.0</v>
      </c>
      <c r="J1549" s="60"/>
      <c r="K1549" s="147" t="s">
        <v>9078</v>
      </c>
      <c r="L1549" s="147" t="s">
        <v>9810</v>
      </c>
      <c r="M1549" s="147" t="s">
        <v>9811</v>
      </c>
      <c r="N1549" s="60"/>
      <c r="O1549" s="145" t="str">
        <f> SUBSTITUTE(lower(M1549), "/", "--") &amp;  ".pdf"</f>
        <v>10.1177--0956797609359908.pdf</v>
      </c>
      <c r="P1549" s="48" t="str">
        <f t="array" ref="P1549">HYPERLINK(INDEX('File Links'!B:B, MATCH(O1549, 'File Links'!C:C, 0)))
</f>
        <v>https://drive.google.com/file/d/1CX-X4yZPIliMfb05V-exrVifx5i5gyZu/view?usp=drivesdk</v>
      </c>
      <c r="Q1549" s="147" t="s">
        <v>9812</v>
      </c>
      <c r="R1549" s="147" t="s">
        <v>9813</v>
      </c>
      <c r="S1549" s="60"/>
      <c r="T1549" s="60"/>
      <c r="U1549" s="145" t="s">
        <v>6105</v>
      </c>
      <c r="V1549" s="147" t="s">
        <v>6117</v>
      </c>
      <c r="W1549" s="1455" t="str">
        <f> hyperlink(vlookup(lower(R1549),'File Links'!E:F, 2, FALSE), "LINK")</f>
        <v>LINK</v>
      </c>
      <c r="X1549" s="60"/>
      <c r="Y1549" s="147" t="s">
        <v>220</v>
      </c>
      <c r="Z1549" s="60"/>
      <c r="AA1549" s="147" t="s">
        <v>6267</v>
      </c>
      <c r="AB1549" s="60"/>
      <c r="AC1549" s="147" t="s">
        <v>9814</v>
      </c>
      <c r="AD1549" s="1265">
        <v>394.0</v>
      </c>
      <c r="AE1549" s="144">
        <v>128.0</v>
      </c>
      <c r="AF1549" s="144">
        <v>1.03</v>
      </c>
      <c r="AG1549" s="147" t="s">
        <v>166</v>
      </c>
      <c r="AH1549" s="1268" t="s">
        <v>9815</v>
      </c>
      <c r="AI1549" s="646">
        <v>0.001</v>
      </c>
      <c r="AJ1549" s="52" t="s">
        <v>127</v>
      </c>
      <c r="AK1549" s="52" t="s">
        <v>179</v>
      </c>
      <c r="AL1549" s="147" t="s">
        <v>132</v>
      </c>
      <c r="AM1549" s="52" t="s">
        <v>129</v>
      </c>
      <c r="AN1549" s="144">
        <v>63.0</v>
      </c>
      <c r="AO1549" s="144">
        <v>0.392151574194031</v>
      </c>
      <c r="AP1549" s="147" t="s">
        <v>166</v>
      </c>
      <c r="AQ1549" s="60"/>
      <c r="AR1549" s="144">
        <v>0.254372799634103</v>
      </c>
      <c r="AS1549" s="147" t="s">
        <v>164</v>
      </c>
      <c r="AT1549" s="147" t="s">
        <v>179</v>
      </c>
      <c r="AU1549" s="147" t="s">
        <v>132</v>
      </c>
      <c r="AV1549" s="60"/>
      <c r="AW1549" s="147" t="s">
        <v>134</v>
      </c>
      <c r="AY1549" s="60" t="s">
        <v>144</v>
      </c>
    </row>
    <row r="1550" hidden="1">
      <c r="A1550" s="115" t="s">
        <v>5350</v>
      </c>
      <c r="B1550" s="41" t="s">
        <v>107</v>
      </c>
      <c r="C1550" s="41" t="s">
        <v>144</v>
      </c>
      <c r="E1550" s="60" t="s">
        <v>9799</v>
      </c>
      <c r="F1550" s="52" t="s">
        <v>9798</v>
      </c>
      <c r="G1550" s="147" t="s">
        <v>144</v>
      </c>
      <c r="H1550" s="140">
        <v>45687.0</v>
      </c>
      <c r="I1550" s="140">
        <v>45692.0</v>
      </c>
      <c r="J1550" s="60"/>
      <c r="K1550" s="60"/>
      <c r="L1550" s="147" t="s">
        <v>9801</v>
      </c>
      <c r="M1550" s="147" t="s">
        <v>9802</v>
      </c>
      <c r="N1550" s="144">
        <v>3.0</v>
      </c>
      <c r="O1550" s="145" t="s">
        <v>9816</v>
      </c>
      <c r="P1550" s="48" t="str">
        <f t="array" ref="P1550">HYPERLINK(INDEX('File Links'!B:B, MATCH(O1550, 'File Links'!C:C, 0)))
</f>
        <v>https://drive.google.com/file/d/1tMrBtPVk07Vt3IgjI_4ese_KDvqQCuKK/view?usp=drivesdk</v>
      </c>
      <c r="Q1550" s="147" t="s">
        <v>6103</v>
      </c>
      <c r="R1550" s="147" t="s">
        <v>6104</v>
      </c>
      <c r="S1550" s="60"/>
      <c r="T1550" s="144">
        <v>1.0</v>
      </c>
      <c r="U1550" s="145" t="s">
        <v>6105</v>
      </c>
      <c r="V1550" s="1460" t="s">
        <v>9072</v>
      </c>
      <c r="W1550" s="1455" t="str">
        <f> hyperlink(vlookup(lower(R1550),'File Links'!F:G, 2, FALSE), "LINK")</f>
        <v>LINK</v>
      </c>
      <c r="X1550" s="147" t="s">
        <v>9031</v>
      </c>
      <c r="Y1550" s="60"/>
      <c r="Z1550" s="60"/>
      <c r="AA1550" s="60"/>
      <c r="AB1550" s="60"/>
      <c r="AC1550" s="60"/>
      <c r="AD1550" s="60"/>
      <c r="AE1550" s="60"/>
      <c r="AF1550" s="60"/>
      <c r="AG1550" s="60"/>
      <c r="AH1550" s="60"/>
      <c r="AI1550" s="329"/>
      <c r="AJ1550" s="55"/>
      <c r="AK1550" s="55"/>
      <c r="AL1550" s="60"/>
      <c r="AM1550" s="55"/>
      <c r="AN1550" s="60"/>
      <c r="AO1550" s="60"/>
      <c r="AP1550" s="60"/>
      <c r="AQ1550" s="144" t="s">
        <v>9807</v>
      </c>
      <c r="AR1550" s="60"/>
      <c r="AS1550" s="60"/>
      <c r="AT1550" s="60"/>
      <c r="AU1550" s="60"/>
      <c r="AV1550" s="60"/>
      <c r="AW1550" s="60"/>
      <c r="AY1550" s="60" t="s">
        <v>144</v>
      </c>
    </row>
    <row r="1551">
      <c r="A1551" s="115" t="s">
        <v>5350</v>
      </c>
      <c r="B1551" s="41" t="s">
        <v>107</v>
      </c>
      <c r="C1551" s="41" t="s">
        <v>144</v>
      </c>
      <c r="E1551" s="60" t="s">
        <v>9809</v>
      </c>
      <c r="F1551" s="52" t="s">
        <v>9808</v>
      </c>
      <c r="G1551" s="147" t="s">
        <v>144</v>
      </c>
      <c r="H1551" s="140">
        <v>45687.0</v>
      </c>
      <c r="I1551" s="140">
        <v>45692.0</v>
      </c>
      <c r="J1551" s="412" t="s">
        <v>9817</v>
      </c>
      <c r="K1551" s="60"/>
      <c r="L1551" s="147" t="s">
        <v>9810</v>
      </c>
      <c r="M1551" s="147" t="s">
        <v>9811</v>
      </c>
      <c r="N1551" s="144">
        <v>3.0</v>
      </c>
      <c r="O1551" s="145" t="s">
        <v>9818</v>
      </c>
      <c r="P1551" s="48" t="str">
        <f t="array" ref="P1551">HYPERLINK(INDEX('File Links'!B:B, MATCH(O1551, 'File Links'!C:C, 0)))
</f>
        <v>https://drive.google.com/file/d/1CX-X4yZPIliMfb05V-exrVifx5i5gyZu/view?usp=drivesdk</v>
      </c>
      <c r="Q1551" s="147" t="s">
        <v>6103</v>
      </c>
      <c r="R1551" s="147" t="s">
        <v>6104</v>
      </c>
      <c r="S1551" s="60"/>
      <c r="T1551" s="144">
        <v>1.0</v>
      </c>
      <c r="U1551" s="145" t="s">
        <v>6105</v>
      </c>
      <c r="V1551" s="147" t="s">
        <v>9044</v>
      </c>
      <c r="W1551" s="1455" t="str">
        <f> hyperlink(vlookup(lower(R1551),'File Links'!F:G, 2, FALSE), "LINK")</f>
        <v>LINK</v>
      </c>
      <c r="X1551" s="60"/>
      <c r="Y1551" s="147" t="s">
        <v>220</v>
      </c>
      <c r="Z1551" s="147" t="s">
        <v>9819</v>
      </c>
      <c r="AA1551" s="147" t="s">
        <v>9820</v>
      </c>
      <c r="AB1551" s="147" t="s">
        <v>9821</v>
      </c>
      <c r="AC1551" s="147" t="s">
        <v>9822</v>
      </c>
      <c r="AD1551" s="144">
        <v>4.0</v>
      </c>
      <c r="AE1551" s="144">
        <v>128.0</v>
      </c>
      <c r="AF1551" s="144">
        <v>1.03</v>
      </c>
      <c r="AG1551" s="144" t="s">
        <v>166</v>
      </c>
      <c r="AH1551" s="144" t="s">
        <v>861</v>
      </c>
      <c r="AI1551" s="646">
        <v>0.001</v>
      </c>
      <c r="AJ1551" s="52" t="s">
        <v>127</v>
      </c>
      <c r="AK1551" s="52" t="s">
        <v>179</v>
      </c>
      <c r="AL1551" s="60" t="s">
        <v>129</v>
      </c>
      <c r="AM1551" s="55"/>
      <c r="AN1551" s="144">
        <v>63.0</v>
      </c>
      <c r="AO1551" s="144">
        <v>0.392151574194031</v>
      </c>
      <c r="AP1551" s="144" t="s">
        <v>166</v>
      </c>
      <c r="AQ1551" s="60"/>
      <c r="AR1551" s="144">
        <v>0.254372799634103</v>
      </c>
      <c r="AS1551" s="147" t="s">
        <v>164</v>
      </c>
      <c r="AT1551" s="147" t="s">
        <v>179</v>
      </c>
      <c r="AU1551" s="147" t="s">
        <v>821</v>
      </c>
      <c r="AV1551" s="60"/>
      <c r="AW1551" s="60" t="s">
        <v>134</v>
      </c>
      <c r="AY1551" s="60" t="s">
        <v>144</v>
      </c>
    </row>
    <row r="1552">
      <c r="A1552" s="60" t="s">
        <v>106</v>
      </c>
      <c r="B1552" s="41" t="s">
        <v>107</v>
      </c>
      <c r="C1552" s="41" t="s">
        <v>243</v>
      </c>
      <c r="E1552" s="147" t="s">
        <v>9823</v>
      </c>
      <c r="F1552" s="52" t="s">
        <v>9824</v>
      </c>
      <c r="G1552" s="147" t="s">
        <v>244</v>
      </c>
      <c r="H1552" s="140">
        <v>45670.0</v>
      </c>
      <c r="I1552" s="140">
        <v>45692.0</v>
      </c>
      <c r="J1552" s="60"/>
      <c r="K1552" s="147" t="s">
        <v>9078</v>
      </c>
      <c r="L1552" s="147" t="s">
        <v>9825</v>
      </c>
      <c r="M1552" s="147" t="s">
        <v>9826</v>
      </c>
      <c r="N1552" s="60"/>
      <c r="O1552" s="145" t="str">
        <f> SUBSTITUTE(lower(M1552), "/", "--") &amp;  ".pdf"</f>
        <v>10.1177--0956797611434540.pdf</v>
      </c>
      <c r="P1552" s="48" t="str">
        <f t="array" ref="P1552">HYPERLINK(INDEX('File Links'!B:B, MATCH(O1552, 'File Links'!C:C, 0)))
</f>
        <v>https://drive.google.com/file/d/1e8g4jGrxeuAKV2niPFAdDVB88LKnVgdm/view?usp=drivesdk</v>
      </c>
      <c r="Q1552" s="147" t="s">
        <v>9827</v>
      </c>
      <c r="R1552" s="147" t="s">
        <v>9828</v>
      </c>
      <c r="S1552" s="60"/>
      <c r="T1552" s="60"/>
      <c r="U1552" s="145" t="s">
        <v>6105</v>
      </c>
      <c r="V1552" s="147" t="s">
        <v>318</v>
      </c>
      <c r="W1552" s="1455" t="str">
        <f> hyperlink(vlookup(lower(R1552),'File Links'!E:F, 2, FALSE), "LINK")</f>
        <v>LINK</v>
      </c>
      <c r="X1552" s="60"/>
      <c r="Y1552" s="147" t="s">
        <v>220</v>
      </c>
      <c r="Z1552" s="60"/>
      <c r="AA1552" s="147" t="s">
        <v>6763</v>
      </c>
      <c r="AB1552" s="60"/>
      <c r="AC1552" s="147" t="s">
        <v>9829</v>
      </c>
      <c r="AD1552" s="1265">
        <v>798.0</v>
      </c>
      <c r="AE1552" s="144">
        <v>48.0</v>
      </c>
      <c r="AF1552" s="144">
        <v>0.594</v>
      </c>
      <c r="AG1552" s="147" t="s">
        <v>166</v>
      </c>
      <c r="AH1552" s="1268" t="s">
        <v>9830</v>
      </c>
      <c r="AI1552" s="646">
        <v>0.03</v>
      </c>
      <c r="AJ1552" s="52" t="s">
        <v>127</v>
      </c>
      <c r="AK1552" s="52" t="s">
        <v>179</v>
      </c>
      <c r="AL1552" s="147" t="s">
        <v>129</v>
      </c>
      <c r="AM1552" s="52" t="s">
        <v>129</v>
      </c>
      <c r="AN1552" s="144">
        <v>51.0</v>
      </c>
      <c r="AO1552" s="144">
        <v>0.00884651736929382</v>
      </c>
      <c r="AP1552" s="147" t="s">
        <v>166</v>
      </c>
      <c r="AQ1552" s="60"/>
      <c r="AR1552" s="144">
        <v>0.976202719702489</v>
      </c>
      <c r="AS1552" s="147" t="s">
        <v>164</v>
      </c>
      <c r="AT1552" s="147" t="s">
        <v>179</v>
      </c>
      <c r="AU1552" s="147" t="s">
        <v>821</v>
      </c>
      <c r="AV1552" s="60"/>
      <c r="AW1552" s="147" t="s">
        <v>134</v>
      </c>
      <c r="AY1552" s="60" t="s">
        <v>144</v>
      </c>
    </row>
    <row r="1553">
      <c r="A1553" s="115" t="s">
        <v>5350</v>
      </c>
      <c r="B1553" s="41" t="s">
        <v>107</v>
      </c>
      <c r="C1553" s="41" t="s">
        <v>144</v>
      </c>
      <c r="E1553" s="60" t="s">
        <v>9824</v>
      </c>
      <c r="F1553" s="52" t="s">
        <v>9823</v>
      </c>
      <c r="G1553" s="147" t="s">
        <v>144</v>
      </c>
      <c r="H1553" s="140">
        <v>45687.0</v>
      </c>
      <c r="I1553" s="140">
        <v>45692.0</v>
      </c>
      <c r="J1553" s="60"/>
      <c r="K1553" s="60"/>
      <c r="L1553" s="147" t="s">
        <v>9825</v>
      </c>
      <c r="M1553" s="147" t="s">
        <v>9826</v>
      </c>
      <c r="N1553" s="144">
        <v>1.0</v>
      </c>
      <c r="O1553" s="145" t="s">
        <v>9831</v>
      </c>
      <c r="P1553" s="48" t="str">
        <f t="array" ref="P1553">HYPERLINK(INDEX('File Links'!B:B, MATCH(O1553, 'File Links'!C:C, 0)))
</f>
        <v>https://drive.google.com/file/d/1e8g4jGrxeuAKV2niPFAdDVB88LKnVgdm/view?usp=drivesdk</v>
      </c>
      <c r="Q1553" s="147" t="s">
        <v>6103</v>
      </c>
      <c r="R1553" s="147" t="s">
        <v>6104</v>
      </c>
      <c r="S1553" s="60"/>
      <c r="T1553" s="144">
        <v>1.0</v>
      </c>
      <c r="U1553" s="145" t="s">
        <v>6105</v>
      </c>
      <c r="V1553" s="147" t="s">
        <v>9109</v>
      </c>
      <c r="W1553" s="1455" t="str">
        <f> hyperlink(vlookup(lower(R1553),'File Links'!F:G, 2, FALSE), "LINK")</f>
        <v>LINK</v>
      </c>
      <c r="X1553" s="42"/>
      <c r="Y1553" s="147" t="s">
        <v>220</v>
      </c>
      <c r="Z1553" s="147" t="s">
        <v>9832</v>
      </c>
      <c r="AA1553" s="147" t="s">
        <v>9833</v>
      </c>
      <c r="AB1553" s="147" t="s">
        <v>9834</v>
      </c>
      <c r="AC1553" s="147" t="s">
        <v>9835</v>
      </c>
      <c r="AD1553" s="144">
        <v>3.0</v>
      </c>
      <c r="AE1553" s="144">
        <v>48.0</v>
      </c>
      <c r="AF1553" s="144">
        <v>0.594</v>
      </c>
      <c r="AG1553" s="144" t="s">
        <v>166</v>
      </c>
      <c r="AH1553" s="144" t="s">
        <v>210</v>
      </c>
      <c r="AI1553" s="646">
        <v>0.03</v>
      </c>
      <c r="AJ1553" s="52" t="s">
        <v>127</v>
      </c>
      <c r="AK1553" s="52" t="s">
        <v>179</v>
      </c>
      <c r="AL1553" s="60" t="s">
        <v>129</v>
      </c>
      <c r="AM1553" s="55"/>
      <c r="AN1553" s="144">
        <v>51.0</v>
      </c>
      <c r="AO1553" s="144">
        <v>0.00884651736929382</v>
      </c>
      <c r="AP1553" s="144" t="s">
        <v>166</v>
      </c>
      <c r="AQ1553" s="60"/>
      <c r="AR1553" s="144">
        <v>0.976202719702489</v>
      </c>
      <c r="AS1553" s="147" t="s">
        <v>164</v>
      </c>
      <c r="AT1553" s="147" t="s">
        <v>179</v>
      </c>
      <c r="AU1553" s="147" t="s">
        <v>821</v>
      </c>
      <c r="AV1553" s="60"/>
      <c r="AW1553" s="60" t="s">
        <v>134</v>
      </c>
      <c r="AY1553" s="60" t="s">
        <v>144</v>
      </c>
    </row>
    <row r="1554">
      <c r="A1554" s="60" t="s">
        <v>106</v>
      </c>
      <c r="B1554" s="41" t="s">
        <v>107</v>
      </c>
      <c r="C1554" s="41" t="s">
        <v>243</v>
      </c>
      <c r="E1554" s="147" t="s">
        <v>9836</v>
      </c>
      <c r="F1554" s="52" t="s">
        <v>9837</v>
      </c>
      <c r="G1554" s="147" t="s">
        <v>244</v>
      </c>
      <c r="H1554" s="140">
        <v>45670.0</v>
      </c>
      <c r="I1554" s="140">
        <v>45692.0</v>
      </c>
      <c r="J1554" s="60"/>
      <c r="K1554" s="147" t="s">
        <v>9078</v>
      </c>
      <c r="L1554" s="147" t="s">
        <v>9838</v>
      </c>
      <c r="M1554" s="147" t="s">
        <v>9839</v>
      </c>
      <c r="N1554" s="60"/>
      <c r="O1554" s="145" t="str">
        <f> SUBSTITUTE(lower(M1554), "/", "--") &amp;  ".pdf"</f>
        <v>10.1177--0956797614558718.pdf</v>
      </c>
      <c r="P1554" s="48" t="str">
        <f t="array" ref="P1554">HYPERLINK(INDEX('File Links'!B:B, MATCH(O1554, 'File Links'!C:C, 0)))
</f>
        <v>https://drive.google.com/file/d/1VCKoEhCkZgWeNPsAklTrHzvyEtDe0UpM/view?usp=drivesdk</v>
      </c>
      <c r="Q1554" s="147" t="s">
        <v>9840</v>
      </c>
      <c r="R1554" s="147" t="s">
        <v>9841</v>
      </c>
      <c r="S1554" s="60"/>
      <c r="T1554" s="60"/>
      <c r="U1554" s="145" t="s">
        <v>6105</v>
      </c>
      <c r="V1554" s="147" t="s">
        <v>6291</v>
      </c>
      <c r="W1554" s="1455" t="str">
        <f> hyperlink(vlookup(lower(R1554),'File Links'!E:F, 2, FALSE), "LINK")</f>
        <v>LINK</v>
      </c>
      <c r="X1554" s="60"/>
      <c r="Y1554" s="147" t="s">
        <v>220</v>
      </c>
      <c r="Z1554" s="60"/>
      <c r="AA1554" s="147" t="s">
        <v>9842</v>
      </c>
      <c r="AB1554" s="60"/>
      <c r="AC1554" s="147" t="s">
        <v>9843</v>
      </c>
      <c r="AD1554" s="1265">
        <v>172.0</v>
      </c>
      <c r="AE1554" s="144">
        <v>288.0</v>
      </c>
      <c r="AF1554" s="144">
        <v>0.76</v>
      </c>
      <c r="AG1554" s="147" t="s">
        <v>166</v>
      </c>
      <c r="AH1554" s="1268" t="s">
        <v>9844</v>
      </c>
      <c r="AI1554" s="646">
        <v>0.001</v>
      </c>
      <c r="AJ1554" s="52" t="s">
        <v>127</v>
      </c>
      <c r="AK1554" s="52" t="s">
        <v>179</v>
      </c>
      <c r="AL1554" s="147" t="s">
        <v>821</v>
      </c>
      <c r="AM1554" s="52" t="s">
        <v>129</v>
      </c>
      <c r="AN1554" s="144">
        <v>143.0</v>
      </c>
      <c r="AO1554" s="144">
        <v>0.927847827173882</v>
      </c>
      <c r="AP1554" s="147" t="s">
        <v>166</v>
      </c>
      <c r="AQ1554" s="60"/>
      <c r="AR1554" s="1351">
        <v>7.47984211800734E-21</v>
      </c>
      <c r="AS1554" s="147" t="s">
        <v>164</v>
      </c>
      <c r="AT1554" s="147" t="s">
        <v>179</v>
      </c>
      <c r="AU1554" s="147" t="s">
        <v>821</v>
      </c>
      <c r="AV1554" s="60"/>
      <c r="AW1554" s="147" t="s">
        <v>134</v>
      </c>
      <c r="AY1554" s="60" t="s">
        <v>144</v>
      </c>
    </row>
    <row r="1555">
      <c r="A1555" s="115" t="s">
        <v>143</v>
      </c>
      <c r="B1555" s="41" t="s">
        <v>107</v>
      </c>
      <c r="C1555" s="41" t="s">
        <v>144</v>
      </c>
      <c r="E1555" s="60" t="s">
        <v>9837</v>
      </c>
      <c r="F1555" s="52" t="s">
        <v>9836</v>
      </c>
      <c r="G1555" s="147" t="s">
        <v>144</v>
      </c>
      <c r="H1555" s="140">
        <v>45687.0</v>
      </c>
      <c r="I1555" s="140">
        <v>45692.0</v>
      </c>
      <c r="J1555" s="454" t="s">
        <v>9845</v>
      </c>
      <c r="K1555" s="115" t="s">
        <v>9846</v>
      </c>
      <c r="L1555" s="147" t="s">
        <v>9838</v>
      </c>
      <c r="M1555" s="147" t="s">
        <v>9839</v>
      </c>
      <c r="N1555" s="144" t="s">
        <v>3771</v>
      </c>
      <c r="O1555" s="145" t="s">
        <v>9847</v>
      </c>
      <c r="P1555" s="48" t="str">
        <f t="array" ref="P1555">HYPERLINK(INDEX('File Links'!B:B, MATCH(O1555, 'File Links'!C:C, 0)))
</f>
        <v>https://drive.google.com/file/d/1VCKoEhCkZgWeNPsAklTrHzvyEtDe0UpM/view?usp=drivesdk</v>
      </c>
      <c r="Q1555" s="147" t="s">
        <v>6103</v>
      </c>
      <c r="R1555" s="147" t="s">
        <v>6104</v>
      </c>
      <c r="S1555" s="115"/>
      <c r="T1555" s="144">
        <v>1.0</v>
      </c>
      <c r="U1555" s="145" t="s">
        <v>6105</v>
      </c>
      <c r="V1555" s="147" t="s">
        <v>7707</v>
      </c>
      <c r="W1555" s="1464" t="s">
        <v>9848</v>
      </c>
      <c r="X1555" s="42"/>
      <c r="Y1555" s="147" t="s">
        <v>220</v>
      </c>
      <c r="Z1555" s="147" t="s">
        <v>6313</v>
      </c>
      <c r="AA1555" s="147" t="s">
        <v>9849</v>
      </c>
      <c r="AB1555" s="139" t="s">
        <v>9850</v>
      </c>
      <c r="AC1555" s="147" t="s">
        <v>9851</v>
      </c>
      <c r="AD1555" s="149" t="s">
        <v>9844</v>
      </c>
      <c r="AE1555" s="144">
        <v>288.0</v>
      </c>
      <c r="AF1555" s="144">
        <v>0.76</v>
      </c>
      <c r="AG1555" s="144" t="s">
        <v>166</v>
      </c>
      <c r="AH1555" s="149" t="s">
        <v>9844</v>
      </c>
      <c r="AI1555" s="646">
        <v>0.001</v>
      </c>
      <c r="AJ1555" s="52" t="s">
        <v>127</v>
      </c>
      <c r="AK1555" s="52" t="s">
        <v>179</v>
      </c>
      <c r="AL1555" s="139" t="s">
        <v>129</v>
      </c>
      <c r="AM1555" s="55"/>
      <c r="AN1555" s="144">
        <v>143.0</v>
      </c>
      <c r="AO1555" s="149">
        <v>0.9655053</v>
      </c>
      <c r="AP1555" s="144" t="s">
        <v>166</v>
      </c>
      <c r="AQ1555" s="60"/>
      <c r="AR1555" s="149">
        <v>0.01</v>
      </c>
      <c r="AS1555" s="139" t="s">
        <v>127</v>
      </c>
      <c r="AT1555" s="147" t="s">
        <v>179</v>
      </c>
      <c r="AU1555" s="139" t="s">
        <v>129</v>
      </c>
      <c r="AV1555" s="410" t="s">
        <v>9852</v>
      </c>
      <c r="AW1555" s="60" t="s">
        <v>134</v>
      </c>
      <c r="AY1555" s="115" t="s">
        <v>9053</v>
      </c>
    </row>
    <row r="1556">
      <c r="A1556" s="60" t="s">
        <v>106</v>
      </c>
      <c r="B1556" s="41" t="s">
        <v>107</v>
      </c>
      <c r="C1556" s="41" t="s">
        <v>243</v>
      </c>
      <c r="E1556" s="147" t="s">
        <v>9853</v>
      </c>
      <c r="F1556" s="52" t="s">
        <v>9854</v>
      </c>
      <c r="G1556" s="147" t="s">
        <v>244</v>
      </c>
      <c r="H1556" s="140">
        <v>45670.0</v>
      </c>
      <c r="I1556" s="140">
        <v>45692.0</v>
      </c>
      <c r="J1556" s="412" t="s">
        <v>9855</v>
      </c>
      <c r="K1556" s="60"/>
      <c r="L1556" s="147" t="s">
        <v>9856</v>
      </c>
      <c r="M1556" s="147" t="s">
        <v>9857</v>
      </c>
      <c r="N1556" s="60"/>
      <c r="O1556" s="145" t="str">
        <f> SUBSTITUTE(lower(M1556), "/", "--") &amp;  ".pdf"</f>
        <v>10.1523--jneurosci.2377-10.2010.pdf</v>
      </c>
      <c r="P1556" s="48" t="str">
        <f t="array" ref="P1556">HYPERLINK(INDEX('File Links'!B:B, MATCH(O1556, 'File Links'!C:C, 0)))
</f>
        <v>https://drive.google.com/file/d/1tNWBEIyqVAkKjP7KUoSu2t3rEj4DPo_A/view?usp=drivesdk</v>
      </c>
      <c r="Q1556" s="147" t="s">
        <v>9858</v>
      </c>
      <c r="R1556" s="147" t="s">
        <v>9859</v>
      </c>
      <c r="S1556" s="60"/>
      <c r="T1556" s="60"/>
      <c r="U1556" s="145" t="s">
        <v>6105</v>
      </c>
      <c r="V1556" s="147" t="s">
        <v>318</v>
      </c>
      <c r="W1556" s="1455" t="str">
        <f> hyperlink(vlookup(lower(R1556),'File Links'!E:F, 2, FALSE), "LINK")</f>
        <v>LINK</v>
      </c>
      <c r="X1556" s="60"/>
      <c r="Y1556" s="147" t="s">
        <v>139</v>
      </c>
      <c r="Z1556" s="60"/>
      <c r="AA1556" s="60"/>
      <c r="AB1556" s="60"/>
      <c r="AC1556" s="147" t="s">
        <v>165</v>
      </c>
      <c r="AD1556" s="147" t="s">
        <v>165</v>
      </c>
      <c r="AE1556" s="144">
        <v>39.0</v>
      </c>
      <c r="AF1556" s="147" t="s">
        <v>165</v>
      </c>
      <c r="AG1556" s="147" t="s">
        <v>165</v>
      </c>
      <c r="AH1556" s="147" t="s">
        <v>165</v>
      </c>
      <c r="AI1556" s="330" t="s">
        <v>165</v>
      </c>
      <c r="AJ1556" s="55"/>
      <c r="AK1556" s="52" t="s">
        <v>179</v>
      </c>
      <c r="AL1556" s="147" t="s">
        <v>821</v>
      </c>
      <c r="AM1556" s="52" t="s">
        <v>129</v>
      </c>
      <c r="AN1556" s="144">
        <v>20.0</v>
      </c>
      <c r="AO1556" s="147" t="s">
        <v>165</v>
      </c>
      <c r="AP1556" s="60"/>
      <c r="AQ1556" s="60"/>
      <c r="AR1556" s="147" t="s">
        <v>165</v>
      </c>
      <c r="AS1556" s="147" t="s">
        <v>164</v>
      </c>
      <c r="AT1556" s="147" t="s">
        <v>179</v>
      </c>
      <c r="AU1556" s="147" t="s">
        <v>821</v>
      </c>
      <c r="AV1556" s="60"/>
      <c r="AW1556" s="147" t="s">
        <v>134</v>
      </c>
      <c r="AY1556" s="60" t="s">
        <v>144</v>
      </c>
    </row>
    <row r="1557">
      <c r="A1557" s="60" t="s">
        <v>586</v>
      </c>
      <c r="B1557" s="41" t="s">
        <v>107</v>
      </c>
      <c r="C1557" s="41" t="s">
        <v>144</v>
      </c>
      <c r="E1557" s="60" t="s">
        <v>9860</v>
      </c>
      <c r="F1557" s="52" t="s">
        <v>9861</v>
      </c>
      <c r="G1557" s="147" t="s">
        <v>144</v>
      </c>
      <c r="H1557" s="140">
        <v>45687.0</v>
      </c>
      <c r="I1557" s="140">
        <v>45692.0</v>
      </c>
      <c r="J1557" s="412" t="s">
        <v>9862</v>
      </c>
      <c r="K1557" s="147" t="s">
        <v>9863</v>
      </c>
      <c r="L1557" s="147" t="s">
        <v>9864</v>
      </c>
      <c r="M1557" s="147" t="s">
        <v>7159</v>
      </c>
      <c r="N1557" s="144">
        <v>1.0</v>
      </c>
      <c r="O1557" s="145" t="s">
        <v>7160</v>
      </c>
      <c r="P1557" s="48" t="str">
        <f t="array" ref="P1557">HYPERLINK(INDEX('File Links'!B:B, MATCH(O1557, 'File Links'!C:C, 0)))
</f>
        <v>https://drive.google.com/file/d/1WZ-wmp0ZBZO-MwxvYanAL8j3J4k47183/view?usp=drivesdk</v>
      </c>
      <c r="Q1557" s="147" t="s">
        <v>6103</v>
      </c>
      <c r="R1557" s="147" t="s">
        <v>6104</v>
      </c>
      <c r="S1557" s="60"/>
      <c r="T1557" s="144">
        <v>1.0</v>
      </c>
      <c r="U1557" s="145" t="s">
        <v>6105</v>
      </c>
      <c r="V1557" s="147" t="s">
        <v>9044</v>
      </c>
      <c r="W1557" s="1455" t="str">
        <f> hyperlink(vlookup(lower(R1557),'File Links'!F:G, 2, FALSE), "LINK")</f>
        <v>LINK</v>
      </c>
      <c r="X1557" s="60"/>
      <c r="Y1557" s="147" t="s">
        <v>220</v>
      </c>
      <c r="Z1557" s="147" t="s">
        <v>9865</v>
      </c>
      <c r="AA1557" s="147" t="s">
        <v>9866</v>
      </c>
      <c r="AB1557" s="147" t="s">
        <v>9867</v>
      </c>
      <c r="AC1557" s="147" t="s">
        <v>9868</v>
      </c>
      <c r="AD1557" s="144">
        <v>3.0</v>
      </c>
      <c r="AE1557" s="144">
        <v>40.0</v>
      </c>
      <c r="AF1557" s="144">
        <v>0.9</v>
      </c>
      <c r="AG1557" s="144" t="s">
        <v>1785</v>
      </c>
      <c r="AH1557" s="144" t="s">
        <v>210</v>
      </c>
      <c r="AI1557" s="329"/>
      <c r="AJ1557" s="55"/>
      <c r="AK1557" s="52" t="s">
        <v>128</v>
      </c>
      <c r="AL1557" s="60" t="s">
        <v>129</v>
      </c>
      <c r="AM1557" s="55"/>
      <c r="AN1557" s="144">
        <v>90.0</v>
      </c>
      <c r="AO1557" s="144">
        <v>0.0984246993206124</v>
      </c>
      <c r="AP1557" s="144" t="s">
        <v>166</v>
      </c>
      <c r="AQ1557" s="60"/>
      <c r="AR1557" s="144">
        <v>0.355669153365095</v>
      </c>
      <c r="AS1557" s="147" t="s">
        <v>164</v>
      </c>
      <c r="AT1557" s="147" t="s">
        <v>128</v>
      </c>
      <c r="AU1557" s="60" t="s">
        <v>129</v>
      </c>
      <c r="AV1557" s="60"/>
      <c r="AW1557" s="60" t="s">
        <v>134</v>
      </c>
      <c r="AY1557" s="60" t="s">
        <v>144</v>
      </c>
    </row>
    <row r="1558" hidden="1">
      <c r="A1558" s="115" t="s">
        <v>5350</v>
      </c>
      <c r="B1558" s="41" t="s">
        <v>107</v>
      </c>
      <c r="C1558" s="41" t="s">
        <v>144</v>
      </c>
      <c r="E1558" s="60" t="s">
        <v>9854</v>
      </c>
      <c r="F1558" s="52" t="s">
        <v>9853</v>
      </c>
      <c r="G1558" s="147" t="s">
        <v>144</v>
      </c>
      <c r="H1558" s="140">
        <v>45687.0</v>
      </c>
      <c r="I1558" s="140">
        <v>45692.0</v>
      </c>
      <c r="J1558" s="412" t="s">
        <v>9869</v>
      </c>
      <c r="K1558" s="60"/>
      <c r="L1558" s="147" t="s">
        <v>9856</v>
      </c>
      <c r="M1558" s="147" t="s">
        <v>9857</v>
      </c>
      <c r="N1558" s="144">
        <v>1.0</v>
      </c>
      <c r="O1558" s="145" t="s">
        <v>9870</v>
      </c>
      <c r="P1558" s="48" t="str">
        <f t="array" ref="P1558">HYPERLINK(INDEX('File Links'!B:B, MATCH(O1558, 'File Links'!C:C, 0)))
</f>
        <v>https://drive.google.com/file/d/1tNWBEIyqVAkKjP7KUoSu2t3rEj4DPo_A/view?usp=drivesdk</v>
      </c>
      <c r="Q1558" s="147" t="s">
        <v>6103</v>
      </c>
      <c r="R1558" s="147" t="s">
        <v>6104</v>
      </c>
      <c r="S1558" s="60"/>
      <c r="T1558" s="144">
        <v>1.0</v>
      </c>
      <c r="U1558" s="145" t="s">
        <v>6105</v>
      </c>
      <c r="V1558" s="147" t="s">
        <v>9109</v>
      </c>
      <c r="W1558" s="1455" t="str">
        <f> hyperlink(vlookup(lower(R1558),'File Links'!F:G, 2, FALSE), "LINK")</f>
        <v>LINK</v>
      </c>
      <c r="X1558" s="147" t="s">
        <v>9871</v>
      </c>
      <c r="Y1558" s="60"/>
      <c r="Z1558" s="60"/>
      <c r="AA1558" s="60"/>
      <c r="AB1558" s="60"/>
      <c r="AC1558" s="60"/>
      <c r="AD1558" s="60"/>
      <c r="AE1558" s="60"/>
      <c r="AF1558" s="60"/>
      <c r="AG1558" s="60"/>
      <c r="AH1558" s="60"/>
      <c r="AI1558" s="329"/>
      <c r="AJ1558" s="55"/>
      <c r="AK1558" s="55"/>
      <c r="AL1558" s="60"/>
      <c r="AM1558" s="55"/>
      <c r="AN1558" s="60"/>
      <c r="AO1558" s="60"/>
      <c r="AP1558" s="60"/>
      <c r="AQ1558" s="60"/>
      <c r="AR1558" s="60"/>
      <c r="AS1558" s="60"/>
      <c r="AT1558" s="60"/>
      <c r="AU1558" s="60"/>
      <c r="AV1558" s="60"/>
      <c r="AW1558" s="60"/>
      <c r="AY1558" s="60" t="s">
        <v>144</v>
      </c>
    </row>
    <row r="1559">
      <c r="A1559" s="60" t="s">
        <v>106</v>
      </c>
      <c r="B1559" s="41" t="s">
        <v>107</v>
      </c>
      <c r="C1559" s="41" t="s">
        <v>243</v>
      </c>
      <c r="E1559" s="147" t="s">
        <v>9872</v>
      </c>
      <c r="F1559" s="52" t="s">
        <v>9873</v>
      </c>
      <c r="G1559" s="147" t="s">
        <v>244</v>
      </c>
      <c r="H1559" s="140">
        <v>45670.0</v>
      </c>
      <c r="I1559" s="140">
        <v>45692.0</v>
      </c>
      <c r="J1559" s="412" t="s">
        <v>9874</v>
      </c>
      <c r="K1559" s="147" t="s">
        <v>9875</v>
      </c>
      <c r="L1559" s="147" t="s">
        <v>9876</v>
      </c>
      <c r="M1559" s="147" t="s">
        <v>9877</v>
      </c>
      <c r="N1559" s="60"/>
      <c r="O1559" s="145" t="str">
        <f> SUBSTITUTE(lower(M1559), "/", "--") &amp;  ".pdf"</f>
        <v>10.1177--0956797615573516.pdf</v>
      </c>
      <c r="P1559" s="48" t="str">
        <f t="array" ref="P1559">HYPERLINK(INDEX('File Links'!B:B, MATCH(O1559, 'File Links'!C:C, 0)))
</f>
        <v>https://drive.google.com/file/d/1JoVItYnEA8vA70xzVLnQEC3dgxMW-0on/view?usp=drivesdk</v>
      </c>
      <c r="Q1559" s="147" t="s">
        <v>9878</v>
      </c>
      <c r="R1559" s="147" t="s">
        <v>9879</v>
      </c>
      <c r="S1559" s="60"/>
      <c r="T1559" s="60"/>
      <c r="U1559" s="145" t="s">
        <v>6105</v>
      </c>
      <c r="V1559" s="147" t="s">
        <v>318</v>
      </c>
      <c r="W1559" s="1455" t="str">
        <f> hyperlink(vlookup(lower(R1559),'File Links'!E:F, 2, FALSE), "LINK")</f>
        <v>LINK</v>
      </c>
      <c r="X1559" s="60"/>
      <c r="Y1559" s="147" t="s">
        <v>220</v>
      </c>
      <c r="Z1559" s="60"/>
      <c r="AA1559" s="147" t="s">
        <v>9184</v>
      </c>
      <c r="AB1559" s="60"/>
      <c r="AC1559" s="147" t="s">
        <v>9880</v>
      </c>
      <c r="AD1559" s="144">
        <v>8.0</v>
      </c>
      <c r="AE1559" s="1265">
        <v>555.0</v>
      </c>
      <c r="AF1559" s="144">
        <v>0.21</v>
      </c>
      <c r="AG1559" s="147" t="s">
        <v>166</v>
      </c>
      <c r="AH1559" s="147" t="s">
        <v>610</v>
      </c>
      <c r="AI1559" s="646">
        <v>0.093</v>
      </c>
      <c r="AJ1559" s="52" t="s">
        <v>164</v>
      </c>
      <c r="AK1559" s="52" t="s">
        <v>128</v>
      </c>
      <c r="AL1559" s="147" t="s">
        <v>132</v>
      </c>
      <c r="AM1559" s="52" t="s">
        <v>129</v>
      </c>
      <c r="AN1559" s="144">
        <v>124.0</v>
      </c>
      <c r="AO1559" s="144">
        <v>-0.0580348785702567</v>
      </c>
      <c r="AP1559" s="147" t="s">
        <v>166</v>
      </c>
      <c r="AQ1559" s="60"/>
      <c r="AR1559" s="144">
        <v>0.521018327214011</v>
      </c>
      <c r="AS1559" s="147" t="s">
        <v>164</v>
      </c>
      <c r="AT1559" s="147" t="s">
        <v>128</v>
      </c>
      <c r="AU1559" s="147" t="s">
        <v>132</v>
      </c>
      <c r="AV1559" s="60"/>
      <c r="AW1559" s="147" t="s">
        <v>134</v>
      </c>
      <c r="AY1559" s="60" t="s">
        <v>144</v>
      </c>
    </row>
    <row r="1560">
      <c r="A1560" s="115" t="s">
        <v>143</v>
      </c>
      <c r="B1560" s="41" t="s">
        <v>107</v>
      </c>
      <c r="C1560" s="1463" t="s">
        <v>144</v>
      </c>
      <c r="D1560" s="1463" t="s">
        <v>9305</v>
      </c>
      <c r="E1560" s="60" t="s">
        <v>9873</v>
      </c>
      <c r="F1560" s="52" t="s">
        <v>9881</v>
      </c>
      <c r="G1560" s="147" t="s">
        <v>144</v>
      </c>
      <c r="H1560" s="140">
        <v>45687.0</v>
      </c>
      <c r="I1560" s="140">
        <v>45692.0</v>
      </c>
      <c r="J1560" s="412"/>
      <c r="K1560" s="139" t="s">
        <v>9882</v>
      </c>
      <c r="L1560" s="147" t="s">
        <v>9876</v>
      </c>
      <c r="M1560" s="147" t="s">
        <v>9877</v>
      </c>
      <c r="N1560" s="144">
        <v>2.0</v>
      </c>
      <c r="O1560" s="145" t="s">
        <v>9883</v>
      </c>
      <c r="P1560" s="48" t="str">
        <f t="array" ref="P1560">HYPERLINK(INDEX('File Links'!B:B, MATCH(O1560, 'File Links'!C:C, 0)))
</f>
        <v>https://drive.google.com/file/d/1JoVItYnEA8vA70xzVLnQEC3dgxMW-0on/view?usp=drivesdk</v>
      </c>
      <c r="Q1560" s="147" t="s">
        <v>6103</v>
      </c>
      <c r="R1560" s="147" t="s">
        <v>6104</v>
      </c>
      <c r="S1560" s="60"/>
      <c r="T1560" s="144">
        <v>1.0</v>
      </c>
      <c r="U1560" s="145" t="s">
        <v>6105</v>
      </c>
      <c r="V1560" s="147" t="s">
        <v>9109</v>
      </c>
      <c r="W1560" s="1455" t="str">
        <f> hyperlink(vlookup(lower(R1560),'File Links'!F:G, 2, FALSE), "LINK")</f>
        <v>LINK</v>
      </c>
      <c r="X1560" s="60"/>
      <c r="Y1560" s="147" t="s">
        <v>220</v>
      </c>
      <c r="Z1560" s="147" t="s">
        <v>9884</v>
      </c>
      <c r="AA1560" s="147" t="s">
        <v>9885</v>
      </c>
      <c r="AB1560" s="147" t="s">
        <v>9886</v>
      </c>
      <c r="AC1560" s="147" t="s">
        <v>9887</v>
      </c>
      <c r="AD1560" s="144">
        <v>6.0</v>
      </c>
      <c r="AE1560" s="1265">
        <v>555.0</v>
      </c>
      <c r="AF1560" s="149">
        <v>0.625</v>
      </c>
      <c r="AG1560" s="139" t="s">
        <v>166</v>
      </c>
      <c r="AH1560" s="149" t="s">
        <v>9888</v>
      </c>
      <c r="AI1560" s="646">
        <v>0.001</v>
      </c>
      <c r="AJ1560" s="52" t="s">
        <v>164</v>
      </c>
      <c r="AK1560" s="52" t="s">
        <v>128</v>
      </c>
      <c r="AL1560" s="147" t="s">
        <v>132</v>
      </c>
      <c r="AM1560" s="55"/>
      <c r="AN1560" s="144">
        <v>50.0</v>
      </c>
      <c r="AO1560" s="144">
        <v>-0.0580348785702567</v>
      </c>
      <c r="AP1560" s="147" t="s">
        <v>166</v>
      </c>
      <c r="AQ1560" s="60"/>
      <c r="AR1560" s="144">
        <f>0.521018327214011</f>
        <v>0.5210183272</v>
      </c>
      <c r="AS1560" s="147" t="s">
        <v>164</v>
      </c>
      <c r="AT1560" s="147" t="s">
        <v>128</v>
      </c>
      <c r="AU1560" s="147" t="s">
        <v>132</v>
      </c>
      <c r="AV1560" s="60"/>
      <c r="AW1560" s="60" t="s">
        <v>134</v>
      </c>
      <c r="AY1560" s="115" t="s">
        <v>9053</v>
      </c>
    </row>
    <row r="1561">
      <c r="A1561" s="115" t="s">
        <v>5350</v>
      </c>
      <c r="B1561" s="41" t="s">
        <v>107</v>
      </c>
      <c r="C1561" s="41" t="s">
        <v>144</v>
      </c>
      <c r="E1561" s="60" t="s">
        <v>9889</v>
      </c>
      <c r="F1561" s="52" t="s">
        <v>9890</v>
      </c>
      <c r="G1561" s="147" t="s">
        <v>144</v>
      </c>
      <c r="H1561" s="140">
        <v>45687.0</v>
      </c>
      <c r="I1561" s="140">
        <v>45692.0</v>
      </c>
      <c r="J1561" s="454" t="s">
        <v>9891</v>
      </c>
      <c r="K1561" s="60"/>
      <c r="L1561" s="147" t="s">
        <v>9876</v>
      </c>
      <c r="M1561" s="147" t="s">
        <v>9877</v>
      </c>
      <c r="N1561" s="144">
        <v>2.0</v>
      </c>
      <c r="O1561" s="145" t="s">
        <v>9883</v>
      </c>
      <c r="P1561" s="48" t="str">
        <f t="array" ref="P1561">HYPERLINK(INDEX('File Links'!B:B, MATCH(O1561, 'File Links'!C:C, 0)))
</f>
        <v>https://drive.google.com/file/d/1JoVItYnEA8vA70xzVLnQEC3dgxMW-0on/view?usp=drivesdk</v>
      </c>
      <c r="Q1561" s="147" t="s">
        <v>6103</v>
      </c>
      <c r="R1561" s="147" t="s">
        <v>6104</v>
      </c>
      <c r="S1561" s="60"/>
      <c r="T1561" s="144">
        <v>1.0</v>
      </c>
      <c r="U1561" s="145" t="s">
        <v>6105</v>
      </c>
      <c r="V1561" s="147" t="s">
        <v>7707</v>
      </c>
      <c r="W1561" s="1455" t="str">
        <f> hyperlink(vlookup(lower(R1561),'File Links'!F:G, 2, FALSE), "LINK")</f>
        <v>LINK</v>
      </c>
      <c r="X1561" s="42"/>
      <c r="Y1561" s="147" t="s">
        <v>220</v>
      </c>
      <c r="Z1561" s="147" t="s">
        <v>9884</v>
      </c>
      <c r="AA1561" s="147" t="s">
        <v>9885</v>
      </c>
      <c r="AB1561" s="147" t="s">
        <v>9892</v>
      </c>
      <c r="AC1561" s="147" t="s">
        <v>9893</v>
      </c>
      <c r="AD1561" s="144">
        <v>6.0</v>
      </c>
      <c r="AE1561" s="144">
        <v>151.0</v>
      </c>
      <c r="AF1561" s="144">
        <v>0.07</v>
      </c>
      <c r="AG1561" s="144" t="s">
        <v>130</v>
      </c>
      <c r="AH1561" s="144" t="s">
        <v>131</v>
      </c>
      <c r="AI1561" s="328">
        <v>0.001</v>
      </c>
      <c r="AJ1561" s="52" t="s">
        <v>127</v>
      </c>
      <c r="AK1561" s="52" t="s">
        <v>128</v>
      </c>
      <c r="AL1561" s="147" t="s">
        <v>132</v>
      </c>
      <c r="AM1561" s="55"/>
      <c r="AN1561" s="144">
        <v>50.0</v>
      </c>
      <c r="AO1561" s="1467">
        <v>0.07</v>
      </c>
      <c r="AP1561" s="144" t="s">
        <v>1785</v>
      </c>
      <c r="AQ1561" s="144" t="s">
        <v>610</v>
      </c>
      <c r="AR1561" s="144">
        <v>0.002</v>
      </c>
      <c r="AS1561" s="147" t="s">
        <v>164</v>
      </c>
      <c r="AT1561" s="147" t="s">
        <v>128</v>
      </c>
      <c r="AU1561" s="147" t="s">
        <v>132</v>
      </c>
      <c r="AV1561" s="60"/>
      <c r="AW1561" s="60" t="s">
        <v>134</v>
      </c>
      <c r="AY1561" s="60" t="s">
        <v>144</v>
      </c>
    </row>
    <row r="1562">
      <c r="A1562" s="60" t="s">
        <v>106</v>
      </c>
      <c r="B1562" s="41" t="s">
        <v>107</v>
      </c>
      <c r="C1562" s="41" t="s">
        <v>243</v>
      </c>
      <c r="E1562" s="60" t="s">
        <v>9889</v>
      </c>
      <c r="F1562" s="52" t="s">
        <v>9894</v>
      </c>
      <c r="G1562" s="147" t="s">
        <v>244</v>
      </c>
      <c r="H1562" s="140">
        <v>45670.0</v>
      </c>
      <c r="I1562" s="140">
        <v>45692.0</v>
      </c>
      <c r="J1562" s="412" t="s">
        <v>9895</v>
      </c>
      <c r="K1562" s="60" t="s">
        <v>9896</v>
      </c>
      <c r="L1562" s="147" t="s">
        <v>9876</v>
      </c>
      <c r="M1562" s="147" t="s">
        <v>9877</v>
      </c>
      <c r="N1562" s="60"/>
      <c r="O1562" s="145" t="str">
        <f> SUBSTITUTE(lower(M1562), "/", "--") &amp;  ".pdf"</f>
        <v>10.1177--0956797615573516.pdf</v>
      </c>
      <c r="P1562" s="48" t="str">
        <f t="array" ref="P1562">HYPERLINK(INDEX('File Links'!B:B, MATCH(O1562, 'File Links'!C:C, 0)))
</f>
        <v>https://drive.google.com/file/d/1JoVItYnEA8vA70xzVLnQEC3dgxMW-0on/view?usp=drivesdk</v>
      </c>
      <c r="Q1562" s="147" t="s">
        <v>9897</v>
      </c>
      <c r="R1562" s="147" t="s">
        <v>9898</v>
      </c>
      <c r="S1562" s="60"/>
      <c r="T1562" s="60"/>
      <c r="U1562" s="145" t="s">
        <v>6105</v>
      </c>
      <c r="V1562" s="147" t="s">
        <v>7707</v>
      </c>
      <c r="W1562" s="1455" t="str">
        <f> hyperlink(vlookup(lower(R1562),'File Links'!E:F, 2, FALSE), "LINK")</f>
        <v>LINK</v>
      </c>
      <c r="X1562" s="60"/>
      <c r="Y1562" s="147" t="s">
        <v>220</v>
      </c>
      <c r="Z1562" s="60"/>
      <c r="AA1562" s="147" t="s">
        <v>9899</v>
      </c>
      <c r="AB1562" s="60"/>
      <c r="AC1562" s="147" t="s">
        <v>9900</v>
      </c>
      <c r="AD1562" s="144">
        <v>2.0</v>
      </c>
      <c r="AE1562" s="144">
        <v>151.0</v>
      </c>
      <c r="AF1562" s="1265">
        <v>0.7</v>
      </c>
      <c r="AG1562" s="147" t="s">
        <v>130</v>
      </c>
      <c r="AH1562" s="147" t="s">
        <v>131</v>
      </c>
      <c r="AI1562" s="646">
        <v>0.001</v>
      </c>
      <c r="AJ1562" s="52" t="s">
        <v>164</v>
      </c>
      <c r="AK1562" s="52" t="s">
        <v>128</v>
      </c>
      <c r="AL1562" s="147" t="s">
        <v>132</v>
      </c>
      <c r="AM1562" s="52" t="s">
        <v>129</v>
      </c>
      <c r="AN1562" s="144">
        <v>50.0</v>
      </c>
      <c r="AO1562" s="144">
        <v>3.63</v>
      </c>
      <c r="AP1562" s="147" t="s">
        <v>1051</v>
      </c>
      <c r="AQ1562" s="60"/>
      <c r="AR1562" s="144">
        <v>0.002</v>
      </c>
      <c r="AS1562" s="147" t="s">
        <v>164</v>
      </c>
      <c r="AT1562" s="147" t="s">
        <v>128</v>
      </c>
      <c r="AU1562" s="147" t="s">
        <v>132</v>
      </c>
      <c r="AV1562" s="60"/>
      <c r="AW1562" s="147" t="s">
        <v>134</v>
      </c>
      <c r="AY1562" s="60" t="s">
        <v>144</v>
      </c>
    </row>
    <row r="1563">
      <c r="A1563" s="115" t="s">
        <v>5350</v>
      </c>
      <c r="B1563" s="41" t="s">
        <v>107</v>
      </c>
      <c r="C1563" s="41" t="s">
        <v>144</v>
      </c>
      <c r="E1563" s="60" t="s">
        <v>9889</v>
      </c>
      <c r="F1563" s="52" t="s">
        <v>9901</v>
      </c>
      <c r="G1563" s="147" t="s">
        <v>144</v>
      </c>
      <c r="H1563" s="140">
        <v>45687.0</v>
      </c>
      <c r="I1563" s="140">
        <v>45692.0</v>
      </c>
      <c r="J1563" s="454" t="s">
        <v>9902</v>
      </c>
      <c r="K1563" s="60"/>
      <c r="L1563" s="147" t="s">
        <v>9876</v>
      </c>
      <c r="M1563" s="147" t="s">
        <v>9877</v>
      </c>
      <c r="N1563" s="144">
        <v>2.0</v>
      </c>
      <c r="O1563" s="145" t="s">
        <v>9883</v>
      </c>
      <c r="P1563" s="48" t="str">
        <f t="array" ref="P1563">HYPERLINK(INDEX('File Links'!B:B, MATCH(O1563, 'File Links'!C:C, 0)))
</f>
        <v>https://drive.google.com/file/d/1JoVItYnEA8vA70xzVLnQEC3dgxMW-0on/view?usp=drivesdk</v>
      </c>
      <c r="Q1563" s="147" t="s">
        <v>6103</v>
      </c>
      <c r="R1563" s="147" t="s">
        <v>6104</v>
      </c>
      <c r="S1563" s="60"/>
      <c r="T1563" s="144">
        <v>1.0</v>
      </c>
      <c r="U1563" s="145" t="s">
        <v>6105</v>
      </c>
      <c r="V1563" s="147" t="s">
        <v>7707</v>
      </c>
      <c r="W1563" s="1455" t="str">
        <f> hyperlink(vlookup(lower(R1563),'File Links'!F:G, 2, FALSE), "LINK")</f>
        <v>LINK</v>
      </c>
      <c r="X1563" s="60"/>
      <c r="Y1563" s="147" t="s">
        <v>220</v>
      </c>
      <c r="Z1563" s="147" t="s">
        <v>9884</v>
      </c>
      <c r="AA1563" s="147" t="s">
        <v>9885</v>
      </c>
      <c r="AB1563" s="147" t="s">
        <v>9903</v>
      </c>
      <c r="AC1563" s="147" t="s">
        <v>9904</v>
      </c>
      <c r="AD1563" s="144">
        <v>6.0</v>
      </c>
      <c r="AE1563" s="144">
        <v>151.0</v>
      </c>
      <c r="AF1563" s="144" t="s">
        <v>9905</v>
      </c>
      <c r="AG1563" s="144" t="s">
        <v>162</v>
      </c>
      <c r="AH1563" s="144" t="s">
        <v>131</v>
      </c>
      <c r="AI1563" s="646">
        <v>0.001</v>
      </c>
      <c r="AJ1563" s="52" t="s">
        <v>127</v>
      </c>
      <c r="AK1563" s="52" t="s">
        <v>128</v>
      </c>
      <c r="AL1563" s="147" t="s">
        <v>132</v>
      </c>
      <c r="AM1563" s="55"/>
      <c r="AN1563" s="144">
        <v>50.0</v>
      </c>
      <c r="AO1563" s="144" t="s">
        <v>9906</v>
      </c>
      <c r="AP1563" s="144" t="s">
        <v>162</v>
      </c>
      <c r="AQ1563" s="144" t="s">
        <v>610</v>
      </c>
      <c r="AR1563" s="144">
        <v>0.001</v>
      </c>
      <c r="AS1563" s="147" t="s">
        <v>127</v>
      </c>
      <c r="AT1563" s="147" t="s">
        <v>128</v>
      </c>
      <c r="AU1563" s="147" t="s">
        <v>132</v>
      </c>
      <c r="AV1563" s="60"/>
      <c r="AW1563" s="60" t="s">
        <v>134</v>
      </c>
      <c r="AY1563" s="60" t="s">
        <v>144</v>
      </c>
    </row>
    <row r="1564">
      <c r="A1564" s="115" t="s">
        <v>5350</v>
      </c>
      <c r="B1564" s="41" t="s">
        <v>107</v>
      </c>
      <c r="C1564" s="41" t="s">
        <v>144</v>
      </c>
      <c r="E1564" s="60" t="s">
        <v>9889</v>
      </c>
      <c r="F1564" s="52" t="s">
        <v>9907</v>
      </c>
      <c r="G1564" s="147" t="s">
        <v>144</v>
      </c>
      <c r="H1564" s="140">
        <v>45687.0</v>
      </c>
      <c r="I1564" s="140">
        <v>45692.0</v>
      </c>
      <c r="J1564" s="454" t="s">
        <v>9908</v>
      </c>
      <c r="K1564" s="60"/>
      <c r="L1564" s="147" t="s">
        <v>9876</v>
      </c>
      <c r="M1564" s="147" t="s">
        <v>9877</v>
      </c>
      <c r="N1564" s="144">
        <v>2.0</v>
      </c>
      <c r="O1564" s="145" t="s">
        <v>9883</v>
      </c>
      <c r="P1564" s="48" t="str">
        <f t="array" ref="P1564">HYPERLINK(INDEX('File Links'!B:B, MATCH(O1564, 'File Links'!C:C, 0)))
</f>
        <v>https://drive.google.com/file/d/1JoVItYnEA8vA70xzVLnQEC3dgxMW-0on/view?usp=drivesdk</v>
      </c>
      <c r="Q1564" s="147" t="s">
        <v>6103</v>
      </c>
      <c r="R1564" s="147" t="s">
        <v>6104</v>
      </c>
      <c r="S1564" s="60"/>
      <c r="T1564" s="144">
        <v>1.0</v>
      </c>
      <c r="U1564" s="145" t="s">
        <v>6105</v>
      </c>
      <c r="V1564" s="147" t="s">
        <v>7707</v>
      </c>
      <c r="W1564" s="1455" t="str">
        <f> hyperlink(vlookup(lower(R1564),'File Links'!F:G, 2, FALSE), "LINK")</f>
        <v>LINK</v>
      </c>
      <c r="X1564" s="60"/>
      <c r="Y1564" s="147" t="s">
        <v>220</v>
      </c>
      <c r="Z1564" s="147" t="s">
        <v>9884</v>
      </c>
      <c r="AA1564" s="147" t="s">
        <v>9885</v>
      </c>
      <c r="AB1564" s="147" t="s">
        <v>9886</v>
      </c>
      <c r="AC1564" s="147" t="s">
        <v>9904</v>
      </c>
      <c r="AD1564" s="144">
        <v>6.0</v>
      </c>
      <c r="AE1564" s="144">
        <v>151.0</v>
      </c>
      <c r="AF1564" s="144" t="s">
        <v>9909</v>
      </c>
      <c r="AG1564" s="144" t="s">
        <v>162</v>
      </c>
      <c r="AH1564" s="144" t="s">
        <v>131</v>
      </c>
      <c r="AI1564" s="646">
        <v>0.15</v>
      </c>
      <c r="AJ1564" s="52" t="s">
        <v>164</v>
      </c>
      <c r="AK1564" s="52" t="s">
        <v>128</v>
      </c>
      <c r="AL1564" s="147" t="s">
        <v>132</v>
      </c>
      <c r="AM1564" s="55"/>
      <c r="AN1564" s="144">
        <v>50.0</v>
      </c>
      <c r="AO1564" s="144" t="s">
        <v>9910</v>
      </c>
      <c r="AP1564" s="144" t="s">
        <v>162</v>
      </c>
      <c r="AQ1564" s="144" t="s">
        <v>610</v>
      </c>
      <c r="AR1564" s="144">
        <v>0.238</v>
      </c>
      <c r="AS1564" s="147" t="s">
        <v>164</v>
      </c>
      <c r="AT1564" s="147" t="s">
        <v>128</v>
      </c>
      <c r="AU1564" s="147" t="s">
        <v>132</v>
      </c>
      <c r="AV1564" s="60"/>
      <c r="AW1564" s="60" t="s">
        <v>134</v>
      </c>
      <c r="AY1564" s="60" t="s">
        <v>144</v>
      </c>
    </row>
    <row r="1565">
      <c r="A1565" s="115" t="s">
        <v>5350</v>
      </c>
      <c r="B1565" s="41" t="s">
        <v>107</v>
      </c>
      <c r="C1565" s="41" t="s">
        <v>144</v>
      </c>
      <c r="E1565" s="60" t="s">
        <v>9889</v>
      </c>
      <c r="F1565" s="52" t="s">
        <v>9911</v>
      </c>
      <c r="G1565" s="147" t="s">
        <v>144</v>
      </c>
      <c r="H1565" s="140">
        <v>45687.0</v>
      </c>
      <c r="I1565" s="140">
        <v>45692.0</v>
      </c>
      <c r="J1565" s="454" t="s">
        <v>9912</v>
      </c>
      <c r="K1565" s="60"/>
      <c r="L1565" s="147" t="s">
        <v>9876</v>
      </c>
      <c r="M1565" s="147" t="s">
        <v>9877</v>
      </c>
      <c r="N1565" s="144">
        <v>2.0</v>
      </c>
      <c r="O1565" s="145" t="s">
        <v>9883</v>
      </c>
      <c r="P1565" s="48" t="str">
        <f t="array" ref="P1565">HYPERLINK(INDEX('File Links'!B:B, MATCH(O1565, 'File Links'!C:C, 0)))
</f>
        <v>https://drive.google.com/file/d/1JoVItYnEA8vA70xzVLnQEC3dgxMW-0on/view?usp=drivesdk</v>
      </c>
      <c r="Q1565" s="147" t="s">
        <v>6103</v>
      </c>
      <c r="R1565" s="147" t="s">
        <v>6104</v>
      </c>
      <c r="S1565" s="60"/>
      <c r="T1565" s="144">
        <v>1.0</v>
      </c>
      <c r="U1565" s="145" t="s">
        <v>6105</v>
      </c>
      <c r="V1565" s="147" t="s">
        <v>7707</v>
      </c>
      <c r="W1565" s="1455" t="str">
        <f> hyperlink(vlookup(lower(R1565),'File Links'!F:G, 2, FALSE), "LINK")</f>
        <v>LINK</v>
      </c>
      <c r="X1565" s="60"/>
      <c r="Y1565" s="147" t="s">
        <v>220</v>
      </c>
      <c r="Z1565" s="147" t="s">
        <v>9884</v>
      </c>
      <c r="AA1565" s="147" t="s">
        <v>9885</v>
      </c>
      <c r="AB1565" s="147" t="s">
        <v>9913</v>
      </c>
      <c r="AC1565" s="147" t="s">
        <v>9914</v>
      </c>
      <c r="AD1565" s="144">
        <v>6.0</v>
      </c>
      <c r="AE1565" s="144">
        <v>151.0</v>
      </c>
      <c r="AF1565" s="144">
        <v>0.07</v>
      </c>
      <c r="AG1565" s="144" t="s">
        <v>130</v>
      </c>
      <c r="AH1565" s="144" t="s">
        <v>131</v>
      </c>
      <c r="AI1565" s="646">
        <v>0.001</v>
      </c>
      <c r="AJ1565" s="52" t="s">
        <v>164</v>
      </c>
      <c r="AK1565" s="52" t="s">
        <v>128</v>
      </c>
      <c r="AL1565" s="147" t="s">
        <v>132</v>
      </c>
      <c r="AM1565" s="55"/>
      <c r="AN1565" s="144">
        <v>50.0</v>
      </c>
      <c r="AO1565" s="144" t="s">
        <v>9915</v>
      </c>
      <c r="AP1565" s="144" t="s">
        <v>162</v>
      </c>
      <c r="AQ1565" s="144" t="s">
        <v>609</v>
      </c>
      <c r="AR1565" s="144">
        <v>0.071</v>
      </c>
      <c r="AS1565" s="147" t="s">
        <v>164</v>
      </c>
      <c r="AT1565" s="147" t="s">
        <v>128</v>
      </c>
      <c r="AU1565" s="147" t="s">
        <v>132</v>
      </c>
      <c r="AV1565" s="60"/>
      <c r="AW1565" s="60" t="s">
        <v>134</v>
      </c>
      <c r="AY1565" s="60" t="s">
        <v>144</v>
      </c>
    </row>
    <row r="1566">
      <c r="A1566" s="60" t="s">
        <v>106</v>
      </c>
      <c r="B1566" s="41" t="s">
        <v>107</v>
      </c>
      <c r="C1566" s="41" t="s">
        <v>243</v>
      </c>
      <c r="E1566" s="60" t="s">
        <v>9889</v>
      </c>
      <c r="F1566" s="52" t="s">
        <v>9881</v>
      </c>
      <c r="G1566" s="147" t="s">
        <v>244</v>
      </c>
      <c r="H1566" s="140">
        <v>45670.0</v>
      </c>
      <c r="I1566" s="140">
        <v>45692.0</v>
      </c>
      <c r="J1566" s="60"/>
      <c r="K1566" s="60" t="s">
        <v>9896</v>
      </c>
      <c r="L1566" s="147" t="s">
        <v>9876</v>
      </c>
      <c r="M1566" s="147" t="s">
        <v>9877</v>
      </c>
      <c r="N1566" s="60"/>
      <c r="O1566" s="145" t="str">
        <f> SUBSTITUTE(lower(M1566), "/", "--") &amp;  ".pdf"</f>
        <v>10.1177--0956797615573516.pdf</v>
      </c>
      <c r="P1566" s="48" t="str">
        <f t="array" ref="P1566">HYPERLINK(INDEX('File Links'!B:B, MATCH(O1566, 'File Links'!C:C, 0)))
</f>
        <v>https://drive.google.com/file/d/1JoVItYnEA8vA70xzVLnQEC3dgxMW-0on/view?usp=drivesdk</v>
      </c>
      <c r="Q1566" s="147" t="s">
        <v>9916</v>
      </c>
      <c r="R1566" s="147" t="s">
        <v>9917</v>
      </c>
      <c r="S1566" s="60"/>
      <c r="T1566" s="60"/>
      <c r="U1566" s="145" t="s">
        <v>6105</v>
      </c>
      <c r="V1566" s="147" t="s">
        <v>7707</v>
      </c>
      <c r="W1566" s="1455" t="str">
        <f> hyperlink(vlookup(lower(R1566),'File Links'!E:F, 2, FALSE), "LINK")</f>
        <v>LINK</v>
      </c>
      <c r="X1566" s="60"/>
      <c r="Y1566" s="147" t="s">
        <v>220</v>
      </c>
      <c r="Z1566" s="60"/>
      <c r="AA1566" s="147" t="s">
        <v>9918</v>
      </c>
      <c r="AB1566" s="60"/>
      <c r="AC1566" s="147" t="s">
        <v>9900</v>
      </c>
      <c r="AD1566" s="144">
        <v>2.0</v>
      </c>
      <c r="AE1566" s="144">
        <v>151.0</v>
      </c>
      <c r="AF1566" s="1265">
        <v>0.7</v>
      </c>
      <c r="AG1566" s="147" t="s">
        <v>130</v>
      </c>
      <c r="AH1566" s="147" t="s">
        <v>131</v>
      </c>
      <c r="AI1566" s="646">
        <v>0.001</v>
      </c>
      <c r="AJ1566" s="52" t="s">
        <v>164</v>
      </c>
      <c r="AK1566" s="52" t="s">
        <v>128</v>
      </c>
      <c r="AL1566" s="147" t="s">
        <v>132</v>
      </c>
      <c r="AM1566" s="52" t="s">
        <v>129</v>
      </c>
      <c r="AN1566" s="144">
        <v>50.0</v>
      </c>
      <c r="AO1566" s="144">
        <v>3.43</v>
      </c>
      <c r="AP1566" s="147" t="s">
        <v>1051</v>
      </c>
      <c r="AQ1566" s="60"/>
      <c r="AR1566" s="144">
        <v>0.071</v>
      </c>
      <c r="AS1566" s="147" t="s">
        <v>164</v>
      </c>
      <c r="AT1566" s="147" t="s">
        <v>128</v>
      </c>
      <c r="AU1566" s="147" t="s">
        <v>132</v>
      </c>
      <c r="AV1566" s="60"/>
      <c r="AW1566" s="147" t="s">
        <v>134</v>
      </c>
      <c r="AY1566" s="60" t="s">
        <v>144</v>
      </c>
    </row>
    <row r="1567">
      <c r="A1567" s="115" t="s">
        <v>5350</v>
      </c>
      <c r="B1567" s="41" t="s">
        <v>107</v>
      </c>
      <c r="C1567" s="41" t="s">
        <v>144</v>
      </c>
      <c r="E1567" s="60" t="s">
        <v>9889</v>
      </c>
      <c r="F1567" s="52" t="s">
        <v>9919</v>
      </c>
      <c r="G1567" s="147" t="s">
        <v>144</v>
      </c>
      <c r="H1567" s="140">
        <v>45687.0</v>
      </c>
      <c r="I1567" s="140">
        <v>45692.0</v>
      </c>
      <c r="J1567" s="454" t="s">
        <v>9920</v>
      </c>
      <c r="K1567" s="60"/>
      <c r="L1567" s="147" t="s">
        <v>9876</v>
      </c>
      <c r="M1567" s="147" t="s">
        <v>9877</v>
      </c>
      <c r="N1567" s="144">
        <v>2.0</v>
      </c>
      <c r="O1567" s="145" t="s">
        <v>9883</v>
      </c>
      <c r="P1567" s="48" t="str">
        <f t="array" ref="P1567">HYPERLINK(INDEX('File Links'!B:B, MATCH(O1567, 'File Links'!C:C, 0)))
</f>
        <v>https://drive.google.com/file/d/1JoVItYnEA8vA70xzVLnQEC3dgxMW-0on/view?usp=drivesdk</v>
      </c>
      <c r="Q1567" s="147" t="s">
        <v>6103</v>
      </c>
      <c r="R1567" s="147" t="s">
        <v>6104</v>
      </c>
      <c r="S1567" s="60"/>
      <c r="T1567" s="144">
        <v>1.0</v>
      </c>
      <c r="U1567" s="145" t="s">
        <v>6105</v>
      </c>
      <c r="V1567" s="147" t="s">
        <v>7707</v>
      </c>
      <c r="W1567" s="1455" t="str">
        <f> hyperlink(vlookup(lower(R1567),'File Links'!F:G, 2, FALSE), "LINK")</f>
        <v>LINK</v>
      </c>
      <c r="X1567" s="60"/>
      <c r="Y1567" s="147" t="s">
        <v>220</v>
      </c>
      <c r="Z1567" s="147" t="s">
        <v>9884</v>
      </c>
      <c r="AA1567" s="147" t="s">
        <v>9885</v>
      </c>
      <c r="AB1567" s="147" t="s">
        <v>9921</v>
      </c>
      <c r="AC1567" s="147" t="s">
        <v>9922</v>
      </c>
      <c r="AD1567" s="144">
        <v>6.0</v>
      </c>
      <c r="AE1567" s="144">
        <v>151.0</v>
      </c>
      <c r="AF1567" s="144">
        <v>0.08</v>
      </c>
      <c r="AG1567" s="144" t="s">
        <v>130</v>
      </c>
      <c r="AH1567" s="144" t="s">
        <v>131</v>
      </c>
      <c r="AI1567" s="646">
        <v>0.001</v>
      </c>
      <c r="AJ1567" s="52" t="s">
        <v>127</v>
      </c>
      <c r="AK1567" s="52" t="s">
        <v>128</v>
      </c>
      <c r="AL1567" s="147" t="s">
        <v>132</v>
      </c>
      <c r="AM1567" s="55"/>
      <c r="AN1567" s="144">
        <v>50.0</v>
      </c>
      <c r="AO1567" s="144" t="s">
        <v>9923</v>
      </c>
      <c r="AP1567" s="144" t="s">
        <v>162</v>
      </c>
      <c r="AQ1567" s="144" t="s">
        <v>609</v>
      </c>
      <c r="AR1567" s="144">
        <v>0.07</v>
      </c>
      <c r="AS1567" s="147" t="s">
        <v>164</v>
      </c>
      <c r="AT1567" s="147" t="s">
        <v>128</v>
      </c>
      <c r="AU1567" s="147" t="s">
        <v>132</v>
      </c>
      <c r="AV1567" s="60"/>
      <c r="AW1567" s="60" t="s">
        <v>134</v>
      </c>
      <c r="AY1567" s="60" t="s">
        <v>144</v>
      </c>
    </row>
    <row r="1568">
      <c r="A1568" s="60" t="s">
        <v>106</v>
      </c>
      <c r="B1568" s="41" t="s">
        <v>107</v>
      </c>
      <c r="C1568" s="41" t="s">
        <v>243</v>
      </c>
      <c r="E1568" s="60" t="s">
        <v>9889</v>
      </c>
      <c r="F1568" s="52" t="s">
        <v>9924</v>
      </c>
      <c r="G1568" s="147" t="s">
        <v>244</v>
      </c>
      <c r="H1568" s="140">
        <v>45670.0</v>
      </c>
      <c r="I1568" s="140">
        <v>45692.0</v>
      </c>
      <c r="J1568" s="60"/>
      <c r="K1568" s="60"/>
      <c r="L1568" s="147" t="s">
        <v>9876</v>
      </c>
      <c r="M1568" s="147" t="s">
        <v>9877</v>
      </c>
      <c r="N1568" s="60"/>
      <c r="O1568" s="145" t="str">
        <f> SUBSTITUTE(lower(M1568), "/", "--") &amp;  ".pdf"</f>
        <v>10.1177--0956797615573516.pdf</v>
      </c>
      <c r="P1568" s="48" t="str">
        <f t="array" ref="P1568">HYPERLINK(INDEX('File Links'!B:B, MATCH(O1568, 'File Links'!C:C, 0)))
</f>
        <v>https://drive.google.com/file/d/1JoVItYnEA8vA70xzVLnQEC3dgxMW-0on/view?usp=drivesdk</v>
      </c>
      <c r="Q1568" s="147" t="s">
        <v>9925</v>
      </c>
      <c r="R1568" s="147" t="s">
        <v>9926</v>
      </c>
      <c r="S1568" s="60"/>
      <c r="T1568" s="60"/>
      <c r="U1568" s="145" t="s">
        <v>6105</v>
      </c>
      <c r="V1568" s="147" t="s">
        <v>7707</v>
      </c>
      <c r="W1568" s="1455" t="str">
        <f> hyperlink(vlookup(lower(R1568),'File Links'!E:F, 2, FALSE), "LINK")</f>
        <v>LINK</v>
      </c>
      <c r="X1568" s="60"/>
      <c r="Y1568" s="147" t="s">
        <v>220</v>
      </c>
      <c r="Z1568" s="60"/>
      <c r="AA1568" s="147" t="s">
        <v>9927</v>
      </c>
      <c r="AB1568" s="60"/>
      <c r="AC1568" s="147" t="s">
        <v>9900</v>
      </c>
      <c r="AD1568" s="144">
        <v>2.0</v>
      </c>
      <c r="AE1568" s="144">
        <v>151.0</v>
      </c>
      <c r="AF1568" s="144">
        <v>0.8</v>
      </c>
      <c r="AG1568" s="147" t="s">
        <v>130</v>
      </c>
      <c r="AH1568" s="147" t="s">
        <v>131</v>
      </c>
      <c r="AI1568" s="646">
        <v>0.001</v>
      </c>
      <c r="AJ1568" s="52" t="s">
        <v>127</v>
      </c>
      <c r="AK1568" s="52" t="s">
        <v>128</v>
      </c>
      <c r="AL1568" s="147" t="s">
        <v>132</v>
      </c>
      <c r="AM1568" s="52" t="s">
        <v>129</v>
      </c>
      <c r="AN1568" s="144">
        <v>50.0</v>
      </c>
      <c r="AO1568" s="144">
        <v>3.44</v>
      </c>
      <c r="AP1568" s="147" t="s">
        <v>1051</v>
      </c>
      <c r="AQ1568" s="60"/>
      <c r="AR1568" s="144">
        <v>0.07</v>
      </c>
      <c r="AS1568" s="147" t="s">
        <v>164</v>
      </c>
      <c r="AT1568" s="147" t="s">
        <v>128</v>
      </c>
      <c r="AU1568" s="147" t="s">
        <v>132</v>
      </c>
      <c r="AV1568" s="60"/>
      <c r="AW1568" s="147" t="s">
        <v>134</v>
      </c>
      <c r="AY1568" s="60" t="s">
        <v>144</v>
      </c>
    </row>
    <row r="1569">
      <c r="A1569" s="115" t="s">
        <v>5350</v>
      </c>
      <c r="B1569" s="41" t="s">
        <v>107</v>
      </c>
      <c r="C1569" s="41" t="s">
        <v>144</v>
      </c>
      <c r="E1569" s="60" t="s">
        <v>9889</v>
      </c>
      <c r="F1569" s="52" t="s">
        <v>9928</v>
      </c>
      <c r="G1569" s="147" t="s">
        <v>144</v>
      </c>
      <c r="H1569" s="140">
        <v>45687.0</v>
      </c>
      <c r="I1569" s="140">
        <v>45692.0</v>
      </c>
      <c r="J1569" s="454" t="s">
        <v>9929</v>
      </c>
      <c r="K1569" s="60"/>
      <c r="L1569" s="147" t="s">
        <v>9876</v>
      </c>
      <c r="M1569" s="147" t="s">
        <v>9877</v>
      </c>
      <c r="N1569" s="144">
        <v>2.0</v>
      </c>
      <c r="O1569" s="145" t="s">
        <v>9883</v>
      </c>
      <c r="P1569" s="48" t="str">
        <f t="array" ref="P1569">HYPERLINK(INDEX('File Links'!B:B, MATCH(O1569, 'File Links'!C:C, 0)))
</f>
        <v>https://drive.google.com/file/d/1JoVItYnEA8vA70xzVLnQEC3dgxMW-0on/view?usp=drivesdk</v>
      </c>
      <c r="Q1569" s="147" t="s">
        <v>6103</v>
      </c>
      <c r="R1569" s="147" t="s">
        <v>6104</v>
      </c>
      <c r="S1569" s="60"/>
      <c r="T1569" s="144">
        <v>1.0</v>
      </c>
      <c r="U1569" s="145" t="s">
        <v>6105</v>
      </c>
      <c r="V1569" s="147" t="s">
        <v>7707</v>
      </c>
      <c r="W1569" s="1455" t="str">
        <f> hyperlink(vlookup(lower(R1569),'File Links'!F:G, 2, FALSE), "LINK")</f>
        <v>LINK</v>
      </c>
      <c r="X1569" s="60"/>
      <c r="Y1569" s="147" t="s">
        <v>220</v>
      </c>
      <c r="Z1569" s="147" t="s">
        <v>9884</v>
      </c>
      <c r="AA1569" s="147" t="s">
        <v>9885</v>
      </c>
      <c r="AB1569" s="147" t="s">
        <v>9930</v>
      </c>
      <c r="AC1569" s="147" t="s">
        <v>9931</v>
      </c>
      <c r="AD1569" s="144">
        <v>6.0</v>
      </c>
      <c r="AE1569" s="144">
        <v>151.0</v>
      </c>
      <c r="AF1569" s="144">
        <v>0.03</v>
      </c>
      <c r="AG1569" s="144" t="s">
        <v>130</v>
      </c>
      <c r="AH1569" s="144" t="s">
        <v>131</v>
      </c>
      <c r="AI1569" s="646">
        <v>0.054</v>
      </c>
      <c r="AJ1569" s="52" t="s">
        <v>164</v>
      </c>
      <c r="AK1569" s="52" t="s">
        <v>128</v>
      </c>
      <c r="AL1569" s="147" t="s">
        <v>132</v>
      </c>
      <c r="AM1569" s="55"/>
      <c r="AN1569" s="144">
        <v>50.0</v>
      </c>
      <c r="AO1569" s="144" t="s">
        <v>9932</v>
      </c>
      <c r="AP1569" s="144" t="s">
        <v>162</v>
      </c>
      <c r="AQ1569" s="144" t="s">
        <v>609</v>
      </c>
      <c r="AR1569" s="144">
        <v>0.076</v>
      </c>
      <c r="AS1569" s="147" t="s">
        <v>164</v>
      </c>
      <c r="AT1569" s="147" t="s">
        <v>128</v>
      </c>
      <c r="AU1569" s="147" t="s">
        <v>132</v>
      </c>
      <c r="AV1569" s="60"/>
      <c r="AW1569" s="60" t="s">
        <v>134</v>
      </c>
      <c r="AY1569" s="60" t="s">
        <v>144</v>
      </c>
    </row>
    <row r="1570">
      <c r="A1570" s="60" t="s">
        <v>106</v>
      </c>
      <c r="B1570" s="41" t="s">
        <v>107</v>
      </c>
      <c r="C1570" s="41" t="s">
        <v>243</v>
      </c>
      <c r="E1570" s="60" t="s">
        <v>9889</v>
      </c>
      <c r="F1570" s="52" t="s">
        <v>9933</v>
      </c>
      <c r="G1570" s="147" t="s">
        <v>244</v>
      </c>
      <c r="H1570" s="140">
        <v>45670.0</v>
      </c>
      <c r="I1570" s="140">
        <v>45692.0</v>
      </c>
      <c r="J1570" s="60"/>
      <c r="K1570" s="60" t="s">
        <v>9896</v>
      </c>
      <c r="L1570" s="147" t="s">
        <v>9876</v>
      </c>
      <c r="M1570" s="147" t="s">
        <v>9877</v>
      </c>
      <c r="N1570" s="60"/>
      <c r="O1570" s="145" t="str">
        <f> SUBSTITUTE(lower(M1570), "/", "--") &amp;  ".pdf"</f>
        <v>10.1177--0956797615573516.pdf</v>
      </c>
      <c r="P1570" s="48" t="str">
        <f t="array" ref="P1570">HYPERLINK(INDEX('File Links'!B:B, MATCH(O1570, 'File Links'!C:C, 0)))
</f>
        <v>https://drive.google.com/file/d/1JoVItYnEA8vA70xzVLnQEC3dgxMW-0on/view?usp=drivesdk</v>
      </c>
      <c r="Q1570" s="147" t="s">
        <v>9934</v>
      </c>
      <c r="R1570" s="147" t="s">
        <v>9935</v>
      </c>
      <c r="S1570" s="60"/>
      <c r="T1570" s="60"/>
      <c r="U1570" s="145" t="s">
        <v>6105</v>
      </c>
      <c r="V1570" s="147" t="s">
        <v>7707</v>
      </c>
      <c r="W1570" s="1455" t="str">
        <f> hyperlink(vlookup(lower(R1570),'File Links'!E:F, 2, FALSE), "LINK")</f>
        <v>LINK</v>
      </c>
      <c r="X1570" s="60"/>
      <c r="Y1570" s="147" t="s">
        <v>220</v>
      </c>
      <c r="Z1570" s="60"/>
      <c r="AA1570" s="147" t="s">
        <v>9936</v>
      </c>
      <c r="AB1570" s="60"/>
      <c r="AC1570" s="147" t="s">
        <v>9900</v>
      </c>
      <c r="AD1570" s="144">
        <v>2.0</v>
      </c>
      <c r="AE1570" s="144">
        <v>151.0</v>
      </c>
      <c r="AF1570" s="1265">
        <v>0.3</v>
      </c>
      <c r="AG1570" s="147" t="s">
        <v>130</v>
      </c>
      <c r="AH1570" s="147" t="s">
        <v>131</v>
      </c>
      <c r="AI1570" s="646">
        <v>0.054</v>
      </c>
      <c r="AJ1570" s="52" t="s">
        <v>164</v>
      </c>
      <c r="AK1570" s="52" t="s">
        <v>128</v>
      </c>
      <c r="AL1570" s="147" t="s">
        <v>132</v>
      </c>
      <c r="AM1570" s="52" t="s">
        <v>129</v>
      </c>
      <c r="AN1570" s="144">
        <v>50.0</v>
      </c>
      <c r="AO1570" s="144">
        <v>3.31</v>
      </c>
      <c r="AP1570" s="147" t="s">
        <v>1051</v>
      </c>
      <c r="AQ1570" s="60"/>
      <c r="AR1570" s="144">
        <v>0.076</v>
      </c>
      <c r="AS1570" s="147" t="s">
        <v>164</v>
      </c>
      <c r="AT1570" s="147" t="s">
        <v>128</v>
      </c>
      <c r="AU1570" s="147" t="s">
        <v>132</v>
      </c>
      <c r="AV1570" s="60"/>
      <c r="AW1570" s="147" t="s">
        <v>134</v>
      </c>
      <c r="AY1570" s="60" t="s">
        <v>144</v>
      </c>
    </row>
    <row r="1571">
      <c r="A1571" s="115" t="s">
        <v>5350</v>
      </c>
      <c r="B1571" s="41" t="s">
        <v>107</v>
      </c>
      <c r="C1571" s="41" t="s">
        <v>144</v>
      </c>
      <c r="E1571" s="60" t="s">
        <v>9889</v>
      </c>
      <c r="F1571" s="52" t="s">
        <v>9937</v>
      </c>
      <c r="G1571" s="147" t="s">
        <v>144</v>
      </c>
      <c r="H1571" s="140">
        <v>45687.0</v>
      </c>
      <c r="I1571" s="140">
        <v>45692.0</v>
      </c>
      <c r="J1571" s="454" t="s">
        <v>9938</v>
      </c>
      <c r="K1571" s="60"/>
      <c r="L1571" s="147" t="s">
        <v>9876</v>
      </c>
      <c r="M1571" s="147" t="s">
        <v>9877</v>
      </c>
      <c r="N1571" s="144">
        <v>2.0</v>
      </c>
      <c r="O1571" s="145" t="s">
        <v>9883</v>
      </c>
      <c r="P1571" s="48" t="str">
        <f t="array" ref="P1571">HYPERLINK(INDEX('File Links'!B:B, MATCH(O1571, 'File Links'!C:C, 0)))
</f>
        <v>https://drive.google.com/file/d/1JoVItYnEA8vA70xzVLnQEC3dgxMW-0on/view?usp=drivesdk</v>
      </c>
      <c r="Q1571" s="147" t="s">
        <v>6103</v>
      </c>
      <c r="R1571" s="147" t="s">
        <v>6104</v>
      </c>
      <c r="S1571" s="60"/>
      <c r="T1571" s="144">
        <v>1.0</v>
      </c>
      <c r="U1571" s="145" t="s">
        <v>6105</v>
      </c>
      <c r="V1571" s="147" t="s">
        <v>7707</v>
      </c>
      <c r="W1571" s="1455" t="str">
        <f> hyperlink(vlookup(lower(R1571),'File Links'!F:G, 2, FALSE), "LINK")</f>
        <v>LINK</v>
      </c>
      <c r="X1571" s="60"/>
      <c r="Y1571" s="147" t="s">
        <v>220</v>
      </c>
      <c r="Z1571" s="147" t="s">
        <v>9884</v>
      </c>
      <c r="AA1571" s="147" t="s">
        <v>9885</v>
      </c>
      <c r="AB1571" s="147" t="s">
        <v>9939</v>
      </c>
      <c r="AC1571" s="147" t="s">
        <v>9940</v>
      </c>
      <c r="AD1571" s="144">
        <v>6.0</v>
      </c>
      <c r="AE1571" s="144">
        <v>151.0</v>
      </c>
      <c r="AF1571" s="144">
        <v>0.07</v>
      </c>
      <c r="AG1571" s="144" t="s">
        <v>130</v>
      </c>
      <c r="AH1571" s="144" t="s">
        <v>131</v>
      </c>
      <c r="AI1571" s="646">
        <v>0.001</v>
      </c>
      <c r="AJ1571" s="52" t="s">
        <v>164</v>
      </c>
      <c r="AK1571" s="52" t="s">
        <v>128</v>
      </c>
      <c r="AL1571" s="147" t="s">
        <v>132</v>
      </c>
      <c r="AM1571" s="55"/>
      <c r="AN1571" s="144">
        <v>50.0</v>
      </c>
      <c r="AO1571" s="144" t="s">
        <v>9941</v>
      </c>
      <c r="AP1571" s="144" t="s">
        <v>162</v>
      </c>
      <c r="AQ1571" s="144" t="s">
        <v>609</v>
      </c>
      <c r="AR1571" s="144">
        <v>0.01</v>
      </c>
      <c r="AS1571" s="147" t="s">
        <v>164</v>
      </c>
      <c r="AT1571" s="147" t="s">
        <v>128</v>
      </c>
      <c r="AU1571" s="147" t="s">
        <v>132</v>
      </c>
      <c r="AV1571" s="60"/>
      <c r="AW1571" s="60" t="s">
        <v>134</v>
      </c>
      <c r="AY1571" s="60" t="s">
        <v>144</v>
      </c>
    </row>
    <row r="1572">
      <c r="A1572" s="60" t="s">
        <v>106</v>
      </c>
      <c r="B1572" s="41" t="s">
        <v>107</v>
      </c>
      <c r="C1572" s="41" t="s">
        <v>243</v>
      </c>
      <c r="E1572" s="60" t="s">
        <v>9889</v>
      </c>
      <c r="F1572" s="52" t="s">
        <v>9942</v>
      </c>
      <c r="G1572" s="147" t="s">
        <v>244</v>
      </c>
      <c r="H1572" s="140">
        <v>45670.0</v>
      </c>
      <c r="I1572" s="140">
        <v>45692.0</v>
      </c>
      <c r="J1572" s="60"/>
      <c r="K1572" s="60" t="s">
        <v>9896</v>
      </c>
      <c r="L1572" s="147" t="s">
        <v>9876</v>
      </c>
      <c r="M1572" s="147" t="s">
        <v>9877</v>
      </c>
      <c r="N1572" s="60"/>
      <c r="O1572" s="145" t="str">
        <f> SUBSTITUTE(lower(M1572), "/", "--") &amp;  ".pdf"</f>
        <v>10.1177--0956797615573516.pdf</v>
      </c>
      <c r="P1572" s="48" t="str">
        <f t="array" ref="P1572">HYPERLINK(INDEX('File Links'!B:B, MATCH(O1572, 'File Links'!C:C, 0)))
</f>
        <v>https://drive.google.com/file/d/1JoVItYnEA8vA70xzVLnQEC3dgxMW-0on/view?usp=drivesdk</v>
      </c>
      <c r="Q1572" s="147" t="s">
        <v>9943</v>
      </c>
      <c r="R1572" s="147" t="s">
        <v>9944</v>
      </c>
      <c r="S1572" s="60"/>
      <c r="T1572" s="60"/>
      <c r="U1572" s="145" t="s">
        <v>6105</v>
      </c>
      <c r="V1572" s="147" t="s">
        <v>7707</v>
      </c>
      <c r="W1572" s="1455" t="str">
        <f> hyperlink(vlookup(lower(R1572),'File Links'!E:F, 2, FALSE), "LINK")</f>
        <v>LINK</v>
      </c>
      <c r="X1572" s="60"/>
      <c r="Y1572" s="147" t="s">
        <v>220</v>
      </c>
      <c r="Z1572" s="60"/>
      <c r="AA1572" s="147" t="s">
        <v>9945</v>
      </c>
      <c r="AB1572" s="60"/>
      <c r="AC1572" s="147" t="s">
        <v>9900</v>
      </c>
      <c r="AD1572" s="144">
        <v>2.0</v>
      </c>
      <c r="AE1572" s="144">
        <v>151.0</v>
      </c>
      <c r="AF1572" s="1265">
        <v>0.7</v>
      </c>
      <c r="AG1572" s="147" t="s">
        <v>130</v>
      </c>
      <c r="AH1572" s="147" t="s">
        <v>131</v>
      </c>
      <c r="AI1572" s="646">
        <v>0.001</v>
      </c>
      <c r="AJ1572" s="52" t="s">
        <v>164</v>
      </c>
      <c r="AK1572" s="52" t="s">
        <v>128</v>
      </c>
      <c r="AL1572" s="147" t="s">
        <v>132</v>
      </c>
      <c r="AM1572" s="52" t="s">
        <v>129</v>
      </c>
      <c r="AN1572" s="144">
        <v>50.0</v>
      </c>
      <c r="AO1572" s="144">
        <v>7.29</v>
      </c>
      <c r="AP1572" s="147" t="s">
        <v>1051</v>
      </c>
      <c r="AQ1572" s="60"/>
      <c r="AR1572" s="144">
        <v>0.01</v>
      </c>
      <c r="AS1572" s="147" t="s">
        <v>164</v>
      </c>
      <c r="AT1572" s="147" t="s">
        <v>128</v>
      </c>
      <c r="AU1572" s="147" t="s">
        <v>132</v>
      </c>
      <c r="AV1572" s="60"/>
      <c r="AW1572" s="147" t="s">
        <v>134</v>
      </c>
      <c r="AY1572" s="60" t="s">
        <v>144</v>
      </c>
    </row>
    <row r="1573">
      <c r="A1573" s="115" t="s">
        <v>5350</v>
      </c>
      <c r="B1573" s="41" t="s">
        <v>107</v>
      </c>
      <c r="C1573" s="41" t="s">
        <v>144</v>
      </c>
      <c r="E1573" s="60" t="s">
        <v>9889</v>
      </c>
      <c r="F1573" s="52" t="s">
        <v>9946</v>
      </c>
      <c r="G1573" s="147" t="s">
        <v>144</v>
      </c>
      <c r="H1573" s="140">
        <v>45687.0</v>
      </c>
      <c r="I1573" s="140">
        <v>45692.0</v>
      </c>
      <c r="J1573" s="454" t="s">
        <v>9947</v>
      </c>
      <c r="K1573" s="60"/>
      <c r="L1573" s="147" t="s">
        <v>9876</v>
      </c>
      <c r="M1573" s="147" t="s">
        <v>9877</v>
      </c>
      <c r="N1573" s="144">
        <v>2.0</v>
      </c>
      <c r="O1573" s="145" t="s">
        <v>9883</v>
      </c>
      <c r="P1573" s="48" t="str">
        <f t="array" ref="P1573">HYPERLINK(INDEX('File Links'!B:B, MATCH(O1573, 'File Links'!C:C, 0)))
</f>
        <v>https://drive.google.com/file/d/1JoVItYnEA8vA70xzVLnQEC3dgxMW-0on/view?usp=drivesdk</v>
      </c>
      <c r="Q1573" s="147" t="s">
        <v>6103</v>
      </c>
      <c r="R1573" s="147" t="s">
        <v>6104</v>
      </c>
      <c r="S1573" s="60"/>
      <c r="T1573" s="144">
        <v>1.0</v>
      </c>
      <c r="U1573" s="145" t="s">
        <v>6105</v>
      </c>
      <c r="V1573" s="147" t="s">
        <v>7707</v>
      </c>
      <c r="W1573" s="1455" t="str">
        <f> hyperlink(vlookup(lower(R1573),'File Links'!F:G, 2, FALSE), "LINK")</f>
        <v>LINK</v>
      </c>
      <c r="X1573" s="60"/>
      <c r="Y1573" s="147" t="s">
        <v>220</v>
      </c>
      <c r="Z1573" s="147" t="s">
        <v>9884</v>
      </c>
      <c r="AA1573" s="147" t="s">
        <v>9885</v>
      </c>
      <c r="AB1573" s="147" t="s">
        <v>9948</v>
      </c>
      <c r="AC1573" s="147" t="s">
        <v>9949</v>
      </c>
      <c r="AD1573" s="144">
        <v>6.0</v>
      </c>
      <c r="AE1573" s="144">
        <v>151.0</v>
      </c>
      <c r="AF1573" s="144">
        <v>0.01</v>
      </c>
      <c r="AG1573" s="144" t="s">
        <v>130</v>
      </c>
      <c r="AH1573" s="144" t="s">
        <v>131</v>
      </c>
      <c r="AI1573" s="646">
        <v>0.25</v>
      </c>
      <c r="AJ1573" s="52" t="s">
        <v>329</v>
      </c>
      <c r="AK1573" s="52" t="s">
        <v>128</v>
      </c>
      <c r="AL1573" s="147" t="s">
        <v>132</v>
      </c>
      <c r="AM1573" s="55"/>
      <c r="AN1573" s="144">
        <v>50.0</v>
      </c>
      <c r="AO1573" s="144" t="s">
        <v>9950</v>
      </c>
      <c r="AP1573" s="144" t="s">
        <v>162</v>
      </c>
      <c r="AQ1573" s="144" t="s">
        <v>609</v>
      </c>
      <c r="AR1573" s="144">
        <v>0.672</v>
      </c>
      <c r="AS1573" s="147" t="s">
        <v>164</v>
      </c>
      <c r="AT1573" s="147" t="s">
        <v>128</v>
      </c>
      <c r="AU1573" s="147" t="s">
        <v>132</v>
      </c>
      <c r="AV1573" s="60"/>
      <c r="AW1573" s="60" t="s">
        <v>134</v>
      </c>
      <c r="AY1573" s="60" t="s">
        <v>144</v>
      </c>
    </row>
    <row r="1574">
      <c r="A1574" s="60" t="s">
        <v>106</v>
      </c>
      <c r="B1574" s="41" t="s">
        <v>107</v>
      </c>
      <c r="C1574" s="41" t="s">
        <v>243</v>
      </c>
      <c r="E1574" s="60" t="s">
        <v>9889</v>
      </c>
      <c r="F1574" s="52" t="s">
        <v>9951</v>
      </c>
      <c r="G1574" s="147" t="s">
        <v>244</v>
      </c>
      <c r="H1574" s="140">
        <v>45670.0</v>
      </c>
      <c r="I1574" s="140">
        <v>45692.0</v>
      </c>
      <c r="J1574" s="60"/>
      <c r="K1574" s="60"/>
      <c r="L1574" s="147" t="s">
        <v>9876</v>
      </c>
      <c r="M1574" s="147" t="s">
        <v>9877</v>
      </c>
      <c r="N1574" s="60"/>
      <c r="O1574" s="145" t="str">
        <f> SUBSTITUTE(lower(M1574), "/", "--") &amp;  ".pdf"</f>
        <v>10.1177--0956797615573516.pdf</v>
      </c>
      <c r="P1574" s="48" t="str">
        <f t="array" ref="P1574">HYPERLINK(INDEX('File Links'!B:B, MATCH(O1574, 'File Links'!C:C, 0)))
</f>
        <v>https://drive.google.com/file/d/1JoVItYnEA8vA70xzVLnQEC3dgxMW-0on/view?usp=drivesdk</v>
      </c>
      <c r="Q1574" s="147" t="s">
        <v>9952</v>
      </c>
      <c r="R1574" s="147" t="s">
        <v>9953</v>
      </c>
      <c r="S1574" s="60"/>
      <c r="T1574" s="60"/>
      <c r="U1574" s="145" t="s">
        <v>6105</v>
      </c>
      <c r="V1574" s="147" t="s">
        <v>7707</v>
      </c>
      <c r="W1574" s="1455" t="str">
        <f> hyperlink(vlookup(lower(R1574),'File Links'!E:F, 2, FALSE), "LINK")</f>
        <v>LINK</v>
      </c>
      <c r="X1574" s="60"/>
      <c r="Y1574" s="147" t="s">
        <v>220</v>
      </c>
      <c r="Z1574" s="60"/>
      <c r="AA1574" s="147" t="s">
        <v>9954</v>
      </c>
      <c r="AB1574" s="60"/>
      <c r="AC1574" s="147" t="s">
        <v>9900</v>
      </c>
      <c r="AD1574" s="144">
        <v>2.0</v>
      </c>
      <c r="AE1574" s="144">
        <v>151.0</v>
      </c>
      <c r="AF1574" s="144">
        <v>0.01</v>
      </c>
      <c r="AG1574" s="147" t="s">
        <v>130</v>
      </c>
      <c r="AH1574" s="147" t="s">
        <v>131</v>
      </c>
      <c r="AI1574" s="646">
        <v>0.25</v>
      </c>
      <c r="AJ1574" s="52" t="s">
        <v>329</v>
      </c>
      <c r="AK1574" s="52" t="s">
        <v>128</v>
      </c>
      <c r="AL1574" s="147" t="s">
        <v>132</v>
      </c>
      <c r="AM1574" s="52" t="s">
        <v>129</v>
      </c>
      <c r="AN1574" s="144">
        <v>50.0</v>
      </c>
      <c r="AO1574" s="144">
        <v>0.18</v>
      </c>
      <c r="AP1574" s="147" t="s">
        <v>1051</v>
      </c>
      <c r="AQ1574" s="60"/>
      <c r="AR1574" s="144">
        <v>0.672</v>
      </c>
      <c r="AS1574" s="147" t="s">
        <v>164</v>
      </c>
      <c r="AT1574" s="147" t="s">
        <v>128</v>
      </c>
      <c r="AU1574" s="147" t="s">
        <v>132</v>
      </c>
      <c r="AV1574" s="60"/>
      <c r="AW1574" s="147" t="s">
        <v>134</v>
      </c>
      <c r="AY1574" s="60" t="s">
        <v>144</v>
      </c>
    </row>
    <row r="1575">
      <c r="A1575" s="115" t="s">
        <v>5350</v>
      </c>
      <c r="B1575" s="41" t="s">
        <v>107</v>
      </c>
      <c r="C1575" s="41" t="s">
        <v>144</v>
      </c>
      <c r="E1575" s="60" t="s">
        <v>9889</v>
      </c>
      <c r="F1575" s="52" t="s">
        <v>9955</v>
      </c>
      <c r="G1575" s="147" t="s">
        <v>144</v>
      </c>
      <c r="H1575" s="140">
        <v>45687.0</v>
      </c>
      <c r="I1575" s="140">
        <v>45692.0</v>
      </c>
      <c r="J1575" s="454" t="s">
        <v>9956</v>
      </c>
      <c r="K1575" s="60"/>
      <c r="L1575" s="147" t="s">
        <v>9876</v>
      </c>
      <c r="M1575" s="147" t="s">
        <v>9877</v>
      </c>
      <c r="N1575" s="144">
        <v>2.0</v>
      </c>
      <c r="O1575" s="145" t="s">
        <v>9883</v>
      </c>
      <c r="P1575" s="48" t="str">
        <f t="array" ref="P1575">HYPERLINK(INDEX('File Links'!B:B, MATCH(O1575, 'File Links'!C:C, 0)))
</f>
        <v>https://drive.google.com/file/d/1JoVItYnEA8vA70xzVLnQEC3dgxMW-0on/view?usp=drivesdk</v>
      </c>
      <c r="Q1575" s="147" t="s">
        <v>6103</v>
      </c>
      <c r="R1575" s="147" t="s">
        <v>6104</v>
      </c>
      <c r="S1575" s="60"/>
      <c r="T1575" s="144">
        <v>1.0</v>
      </c>
      <c r="U1575" s="145" t="s">
        <v>6105</v>
      </c>
      <c r="V1575" s="147" t="s">
        <v>7707</v>
      </c>
      <c r="W1575" s="1455" t="str">
        <f> hyperlink(vlookup(lower(R1575),'File Links'!F:G, 2, FALSE), "LINK")</f>
        <v>LINK</v>
      </c>
      <c r="X1575" s="60"/>
      <c r="Y1575" s="147" t="s">
        <v>220</v>
      </c>
      <c r="Z1575" s="147" t="s">
        <v>9884</v>
      </c>
      <c r="AA1575" s="147" t="s">
        <v>9885</v>
      </c>
      <c r="AB1575" s="147" t="s">
        <v>9957</v>
      </c>
      <c r="AC1575" s="147" t="s">
        <v>9958</v>
      </c>
      <c r="AD1575" s="144">
        <v>6.0</v>
      </c>
      <c r="AE1575" s="144">
        <v>151.0</v>
      </c>
      <c r="AF1575" s="144">
        <v>0.002</v>
      </c>
      <c r="AG1575" s="144" t="s">
        <v>130</v>
      </c>
      <c r="AH1575" s="144" t="s">
        <v>131</v>
      </c>
      <c r="AI1575" s="646">
        <v>0.25</v>
      </c>
      <c r="AJ1575" s="52" t="s">
        <v>329</v>
      </c>
      <c r="AK1575" s="52" t="s">
        <v>128</v>
      </c>
      <c r="AL1575" s="147" t="s">
        <v>132</v>
      </c>
      <c r="AM1575" s="55"/>
      <c r="AN1575" s="144">
        <v>50.0</v>
      </c>
      <c r="AO1575" s="144" t="s">
        <v>9959</v>
      </c>
      <c r="AP1575" s="144" t="s">
        <v>162</v>
      </c>
      <c r="AQ1575" s="144" t="s">
        <v>609</v>
      </c>
      <c r="AR1575" s="144">
        <v>0.847</v>
      </c>
      <c r="AS1575" s="147" t="s">
        <v>164</v>
      </c>
      <c r="AT1575" s="147" t="s">
        <v>128</v>
      </c>
      <c r="AU1575" s="147" t="s">
        <v>132</v>
      </c>
      <c r="AV1575" s="60"/>
      <c r="AW1575" s="60" t="s">
        <v>134</v>
      </c>
      <c r="AY1575" s="60" t="s">
        <v>144</v>
      </c>
    </row>
    <row r="1576">
      <c r="A1576" s="60" t="s">
        <v>106</v>
      </c>
      <c r="B1576" s="41" t="s">
        <v>107</v>
      </c>
      <c r="C1576" s="41" t="s">
        <v>243</v>
      </c>
      <c r="E1576" s="60" t="s">
        <v>9889</v>
      </c>
      <c r="F1576" s="52" t="s">
        <v>9960</v>
      </c>
      <c r="G1576" s="147" t="s">
        <v>244</v>
      </c>
      <c r="H1576" s="140">
        <v>45670.0</v>
      </c>
      <c r="I1576" s="140">
        <v>45692.0</v>
      </c>
      <c r="J1576" s="60"/>
      <c r="K1576" s="60"/>
      <c r="L1576" s="147" t="s">
        <v>9876</v>
      </c>
      <c r="M1576" s="147" t="s">
        <v>9877</v>
      </c>
      <c r="N1576" s="60"/>
      <c r="O1576" s="145" t="str">
        <f> SUBSTITUTE(lower(M1576), "/", "--") &amp;  ".pdf"</f>
        <v>10.1177--0956797615573516.pdf</v>
      </c>
      <c r="P1576" s="48" t="str">
        <f t="array" ref="P1576">HYPERLINK(INDEX('File Links'!B:B, MATCH(O1576, 'File Links'!C:C, 0)))
</f>
        <v>https://drive.google.com/file/d/1JoVItYnEA8vA70xzVLnQEC3dgxMW-0on/view?usp=drivesdk</v>
      </c>
      <c r="Q1576" s="147" t="s">
        <v>9961</v>
      </c>
      <c r="R1576" s="147" t="s">
        <v>9962</v>
      </c>
      <c r="S1576" s="60"/>
      <c r="T1576" s="60"/>
      <c r="U1576" s="145" t="s">
        <v>6105</v>
      </c>
      <c r="V1576" s="147" t="s">
        <v>7707</v>
      </c>
      <c r="W1576" s="1455" t="str">
        <f> hyperlink(vlookup(lower(R1576),'File Links'!E:F, 2, FALSE), "LINK")</f>
        <v>LINK</v>
      </c>
      <c r="X1576" s="60"/>
      <c r="Y1576" s="147" t="s">
        <v>220</v>
      </c>
      <c r="Z1576" s="60"/>
      <c r="AA1576" s="147" t="s">
        <v>9963</v>
      </c>
      <c r="AB1576" s="60"/>
      <c r="AC1576" s="147" t="s">
        <v>9900</v>
      </c>
      <c r="AD1576" s="144">
        <v>2.0</v>
      </c>
      <c r="AE1576" s="144">
        <v>151.0</v>
      </c>
      <c r="AF1576" s="144">
        <v>0.002</v>
      </c>
      <c r="AG1576" s="147" t="s">
        <v>130</v>
      </c>
      <c r="AH1576" s="147" t="s">
        <v>131</v>
      </c>
      <c r="AI1576" s="646">
        <v>0.25</v>
      </c>
      <c r="AJ1576" s="52" t="s">
        <v>329</v>
      </c>
      <c r="AK1576" s="52" t="s">
        <v>128</v>
      </c>
      <c r="AL1576" s="147" t="s">
        <v>132</v>
      </c>
      <c r="AM1576" s="52" t="s">
        <v>129</v>
      </c>
      <c r="AN1576" s="144">
        <v>50.0</v>
      </c>
      <c r="AO1576" s="144">
        <v>0.04</v>
      </c>
      <c r="AP1576" s="147" t="s">
        <v>1051</v>
      </c>
      <c r="AQ1576" s="60"/>
      <c r="AR1576" s="144">
        <v>0.847</v>
      </c>
      <c r="AS1576" s="147" t="s">
        <v>164</v>
      </c>
      <c r="AT1576" s="147" t="s">
        <v>128</v>
      </c>
      <c r="AU1576" s="147" t="s">
        <v>132</v>
      </c>
      <c r="AV1576" s="60"/>
      <c r="AW1576" s="147" t="s">
        <v>134</v>
      </c>
      <c r="AY1576" s="60" t="s">
        <v>144</v>
      </c>
    </row>
    <row r="1577">
      <c r="A1577" s="115" t="s">
        <v>5350</v>
      </c>
      <c r="B1577" s="41" t="s">
        <v>107</v>
      </c>
      <c r="C1577" s="41" t="s">
        <v>144</v>
      </c>
      <c r="E1577" s="60" t="s">
        <v>9889</v>
      </c>
      <c r="F1577" s="52" t="s">
        <v>9964</v>
      </c>
      <c r="G1577" s="147" t="s">
        <v>144</v>
      </c>
      <c r="H1577" s="140">
        <v>45687.0</v>
      </c>
      <c r="I1577" s="140">
        <v>45692.0</v>
      </c>
      <c r="J1577" s="454" t="s">
        <v>9965</v>
      </c>
      <c r="K1577" s="60"/>
      <c r="L1577" s="147" t="s">
        <v>9876</v>
      </c>
      <c r="M1577" s="147" t="s">
        <v>9877</v>
      </c>
      <c r="N1577" s="144">
        <v>2.0</v>
      </c>
      <c r="O1577" s="145" t="s">
        <v>9883</v>
      </c>
      <c r="P1577" s="48" t="str">
        <f t="array" ref="P1577">HYPERLINK(INDEX('File Links'!B:B, MATCH(O1577, 'File Links'!C:C, 0)))
</f>
        <v>https://drive.google.com/file/d/1JoVItYnEA8vA70xzVLnQEC3dgxMW-0on/view?usp=drivesdk</v>
      </c>
      <c r="Q1577" s="147" t="s">
        <v>6103</v>
      </c>
      <c r="R1577" s="147" t="s">
        <v>6104</v>
      </c>
      <c r="S1577" s="60"/>
      <c r="T1577" s="144">
        <v>1.0</v>
      </c>
      <c r="U1577" s="145" t="s">
        <v>6105</v>
      </c>
      <c r="V1577" s="147" t="s">
        <v>7707</v>
      </c>
      <c r="W1577" s="1455" t="str">
        <f> hyperlink(vlookup(lower(R1577),'File Links'!F:G, 2, FALSE), "LINK")</f>
        <v>LINK</v>
      </c>
      <c r="X1577" s="60"/>
      <c r="Y1577" s="147" t="s">
        <v>220</v>
      </c>
      <c r="Z1577" s="147" t="s">
        <v>9884</v>
      </c>
      <c r="AA1577" s="147" t="s">
        <v>9885</v>
      </c>
      <c r="AB1577" s="147" t="s">
        <v>9966</v>
      </c>
      <c r="AC1577" s="147" t="s">
        <v>9967</v>
      </c>
      <c r="AD1577" s="144">
        <v>6.0</v>
      </c>
      <c r="AE1577" s="144">
        <v>151.0</v>
      </c>
      <c r="AF1577" s="144">
        <v>0.02</v>
      </c>
      <c r="AG1577" s="144" t="s">
        <v>130</v>
      </c>
      <c r="AH1577" s="144" t="s">
        <v>131</v>
      </c>
      <c r="AI1577" s="646">
        <v>0.1</v>
      </c>
      <c r="AJ1577" s="52" t="s">
        <v>164</v>
      </c>
      <c r="AK1577" s="52" t="s">
        <v>128</v>
      </c>
      <c r="AL1577" s="147" t="s">
        <v>132</v>
      </c>
      <c r="AM1577" s="55"/>
      <c r="AN1577" s="144">
        <v>50.0</v>
      </c>
      <c r="AO1577" s="144" t="s">
        <v>9968</v>
      </c>
      <c r="AP1577" s="144" t="s">
        <v>162</v>
      </c>
      <c r="AQ1577" s="144" t="s">
        <v>609</v>
      </c>
      <c r="AR1577" s="144">
        <v>0.598</v>
      </c>
      <c r="AS1577" s="147" t="s">
        <v>164</v>
      </c>
      <c r="AT1577" s="147" t="s">
        <v>128</v>
      </c>
      <c r="AU1577" s="147" t="s">
        <v>132</v>
      </c>
      <c r="AV1577" s="60"/>
      <c r="AW1577" s="60" t="s">
        <v>134</v>
      </c>
      <c r="AY1577" s="60" t="s">
        <v>144</v>
      </c>
    </row>
    <row r="1578">
      <c r="A1578" s="60" t="s">
        <v>106</v>
      </c>
      <c r="B1578" s="41" t="s">
        <v>107</v>
      </c>
      <c r="C1578" s="41" t="s">
        <v>243</v>
      </c>
      <c r="E1578" s="60" t="s">
        <v>9889</v>
      </c>
      <c r="F1578" s="52" t="s">
        <v>9960</v>
      </c>
      <c r="G1578" s="147" t="s">
        <v>244</v>
      </c>
      <c r="H1578" s="140">
        <v>45670.0</v>
      </c>
      <c r="I1578" s="140">
        <v>45692.0</v>
      </c>
      <c r="J1578" s="60"/>
      <c r="K1578" s="60" t="s">
        <v>9896</v>
      </c>
      <c r="L1578" s="147" t="s">
        <v>9876</v>
      </c>
      <c r="M1578" s="147" t="s">
        <v>9877</v>
      </c>
      <c r="N1578" s="60"/>
      <c r="O1578" s="145" t="str">
        <f> SUBSTITUTE(lower(M1578), "/", "--") &amp;  ".pdf"</f>
        <v>10.1177--0956797615573516.pdf</v>
      </c>
      <c r="P1578" s="48" t="str">
        <f t="array" ref="P1578">HYPERLINK(INDEX('File Links'!B:B, MATCH(O1578, 'File Links'!C:C, 0)))
</f>
        <v>https://drive.google.com/file/d/1JoVItYnEA8vA70xzVLnQEC3dgxMW-0on/view?usp=drivesdk</v>
      </c>
      <c r="Q1578" s="147" t="s">
        <v>9969</v>
      </c>
      <c r="R1578" s="147" t="s">
        <v>9970</v>
      </c>
      <c r="S1578" s="60"/>
      <c r="T1578" s="60"/>
      <c r="U1578" s="145" t="s">
        <v>6105</v>
      </c>
      <c r="V1578" s="147" t="s">
        <v>7707</v>
      </c>
      <c r="W1578" s="1455" t="str">
        <f> hyperlink(vlookup(lower(R1578),'File Links'!E:F, 2, FALSE), "LINK")</f>
        <v>LINK</v>
      </c>
      <c r="X1578" s="60"/>
      <c r="Y1578" s="147" t="s">
        <v>220</v>
      </c>
      <c r="Z1578" s="60"/>
      <c r="AA1578" s="147" t="s">
        <v>9971</v>
      </c>
      <c r="AB1578" s="60"/>
      <c r="AC1578" s="147" t="s">
        <v>9900</v>
      </c>
      <c r="AD1578" s="144">
        <v>2.0</v>
      </c>
      <c r="AE1578" s="144">
        <v>151.0</v>
      </c>
      <c r="AF1578" s="1265">
        <v>0.2</v>
      </c>
      <c r="AG1578" s="147" t="s">
        <v>130</v>
      </c>
      <c r="AH1578" s="147" t="s">
        <v>131</v>
      </c>
      <c r="AI1578" s="646">
        <v>0.1</v>
      </c>
      <c r="AJ1578" s="52" t="s">
        <v>164</v>
      </c>
      <c r="AK1578" s="52" t="s">
        <v>128</v>
      </c>
      <c r="AL1578" s="147" t="s">
        <v>132</v>
      </c>
      <c r="AM1578" s="52" t="s">
        <v>129</v>
      </c>
      <c r="AN1578" s="144">
        <v>50.0</v>
      </c>
      <c r="AO1578" s="144">
        <v>0.28</v>
      </c>
      <c r="AP1578" s="147" t="s">
        <v>1051</v>
      </c>
      <c r="AQ1578" s="60"/>
      <c r="AR1578" s="144">
        <v>0.598</v>
      </c>
      <c r="AS1578" s="147" t="s">
        <v>164</v>
      </c>
      <c r="AT1578" s="147" t="s">
        <v>128</v>
      </c>
      <c r="AU1578" s="147" t="s">
        <v>132</v>
      </c>
      <c r="AV1578" s="60"/>
      <c r="AW1578" s="147" t="s">
        <v>134</v>
      </c>
      <c r="AY1578" s="60" t="s">
        <v>144</v>
      </c>
    </row>
    <row r="1579" hidden="1">
      <c r="A1579" s="60" t="s">
        <v>106</v>
      </c>
      <c r="B1579" s="41" t="s">
        <v>107</v>
      </c>
      <c r="C1579" s="41" t="s">
        <v>144</v>
      </c>
      <c r="E1579" s="60" t="s">
        <v>9873</v>
      </c>
      <c r="F1579" s="52" t="s">
        <v>9872</v>
      </c>
      <c r="G1579" s="147" t="s">
        <v>144</v>
      </c>
      <c r="H1579" s="140">
        <v>45687.0</v>
      </c>
      <c r="I1579" s="140">
        <v>45692.0</v>
      </c>
      <c r="J1579" s="454" t="s">
        <v>9972</v>
      </c>
      <c r="K1579" s="60"/>
      <c r="L1579" s="147" t="s">
        <v>9876</v>
      </c>
      <c r="M1579" s="147" t="s">
        <v>9877</v>
      </c>
      <c r="N1579" s="144">
        <v>3.0</v>
      </c>
      <c r="O1579" s="145" t="s">
        <v>9883</v>
      </c>
      <c r="P1579" s="48" t="str">
        <f t="array" ref="P1579">HYPERLINK(INDEX('File Links'!B:B, MATCH(O1579, 'File Links'!C:C, 0)))
</f>
        <v>https://drive.google.com/file/d/1JoVItYnEA8vA70xzVLnQEC3dgxMW-0on/view?usp=drivesdk</v>
      </c>
      <c r="Q1579" s="147" t="s">
        <v>6103</v>
      </c>
      <c r="R1579" s="147" t="s">
        <v>6104</v>
      </c>
      <c r="S1579" s="60"/>
      <c r="T1579" s="144">
        <v>1.0</v>
      </c>
      <c r="U1579" s="145" t="s">
        <v>6105</v>
      </c>
      <c r="V1579" s="60"/>
      <c r="W1579" s="1455" t="str">
        <f> hyperlink(vlookup(lower(R1579),'File Links'!F:G, 2, FALSE), "LINK")</f>
        <v>LINK</v>
      </c>
      <c r="X1579" s="147" t="s">
        <v>9031</v>
      </c>
      <c r="Y1579" s="60"/>
      <c r="Z1579" s="60"/>
      <c r="AA1579" s="60"/>
      <c r="AB1579" s="60"/>
      <c r="AC1579" s="60"/>
      <c r="AD1579" s="60"/>
      <c r="AE1579" s="60"/>
      <c r="AF1579" s="60"/>
      <c r="AG1579" s="60"/>
      <c r="AH1579" s="60"/>
      <c r="AI1579" s="329"/>
      <c r="AJ1579" s="55"/>
      <c r="AK1579" s="55"/>
      <c r="AL1579" s="60"/>
      <c r="AM1579" s="55"/>
      <c r="AN1579" s="60"/>
      <c r="AO1579" s="60"/>
      <c r="AP1579" s="60"/>
      <c r="AQ1579" s="60"/>
      <c r="AR1579" s="60"/>
      <c r="AS1579" s="60"/>
      <c r="AT1579" s="147" t="s">
        <v>128</v>
      </c>
      <c r="AU1579" s="147" t="s">
        <v>132</v>
      </c>
      <c r="AV1579" s="60"/>
      <c r="AW1579" s="60"/>
      <c r="AY1579" s="60" t="s">
        <v>144</v>
      </c>
    </row>
    <row r="1580">
      <c r="A1580" s="60" t="s">
        <v>106</v>
      </c>
      <c r="B1580" s="41" t="s">
        <v>107</v>
      </c>
      <c r="C1580" s="41" t="s">
        <v>243</v>
      </c>
      <c r="E1580" s="147" t="s">
        <v>9973</v>
      </c>
      <c r="F1580" s="52" t="s">
        <v>9974</v>
      </c>
      <c r="G1580" s="147" t="s">
        <v>244</v>
      </c>
      <c r="H1580" s="140">
        <v>45670.0</v>
      </c>
      <c r="I1580" s="140">
        <v>45692.0</v>
      </c>
      <c r="J1580" s="60"/>
      <c r="K1580" s="60"/>
      <c r="L1580" s="147" t="s">
        <v>9975</v>
      </c>
      <c r="M1580" s="147" t="s">
        <v>9976</v>
      </c>
      <c r="N1580" s="60"/>
      <c r="O1580" s="145" t="str">
        <f> SUBSTITUTE(lower(M1580), "/", "--") &amp;  ".pdf"</f>
        <v>10.1177--1948550619849426.pdf</v>
      </c>
      <c r="P1580" s="48" t="str">
        <f t="array" ref="P1580">HYPERLINK(INDEX('File Links'!B:B, MATCH(O1580, 'File Links'!C:C, 0)))
</f>
        <v>https://drive.google.com/file/d/14jCdpBA20GeEpZdlt1OEEDrVjc2kp6h7/view?usp=drivesdk</v>
      </c>
      <c r="Q1580" s="147" t="s">
        <v>9977</v>
      </c>
      <c r="R1580" s="147" t="s">
        <v>9978</v>
      </c>
      <c r="S1580" s="60"/>
      <c r="T1580" s="60"/>
      <c r="U1580" s="145" t="s">
        <v>6105</v>
      </c>
      <c r="V1580" s="147" t="s">
        <v>6117</v>
      </c>
      <c r="W1580" s="1455" t="str">
        <f> hyperlink(vlookup(lower(R1580),'File Links'!E:F, 2, FALSE), "LINK")</f>
        <v>LINK</v>
      </c>
      <c r="X1580" s="60"/>
      <c r="Y1580" s="147" t="s">
        <v>220</v>
      </c>
      <c r="Z1580" s="60"/>
      <c r="AA1580" s="60"/>
      <c r="AB1580" s="60"/>
      <c r="AC1580" s="147" t="s">
        <v>9979</v>
      </c>
      <c r="AD1580" s="144">
        <v>6.0</v>
      </c>
      <c r="AE1580" s="144">
        <v>101.0</v>
      </c>
      <c r="AF1580" s="144">
        <v>22.39</v>
      </c>
      <c r="AG1580" s="147" t="s">
        <v>1051</v>
      </c>
      <c r="AH1580" s="147" t="s">
        <v>131</v>
      </c>
      <c r="AI1580" s="646">
        <v>0.001</v>
      </c>
      <c r="AJ1580" s="52" t="s">
        <v>127</v>
      </c>
      <c r="AK1580" s="52" t="s">
        <v>211</v>
      </c>
      <c r="AL1580" s="147" t="s">
        <v>132</v>
      </c>
      <c r="AM1580" s="615" t="s">
        <v>9980</v>
      </c>
      <c r="AN1580" s="144">
        <v>104.0</v>
      </c>
      <c r="AO1580" s="144">
        <v>0.166673333200005</v>
      </c>
      <c r="AP1580" s="147" t="s">
        <v>166</v>
      </c>
      <c r="AQ1580" s="60"/>
      <c r="AR1580" s="144">
        <v>0.0986966719237651</v>
      </c>
      <c r="AS1580" s="147" t="s">
        <v>164</v>
      </c>
      <c r="AT1580" s="147" t="s">
        <v>179</v>
      </c>
      <c r="AU1580" s="147" t="s">
        <v>132</v>
      </c>
      <c r="AV1580" s="60"/>
      <c r="AW1580" s="147" t="s">
        <v>134</v>
      </c>
      <c r="AY1580" s="60" t="s">
        <v>144</v>
      </c>
    </row>
    <row r="1581">
      <c r="A1581" s="115" t="s">
        <v>5350</v>
      </c>
      <c r="B1581" s="41" t="s">
        <v>107</v>
      </c>
      <c r="C1581" s="41" t="s">
        <v>144</v>
      </c>
      <c r="E1581" s="60" t="s">
        <v>9974</v>
      </c>
      <c r="F1581" s="52" t="s">
        <v>9981</v>
      </c>
      <c r="G1581" s="147" t="s">
        <v>144</v>
      </c>
      <c r="H1581" s="140">
        <v>45687.0</v>
      </c>
      <c r="I1581" s="140">
        <v>45692.0</v>
      </c>
      <c r="J1581" s="454" t="s">
        <v>9982</v>
      </c>
      <c r="K1581" s="60"/>
      <c r="L1581" s="147" t="s">
        <v>9975</v>
      </c>
      <c r="M1581" s="147" t="s">
        <v>9976</v>
      </c>
      <c r="N1581" s="144">
        <v>4.0</v>
      </c>
      <c r="O1581" s="145" t="s">
        <v>9983</v>
      </c>
      <c r="P1581" s="48" t="str">
        <f t="array" ref="P1581">HYPERLINK(INDEX('File Links'!B:B, MATCH(O1581, 'File Links'!C:C, 0)))
</f>
        <v>https://drive.google.com/file/d/14jCdpBA20GeEpZdlt1OEEDrVjc2kp6h7/view?usp=drivesdk</v>
      </c>
      <c r="Q1581" s="147" t="s">
        <v>6103</v>
      </c>
      <c r="R1581" s="147" t="s">
        <v>6104</v>
      </c>
      <c r="S1581" s="60"/>
      <c r="T1581" s="144">
        <v>1.0</v>
      </c>
      <c r="U1581" s="145" t="s">
        <v>6105</v>
      </c>
      <c r="V1581" s="147" t="s">
        <v>9044</v>
      </c>
      <c r="W1581" s="1455" t="str">
        <f> hyperlink(vlookup(lower(R1581),'File Links'!F:G, 2, FALSE), "LINK")</f>
        <v>LINK</v>
      </c>
      <c r="X1581" s="60"/>
      <c r="Y1581" s="147" t="s">
        <v>220</v>
      </c>
      <c r="Z1581" s="147" t="s">
        <v>9984</v>
      </c>
      <c r="AA1581" s="147" t="s">
        <v>9985</v>
      </c>
      <c r="AB1581" s="147" t="s">
        <v>9986</v>
      </c>
      <c r="AC1581" s="147" t="s">
        <v>9987</v>
      </c>
      <c r="AD1581" s="144">
        <v>6.0</v>
      </c>
      <c r="AE1581" s="144">
        <v>101.0</v>
      </c>
      <c r="AF1581" s="144">
        <v>0.52</v>
      </c>
      <c r="AG1581" s="144" t="s">
        <v>166</v>
      </c>
      <c r="AH1581" s="144" t="s">
        <v>131</v>
      </c>
      <c r="AI1581" s="646">
        <v>0.001</v>
      </c>
      <c r="AJ1581" s="52" t="s">
        <v>164</v>
      </c>
      <c r="AK1581" s="52" t="s">
        <v>211</v>
      </c>
      <c r="AL1581" s="147" t="s">
        <v>132</v>
      </c>
      <c r="AM1581" s="48" t="s">
        <v>9988</v>
      </c>
      <c r="AN1581" s="144">
        <v>104.0</v>
      </c>
      <c r="AO1581" s="144" t="s">
        <v>9989</v>
      </c>
      <c r="AP1581" s="144" t="s">
        <v>162</v>
      </c>
      <c r="AQ1581" s="327" t="s">
        <v>125</v>
      </c>
      <c r="AR1581" s="144">
        <v>0.1407</v>
      </c>
      <c r="AS1581" s="147" t="s">
        <v>164</v>
      </c>
      <c r="AT1581" s="147" t="s">
        <v>179</v>
      </c>
      <c r="AU1581" s="147" t="s">
        <v>132</v>
      </c>
      <c r="AV1581" s="60"/>
      <c r="AW1581" s="60" t="s">
        <v>142</v>
      </c>
      <c r="AY1581" s="60" t="s">
        <v>144</v>
      </c>
    </row>
    <row r="1582">
      <c r="A1582" s="115" t="s">
        <v>5350</v>
      </c>
      <c r="B1582" s="41" t="s">
        <v>107</v>
      </c>
      <c r="C1582" s="41" t="s">
        <v>144</v>
      </c>
      <c r="E1582" s="60" t="s">
        <v>9974</v>
      </c>
      <c r="F1582" s="52" t="s">
        <v>9990</v>
      </c>
      <c r="G1582" s="147" t="s">
        <v>144</v>
      </c>
      <c r="H1582" s="140">
        <v>45687.0</v>
      </c>
      <c r="I1582" s="140">
        <v>45692.0</v>
      </c>
      <c r="J1582" s="454" t="s">
        <v>9991</v>
      </c>
      <c r="K1582" s="60"/>
      <c r="L1582" s="147" t="s">
        <v>9975</v>
      </c>
      <c r="M1582" s="147" t="s">
        <v>9976</v>
      </c>
      <c r="N1582" s="144">
        <v>4.0</v>
      </c>
      <c r="O1582" s="145" t="s">
        <v>9983</v>
      </c>
      <c r="P1582" s="48" t="str">
        <f t="array" ref="P1582">HYPERLINK(INDEX('File Links'!B:B, MATCH(O1582, 'File Links'!C:C, 0)))
</f>
        <v>https://drive.google.com/file/d/14jCdpBA20GeEpZdlt1OEEDrVjc2kp6h7/view?usp=drivesdk</v>
      </c>
      <c r="Q1582" s="147" t="s">
        <v>6103</v>
      </c>
      <c r="R1582" s="147" t="s">
        <v>6104</v>
      </c>
      <c r="S1582" s="60"/>
      <c r="T1582" s="144">
        <v>1.0</v>
      </c>
      <c r="U1582" s="145" t="s">
        <v>6105</v>
      </c>
      <c r="V1582" s="147" t="s">
        <v>9044</v>
      </c>
      <c r="W1582" s="1455" t="str">
        <f> hyperlink(vlookup(lower(R1582),'File Links'!F:G, 2, FALSE), "LINK")</f>
        <v>LINK</v>
      </c>
      <c r="X1582" s="60"/>
      <c r="Y1582" s="147" t="s">
        <v>220</v>
      </c>
      <c r="Z1582" s="147" t="s">
        <v>9984</v>
      </c>
      <c r="AA1582" s="147" t="s">
        <v>9985</v>
      </c>
      <c r="AB1582" s="147" t="s">
        <v>9992</v>
      </c>
      <c r="AC1582" s="147" t="s">
        <v>9993</v>
      </c>
      <c r="AD1582" s="327">
        <v>6.0</v>
      </c>
      <c r="AE1582" s="144">
        <v>101.0</v>
      </c>
      <c r="AF1582" s="327">
        <v>0.34</v>
      </c>
      <c r="AG1582" s="144" t="s">
        <v>166</v>
      </c>
      <c r="AH1582" s="327" t="s">
        <v>131</v>
      </c>
      <c r="AI1582" s="328">
        <v>0.005</v>
      </c>
      <c r="AJ1582" s="52" t="s">
        <v>164</v>
      </c>
      <c r="AK1582" s="52" t="s">
        <v>211</v>
      </c>
      <c r="AL1582" s="147" t="s">
        <v>132</v>
      </c>
      <c r="AM1582" s="48" t="s">
        <v>9988</v>
      </c>
      <c r="AN1582" s="144">
        <v>104.0</v>
      </c>
      <c r="AO1582" s="144" t="s">
        <v>9994</v>
      </c>
      <c r="AP1582" s="144" t="s">
        <v>162</v>
      </c>
      <c r="AQ1582" s="327" t="s">
        <v>125</v>
      </c>
      <c r="AR1582" s="144">
        <v>0.0115</v>
      </c>
      <c r="AS1582" s="147" t="s">
        <v>164</v>
      </c>
      <c r="AT1582" s="147" t="s">
        <v>179</v>
      </c>
      <c r="AU1582" s="147" t="s">
        <v>132</v>
      </c>
      <c r="AV1582" s="60"/>
      <c r="AW1582" s="60" t="s">
        <v>142</v>
      </c>
      <c r="AY1582" s="60" t="s">
        <v>144</v>
      </c>
    </row>
    <row r="1583">
      <c r="A1583" s="115" t="s">
        <v>5350</v>
      </c>
      <c r="B1583" s="41" t="s">
        <v>107</v>
      </c>
      <c r="C1583" s="41" t="s">
        <v>144</v>
      </c>
      <c r="E1583" s="60" t="s">
        <v>9974</v>
      </c>
      <c r="F1583" s="52" t="s">
        <v>9995</v>
      </c>
      <c r="G1583" s="147" t="s">
        <v>144</v>
      </c>
      <c r="H1583" s="140">
        <v>45687.0</v>
      </c>
      <c r="I1583" s="140">
        <v>45692.0</v>
      </c>
      <c r="J1583" s="454" t="s">
        <v>9996</v>
      </c>
      <c r="K1583" s="60"/>
      <c r="L1583" s="147" t="s">
        <v>9975</v>
      </c>
      <c r="M1583" s="147" t="s">
        <v>9976</v>
      </c>
      <c r="N1583" s="144">
        <v>4.0</v>
      </c>
      <c r="O1583" s="145" t="s">
        <v>9983</v>
      </c>
      <c r="P1583" s="48" t="str">
        <f t="array" ref="P1583">HYPERLINK(INDEX('File Links'!B:B, MATCH(O1583, 'File Links'!C:C, 0)))
</f>
        <v>https://drive.google.com/file/d/14jCdpBA20GeEpZdlt1OEEDrVjc2kp6h7/view?usp=drivesdk</v>
      </c>
      <c r="Q1583" s="147" t="s">
        <v>6103</v>
      </c>
      <c r="R1583" s="147" t="s">
        <v>6104</v>
      </c>
      <c r="S1583" s="60"/>
      <c r="T1583" s="144">
        <v>1.0</v>
      </c>
      <c r="U1583" s="145" t="s">
        <v>6105</v>
      </c>
      <c r="V1583" s="147" t="s">
        <v>9044</v>
      </c>
      <c r="W1583" s="1455" t="str">
        <f> hyperlink(vlookup(lower(R1583),'File Links'!F:G, 2, FALSE), "LINK")</f>
        <v>LINK</v>
      </c>
      <c r="X1583" s="60"/>
      <c r="Y1583" s="147" t="s">
        <v>220</v>
      </c>
      <c r="Z1583" s="147" t="s">
        <v>9984</v>
      </c>
      <c r="AA1583" s="147" t="s">
        <v>9985</v>
      </c>
      <c r="AB1583" s="147" t="s">
        <v>9997</v>
      </c>
      <c r="AC1583" s="147" t="s">
        <v>9998</v>
      </c>
      <c r="AD1583" s="327">
        <v>6.0</v>
      </c>
      <c r="AE1583" s="144">
        <v>101.0</v>
      </c>
      <c r="AF1583" s="327" t="s">
        <v>9999</v>
      </c>
      <c r="AG1583" s="144" t="s">
        <v>162</v>
      </c>
      <c r="AH1583" s="327" t="s">
        <v>131</v>
      </c>
      <c r="AI1583" s="328">
        <v>0.001</v>
      </c>
      <c r="AJ1583" s="52" t="s">
        <v>127</v>
      </c>
      <c r="AK1583" s="52" t="s">
        <v>211</v>
      </c>
      <c r="AL1583" s="147" t="s">
        <v>132</v>
      </c>
      <c r="AM1583" s="48" t="s">
        <v>9988</v>
      </c>
      <c r="AN1583" s="144">
        <v>104.0</v>
      </c>
      <c r="AO1583" s="144" t="s">
        <v>10000</v>
      </c>
      <c r="AP1583" s="144" t="s">
        <v>162</v>
      </c>
      <c r="AQ1583" s="144" t="s">
        <v>125</v>
      </c>
      <c r="AR1583" s="144">
        <v>0.0987</v>
      </c>
      <c r="AS1583" s="147" t="s">
        <v>164</v>
      </c>
      <c r="AT1583" s="147" t="s">
        <v>179</v>
      </c>
      <c r="AU1583" s="147" t="s">
        <v>132</v>
      </c>
      <c r="AV1583" s="60"/>
      <c r="AW1583" s="60" t="s">
        <v>142</v>
      </c>
      <c r="AY1583" s="60" t="s">
        <v>144</v>
      </c>
    </row>
    <row r="1584">
      <c r="A1584" s="115" t="s">
        <v>5350</v>
      </c>
      <c r="B1584" s="41" t="s">
        <v>107</v>
      </c>
      <c r="C1584" s="41" t="s">
        <v>144</v>
      </c>
      <c r="E1584" s="60" t="s">
        <v>10001</v>
      </c>
      <c r="F1584" s="55" t="s">
        <v>10002</v>
      </c>
      <c r="G1584" s="147" t="s">
        <v>144</v>
      </c>
      <c r="H1584" s="140">
        <v>45687.0</v>
      </c>
      <c r="I1584" s="140">
        <v>45692.0</v>
      </c>
      <c r="J1584" s="412" t="s">
        <v>10003</v>
      </c>
      <c r="K1584" s="60"/>
      <c r="L1584" s="147" t="s">
        <v>10004</v>
      </c>
      <c r="M1584" s="147" t="s">
        <v>10005</v>
      </c>
      <c r="N1584" s="144">
        <v>2.0</v>
      </c>
      <c r="O1584" s="145" t="s">
        <v>10006</v>
      </c>
      <c r="P1584" s="48" t="str">
        <f t="array" ref="P1584">HYPERLINK(INDEX('File Links'!B:B, MATCH(O1584, 'File Links'!C:C, 0)))
</f>
        <v>https://drive.google.com/file/d/1HOf675tEXfG2bMnJOIiHzWGLlDbzEY3d/view?usp=drivesdk</v>
      </c>
      <c r="Q1584" s="147" t="s">
        <v>6103</v>
      </c>
      <c r="R1584" s="147" t="s">
        <v>6104</v>
      </c>
      <c r="S1584" s="109" t="s">
        <v>9781</v>
      </c>
      <c r="T1584" s="144">
        <v>1.0</v>
      </c>
      <c r="U1584" s="145" t="s">
        <v>6105</v>
      </c>
      <c r="V1584" s="147" t="s">
        <v>9109</v>
      </c>
      <c r="W1584" s="1455" t="str">
        <f> hyperlink(vlookup(lower(R1584),'File Links'!F:G, 2, FALSE), "LINK")</f>
        <v>LINK</v>
      </c>
      <c r="X1584" s="42"/>
      <c r="Y1584" s="147" t="s">
        <v>139</v>
      </c>
      <c r="Z1584" s="147" t="s">
        <v>10007</v>
      </c>
      <c r="AA1584" s="147" t="s">
        <v>10008</v>
      </c>
      <c r="AB1584" s="147" t="s">
        <v>10009</v>
      </c>
      <c r="AC1584" s="147" t="s">
        <v>10010</v>
      </c>
      <c r="AD1584" s="144">
        <v>9.0</v>
      </c>
      <c r="AE1584" s="144">
        <v>28.0</v>
      </c>
      <c r="AF1584" s="1470">
        <v>0.75</v>
      </c>
      <c r="AG1584" s="144" t="s">
        <v>166</v>
      </c>
      <c r="AH1584" s="144" t="s">
        <v>625</v>
      </c>
      <c r="AI1584" s="646">
        <v>0.057</v>
      </c>
      <c r="AJ1584" s="52" t="s">
        <v>164</v>
      </c>
      <c r="AK1584" s="52" t="s">
        <v>179</v>
      </c>
      <c r="AL1584" s="147" t="s">
        <v>129</v>
      </c>
      <c r="AM1584" s="55"/>
      <c r="AN1584" s="144">
        <v>6.0</v>
      </c>
      <c r="AO1584" s="327">
        <v>0.474</v>
      </c>
      <c r="AP1584" s="144" t="s">
        <v>166</v>
      </c>
      <c r="AQ1584" s="144" t="s">
        <v>125</v>
      </c>
      <c r="AR1584" s="60"/>
      <c r="AS1584" s="60"/>
      <c r="AT1584" s="147" t="s">
        <v>179</v>
      </c>
      <c r="AU1584" s="147" t="s">
        <v>129</v>
      </c>
      <c r="AV1584" s="60"/>
      <c r="AW1584" s="60" t="s">
        <v>142</v>
      </c>
      <c r="AY1584" s="60" t="s">
        <v>144</v>
      </c>
    </row>
    <row r="1585">
      <c r="A1585" s="115" t="s">
        <v>5350</v>
      </c>
      <c r="B1585" s="41" t="s">
        <v>107</v>
      </c>
      <c r="C1585" s="41" t="s">
        <v>144</v>
      </c>
      <c r="E1585" s="60" t="s">
        <v>10001</v>
      </c>
      <c r="F1585" s="55" t="s">
        <v>10011</v>
      </c>
      <c r="G1585" s="147" t="s">
        <v>144</v>
      </c>
      <c r="H1585" s="140">
        <v>45687.0</v>
      </c>
      <c r="I1585" s="140">
        <v>45692.0</v>
      </c>
      <c r="J1585" s="412" t="s">
        <v>10003</v>
      </c>
      <c r="K1585" s="60"/>
      <c r="L1585" s="147" t="s">
        <v>10004</v>
      </c>
      <c r="M1585" s="147" t="s">
        <v>10005</v>
      </c>
      <c r="N1585" s="144">
        <v>2.0</v>
      </c>
      <c r="O1585" s="145" t="s">
        <v>10006</v>
      </c>
      <c r="P1585" s="48" t="str">
        <f t="array" ref="P1585">HYPERLINK(INDEX('File Links'!B:B, MATCH(O1585, 'File Links'!C:C, 0)))
</f>
        <v>https://drive.google.com/file/d/1HOf675tEXfG2bMnJOIiHzWGLlDbzEY3d/view?usp=drivesdk</v>
      </c>
      <c r="Q1585" s="147" t="s">
        <v>6103</v>
      </c>
      <c r="R1585" s="147" t="s">
        <v>6104</v>
      </c>
      <c r="S1585" s="109" t="s">
        <v>9781</v>
      </c>
      <c r="T1585" s="144">
        <v>1.0</v>
      </c>
      <c r="U1585" s="145" t="s">
        <v>6105</v>
      </c>
      <c r="V1585" s="147" t="s">
        <v>9109</v>
      </c>
      <c r="W1585" s="1455" t="str">
        <f> hyperlink(vlookup(lower(R1585),'File Links'!F:G, 2, FALSE), "LINK")</f>
        <v>LINK</v>
      </c>
      <c r="X1585" s="60"/>
      <c r="Y1585" s="147" t="s">
        <v>139</v>
      </c>
      <c r="Z1585" s="147" t="s">
        <v>10007</v>
      </c>
      <c r="AA1585" s="147" t="s">
        <v>10008</v>
      </c>
      <c r="AB1585" s="147" t="s">
        <v>10012</v>
      </c>
      <c r="AC1585" s="147" t="s">
        <v>10010</v>
      </c>
      <c r="AD1585" s="144">
        <v>9.0</v>
      </c>
      <c r="AE1585" s="144">
        <v>28.0</v>
      </c>
      <c r="AF1585" s="327">
        <v>0.78</v>
      </c>
      <c r="AG1585" s="144" t="s">
        <v>166</v>
      </c>
      <c r="AH1585" s="144" t="s">
        <v>625</v>
      </c>
      <c r="AI1585" s="328">
        <v>0.05</v>
      </c>
      <c r="AJ1585" s="52" t="s">
        <v>164</v>
      </c>
      <c r="AK1585" s="52" t="s">
        <v>179</v>
      </c>
      <c r="AL1585" s="147" t="s">
        <v>129</v>
      </c>
      <c r="AM1585" s="55"/>
      <c r="AN1585" s="144">
        <v>6.0</v>
      </c>
      <c r="AO1585" s="327">
        <v>-0.28</v>
      </c>
      <c r="AP1585" s="144" t="s">
        <v>166</v>
      </c>
      <c r="AQ1585" s="144" t="s">
        <v>125</v>
      </c>
      <c r="AR1585" s="60"/>
      <c r="AS1585" s="60"/>
      <c r="AT1585" s="147" t="s">
        <v>179</v>
      </c>
      <c r="AU1585" s="147" t="s">
        <v>129</v>
      </c>
      <c r="AV1585" s="60"/>
      <c r="AW1585" s="60" t="s">
        <v>142</v>
      </c>
      <c r="AY1585" s="60" t="s">
        <v>144</v>
      </c>
    </row>
    <row r="1586">
      <c r="A1586" s="60" t="s">
        <v>106</v>
      </c>
      <c r="B1586" s="41" t="s">
        <v>107</v>
      </c>
      <c r="C1586" s="41" t="s">
        <v>243</v>
      </c>
      <c r="E1586" s="147" t="s">
        <v>10013</v>
      </c>
      <c r="F1586" s="52" t="s">
        <v>10014</v>
      </c>
      <c r="G1586" s="147" t="s">
        <v>244</v>
      </c>
      <c r="H1586" s="140">
        <v>45671.0</v>
      </c>
      <c r="I1586" s="140">
        <v>45692.0</v>
      </c>
      <c r="J1586" s="60"/>
      <c r="K1586" s="60"/>
      <c r="L1586" s="147" t="s">
        <v>10015</v>
      </c>
      <c r="M1586" s="147" t="s">
        <v>10016</v>
      </c>
      <c r="N1586" s="60"/>
      <c r="O1586" s="145" t="str">
        <f> SUBSTITUTE(lower(M1586), "/", "--") &amp;  ".pdf"</f>
        <v>10.1177--0956797614563958.pdf</v>
      </c>
      <c r="P1586" s="48" t="str">
        <f t="array" ref="P1586">HYPERLINK(INDEX('File Links'!B:B, MATCH(O1586, 'File Links'!C:C, 0)))
</f>
        <v>https://drive.google.com/file/d/1ATJxg7zUvA3Wg_XCJFG6phaq9LgMmPHW/view?usp=drivesdk</v>
      </c>
      <c r="Q1586" s="147" t="s">
        <v>10017</v>
      </c>
      <c r="R1586" s="147" t="s">
        <v>10018</v>
      </c>
      <c r="S1586" s="60"/>
      <c r="T1586" s="60"/>
      <c r="U1586" s="145" t="s">
        <v>6105</v>
      </c>
      <c r="V1586" s="147" t="s">
        <v>9109</v>
      </c>
      <c r="W1586" s="1455" t="str">
        <f> hyperlink(vlookup(lower(R1586),'File Links'!E:F, 2, FALSE), "LINK")</f>
        <v>LINK</v>
      </c>
      <c r="X1586" s="60"/>
      <c r="Y1586" s="147" t="s">
        <v>203</v>
      </c>
      <c r="Z1586" s="60"/>
      <c r="AA1586" s="60"/>
      <c r="AB1586" s="60"/>
      <c r="AC1586" s="147" t="s">
        <v>10019</v>
      </c>
      <c r="AD1586" s="144">
        <v>5.0</v>
      </c>
      <c r="AE1586" s="144">
        <v>577.0</v>
      </c>
      <c r="AF1586" s="144">
        <v>5.68</v>
      </c>
      <c r="AG1586" s="147" t="s">
        <v>1051</v>
      </c>
      <c r="AH1586" s="147" t="s">
        <v>7268</v>
      </c>
      <c r="AI1586" s="646">
        <v>0.05</v>
      </c>
      <c r="AJ1586" s="52" t="s">
        <v>127</v>
      </c>
      <c r="AK1586" s="52" t="s">
        <v>179</v>
      </c>
      <c r="AL1586" s="147" t="s">
        <v>132</v>
      </c>
      <c r="AM1586" s="52" t="s">
        <v>129</v>
      </c>
      <c r="AN1586" s="144">
        <v>387.0</v>
      </c>
      <c r="AO1586" s="144">
        <v>0.312413728351264</v>
      </c>
      <c r="AP1586" s="147" t="s">
        <v>166</v>
      </c>
      <c r="AQ1586" s="60"/>
      <c r="AR1586" s="144">
        <v>0.00233092847095222</v>
      </c>
      <c r="AS1586" s="147" t="s">
        <v>164</v>
      </c>
      <c r="AT1586" s="147" t="s">
        <v>179</v>
      </c>
      <c r="AU1586" s="147" t="s">
        <v>132</v>
      </c>
      <c r="AV1586" s="60"/>
      <c r="AW1586" s="147" t="s">
        <v>134</v>
      </c>
      <c r="AY1586" s="60" t="s">
        <v>144</v>
      </c>
    </row>
    <row r="1587">
      <c r="A1587" s="115" t="s">
        <v>5350</v>
      </c>
      <c r="B1587" s="41" t="s">
        <v>107</v>
      </c>
      <c r="C1587" s="41" t="s">
        <v>144</v>
      </c>
      <c r="E1587" s="60" t="s">
        <v>10014</v>
      </c>
      <c r="F1587" s="52" t="s">
        <v>10020</v>
      </c>
      <c r="G1587" s="147" t="s">
        <v>144</v>
      </c>
      <c r="H1587" s="140">
        <v>45687.0</v>
      </c>
      <c r="I1587" s="140">
        <v>45692.0</v>
      </c>
      <c r="J1587" s="412" t="s">
        <v>10021</v>
      </c>
      <c r="K1587" s="60"/>
      <c r="L1587" s="147" t="s">
        <v>10015</v>
      </c>
      <c r="M1587" s="147" t="s">
        <v>10016</v>
      </c>
      <c r="N1587" s="144" t="s">
        <v>10022</v>
      </c>
      <c r="O1587" s="145" t="s">
        <v>10023</v>
      </c>
      <c r="P1587" s="48" t="str">
        <f t="array" ref="P1587">HYPERLINK(INDEX('File Links'!B:B, MATCH(O1587, 'File Links'!C:C, 0)))
</f>
        <v>https://drive.google.com/file/d/1ATJxg7zUvA3Wg_XCJFG6phaq9LgMmPHW/view?usp=drivesdk</v>
      </c>
      <c r="Q1587" s="147" t="s">
        <v>6103</v>
      </c>
      <c r="R1587" s="147" t="s">
        <v>6104</v>
      </c>
      <c r="S1587" s="60"/>
      <c r="T1587" s="144">
        <v>1.0</v>
      </c>
      <c r="U1587" s="145" t="s">
        <v>6105</v>
      </c>
      <c r="V1587" s="147" t="s">
        <v>9109</v>
      </c>
      <c r="W1587" s="1455" t="str">
        <f> hyperlink(vlookup(lower(R1587),'File Links'!F:G, 2, FALSE), "LINK")</f>
        <v>LINK</v>
      </c>
      <c r="X1587" s="60"/>
      <c r="Y1587" s="147" t="s">
        <v>960</v>
      </c>
      <c r="Z1587" s="147" t="s">
        <v>10024</v>
      </c>
      <c r="AA1587" s="147" t="s">
        <v>10025</v>
      </c>
      <c r="AB1587" s="147" t="s">
        <v>10026</v>
      </c>
      <c r="AC1587" s="147" t="s">
        <v>10027</v>
      </c>
      <c r="AD1587" s="144">
        <v>3.0</v>
      </c>
      <c r="AE1587" s="144">
        <v>577.0</v>
      </c>
      <c r="AF1587" s="144">
        <v>0.07</v>
      </c>
      <c r="AG1587" s="144" t="s">
        <v>1785</v>
      </c>
      <c r="AH1587" s="144" t="s">
        <v>210</v>
      </c>
      <c r="AI1587" s="646">
        <v>0.01</v>
      </c>
      <c r="AJ1587" s="52" t="s">
        <v>127</v>
      </c>
      <c r="AK1587" s="52" t="s">
        <v>179</v>
      </c>
      <c r="AL1587" s="147" t="s">
        <v>132</v>
      </c>
      <c r="AM1587" s="55"/>
      <c r="AN1587" s="144">
        <v>387.0</v>
      </c>
      <c r="AO1587" s="1475">
        <v>1.7102</v>
      </c>
      <c r="AP1587" s="144" t="s">
        <v>1006</v>
      </c>
      <c r="AQ1587" s="144" t="s">
        <v>299</v>
      </c>
      <c r="AR1587" s="144">
        <v>0.00233</v>
      </c>
      <c r="AS1587" s="147" t="s">
        <v>164</v>
      </c>
      <c r="AT1587" s="147" t="s">
        <v>179</v>
      </c>
      <c r="AU1587" s="147" t="s">
        <v>132</v>
      </c>
      <c r="AV1587" s="60"/>
      <c r="AW1587" s="60" t="s">
        <v>134</v>
      </c>
      <c r="AY1587" s="60" t="s">
        <v>144</v>
      </c>
    </row>
    <row r="1588">
      <c r="A1588" s="115" t="s">
        <v>5350</v>
      </c>
      <c r="B1588" s="41" t="s">
        <v>107</v>
      </c>
      <c r="C1588" s="41" t="s">
        <v>144</v>
      </c>
      <c r="E1588" s="60" t="s">
        <v>10014</v>
      </c>
      <c r="F1588" s="52" t="s">
        <v>10028</v>
      </c>
      <c r="G1588" s="147" t="s">
        <v>144</v>
      </c>
      <c r="H1588" s="140">
        <v>45687.0</v>
      </c>
      <c r="I1588" s="140">
        <v>45692.0</v>
      </c>
      <c r="J1588" s="412" t="s">
        <v>10021</v>
      </c>
      <c r="K1588" s="60"/>
      <c r="L1588" s="147" t="s">
        <v>10015</v>
      </c>
      <c r="M1588" s="147" t="s">
        <v>10016</v>
      </c>
      <c r="N1588" s="144" t="s">
        <v>10022</v>
      </c>
      <c r="O1588" s="145" t="s">
        <v>10023</v>
      </c>
      <c r="P1588" s="48" t="str">
        <f t="array" ref="P1588">HYPERLINK(INDEX('File Links'!B:B, MATCH(O1588, 'File Links'!C:C, 0)))
</f>
        <v>https://drive.google.com/file/d/1ATJxg7zUvA3Wg_XCJFG6phaq9LgMmPHW/view?usp=drivesdk</v>
      </c>
      <c r="Q1588" s="147" t="s">
        <v>6103</v>
      </c>
      <c r="R1588" s="147" t="s">
        <v>6104</v>
      </c>
      <c r="S1588" s="60"/>
      <c r="T1588" s="144">
        <v>1.0</v>
      </c>
      <c r="U1588" s="145" t="s">
        <v>6105</v>
      </c>
      <c r="V1588" s="147" t="s">
        <v>9109</v>
      </c>
      <c r="W1588" s="1455" t="str">
        <f> hyperlink(vlookup(lower(R1588),'File Links'!F:G, 2, FALSE), "LINK")</f>
        <v>LINK</v>
      </c>
      <c r="X1588" s="60"/>
      <c r="Y1588" s="147" t="s">
        <v>960</v>
      </c>
      <c r="Z1588" s="147" t="s">
        <v>10024</v>
      </c>
      <c r="AA1588" s="147" t="s">
        <v>10025</v>
      </c>
      <c r="AB1588" s="147" t="s">
        <v>10029</v>
      </c>
      <c r="AC1588" s="147" t="s">
        <v>10030</v>
      </c>
      <c r="AD1588" s="327">
        <v>3.0</v>
      </c>
      <c r="AE1588" s="144">
        <v>577.0</v>
      </c>
      <c r="AF1588" s="327">
        <v>2.27</v>
      </c>
      <c r="AG1588" s="144" t="s">
        <v>1006</v>
      </c>
      <c r="AH1588" s="327" t="s">
        <v>210</v>
      </c>
      <c r="AI1588" s="328">
        <v>0.05</v>
      </c>
      <c r="AJ1588" s="52" t="s">
        <v>127</v>
      </c>
      <c r="AK1588" s="52" t="s">
        <v>179</v>
      </c>
      <c r="AL1588" s="147" t="s">
        <v>132</v>
      </c>
      <c r="AM1588" s="55"/>
      <c r="AN1588" s="144">
        <v>387.0</v>
      </c>
      <c r="AO1588" s="1482">
        <v>1.9297272</v>
      </c>
      <c r="AP1588" s="144" t="s">
        <v>1006</v>
      </c>
      <c r="AQ1588" s="327" t="s">
        <v>299</v>
      </c>
      <c r="AR1588" s="144">
        <v>6.746E-4</v>
      </c>
      <c r="AS1588" s="147" t="s">
        <v>164</v>
      </c>
      <c r="AT1588" s="147" t="s">
        <v>179</v>
      </c>
      <c r="AU1588" s="147" t="s">
        <v>132</v>
      </c>
      <c r="AV1588" s="60"/>
      <c r="AW1588" s="60" t="s">
        <v>134</v>
      </c>
      <c r="AY1588" s="60" t="s">
        <v>144</v>
      </c>
    </row>
    <row r="1589">
      <c r="A1589" s="115" t="s">
        <v>5350</v>
      </c>
      <c r="B1589" s="41" t="s">
        <v>107</v>
      </c>
      <c r="C1589" s="1463" t="s">
        <v>144</v>
      </c>
      <c r="D1589" s="1463" t="s">
        <v>9305</v>
      </c>
      <c r="E1589" s="60" t="s">
        <v>10014</v>
      </c>
      <c r="F1589" s="52" t="s">
        <v>10028</v>
      </c>
      <c r="G1589" s="642" t="s">
        <v>9306</v>
      </c>
      <c r="H1589" s="140">
        <v>45687.0</v>
      </c>
      <c r="I1589" s="140">
        <v>45692.0</v>
      </c>
      <c r="J1589" s="412" t="s">
        <v>10021</v>
      </c>
      <c r="K1589" s="60"/>
      <c r="L1589" s="147" t="s">
        <v>10015</v>
      </c>
      <c r="M1589" s="147" t="s">
        <v>10016</v>
      </c>
      <c r="N1589" s="144" t="s">
        <v>10022</v>
      </c>
      <c r="O1589" s="145" t="s">
        <v>10023</v>
      </c>
      <c r="P1589" s="48" t="str">
        <f t="array" ref="P1589">HYPERLINK(INDEX('File Links'!B:B, MATCH(O1589, 'File Links'!C:C, 0)))
</f>
        <v>https://drive.google.com/file/d/1ATJxg7zUvA3Wg_XCJFG6phaq9LgMmPHW/view?usp=drivesdk</v>
      </c>
      <c r="Q1589" s="147" t="s">
        <v>6103</v>
      </c>
      <c r="R1589" s="147" t="s">
        <v>6104</v>
      </c>
      <c r="S1589" s="60"/>
      <c r="T1589" s="144">
        <v>1.0</v>
      </c>
      <c r="U1589" s="145" t="s">
        <v>6105</v>
      </c>
      <c r="V1589" s="147" t="s">
        <v>9109</v>
      </c>
      <c r="W1589" s="1455" t="str">
        <f> hyperlink(vlookup(lower(R1589),'File Links'!F:G, 2, FALSE), "LINK")</f>
        <v>LINK</v>
      </c>
      <c r="X1589" s="60"/>
      <c r="Y1589" s="147" t="s">
        <v>960</v>
      </c>
      <c r="Z1589" s="147" t="s">
        <v>10024</v>
      </c>
      <c r="AA1589" s="147" t="s">
        <v>10025</v>
      </c>
      <c r="AB1589" s="60" t="s">
        <v>10031</v>
      </c>
      <c r="AC1589" s="147" t="s">
        <v>10032</v>
      </c>
      <c r="AD1589" s="144">
        <v>5.0</v>
      </c>
      <c r="AE1589" s="144">
        <v>577.0</v>
      </c>
      <c r="AF1589" s="144">
        <v>0.01</v>
      </c>
      <c r="AG1589" s="144" t="s">
        <v>1785</v>
      </c>
      <c r="AH1589" s="147" t="s">
        <v>892</v>
      </c>
      <c r="AI1589" s="646">
        <v>0.05</v>
      </c>
      <c r="AJ1589" s="52" t="s">
        <v>127</v>
      </c>
      <c r="AK1589" s="52" t="s">
        <v>179</v>
      </c>
      <c r="AL1589" s="147" t="s">
        <v>132</v>
      </c>
      <c r="AM1589" s="55"/>
      <c r="AN1589" s="144">
        <v>387.0</v>
      </c>
      <c r="AO1589" s="144">
        <v>0.312413728351264</v>
      </c>
      <c r="AP1589" s="147" t="s">
        <v>166</v>
      </c>
      <c r="AQ1589" s="60"/>
      <c r="AR1589" s="144">
        <v>0.00233092847095222</v>
      </c>
      <c r="AS1589" s="147" t="s">
        <v>164</v>
      </c>
      <c r="AT1589" s="147" t="s">
        <v>179</v>
      </c>
      <c r="AU1589" s="147" t="s">
        <v>132</v>
      </c>
      <c r="AV1589" s="60"/>
      <c r="AW1589" s="147" t="s">
        <v>134</v>
      </c>
      <c r="AY1589" s="60" t="s">
        <v>144</v>
      </c>
    </row>
    <row r="1590">
      <c r="A1590" s="115" t="s">
        <v>5350</v>
      </c>
      <c r="B1590" s="41" t="s">
        <v>107</v>
      </c>
      <c r="C1590" s="41" t="s">
        <v>144</v>
      </c>
      <c r="E1590" s="60" t="s">
        <v>10014</v>
      </c>
      <c r="F1590" s="52" t="s">
        <v>10033</v>
      </c>
      <c r="G1590" s="147" t="s">
        <v>144</v>
      </c>
      <c r="H1590" s="140">
        <v>45687.0</v>
      </c>
      <c r="I1590" s="140">
        <v>45692.0</v>
      </c>
      <c r="J1590" s="412" t="s">
        <v>10021</v>
      </c>
      <c r="K1590" s="60"/>
      <c r="L1590" s="147" t="s">
        <v>10015</v>
      </c>
      <c r="M1590" s="147" t="s">
        <v>10016</v>
      </c>
      <c r="N1590" s="144" t="s">
        <v>10022</v>
      </c>
      <c r="O1590" s="145" t="s">
        <v>10023</v>
      </c>
      <c r="P1590" s="48" t="str">
        <f t="array" ref="P1590">HYPERLINK(INDEX('File Links'!B:B, MATCH(O1590, 'File Links'!C:C, 0)))
</f>
        <v>https://drive.google.com/file/d/1ATJxg7zUvA3Wg_XCJFG6phaq9LgMmPHW/view?usp=drivesdk</v>
      </c>
      <c r="Q1590" s="147" t="s">
        <v>6103</v>
      </c>
      <c r="R1590" s="147" t="s">
        <v>6104</v>
      </c>
      <c r="S1590" s="60"/>
      <c r="T1590" s="144">
        <v>1.0</v>
      </c>
      <c r="U1590" s="145" t="s">
        <v>6105</v>
      </c>
      <c r="V1590" s="147" t="s">
        <v>10034</v>
      </c>
      <c r="W1590" s="1455" t="str">
        <f> hyperlink(vlookup(lower(R1590),'File Links'!F:G, 2, FALSE), "LINK")</f>
        <v>LINK</v>
      </c>
      <c r="X1590" s="60"/>
      <c r="Y1590" s="147" t="s">
        <v>960</v>
      </c>
      <c r="Z1590" s="147" t="s">
        <v>10024</v>
      </c>
      <c r="AA1590" s="147" t="s">
        <v>10025</v>
      </c>
      <c r="AB1590" s="147" t="s">
        <v>10035</v>
      </c>
      <c r="AC1590" s="147" t="s">
        <v>10036</v>
      </c>
      <c r="AD1590" s="327">
        <v>5.0</v>
      </c>
      <c r="AE1590" s="144">
        <v>577.0</v>
      </c>
      <c r="AF1590" s="327">
        <v>1.65</v>
      </c>
      <c r="AG1590" s="144" t="s">
        <v>1006</v>
      </c>
      <c r="AH1590" s="327" t="s">
        <v>892</v>
      </c>
      <c r="AI1590" s="328">
        <v>0.01</v>
      </c>
      <c r="AJ1590" s="52" t="s">
        <v>127</v>
      </c>
      <c r="AK1590" s="52" t="s">
        <v>179</v>
      </c>
      <c r="AL1590" s="147" t="s">
        <v>132</v>
      </c>
      <c r="AM1590" s="55"/>
      <c r="AN1590" s="144">
        <v>387.0</v>
      </c>
      <c r="AO1590" s="1482">
        <v>-1.7295006</v>
      </c>
      <c r="AP1590" s="144" t="s">
        <v>1006</v>
      </c>
      <c r="AQ1590" s="327" t="s">
        <v>609</v>
      </c>
      <c r="AR1590" s="144">
        <v>0.0031099</v>
      </c>
      <c r="AS1590" s="147" t="s">
        <v>164</v>
      </c>
      <c r="AT1590" s="147" t="s">
        <v>179</v>
      </c>
      <c r="AU1590" s="147" t="s">
        <v>132</v>
      </c>
      <c r="AV1590" s="60"/>
      <c r="AW1590" s="60" t="s">
        <v>134</v>
      </c>
      <c r="AY1590" s="60" t="s">
        <v>144</v>
      </c>
    </row>
    <row r="1591">
      <c r="A1591" s="60" t="s">
        <v>106</v>
      </c>
      <c r="B1591" s="41" t="s">
        <v>107</v>
      </c>
      <c r="C1591" s="41" t="s">
        <v>243</v>
      </c>
      <c r="E1591" s="147" t="s">
        <v>10037</v>
      </c>
      <c r="F1591" s="52" t="s">
        <v>10038</v>
      </c>
      <c r="G1591" s="147" t="s">
        <v>244</v>
      </c>
      <c r="H1591" s="140">
        <v>45671.0</v>
      </c>
      <c r="I1591" s="140">
        <v>45692.0</v>
      </c>
      <c r="J1591" s="412" t="s">
        <v>10039</v>
      </c>
      <c r="K1591" s="60"/>
      <c r="L1591" s="147" t="s">
        <v>10040</v>
      </c>
      <c r="M1591" s="147" t="s">
        <v>10041</v>
      </c>
      <c r="N1591" s="60"/>
      <c r="O1591" s="145" t="str">
        <f> SUBSTITUTE(lower(M1591), "/", "--") &amp;  ".pdf"</f>
        <v>10.1177--0956797616651973.pdf</v>
      </c>
      <c r="P1591" s="48" t="str">
        <f t="array" ref="P1591">HYPERLINK(INDEX('File Links'!B:B, MATCH(O1591, 'File Links'!C:C, 0)))
</f>
        <v>https://drive.google.com/file/d/1jx9eMAYbx0cHukSi87PadaXFTzz1n_mq/view?usp=drivesdk</v>
      </c>
      <c r="Q1591" s="147" t="s">
        <v>10042</v>
      </c>
      <c r="R1591" s="147" t="s">
        <v>10043</v>
      </c>
      <c r="S1591" s="60"/>
      <c r="T1591" s="60"/>
      <c r="U1591" s="145" t="s">
        <v>6105</v>
      </c>
      <c r="V1591" s="147" t="s">
        <v>6291</v>
      </c>
      <c r="W1591" s="1455" t="str">
        <f> hyperlink(vlookup(lower(R1591),'File Links'!E:F, 2, FALSE), "LINK")</f>
        <v>LINK</v>
      </c>
      <c r="X1591" s="60"/>
      <c r="Y1591" s="147" t="s">
        <v>139</v>
      </c>
      <c r="Z1591" s="60"/>
      <c r="AA1591" s="60"/>
      <c r="AB1591" s="60"/>
      <c r="AC1591" s="147" t="s">
        <v>10044</v>
      </c>
      <c r="AD1591" s="144">
        <v>3.0</v>
      </c>
      <c r="AE1591" s="144">
        <v>90.0</v>
      </c>
      <c r="AF1591" s="144">
        <v>0.212</v>
      </c>
      <c r="AG1591" s="147" t="s">
        <v>208</v>
      </c>
      <c r="AH1591" s="147" t="s">
        <v>210</v>
      </c>
      <c r="AI1591" s="646">
        <v>0.044</v>
      </c>
      <c r="AJ1591" s="52" t="s">
        <v>164</v>
      </c>
      <c r="AK1591" s="52" t="s">
        <v>179</v>
      </c>
      <c r="AL1591" s="147" t="s">
        <v>132</v>
      </c>
      <c r="AM1591" s="52" t="s">
        <v>129</v>
      </c>
      <c r="AN1591" s="144">
        <v>90.0</v>
      </c>
      <c r="AO1591" s="1483">
        <v>0.395198</v>
      </c>
      <c r="AP1591" s="147" t="s">
        <v>6909</v>
      </c>
      <c r="AQ1591" s="60"/>
      <c r="AR1591" s="1483">
        <v>0.002447</v>
      </c>
      <c r="AS1591" s="147" t="s">
        <v>164</v>
      </c>
      <c r="AT1591" s="147" t="s">
        <v>179</v>
      </c>
      <c r="AU1591" s="147" t="s">
        <v>132</v>
      </c>
      <c r="AV1591" s="60"/>
      <c r="AW1591" s="147" t="s">
        <v>134</v>
      </c>
      <c r="AY1591" s="60" t="s">
        <v>144</v>
      </c>
    </row>
    <row r="1592">
      <c r="A1592" s="60" t="s">
        <v>106</v>
      </c>
      <c r="B1592" s="41" t="s">
        <v>107</v>
      </c>
      <c r="C1592" s="41" t="s">
        <v>144</v>
      </c>
      <c r="E1592" s="60" t="s">
        <v>10038</v>
      </c>
      <c r="F1592" s="52" t="s">
        <v>10037</v>
      </c>
      <c r="G1592" s="147" t="s">
        <v>144</v>
      </c>
      <c r="H1592" s="140">
        <v>45687.0</v>
      </c>
      <c r="I1592" s="140">
        <v>45692.0</v>
      </c>
      <c r="J1592" s="454" t="s">
        <v>10045</v>
      </c>
      <c r="K1592" s="60"/>
      <c r="L1592" s="147" t="s">
        <v>10040</v>
      </c>
      <c r="M1592" s="147" t="s">
        <v>10041</v>
      </c>
      <c r="N1592" s="144">
        <v>1.0</v>
      </c>
      <c r="O1592" s="145" t="s">
        <v>10046</v>
      </c>
      <c r="P1592" s="48" t="str">
        <f t="array" ref="P1592">HYPERLINK(INDEX('File Links'!B:B, MATCH(O1592, 'File Links'!C:C, 0)))
</f>
        <v>https://drive.google.com/file/d/1jx9eMAYbx0cHukSi87PadaXFTzz1n_mq/view?usp=drivesdk</v>
      </c>
      <c r="Q1592" s="147" t="s">
        <v>6103</v>
      </c>
      <c r="R1592" s="147" t="s">
        <v>6104</v>
      </c>
      <c r="S1592" s="60"/>
      <c r="T1592" s="144">
        <v>1.0</v>
      </c>
      <c r="U1592" s="145" t="s">
        <v>6105</v>
      </c>
      <c r="V1592" s="147" t="s">
        <v>155</v>
      </c>
      <c r="W1592" s="1455" t="str">
        <f> hyperlink(vlookup(lower(R1592),'File Links'!F:G, 2, FALSE), "LINK")</f>
        <v>LINK</v>
      </c>
      <c r="X1592" s="60"/>
      <c r="Y1592" s="147" t="s">
        <v>139</v>
      </c>
      <c r="Z1592" s="147" t="s">
        <v>10047</v>
      </c>
      <c r="AA1592" s="412" t="s">
        <v>10048</v>
      </c>
      <c r="AB1592" s="147" t="s">
        <v>10049</v>
      </c>
      <c r="AC1592" s="147" t="s">
        <v>10050</v>
      </c>
      <c r="AD1592" s="144">
        <v>3.0</v>
      </c>
      <c r="AE1592" s="144">
        <v>90.0</v>
      </c>
      <c r="AF1592" s="144">
        <v>0.477</v>
      </c>
      <c r="AG1592" s="144" t="s">
        <v>208</v>
      </c>
      <c r="AH1592" s="144" t="s">
        <v>210</v>
      </c>
      <c r="AI1592" s="646">
        <v>0.001</v>
      </c>
      <c r="AJ1592" s="52" t="s">
        <v>127</v>
      </c>
      <c r="AK1592" s="52" t="s">
        <v>179</v>
      </c>
      <c r="AL1592" s="147" t="s">
        <v>132</v>
      </c>
      <c r="AM1592" s="55"/>
      <c r="AN1592" s="144">
        <v>90.0</v>
      </c>
      <c r="AO1592" s="1467" t="s">
        <v>10051</v>
      </c>
      <c r="AP1592" s="144" t="s">
        <v>2373</v>
      </c>
      <c r="AQ1592" s="144" t="s">
        <v>629</v>
      </c>
      <c r="AR1592" s="144">
        <v>0.002447</v>
      </c>
      <c r="AS1592" s="147" t="s">
        <v>164</v>
      </c>
      <c r="AT1592" s="147" t="s">
        <v>179</v>
      </c>
      <c r="AU1592" s="147" t="s">
        <v>132</v>
      </c>
      <c r="AV1592" s="60"/>
      <c r="AW1592" s="60" t="s">
        <v>134</v>
      </c>
      <c r="AY1592" s="60" t="s">
        <v>144</v>
      </c>
    </row>
    <row r="1593">
      <c r="A1593" s="115" t="s">
        <v>5350</v>
      </c>
      <c r="B1593" s="41" t="s">
        <v>107</v>
      </c>
      <c r="C1593" s="41" t="s">
        <v>144</v>
      </c>
      <c r="E1593" s="60" t="s">
        <v>10038</v>
      </c>
      <c r="F1593" s="52" t="s">
        <v>10052</v>
      </c>
      <c r="G1593" s="147" t="s">
        <v>144</v>
      </c>
      <c r="H1593" s="140">
        <v>45687.0</v>
      </c>
      <c r="I1593" s="140">
        <v>45692.0</v>
      </c>
      <c r="J1593" s="454" t="s">
        <v>10053</v>
      </c>
      <c r="K1593" s="60"/>
      <c r="L1593" s="147" t="s">
        <v>10040</v>
      </c>
      <c r="M1593" s="147" t="s">
        <v>10041</v>
      </c>
      <c r="N1593" s="144">
        <v>1.0</v>
      </c>
      <c r="O1593" s="145" t="s">
        <v>10046</v>
      </c>
      <c r="P1593" s="48" t="str">
        <f t="array" ref="P1593">HYPERLINK(INDEX('File Links'!B:B, MATCH(O1593, 'File Links'!C:C, 0)))
</f>
        <v>https://drive.google.com/file/d/1jx9eMAYbx0cHukSi87PadaXFTzz1n_mq/view?usp=drivesdk</v>
      </c>
      <c r="Q1593" s="147" t="s">
        <v>6103</v>
      </c>
      <c r="R1593" s="147" t="s">
        <v>6104</v>
      </c>
      <c r="S1593" s="60"/>
      <c r="T1593" s="144">
        <v>1.0</v>
      </c>
      <c r="U1593" s="145" t="s">
        <v>6105</v>
      </c>
      <c r="V1593" s="147" t="s">
        <v>7707</v>
      </c>
      <c r="W1593" s="1455" t="str">
        <f> hyperlink(vlookup(lower(R1593),'File Links'!F:G, 2, FALSE), "LINK")</f>
        <v>LINK</v>
      </c>
      <c r="X1593" s="60"/>
      <c r="Y1593" s="147" t="s">
        <v>139</v>
      </c>
      <c r="Z1593" s="147" t="s">
        <v>10047</v>
      </c>
      <c r="AA1593" s="412" t="s">
        <v>10048</v>
      </c>
      <c r="AB1593" s="147" t="s">
        <v>10054</v>
      </c>
      <c r="AC1593" s="147" t="s">
        <v>10055</v>
      </c>
      <c r="AD1593" s="327">
        <v>3.0</v>
      </c>
      <c r="AE1593" s="144">
        <v>90.0</v>
      </c>
      <c r="AF1593" s="327">
        <v>0.212</v>
      </c>
      <c r="AG1593" s="144" t="s">
        <v>208</v>
      </c>
      <c r="AH1593" s="144" t="s">
        <v>210</v>
      </c>
      <c r="AI1593" s="646">
        <v>0.044</v>
      </c>
      <c r="AJ1593" s="52" t="s">
        <v>164</v>
      </c>
      <c r="AK1593" s="52" t="s">
        <v>179</v>
      </c>
      <c r="AL1593" s="147" t="s">
        <v>132</v>
      </c>
      <c r="AM1593" s="55"/>
      <c r="AN1593" s="144">
        <v>90.0</v>
      </c>
      <c r="AO1593" s="1483">
        <v>0.395198</v>
      </c>
      <c r="AP1593" s="144" t="s">
        <v>2373</v>
      </c>
      <c r="AQ1593" s="327" t="s">
        <v>629</v>
      </c>
      <c r="AR1593" s="144">
        <v>0.002447</v>
      </c>
      <c r="AS1593" s="147" t="s">
        <v>164</v>
      </c>
      <c r="AT1593" s="147" t="s">
        <v>179</v>
      </c>
      <c r="AU1593" s="147" t="s">
        <v>132</v>
      </c>
      <c r="AV1593" s="60"/>
      <c r="AW1593" s="60" t="s">
        <v>134</v>
      </c>
      <c r="AY1593" s="60" t="s">
        <v>144</v>
      </c>
    </row>
    <row r="1594">
      <c r="A1594" s="60" t="s">
        <v>106</v>
      </c>
      <c r="B1594" s="41" t="s">
        <v>107</v>
      </c>
      <c r="C1594" s="41" t="s">
        <v>243</v>
      </c>
      <c r="E1594" s="147" t="s">
        <v>10056</v>
      </c>
      <c r="F1594" s="52" t="s">
        <v>10057</v>
      </c>
      <c r="G1594" s="147" t="s">
        <v>244</v>
      </c>
      <c r="H1594" s="140">
        <v>45671.0</v>
      </c>
      <c r="I1594" s="140">
        <v>45692.0</v>
      </c>
      <c r="J1594" s="60"/>
      <c r="K1594" s="60" t="s">
        <v>9078</v>
      </c>
      <c r="L1594" s="147" t="s">
        <v>10058</v>
      </c>
      <c r="M1594" s="147" t="s">
        <v>10059</v>
      </c>
      <c r="N1594" s="60"/>
      <c r="O1594" s="145" t="str">
        <f> SUBSTITUTE(lower(M1594), "/", "--") &amp;  ".pdf"</f>
        <v>10.1177--0956797614534693.pdf</v>
      </c>
      <c r="P1594" s="48" t="str">
        <f t="array" ref="P1594">HYPERLINK(INDEX('File Links'!B:B, MATCH(O1594, 'File Links'!C:C, 0)))
</f>
        <v>https://drive.google.com/file/d/1dcM9NQdz9QH53PQ7hkiNVOhT5nBAY9Vn/view?usp=drivesdk</v>
      </c>
      <c r="Q1594" s="147" t="s">
        <v>10060</v>
      </c>
      <c r="R1594" s="147" t="s">
        <v>10061</v>
      </c>
      <c r="S1594" s="60"/>
      <c r="T1594" s="60"/>
      <c r="U1594" s="145" t="s">
        <v>6105</v>
      </c>
      <c r="V1594" s="147" t="s">
        <v>6117</v>
      </c>
      <c r="W1594" s="1455" t="str">
        <f> hyperlink(vlookup(lower(R1594),'File Links'!E:F, 2, FALSE), "LINK")</f>
        <v>LINK</v>
      </c>
      <c r="X1594" s="60"/>
      <c r="Y1594" s="147" t="s">
        <v>220</v>
      </c>
      <c r="Z1594" s="60"/>
      <c r="AA1594" s="147" t="s">
        <v>10062</v>
      </c>
      <c r="AB1594" s="60"/>
      <c r="AC1594" s="147" t="s">
        <v>10063</v>
      </c>
      <c r="AD1594" s="1265">
        <v>5.0</v>
      </c>
      <c r="AE1594" s="144">
        <v>88.0</v>
      </c>
      <c r="AF1594" s="144">
        <v>0.45</v>
      </c>
      <c r="AG1594" s="147" t="s">
        <v>166</v>
      </c>
      <c r="AH1594" s="147" t="s">
        <v>7268</v>
      </c>
      <c r="AI1594" s="646">
        <v>0.04</v>
      </c>
      <c r="AJ1594" s="52" t="s">
        <v>164</v>
      </c>
      <c r="AK1594" s="52" t="s">
        <v>179</v>
      </c>
      <c r="AL1594" s="147" t="s">
        <v>821</v>
      </c>
      <c r="AM1594" s="52" t="s">
        <v>129</v>
      </c>
      <c r="AN1594" s="144">
        <v>64.0</v>
      </c>
      <c r="AO1594" s="144">
        <v>0.125989102771126</v>
      </c>
      <c r="AP1594" s="147" t="s">
        <v>166</v>
      </c>
      <c r="AQ1594" s="60"/>
      <c r="AR1594" s="144">
        <v>0.321193881265947</v>
      </c>
      <c r="AS1594" s="147" t="s">
        <v>164</v>
      </c>
      <c r="AT1594" s="147" t="s">
        <v>179</v>
      </c>
      <c r="AU1594" s="147" t="s">
        <v>821</v>
      </c>
      <c r="AV1594" s="60"/>
      <c r="AW1594" s="147" t="s">
        <v>134</v>
      </c>
      <c r="AY1594" s="60" t="s">
        <v>144</v>
      </c>
    </row>
    <row r="1595">
      <c r="A1595" s="115" t="s">
        <v>5350</v>
      </c>
      <c r="B1595" s="41" t="s">
        <v>107</v>
      </c>
      <c r="C1595" s="41" t="s">
        <v>144</v>
      </c>
      <c r="E1595" s="60" t="s">
        <v>10057</v>
      </c>
      <c r="F1595" s="52" t="s">
        <v>10056</v>
      </c>
      <c r="G1595" s="147" t="s">
        <v>144</v>
      </c>
      <c r="H1595" s="140">
        <v>45687.0</v>
      </c>
      <c r="I1595" s="140">
        <v>45692.0</v>
      </c>
      <c r="J1595" s="412" t="s">
        <v>10064</v>
      </c>
      <c r="K1595" s="60"/>
      <c r="L1595" s="147" t="s">
        <v>10058</v>
      </c>
      <c r="M1595" s="147" t="s">
        <v>10059</v>
      </c>
      <c r="N1595" s="144">
        <v>3.0</v>
      </c>
      <c r="O1595" s="145" t="s">
        <v>10065</v>
      </c>
      <c r="P1595" s="48" t="str">
        <f t="array" ref="P1595">HYPERLINK(INDEX('File Links'!B:B, MATCH(O1595, 'File Links'!C:C, 0)))
</f>
        <v>https://drive.google.com/file/d/1dcM9NQdz9QH53PQ7hkiNVOhT5nBAY9Vn/view?usp=drivesdk</v>
      </c>
      <c r="Q1595" s="147" t="s">
        <v>6103</v>
      </c>
      <c r="R1595" s="147" t="s">
        <v>6104</v>
      </c>
      <c r="S1595" s="60"/>
      <c r="T1595" s="144">
        <v>1.0</v>
      </c>
      <c r="U1595" s="145" t="s">
        <v>6105</v>
      </c>
      <c r="V1595" s="147" t="s">
        <v>9044</v>
      </c>
      <c r="W1595" s="1455" t="str">
        <f> hyperlink(vlookup(lower(R1595),'File Links'!F:G, 2, FALSE), "LINK")</f>
        <v>LINK</v>
      </c>
      <c r="X1595" s="60"/>
      <c r="Y1595" s="147" t="s">
        <v>220</v>
      </c>
      <c r="Z1595" s="147" t="s">
        <v>10066</v>
      </c>
      <c r="AA1595" s="147" t="s">
        <v>10067</v>
      </c>
      <c r="AB1595" s="147" t="s">
        <v>10068</v>
      </c>
      <c r="AC1595" s="147" t="s">
        <v>10069</v>
      </c>
      <c r="AD1595" s="144">
        <v>6.0</v>
      </c>
      <c r="AE1595" s="144">
        <v>88.0</v>
      </c>
      <c r="AF1595" s="144">
        <v>0.45</v>
      </c>
      <c r="AG1595" s="144" t="s">
        <v>166</v>
      </c>
      <c r="AH1595" s="144" t="s">
        <v>131</v>
      </c>
      <c r="AI1595" s="328">
        <v>0.04</v>
      </c>
      <c r="AJ1595" s="52" t="s">
        <v>164</v>
      </c>
      <c r="AK1595" s="52" t="s">
        <v>179</v>
      </c>
      <c r="AL1595" s="147" t="s">
        <v>821</v>
      </c>
      <c r="AM1595" s="55"/>
      <c r="AN1595" s="144">
        <v>64.0</v>
      </c>
      <c r="AO1595" s="144">
        <v>0.125989102771126</v>
      </c>
      <c r="AP1595" s="144" t="s">
        <v>166</v>
      </c>
      <c r="AQ1595" s="60"/>
      <c r="AR1595" s="144">
        <v>0.321193881265947</v>
      </c>
      <c r="AS1595" s="147" t="s">
        <v>164</v>
      </c>
      <c r="AT1595" s="147" t="s">
        <v>179</v>
      </c>
      <c r="AU1595" s="147" t="s">
        <v>821</v>
      </c>
      <c r="AV1595" s="60"/>
      <c r="AW1595" s="60" t="s">
        <v>134</v>
      </c>
      <c r="AY1595" s="60" t="s">
        <v>144</v>
      </c>
    </row>
    <row r="1596">
      <c r="A1596" s="60" t="s">
        <v>106</v>
      </c>
      <c r="B1596" s="41" t="s">
        <v>107</v>
      </c>
      <c r="C1596" s="41" t="s">
        <v>243</v>
      </c>
      <c r="E1596" s="147" t="s">
        <v>10070</v>
      </c>
      <c r="F1596" s="52" t="s">
        <v>10071</v>
      </c>
      <c r="G1596" s="147" t="s">
        <v>244</v>
      </c>
      <c r="H1596" s="140">
        <v>45671.0</v>
      </c>
      <c r="I1596" s="140">
        <v>45692.0</v>
      </c>
      <c r="J1596" s="60"/>
      <c r="K1596" s="60" t="s">
        <v>9078</v>
      </c>
      <c r="L1596" s="147" t="s">
        <v>10072</v>
      </c>
      <c r="M1596" s="147" t="s">
        <v>10073</v>
      </c>
      <c r="N1596" s="60"/>
      <c r="O1596" s="145" t="str">
        <f> SUBSTITUTE(lower(M1596), "/", "--") &amp;  ".pdf"</f>
        <v>10.1093--workar--waac024.pdf</v>
      </c>
      <c r="P1596" s="48" t="str">
        <f t="array" ref="P1596">HYPERLINK(INDEX('File Links'!B:B, MATCH(O1596, 'File Links'!C:C, 0)))
</f>
        <v>https://drive.google.com/file/d/17KV68RT0MMeGKz0n7gj1Dsmt7YXSfvOC/view?usp=drivesdk</v>
      </c>
      <c r="Q1596" s="147" t="s">
        <v>10074</v>
      </c>
      <c r="R1596" s="147" t="s">
        <v>10075</v>
      </c>
      <c r="S1596" s="60"/>
      <c r="T1596" s="60"/>
      <c r="U1596" s="145" t="s">
        <v>6105</v>
      </c>
      <c r="V1596" s="147" t="s">
        <v>6117</v>
      </c>
      <c r="W1596" s="1455" t="str">
        <f> hyperlink(vlookup(lower(R1596),'File Links'!E:F, 2, FALSE), "LINK")</f>
        <v>LINK</v>
      </c>
      <c r="X1596" s="60"/>
      <c r="Y1596" s="147" t="s">
        <v>220</v>
      </c>
      <c r="Z1596" s="60"/>
      <c r="AA1596" s="60"/>
      <c r="AB1596" s="60"/>
      <c r="AC1596" s="147" t="s">
        <v>10076</v>
      </c>
      <c r="AD1596" s="1265">
        <v>285.0</v>
      </c>
      <c r="AE1596" s="144">
        <v>555.0</v>
      </c>
      <c r="AF1596" s="144">
        <v>-0.42</v>
      </c>
      <c r="AG1596" s="147" t="s">
        <v>1006</v>
      </c>
      <c r="AH1596" s="1268" t="s">
        <v>10077</v>
      </c>
      <c r="AI1596" s="646">
        <v>0.07</v>
      </c>
      <c r="AJ1596" s="52" t="s">
        <v>164</v>
      </c>
      <c r="AK1596" s="52" t="s">
        <v>128</v>
      </c>
      <c r="AL1596" s="147" t="s">
        <v>132</v>
      </c>
      <c r="AM1596" s="52" t="s">
        <v>129</v>
      </c>
      <c r="AN1596" s="144">
        <v>150.0</v>
      </c>
      <c r="AO1596" s="144">
        <v>0.2664</v>
      </c>
      <c r="AP1596" s="147" t="s">
        <v>1006</v>
      </c>
      <c r="AQ1596" s="60"/>
      <c r="AR1596" s="147" t="s">
        <v>165</v>
      </c>
      <c r="AS1596" s="60"/>
      <c r="AT1596" s="147" t="s">
        <v>179</v>
      </c>
      <c r="AU1596" s="147" t="s">
        <v>132</v>
      </c>
      <c r="AV1596" s="60"/>
      <c r="AW1596" s="147" t="s">
        <v>134</v>
      </c>
      <c r="AY1596" s="60" t="s">
        <v>144</v>
      </c>
    </row>
    <row r="1597">
      <c r="A1597" s="115" t="s">
        <v>5350</v>
      </c>
      <c r="B1597" s="41" t="s">
        <v>107</v>
      </c>
      <c r="C1597" s="41" t="s">
        <v>144</v>
      </c>
      <c r="E1597" s="60" t="s">
        <v>10071</v>
      </c>
      <c r="F1597" s="52" t="s">
        <v>10078</v>
      </c>
      <c r="G1597" s="147" t="s">
        <v>144</v>
      </c>
      <c r="H1597" s="140">
        <v>45687.0</v>
      </c>
      <c r="I1597" s="140">
        <v>45692.0</v>
      </c>
      <c r="J1597" s="454" t="s">
        <v>10079</v>
      </c>
      <c r="K1597" s="60"/>
      <c r="L1597" s="147" t="s">
        <v>10072</v>
      </c>
      <c r="M1597" s="60"/>
      <c r="N1597" s="144">
        <v>1.0</v>
      </c>
      <c r="O1597" s="145" t="s">
        <v>351</v>
      </c>
      <c r="P1597" s="544" t="str">
        <f t="array" ref="P1597">HYPERLINK(INDEX('File Links'!B:B, MATCH(O1597, 'File Links'!C:C, 0)))
</f>
        <v>#N/A</v>
      </c>
      <c r="Q1597" s="147" t="s">
        <v>6103</v>
      </c>
      <c r="R1597" s="147" t="s">
        <v>6104</v>
      </c>
      <c r="S1597" s="60"/>
      <c r="T1597" s="144">
        <v>1.0</v>
      </c>
      <c r="U1597" s="145" t="s">
        <v>6105</v>
      </c>
      <c r="V1597" s="147" t="s">
        <v>9044</v>
      </c>
      <c r="W1597" s="1455" t="str">
        <f> hyperlink(vlookup(lower(R1597),'File Links'!F:G, 2, FALSE), "LINK")</f>
        <v>LINK</v>
      </c>
      <c r="X1597" s="60"/>
      <c r="Y1597" s="147" t="s">
        <v>220</v>
      </c>
      <c r="Z1597" s="147" t="s">
        <v>10080</v>
      </c>
      <c r="AA1597" s="147" t="s">
        <v>10081</v>
      </c>
      <c r="AB1597" s="147" t="s">
        <v>10082</v>
      </c>
      <c r="AC1597" s="147" t="s">
        <v>10083</v>
      </c>
      <c r="AD1597" s="144">
        <v>6.0</v>
      </c>
      <c r="AE1597" s="144">
        <v>555.0</v>
      </c>
      <c r="AF1597" s="144">
        <v>-0.7</v>
      </c>
      <c r="AG1597" s="144" t="s">
        <v>1006</v>
      </c>
      <c r="AH1597" s="144" t="s">
        <v>131</v>
      </c>
      <c r="AI1597" s="646">
        <v>0.002</v>
      </c>
      <c r="AJ1597" s="52" t="s">
        <v>164</v>
      </c>
      <c r="AK1597" s="52" t="s">
        <v>128</v>
      </c>
      <c r="AL1597" s="147" t="s">
        <v>132</v>
      </c>
      <c r="AM1597" s="55"/>
      <c r="AN1597" s="144">
        <v>150.0</v>
      </c>
      <c r="AO1597" s="144">
        <v>1.3587</v>
      </c>
      <c r="AP1597" s="144" t="s">
        <v>1006</v>
      </c>
      <c r="AQ1597" s="60"/>
      <c r="AR1597" s="144">
        <v>2.0E-4</v>
      </c>
      <c r="AS1597" s="147" t="s">
        <v>164</v>
      </c>
      <c r="AT1597" s="147" t="s">
        <v>179</v>
      </c>
      <c r="AU1597" s="147" t="s">
        <v>132</v>
      </c>
      <c r="AV1597" s="410" t="s">
        <v>10084</v>
      </c>
      <c r="AW1597" s="60" t="s">
        <v>134</v>
      </c>
      <c r="AY1597" s="60" t="s">
        <v>144</v>
      </c>
    </row>
    <row r="1598">
      <c r="A1598" s="115" t="s">
        <v>5350</v>
      </c>
      <c r="B1598" s="41" t="s">
        <v>107</v>
      </c>
      <c r="C1598" s="41" t="s">
        <v>144</v>
      </c>
      <c r="E1598" s="60" t="s">
        <v>10071</v>
      </c>
      <c r="F1598" s="52" t="s">
        <v>10085</v>
      </c>
      <c r="G1598" s="147" t="s">
        <v>144</v>
      </c>
      <c r="H1598" s="140">
        <v>45687.0</v>
      </c>
      <c r="I1598" s="140">
        <v>45692.0</v>
      </c>
      <c r="J1598" s="454" t="s">
        <v>10086</v>
      </c>
      <c r="K1598" s="60"/>
      <c r="L1598" s="147" t="s">
        <v>10072</v>
      </c>
      <c r="M1598" s="60"/>
      <c r="N1598" s="144">
        <v>1.0</v>
      </c>
      <c r="O1598" s="145" t="s">
        <v>351</v>
      </c>
      <c r="P1598" s="544" t="str">
        <f t="array" ref="P1598">HYPERLINK(INDEX('File Links'!B:B, MATCH(O1598, 'File Links'!C:C, 0)))
</f>
        <v>#N/A</v>
      </c>
      <c r="Q1598" s="147" t="s">
        <v>6103</v>
      </c>
      <c r="R1598" s="147" t="s">
        <v>6104</v>
      </c>
      <c r="S1598" s="60"/>
      <c r="T1598" s="144">
        <v>1.0</v>
      </c>
      <c r="U1598" s="145" t="s">
        <v>6105</v>
      </c>
      <c r="V1598" s="147" t="s">
        <v>9044</v>
      </c>
      <c r="W1598" s="1455" t="str">
        <f> hyperlink(vlookup(lower(R1598),'File Links'!F:G, 2, FALSE), "LINK")</f>
        <v>LINK</v>
      </c>
      <c r="X1598" s="60"/>
      <c r="Y1598" s="147" t="s">
        <v>220</v>
      </c>
      <c r="Z1598" s="147" t="s">
        <v>10080</v>
      </c>
      <c r="AA1598" s="147" t="s">
        <v>10081</v>
      </c>
      <c r="AB1598" s="147" t="s">
        <v>10087</v>
      </c>
      <c r="AC1598" s="147" t="s">
        <v>10088</v>
      </c>
      <c r="AD1598" s="144">
        <v>6.0</v>
      </c>
      <c r="AE1598" s="144">
        <v>555.0</v>
      </c>
      <c r="AF1598" s="327">
        <v>-0.42</v>
      </c>
      <c r="AG1598" s="144" t="s">
        <v>1006</v>
      </c>
      <c r="AH1598" s="144" t="s">
        <v>131</v>
      </c>
      <c r="AI1598" s="328">
        <v>0.07</v>
      </c>
      <c r="AJ1598" s="52" t="s">
        <v>164</v>
      </c>
      <c r="AK1598" s="52" t="s">
        <v>128</v>
      </c>
      <c r="AL1598" s="147" t="s">
        <v>132</v>
      </c>
      <c r="AM1598" s="55"/>
      <c r="AN1598" s="144">
        <v>150.0</v>
      </c>
      <c r="AO1598" s="327">
        <v>0.2664</v>
      </c>
      <c r="AP1598" s="144" t="s">
        <v>1006</v>
      </c>
      <c r="AQ1598" s="60"/>
      <c r="AR1598" s="144">
        <v>0.4793</v>
      </c>
      <c r="AS1598" s="147" t="s">
        <v>164</v>
      </c>
      <c r="AT1598" s="147" t="s">
        <v>179</v>
      </c>
      <c r="AU1598" s="147" t="s">
        <v>132</v>
      </c>
      <c r="AV1598" s="410" t="s">
        <v>10084</v>
      </c>
      <c r="AW1598" s="60" t="s">
        <v>134</v>
      </c>
      <c r="AY1598" s="60" t="s">
        <v>144</v>
      </c>
    </row>
    <row r="1599">
      <c r="A1599" s="115" t="s">
        <v>5350</v>
      </c>
      <c r="B1599" s="41" t="s">
        <v>107</v>
      </c>
      <c r="C1599" s="41" t="s">
        <v>144</v>
      </c>
      <c r="E1599" s="60" t="s">
        <v>10071</v>
      </c>
      <c r="F1599" s="52" t="s">
        <v>10089</v>
      </c>
      <c r="G1599" s="147" t="s">
        <v>144</v>
      </c>
      <c r="H1599" s="140">
        <v>45687.0</v>
      </c>
      <c r="I1599" s="140">
        <v>45692.0</v>
      </c>
      <c r="J1599" s="454" t="s">
        <v>10090</v>
      </c>
      <c r="K1599" s="60"/>
      <c r="L1599" s="147" t="s">
        <v>10072</v>
      </c>
      <c r="M1599" s="60"/>
      <c r="N1599" s="144">
        <v>1.0</v>
      </c>
      <c r="O1599" s="145" t="s">
        <v>351</v>
      </c>
      <c r="P1599" s="544" t="str">
        <f t="array" ref="P1599">HYPERLINK(INDEX('File Links'!B:B, MATCH(O1599, 'File Links'!C:C, 0)))
</f>
        <v>#N/A</v>
      </c>
      <c r="Q1599" s="147" t="s">
        <v>6103</v>
      </c>
      <c r="R1599" s="147" t="s">
        <v>6104</v>
      </c>
      <c r="S1599" s="60"/>
      <c r="T1599" s="144">
        <v>1.0</v>
      </c>
      <c r="U1599" s="145" t="s">
        <v>6105</v>
      </c>
      <c r="V1599" s="147" t="s">
        <v>9044</v>
      </c>
      <c r="W1599" s="1455" t="str">
        <f> hyperlink(vlookup(lower(R1599),'File Links'!F:G, 2, FALSE), "LINK")</f>
        <v>LINK</v>
      </c>
      <c r="X1599" s="60"/>
      <c r="Y1599" s="147" t="s">
        <v>220</v>
      </c>
      <c r="Z1599" s="147" t="s">
        <v>10080</v>
      </c>
      <c r="AA1599" s="147" t="s">
        <v>10081</v>
      </c>
      <c r="AB1599" s="147" t="s">
        <v>10091</v>
      </c>
      <c r="AC1599" s="147" t="s">
        <v>10092</v>
      </c>
      <c r="AD1599" s="144">
        <v>6.0</v>
      </c>
      <c r="AE1599" s="144">
        <v>555.0</v>
      </c>
      <c r="AF1599" s="327">
        <v>-0.45</v>
      </c>
      <c r="AG1599" s="144" t="s">
        <v>1006</v>
      </c>
      <c r="AH1599" s="144" t="s">
        <v>131</v>
      </c>
      <c r="AI1599" s="328">
        <v>0.05</v>
      </c>
      <c r="AJ1599" s="52" t="s">
        <v>164</v>
      </c>
      <c r="AK1599" s="52" t="s">
        <v>128</v>
      </c>
      <c r="AL1599" s="147" t="s">
        <v>132</v>
      </c>
      <c r="AM1599" s="55"/>
      <c r="AN1599" s="144">
        <v>150.0</v>
      </c>
      <c r="AO1599" s="327">
        <v>-1.3587</v>
      </c>
      <c r="AP1599" s="144" t="s">
        <v>1006</v>
      </c>
      <c r="AQ1599" s="60"/>
      <c r="AR1599" s="144">
        <v>2.0E-4</v>
      </c>
      <c r="AS1599" s="147" t="s">
        <v>164</v>
      </c>
      <c r="AT1599" s="147" t="s">
        <v>179</v>
      </c>
      <c r="AU1599" s="147" t="s">
        <v>132</v>
      </c>
      <c r="AV1599" s="410" t="s">
        <v>10084</v>
      </c>
      <c r="AW1599" s="60" t="s">
        <v>134</v>
      </c>
      <c r="AY1599" s="60" t="s">
        <v>144</v>
      </c>
    </row>
    <row r="1600">
      <c r="A1600" s="115" t="s">
        <v>5350</v>
      </c>
      <c r="B1600" s="41" t="s">
        <v>107</v>
      </c>
      <c r="C1600" s="41" t="s">
        <v>144</v>
      </c>
      <c r="E1600" s="60" t="s">
        <v>10071</v>
      </c>
      <c r="F1600" s="52" t="s">
        <v>10093</v>
      </c>
      <c r="G1600" s="147" t="s">
        <v>144</v>
      </c>
      <c r="H1600" s="140">
        <v>45687.0</v>
      </c>
      <c r="I1600" s="140">
        <v>45692.0</v>
      </c>
      <c r="J1600" s="454" t="s">
        <v>10094</v>
      </c>
      <c r="K1600" s="60"/>
      <c r="L1600" s="147" t="s">
        <v>10072</v>
      </c>
      <c r="M1600" s="60"/>
      <c r="N1600" s="144">
        <v>1.0</v>
      </c>
      <c r="O1600" s="145" t="s">
        <v>351</v>
      </c>
      <c r="P1600" s="544" t="str">
        <f t="array" ref="P1600">HYPERLINK(INDEX('File Links'!B:B, MATCH(O1600, 'File Links'!C:C, 0)))
</f>
        <v>#N/A</v>
      </c>
      <c r="Q1600" s="147" t="s">
        <v>6103</v>
      </c>
      <c r="R1600" s="147" t="s">
        <v>6104</v>
      </c>
      <c r="S1600" s="60"/>
      <c r="T1600" s="144">
        <v>1.0</v>
      </c>
      <c r="U1600" s="145" t="s">
        <v>6105</v>
      </c>
      <c r="V1600" s="147" t="s">
        <v>9044</v>
      </c>
      <c r="W1600" s="1455" t="str">
        <f> hyperlink(vlookup(lower(R1600),'File Links'!F:G, 2, FALSE), "LINK")</f>
        <v>LINK</v>
      </c>
      <c r="X1600" s="60"/>
      <c r="Y1600" s="147" t="s">
        <v>220</v>
      </c>
      <c r="Z1600" s="147" t="s">
        <v>10080</v>
      </c>
      <c r="AA1600" s="147" t="s">
        <v>10081</v>
      </c>
      <c r="AB1600" s="147" t="s">
        <v>10095</v>
      </c>
      <c r="AC1600" s="147" t="s">
        <v>10096</v>
      </c>
      <c r="AD1600" s="144">
        <v>6.0</v>
      </c>
      <c r="AE1600" s="144">
        <v>555.0</v>
      </c>
      <c r="AF1600" s="327">
        <v>0.17</v>
      </c>
      <c r="AG1600" s="144" t="s">
        <v>1006</v>
      </c>
      <c r="AH1600" s="144" t="s">
        <v>131</v>
      </c>
      <c r="AI1600" s="328">
        <v>0.29</v>
      </c>
      <c r="AJ1600" s="52" t="s">
        <v>164</v>
      </c>
      <c r="AK1600" s="52" t="s">
        <v>128</v>
      </c>
      <c r="AL1600" s="60" t="s">
        <v>129</v>
      </c>
      <c r="AM1600" s="55"/>
      <c r="AN1600" s="144">
        <v>150.0</v>
      </c>
      <c r="AO1600" s="327">
        <v>0.4375</v>
      </c>
      <c r="AP1600" s="144" t="s">
        <v>1006</v>
      </c>
      <c r="AQ1600" s="60"/>
      <c r="AR1600" s="144">
        <v>0.049</v>
      </c>
      <c r="AS1600" s="147" t="s">
        <v>164</v>
      </c>
      <c r="AT1600" s="147" t="s">
        <v>179</v>
      </c>
      <c r="AU1600" s="147" t="s">
        <v>132</v>
      </c>
      <c r="AV1600" s="410" t="s">
        <v>10084</v>
      </c>
      <c r="AW1600" s="60" t="s">
        <v>134</v>
      </c>
      <c r="AY1600" s="60" t="s">
        <v>144</v>
      </c>
    </row>
    <row r="1601">
      <c r="A1601" s="115" t="s">
        <v>5350</v>
      </c>
      <c r="B1601" s="41" t="s">
        <v>107</v>
      </c>
      <c r="C1601" s="41" t="s">
        <v>144</v>
      </c>
      <c r="E1601" s="60" t="s">
        <v>10071</v>
      </c>
      <c r="F1601" s="52" t="s">
        <v>10097</v>
      </c>
      <c r="G1601" s="147" t="s">
        <v>144</v>
      </c>
      <c r="H1601" s="140">
        <v>45687.0</v>
      </c>
      <c r="I1601" s="140">
        <v>45692.0</v>
      </c>
      <c r="J1601" s="454" t="s">
        <v>10098</v>
      </c>
      <c r="K1601" s="60"/>
      <c r="L1601" s="147" t="s">
        <v>10072</v>
      </c>
      <c r="M1601" s="60"/>
      <c r="N1601" s="144">
        <v>1.0</v>
      </c>
      <c r="O1601" s="145" t="s">
        <v>351</v>
      </c>
      <c r="P1601" s="544" t="str">
        <f t="array" ref="P1601">HYPERLINK(INDEX('File Links'!B:B, MATCH(O1601, 'File Links'!C:C, 0)))
</f>
        <v>#N/A</v>
      </c>
      <c r="Q1601" s="147" t="s">
        <v>6103</v>
      </c>
      <c r="R1601" s="147" t="s">
        <v>6104</v>
      </c>
      <c r="S1601" s="60"/>
      <c r="T1601" s="144">
        <v>1.0</v>
      </c>
      <c r="U1601" s="145" t="s">
        <v>6105</v>
      </c>
      <c r="V1601" s="147" t="s">
        <v>9044</v>
      </c>
      <c r="W1601" s="1455" t="str">
        <f> hyperlink(vlookup(lower(R1601),'File Links'!F:G, 2, FALSE), "LINK")</f>
        <v>LINK</v>
      </c>
      <c r="X1601" s="60"/>
      <c r="Y1601" s="147" t="s">
        <v>220</v>
      </c>
      <c r="Z1601" s="147" t="s">
        <v>10080</v>
      </c>
      <c r="AA1601" s="147" t="s">
        <v>10081</v>
      </c>
      <c r="AB1601" s="147" t="s">
        <v>10099</v>
      </c>
      <c r="AC1601" s="147" t="s">
        <v>10100</v>
      </c>
      <c r="AD1601" s="327">
        <v>7.0</v>
      </c>
      <c r="AE1601" s="144">
        <v>555.0</v>
      </c>
      <c r="AF1601" s="327">
        <v>0.3</v>
      </c>
      <c r="AG1601" s="144" t="s">
        <v>1006</v>
      </c>
      <c r="AH1601" s="327" t="s">
        <v>125</v>
      </c>
      <c r="AI1601" s="328">
        <v>0.06</v>
      </c>
      <c r="AJ1601" s="52" t="s">
        <v>164</v>
      </c>
      <c r="AK1601" s="52" t="s">
        <v>128</v>
      </c>
      <c r="AL1601" s="60" t="s">
        <v>129</v>
      </c>
      <c r="AM1601" s="55"/>
      <c r="AN1601" s="144">
        <v>150.0</v>
      </c>
      <c r="AO1601" s="327">
        <v>-0.25933</v>
      </c>
      <c r="AP1601" s="144" t="s">
        <v>1006</v>
      </c>
      <c r="AQ1601" s="60"/>
      <c r="AR1601" s="144">
        <v>0.492</v>
      </c>
      <c r="AS1601" s="147" t="s">
        <v>164</v>
      </c>
      <c r="AT1601" s="147" t="s">
        <v>179</v>
      </c>
      <c r="AU1601" s="147" t="s">
        <v>132</v>
      </c>
      <c r="AV1601" s="410" t="s">
        <v>10084</v>
      </c>
      <c r="AW1601" s="60" t="s">
        <v>134</v>
      </c>
      <c r="AY1601" s="60" t="s">
        <v>144</v>
      </c>
    </row>
    <row r="1602">
      <c r="A1602" s="60" t="s">
        <v>106</v>
      </c>
      <c r="B1602" s="41" t="s">
        <v>107</v>
      </c>
      <c r="C1602" s="41" t="s">
        <v>243</v>
      </c>
      <c r="E1602" s="147" t="s">
        <v>10101</v>
      </c>
      <c r="F1602" s="147" t="s">
        <v>10102</v>
      </c>
      <c r="G1602" s="147" t="s">
        <v>244</v>
      </c>
      <c r="H1602" s="140">
        <v>45671.0</v>
      </c>
      <c r="I1602" s="140">
        <v>45692.0</v>
      </c>
      <c r="J1602" s="60"/>
      <c r="K1602" s="60" t="s">
        <v>10103</v>
      </c>
      <c r="L1602" s="147" t="s">
        <v>10104</v>
      </c>
      <c r="M1602" s="147" t="s">
        <v>10105</v>
      </c>
      <c r="N1602" s="60"/>
      <c r="O1602" s="145" t="str">
        <f> SUBSTITUTE(lower(M1602), "/", "--") &amp;  ".pdf"</f>
        <v>10.1177--0956797611418350.pdf</v>
      </c>
      <c r="P1602" s="48" t="str">
        <f t="array" ref="P1602">HYPERLINK(INDEX('File Links'!B:B, MATCH(O1602, 'File Links'!C:C, 0)))
</f>
        <v>https://drive.google.com/file/d/1b6PUvKuNu674etG4K94ZBLDQXEuYuOgp/view?usp=drivesdk</v>
      </c>
      <c r="Q1602" s="147" t="s">
        <v>10106</v>
      </c>
      <c r="R1602" s="147" t="s">
        <v>10107</v>
      </c>
      <c r="S1602" s="60"/>
      <c r="T1602" s="60"/>
      <c r="U1602" s="145" t="s">
        <v>6105</v>
      </c>
      <c r="V1602" s="147" t="s">
        <v>318</v>
      </c>
      <c r="W1602" s="1455" t="str">
        <f> hyperlink(vlookup(lower(R1602),'File Links'!E:F, 2, FALSE), "LINK")</f>
        <v>LINK</v>
      </c>
      <c r="X1602" s="60"/>
      <c r="Y1602" s="147" t="s">
        <v>203</v>
      </c>
      <c r="Z1602" s="60"/>
      <c r="AA1602" s="147" t="s">
        <v>6763</v>
      </c>
      <c r="AB1602" s="60"/>
      <c r="AC1602" s="147" t="s">
        <v>10108</v>
      </c>
      <c r="AD1602" s="1265">
        <v>1391.0</v>
      </c>
      <c r="AE1602" s="144">
        <v>20.0</v>
      </c>
      <c r="AF1602" s="144">
        <v>47.54</v>
      </c>
      <c r="AG1602" s="147" t="s">
        <v>1051</v>
      </c>
      <c r="AH1602" s="1268" t="s">
        <v>10109</v>
      </c>
      <c r="AI1602" s="1265">
        <v>1.0E-5</v>
      </c>
      <c r="AJ1602" s="147" t="s">
        <v>127</v>
      </c>
      <c r="AK1602" s="147" t="s">
        <v>179</v>
      </c>
      <c r="AL1602" s="147" t="s">
        <v>821</v>
      </c>
      <c r="AM1602" s="147" t="s">
        <v>129</v>
      </c>
      <c r="AN1602" s="144">
        <v>17.0</v>
      </c>
      <c r="AO1602" s="144">
        <v>3.15158690186388</v>
      </c>
      <c r="AP1602" s="147" t="s">
        <v>166</v>
      </c>
      <c r="AQ1602" s="60"/>
      <c r="AR1602" s="1483">
        <v>1.00409150080624E-9</v>
      </c>
      <c r="AS1602" s="147" t="s">
        <v>164</v>
      </c>
      <c r="AT1602" s="147" t="s">
        <v>179</v>
      </c>
      <c r="AU1602" s="147" t="s">
        <v>821</v>
      </c>
      <c r="AV1602" s="60"/>
      <c r="AW1602" s="147" t="s">
        <v>134</v>
      </c>
      <c r="AY1602" s="60" t="s">
        <v>144</v>
      </c>
    </row>
    <row r="1603">
      <c r="A1603" s="115" t="s">
        <v>5350</v>
      </c>
      <c r="B1603" s="41" t="s">
        <v>107</v>
      </c>
      <c r="C1603" s="41" t="s">
        <v>144</v>
      </c>
      <c r="E1603" s="60" t="s">
        <v>10102</v>
      </c>
      <c r="F1603" s="147" t="s">
        <v>10101</v>
      </c>
      <c r="G1603" s="147" t="s">
        <v>144</v>
      </c>
      <c r="H1603" s="140">
        <v>45687.0</v>
      </c>
      <c r="I1603" s="140">
        <v>45692.0</v>
      </c>
      <c r="J1603" s="412" t="s">
        <v>10110</v>
      </c>
      <c r="K1603" s="60"/>
      <c r="L1603" s="147" t="s">
        <v>10104</v>
      </c>
      <c r="M1603" s="147" t="s">
        <v>10105</v>
      </c>
      <c r="N1603" s="144">
        <v>1.0</v>
      </c>
      <c r="O1603" s="145" t="s">
        <v>10111</v>
      </c>
      <c r="P1603" s="48" t="str">
        <f t="array" ref="P1603">HYPERLINK(INDEX('File Links'!B:B, MATCH(O1603, 'File Links'!C:C, 0)))
</f>
        <v>https://drive.google.com/file/d/1b6PUvKuNu674etG4K94ZBLDQXEuYuOgp/view?usp=drivesdk</v>
      </c>
      <c r="Q1603" s="147" t="s">
        <v>6103</v>
      </c>
      <c r="R1603" s="147" t="s">
        <v>6104</v>
      </c>
      <c r="S1603" s="60"/>
      <c r="T1603" s="144">
        <v>1.0</v>
      </c>
      <c r="U1603" s="145" t="s">
        <v>6105</v>
      </c>
      <c r="V1603" s="1460" t="s">
        <v>10112</v>
      </c>
      <c r="W1603" s="1455" t="str">
        <f> hyperlink(vlookup(lower(R1603),'File Links'!F:G, 2, FALSE), "LINK")</f>
        <v>LINK</v>
      </c>
      <c r="X1603" s="60"/>
      <c r="Y1603" s="147" t="s">
        <v>960</v>
      </c>
      <c r="Z1603" s="147" t="s">
        <v>7863</v>
      </c>
      <c r="AA1603" s="147" t="s">
        <v>10113</v>
      </c>
      <c r="AB1603" s="147" t="s">
        <v>10114</v>
      </c>
      <c r="AC1603" s="147" t="s">
        <v>10115</v>
      </c>
      <c r="AD1603" s="144">
        <v>3.0</v>
      </c>
      <c r="AE1603" s="144">
        <v>20.0</v>
      </c>
      <c r="AF1603" s="144">
        <v>0.71</v>
      </c>
      <c r="AG1603" s="144" t="s">
        <v>1785</v>
      </c>
      <c r="AH1603" s="144" t="s">
        <v>210</v>
      </c>
      <c r="AI1603" s="327">
        <v>1.0E-6</v>
      </c>
      <c r="AJ1603" s="147" t="s">
        <v>127</v>
      </c>
      <c r="AK1603" s="147" t="s">
        <v>179</v>
      </c>
      <c r="AL1603" s="147" t="s">
        <v>821</v>
      </c>
      <c r="AM1603" s="60"/>
      <c r="AN1603" s="144">
        <v>17.0</v>
      </c>
      <c r="AO1603" s="144">
        <v>0.91</v>
      </c>
      <c r="AP1603" s="144" t="s">
        <v>130</v>
      </c>
      <c r="AQ1603" s="327" t="s">
        <v>609</v>
      </c>
      <c r="AR1603" s="144">
        <v>0.05</v>
      </c>
      <c r="AS1603" s="147" t="s">
        <v>127</v>
      </c>
      <c r="AT1603" s="147" t="s">
        <v>179</v>
      </c>
      <c r="AU1603" s="147" t="s">
        <v>821</v>
      </c>
      <c r="AV1603" s="410" t="s">
        <v>10116</v>
      </c>
      <c r="AW1603" s="1315" t="s">
        <v>142</v>
      </c>
      <c r="AY1603" s="60" t="s">
        <v>144</v>
      </c>
    </row>
    <row r="1604" hidden="1">
      <c r="A1604" s="60" t="s">
        <v>106</v>
      </c>
      <c r="B1604" s="41" t="s">
        <v>107</v>
      </c>
      <c r="C1604" s="41" t="s">
        <v>144</v>
      </c>
      <c r="E1604" s="60" t="s">
        <v>10117</v>
      </c>
      <c r="F1604" s="147" t="s">
        <v>10118</v>
      </c>
      <c r="G1604" s="147" t="s">
        <v>144</v>
      </c>
      <c r="H1604" s="140">
        <v>45687.0</v>
      </c>
      <c r="I1604" s="140">
        <v>45692.0</v>
      </c>
      <c r="J1604" s="60"/>
      <c r="K1604" s="60"/>
      <c r="L1604" s="147" t="s">
        <v>10119</v>
      </c>
      <c r="M1604" s="147" t="s">
        <v>10120</v>
      </c>
      <c r="N1604" s="144">
        <v>1.0</v>
      </c>
      <c r="O1604" s="145" t="s">
        <v>10121</v>
      </c>
      <c r="P1604" s="48" t="str">
        <f t="array" ref="P1604">HYPERLINK(INDEX('File Links'!B:B, MATCH(O1604, 'File Links'!C:C, 0)))
</f>
        <v>https://drive.google.com/file/d/1a3fJ6JRdrPHSo50DdCUrYLisEZcHfG31/view?usp=drivesdk</v>
      </c>
      <c r="Q1604" s="147" t="s">
        <v>6103</v>
      </c>
      <c r="R1604" s="147" t="s">
        <v>6104</v>
      </c>
      <c r="S1604" s="60"/>
      <c r="T1604" s="144">
        <v>1.0</v>
      </c>
      <c r="U1604" s="145" t="s">
        <v>6105</v>
      </c>
      <c r="V1604" s="60"/>
      <c r="W1604" s="1455" t="str">
        <f> hyperlink(vlookup(lower(R1604),'File Links'!F:G, 2, FALSE), "LINK")</f>
        <v>LINK</v>
      </c>
      <c r="X1604" s="147" t="s">
        <v>9031</v>
      </c>
      <c r="Y1604" s="60"/>
      <c r="Z1604" s="60"/>
      <c r="AA1604" s="60"/>
      <c r="AB1604" s="60"/>
      <c r="AC1604" s="60"/>
      <c r="AD1604" s="60"/>
      <c r="AE1604" s="60"/>
      <c r="AF1604" s="60"/>
      <c r="AG1604" s="60"/>
      <c r="AH1604" s="60"/>
      <c r="AI1604" s="60"/>
      <c r="AJ1604" s="60"/>
      <c r="AK1604" s="60"/>
      <c r="AL1604" s="60"/>
      <c r="AM1604" s="60"/>
      <c r="AN1604" s="60"/>
      <c r="AO1604" s="60"/>
      <c r="AP1604" s="60"/>
      <c r="AQ1604" s="60"/>
      <c r="AR1604" s="60"/>
      <c r="AS1604" s="60"/>
      <c r="AT1604" s="60"/>
      <c r="AU1604" s="60"/>
      <c r="AV1604" s="60"/>
      <c r="AW1604" s="60"/>
      <c r="AY1604" s="60" t="s">
        <v>144</v>
      </c>
    </row>
    <row r="1605">
      <c r="A1605" s="115" t="s">
        <v>5350</v>
      </c>
      <c r="B1605" s="41" t="s">
        <v>107</v>
      </c>
      <c r="C1605" s="41" t="s">
        <v>243</v>
      </c>
      <c r="E1605" s="147" t="s">
        <v>10118</v>
      </c>
      <c r="F1605" s="147" t="s">
        <v>10117</v>
      </c>
      <c r="G1605" s="147" t="s">
        <v>244</v>
      </c>
      <c r="H1605" s="140">
        <v>45671.0</v>
      </c>
      <c r="I1605" s="140">
        <v>45692.0</v>
      </c>
      <c r="J1605" s="412" t="s">
        <v>10122</v>
      </c>
      <c r="K1605" s="60" t="s">
        <v>10123</v>
      </c>
      <c r="L1605" s="147" t="s">
        <v>10119</v>
      </c>
      <c r="M1605" s="147" t="s">
        <v>10120</v>
      </c>
      <c r="N1605" s="60"/>
      <c r="O1605" s="145" t="str">
        <f t="shared" ref="O1605:O1607" si="82"> SUBSTITUTE(lower(M1605), "/", "--") &amp;  ".pdf"</f>
        <v>10.1177--0956797612445318.pdf</v>
      </c>
      <c r="P1605" s="48" t="str">
        <f t="array" ref="P1605">HYPERLINK(INDEX('File Links'!B:B, MATCH(O1605, 'File Links'!C:C, 0)))
</f>
        <v>https://drive.google.com/file/d/1a3fJ6JRdrPHSo50DdCUrYLisEZcHfG31/view?usp=drivesdk</v>
      </c>
      <c r="Q1605" s="147" t="s">
        <v>10124</v>
      </c>
      <c r="R1605" s="147" t="s">
        <v>10125</v>
      </c>
      <c r="S1605" s="60"/>
      <c r="T1605" s="60"/>
      <c r="U1605" s="145" t="s">
        <v>6105</v>
      </c>
      <c r="V1605" s="147" t="s">
        <v>6117</v>
      </c>
      <c r="W1605" s="1455" t="str">
        <f> hyperlink(vlookup(lower(R1605),'File Links'!E:F, 2, FALSE), "LINK")</f>
        <v>LINK</v>
      </c>
      <c r="X1605" s="60"/>
      <c r="Y1605" s="147" t="s">
        <v>220</v>
      </c>
      <c r="Z1605" s="1354" t="s">
        <v>8038</v>
      </c>
      <c r="AA1605" s="1460" t="s">
        <v>10126</v>
      </c>
      <c r="AB1605" s="1354" t="s">
        <v>10127</v>
      </c>
      <c r="AC1605" s="147" t="s">
        <v>10128</v>
      </c>
      <c r="AD1605" s="1459">
        <v>3.0</v>
      </c>
      <c r="AE1605" s="144">
        <v>122.0</v>
      </c>
      <c r="AF1605" s="144">
        <v>0.96</v>
      </c>
      <c r="AG1605" s="147" t="s">
        <v>722</v>
      </c>
      <c r="AH1605" s="1460" t="s">
        <v>210</v>
      </c>
      <c r="AI1605" s="144">
        <v>0.04</v>
      </c>
      <c r="AJ1605" s="147" t="s">
        <v>164</v>
      </c>
      <c r="AK1605" s="147" t="s">
        <v>179</v>
      </c>
      <c r="AL1605" s="147" t="s">
        <v>129</v>
      </c>
      <c r="AM1605" s="147" t="s">
        <v>129</v>
      </c>
      <c r="AN1605" s="144">
        <v>137.0</v>
      </c>
      <c r="AO1605" s="144">
        <v>0.08</v>
      </c>
      <c r="AP1605" s="147" t="s">
        <v>1006</v>
      </c>
      <c r="AQ1605" s="60"/>
      <c r="AR1605" s="1484" t="s">
        <v>165</v>
      </c>
      <c r="AS1605" s="60"/>
      <c r="AT1605" s="147" t="s">
        <v>179</v>
      </c>
      <c r="AU1605" s="147" t="s">
        <v>129</v>
      </c>
      <c r="AV1605" s="60"/>
      <c r="AW1605" s="147" t="s">
        <v>134</v>
      </c>
      <c r="AY1605" s="60" t="s">
        <v>144</v>
      </c>
    </row>
    <row r="1606">
      <c r="A1606" s="60" t="s">
        <v>106</v>
      </c>
      <c r="B1606" s="41" t="s">
        <v>107</v>
      </c>
      <c r="C1606" s="41" t="s">
        <v>243</v>
      </c>
      <c r="E1606" s="147" t="s">
        <v>10129</v>
      </c>
      <c r="F1606" s="147" t="s">
        <v>10130</v>
      </c>
      <c r="G1606" s="147" t="s">
        <v>244</v>
      </c>
      <c r="H1606" s="140">
        <v>45671.0</v>
      </c>
      <c r="I1606" s="140">
        <v>45692.0</v>
      </c>
      <c r="J1606" s="412" t="s">
        <v>10131</v>
      </c>
      <c r="K1606" s="60"/>
      <c r="L1606" s="147" t="s">
        <v>10132</v>
      </c>
      <c r="M1606" s="147" t="s">
        <v>10133</v>
      </c>
      <c r="N1606" s="60"/>
      <c r="O1606" s="145" t="str">
        <f t="shared" si="82"/>
        <v>10.1177--0956797616662271.pdf</v>
      </c>
      <c r="P1606" s="48" t="str">
        <f t="array" ref="P1606">HYPERLINK(INDEX('File Links'!B:B, MATCH(O1606, 'File Links'!C:C, 0)))
</f>
        <v>https://drive.google.com/file/d/144ul3eCkiKHuL75LCKm6YabVN-pgBX8u/view?usp=drivesdk</v>
      </c>
      <c r="Q1606" s="147" t="s">
        <v>10134</v>
      </c>
      <c r="R1606" s="147" t="s">
        <v>10135</v>
      </c>
      <c r="S1606" s="60"/>
      <c r="T1606" s="60"/>
      <c r="U1606" s="145" t="s">
        <v>6105</v>
      </c>
      <c r="V1606" s="147" t="s">
        <v>6117</v>
      </c>
      <c r="W1606" s="1455" t="str">
        <f> hyperlink(vlookup(lower(R1606),'File Links'!E:F, 2, FALSE), "LINK")</f>
        <v>LINK</v>
      </c>
      <c r="X1606" s="60"/>
      <c r="Y1606" s="147" t="s">
        <v>139</v>
      </c>
      <c r="Z1606" s="60"/>
      <c r="AA1606" s="147" t="s">
        <v>10136</v>
      </c>
      <c r="AB1606" s="60"/>
      <c r="AC1606" s="147" t="s">
        <v>10137</v>
      </c>
      <c r="AD1606" s="144">
        <v>5.0</v>
      </c>
      <c r="AE1606" s="144">
        <v>106.0</v>
      </c>
      <c r="AF1606" s="144">
        <v>0.124354626824745</v>
      </c>
      <c r="AG1606" s="147" t="s">
        <v>166</v>
      </c>
      <c r="AH1606" s="147" t="s">
        <v>10138</v>
      </c>
      <c r="AI1606" s="144">
        <v>0.052</v>
      </c>
      <c r="AJ1606" s="147" t="s">
        <v>164</v>
      </c>
      <c r="AK1606" s="147" t="s">
        <v>179</v>
      </c>
      <c r="AL1606" s="147" t="s">
        <v>132</v>
      </c>
      <c r="AM1606" s="147" t="s">
        <v>129</v>
      </c>
      <c r="AN1606" s="144">
        <v>158.0</v>
      </c>
      <c r="AO1606" s="144">
        <v>0.110133361942926</v>
      </c>
      <c r="AP1606" s="147" t="s">
        <v>166</v>
      </c>
      <c r="AQ1606" s="60"/>
      <c r="AR1606" s="144">
        <v>0.169558754526223</v>
      </c>
      <c r="AS1606" s="147" t="s">
        <v>164</v>
      </c>
      <c r="AT1606" s="147" t="s">
        <v>179</v>
      </c>
      <c r="AU1606" s="147" t="s">
        <v>132</v>
      </c>
      <c r="AV1606" s="60"/>
      <c r="AW1606" s="147" t="s">
        <v>134</v>
      </c>
      <c r="AY1606" s="60" t="s">
        <v>144</v>
      </c>
    </row>
    <row r="1607">
      <c r="A1607" s="115" t="s">
        <v>5350</v>
      </c>
      <c r="B1607" s="41" t="s">
        <v>107</v>
      </c>
      <c r="C1607" s="41" t="s">
        <v>243</v>
      </c>
      <c r="E1607" s="147" t="s">
        <v>10129</v>
      </c>
      <c r="F1607" s="147" t="s">
        <v>10139</v>
      </c>
      <c r="G1607" s="147" t="s">
        <v>244</v>
      </c>
      <c r="H1607" s="140">
        <v>45671.0</v>
      </c>
      <c r="I1607" s="140">
        <v>45692.0</v>
      </c>
      <c r="J1607" s="412" t="s">
        <v>10140</v>
      </c>
      <c r="K1607" s="60" t="s">
        <v>10141</v>
      </c>
      <c r="L1607" s="147" t="s">
        <v>10132</v>
      </c>
      <c r="M1607" s="147" t="s">
        <v>10133</v>
      </c>
      <c r="N1607" s="60"/>
      <c r="O1607" s="145" t="str">
        <f t="shared" si="82"/>
        <v>10.1177--0956797616662271.pdf</v>
      </c>
      <c r="P1607" s="48" t="str">
        <f t="array" ref="P1607">HYPERLINK(INDEX('File Links'!B:B, MATCH(O1607, 'File Links'!C:C, 0)))
</f>
        <v>https://drive.google.com/file/d/144ul3eCkiKHuL75LCKm6YabVN-pgBX8u/view?usp=drivesdk</v>
      </c>
      <c r="Q1607" s="147" t="s">
        <v>10142</v>
      </c>
      <c r="R1607" s="147" t="s">
        <v>10143</v>
      </c>
      <c r="S1607" s="60"/>
      <c r="T1607" s="60"/>
      <c r="U1607" s="145" t="s">
        <v>6105</v>
      </c>
      <c r="V1607" s="147" t="s">
        <v>6117</v>
      </c>
      <c r="W1607" s="1455" t="str">
        <f> hyperlink(vlookup(lower(R1607),'File Links'!E:F, 2, FALSE), "LINK")</f>
        <v>LINK</v>
      </c>
      <c r="X1607" s="60"/>
      <c r="Y1607" s="147" t="s">
        <v>139</v>
      </c>
      <c r="Z1607" s="1460" t="s">
        <v>10144</v>
      </c>
      <c r="AA1607" s="1460" t="s">
        <v>10145</v>
      </c>
      <c r="AB1607" s="1460" t="s">
        <v>10146</v>
      </c>
      <c r="AC1607" s="1460" t="s">
        <v>10147</v>
      </c>
      <c r="AD1607" s="144">
        <v>3.0</v>
      </c>
      <c r="AE1607" s="144">
        <v>70.0</v>
      </c>
      <c r="AF1607" s="144">
        <v>0.43</v>
      </c>
      <c r="AG1607" s="147" t="s">
        <v>166</v>
      </c>
      <c r="AH1607" s="1460" t="s">
        <v>210</v>
      </c>
      <c r="AI1607" s="144">
        <v>0.001</v>
      </c>
      <c r="AJ1607" s="147" t="s">
        <v>164</v>
      </c>
      <c r="AK1607" s="147" t="s">
        <v>128</v>
      </c>
      <c r="AL1607" s="147" t="s">
        <v>129</v>
      </c>
      <c r="AM1607" s="147" t="s">
        <v>129</v>
      </c>
      <c r="AN1607" s="144">
        <v>61.0</v>
      </c>
      <c r="AO1607" s="144">
        <v>0.199479675552594</v>
      </c>
      <c r="AP1607" s="147" t="s">
        <v>166</v>
      </c>
      <c r="AQ1607" s="60"/>
      <c r="AR1607" s="144">
        <v>0.127565381522381</v>
      </c>
      <c r="AS1607" s="147" t="s">
        <v>164</v>
      </c>
      <c r="AT1607" s="147" t="s">
        <v>179</v>
      </c>
      <c r="AU1607" s="147" t="s">
        <v>132</v>
      </c>
      <c r="AV1607" s="60"/>
      <c r="AW1607" s="147" t="s">
        <v>134</v>
      </c>
      <c r="AY1607" s="60" t="s">
        <v>144</v>
      </c>
    </row>
    <row r="1608">
      <c r="A1608" s="115" t="s">
        <v>5350</v>
      </c>
      <c r="B1608" s="41" t="s">
        <v>107</v>
      </c>
      <c r="C1608" s="41" t="s">
        <v>144</v>
      </c>
      <c r="E1608" s="60" t="s">
        <v>10130</v>
      </c>
      <c r="F1608" s="147" t="s">
        <v>10148</v>
      </c>
      <c r="G1608" s="147" t="s">
        <v>144</v>
      </c>
      <c r="H1608" s="140">
        <v>45687.0</v>
      </c>
      <c r="I1608" s="140">
        <v>45692.0</v>
      </c>
      <c r="J1608" s="454" t="s">
        <v>10149</v>
      </c>
      <c r="K1608" s="60"/>
      <c r="L1608" s="147" t="s">
        <v>10132</v>
      </c>
      <c r="M1608" s="147" t="s">
        <v>10133</v>
      </c>
      <c r="N1608" s="144">
        <v>2.0</v>
      </c>
      <c r="O1608" s="145" t="s">
        <v>10150</v>
      </c>
      <c r="P1608" s="48" t="str">
        <f t="array" ref="P1608">HYPERLINK(INDEX('File Links'!B:B, MATCH(O1608, 'File Links'!C:C, 0)))
</f>
        <v>https://drive.google.com/file/d/144ul3eCkiKHuL75LCKm6YabVN-pgBX8u/view?usp=drivesdk</v>
      </c>
      <c r="Q1608" s="147" t="s">
        <v>6103</v>
      </c>
      <c r="R1608" s="147" t="s">
        <v>6104</v>
      </c>
      <c r="S1608" s="60"/>
      <c r="T1608" s="144">
        <v>1.0</v>
      </c>
      <c r="U1608" s="145" t="s">
        <v>6105</v>
      </c>
      <c r="V1608" s="147" t="s">
        <v>9044</v>
      </c>
      <c r="W1608" s="1455" t="str">
        <f> hyperlink(vlookup(lower(R1608),'File Links'!F:G, 2, FALSE), "LINK")</f>
        <v>LINK</v>
      </c>
      <c r="X1608" s="60"/>
      <c r="Y1608" s="147" t="s">
        <v>139</v>
      </c>
      <c r="Z1608" s="147" t="s">
        <v>10144</v>
      </c>
      <c r="AA1608" s="147" t="s">
        <v>10145</v>
      </c>
      <c r="AB1608" s="147" t="s">
        <v>10151</v>
      </c>
      <c r="AC1608" s="147" t="s">
        <v>10152</v>
      </c>
      <c r="AD1608" s="144">
        <v>5.0</v>
      </c>
      <c r="AE1608" s="144">
        <v>106.0</v>
      </c>
      <c r="AF1608" s="144">
        <v>0.051</v>
      </c>
      <c r="AG1608" s="144" t="s">
        <v>1785</v>
      </c>
      <c r="AH1608" s="144" t="s">
        <v>892</v>
      </c>
      <c r="AI1608" s="144">
        <v>0.004</v>
      </c>
      <c r="AJ1608" s="147" t="s">
        <v>164</v>
      </c>
      <c r="AK1608" s="147" t="s">
        <v>179</v>
      </c>
      <c r="AL1608" s="147" t="s">
        <v>132</v>
      </c>
      <c r="AM1608" s="60"/>
      <c r="AN1608" s="144">
        <v>158.0</v>
      </c>
      <c r="AO1608" s="144">
        <v>0.0588836</v>
      </c>
      <c r="AP1608" s="144" t="s">
        <v>1785</v>
      </c>
      <c r="AQ1608" s="60"/>
      <c r="AR1608" s="144">
        <f>7.28*10^-5        </f>
        <v>0.0000728</v>
      </c>
      <c r="AS1608" s="147" t="s">
        <v>164</v>
      </c>
      <c r="AT1608" s="147" t="s">
        <v>179</v>
      </c>
      <c r="AU1608" s="147" t="s">
        <v>132</v>
      </c>
      <c r="AV1608" s="410" t="s">
        <v>10153</v>
      </c>
      <c r="AW1608" s="60" t="s">
        <v>134</v>
      </c>
      <c r="AY1608" s="60" t="s">
        <v>144</v>
      </c>
    </row>
    <row r="1609">
      <c r="A1609" s="115" t="s">
        <v>5350</v>
      </c>
      <c r="B1609" s="41" t="s">
        <v>107</v>
      </c>
      <c r="C1609" s="41" t="s">
        <v>144</v>
      </c>
      <c r="E1609" s="60" t="s">
        <v>10130</v>
      </c>
      <c r="F1609" s="147" t="s">
        <v>10139</v>
      </c>
      <c r="G1609" s="147" t="s">
        <v>144</v>
      </c>
      <c r="H1609" s="140">
        <v>45687.0</v>
      </c>
      <c r="I1609" s="140">
        <v>45692.0</v>
      </c>
      <c r="J1609" s="454" t="s">
        <v>10154</v>
      </c>
      <c r="K1609" s="60"/>
      <c r="L1609" s="147" t="s">
        <v>10132</v>
      </c>
      <c r="M1609" s="147" t="s">
        <v>10133</v>
      </c>
      <c r="N1609" s="144">
        <v>2.0</v>
      </c>
      <c r="O1609" s="145" t="s">
        <v>10150</v>
      </c>
      <c r="P1609" s="48" t="str">
        <f t="array" ref="P1609">HYPERLINK(INDEX('File Links'!B:B, MATCH(O1609, 'File Links'!C:C, 0)))
</f>
        <v>https://drive.google.com/file/d/144ul3eCkiKHuL75LCKm6YabVN-pgBX8u/view?usp=drivesdk</v>
      </c>
      <c r="Q1609" s="147" t="s">
        <v>6103</v>
      </c>
      <c r="R1609" s="147" t="s">
        <v>6104</v>
      </c>
      <c r="S1609" s="60"/>
      <c r="T1609" s="144">
        <v>1.0</v>
      </c>
      <c r="U1609" s="145" t="s">
        <v>6105</v>
      </c>
      <c r="V1609" s="147" t="s">
        <v>9044</v>
      </c>
      <c r="W1609" s="1455" t="str">
        <f> hyperlink(vlookup(lower(R1609),'File Links'!F:G, 2, FALSE), "LINK")</f>
        <v>LINK</v>
      </c>
      <c r="X1609" s="60"/>
      <c r="Y1609" s="147" t="s">
        <v>139</v>
      </c>
      <c r="Z1609" s="147" t="s">
        <v>10144</v>
      </c>
      <c r="AA1609" s="147" t="s">
        <v>10145</v>
      </c>
      <c r="AB1609" s="147" t="s">
        <v>10155</v>
      </c>
      <c r="AC1609" s="147" t="s">
        <v>10156</v>
      </c>
      <c r="AD1609" s="327">
        <v>5.0</v>
      </c>
      <c r="AE1609" s="144">
        <v>106.0</v>
      </c>
      <c r="AF1609" s="327" t="s">
        <v>10157</v>
      </c>
      <c r="AG1609" s="144" t="s">
        <v>162</v>
      </c>
      <c r="AH1609" s="327" t="s">
        <v>892</v>
      </c>
      <c r="AI1609" s="327">
        <v>0.002</v>
      </c>
      <c r="AJ1609" s="147" t="s">
        <v>164</v>
      </c>
      <c r="AK1609" s="147" t="s">
        <v>179</v>
      </c>
      <c r="AL1609" s="147" t="s">
        <v>132</v>
      </c>
      <c r="AM1609" s="60"/>
      <c r="AN1609" s="144">
        <v>158.0</v>
      </c>
      <c r="AO1609" s="327" t="s">
        <v>10158</v>
      </c>
      <c r="AP1609" s="144" t="s">
        <v>162</v>
      </c>
      <c r="AQ1609" s="60"/>
      <c r="AR1609" s="144">
        <v>0.001</v>
      </c>
      <c r="AS1609" s="147" t="s">
        <v>164</v>
      </c>
      <c r="AT1609" s="147" t="s">
        <v>179</v>
      </c>
      <c r="AU1609" s="147" t="s">
        <v>132</v>
      </c>
      <c r="AV1609" s="410" t="s">
        <v>10153</v>
      </c>
      <c r="AW1609" s="60" t="s">
        <v>134</v>
      </c>
      <c r="AY1609" s="60" t="s">
        <v>144</v>
      </c>
    </row>
    <row r="1610">
      <c r="A1610" s="115" t="s">
        <v>5350</v>
      </c>
      <c r="B1610" s="41" t="s">
        <v>107</v>
      </c>
      <c r="C1610" s="41" t="s">
        <v>144</v>
      </c>
      <c r="E1610" s="60" t="s">
        <v>10130</v>
      </c>
      <c r="F1610" s="147" t="s">
        <v>10159</v>
      </c>
      <c r="G1610" s="147" t="s">
        <v>144</v>
      </c>
      <c r="H1610" s="140">
        <v>45687.0</v>
      </c>
      <c r="I1610" s="140">
        <v>45692.0</v>
      </c>
      <c r="J1610" s="454" t="s">
        <v>10160</v>
      </c>
      <c r="K1610" s="60"/>
      <c r="L1610" s="147" t="s">
        <v>10132</v>
      </c>
      <c r="M1610" s="147" t="s">
        <v>10133</v>
      </c>
      <c r="N1610" s="144">
        <v>2.0</v>
      </c>
      <c r="O1610" s="145" t="s">
        <v>10150</v>
      </c>
      <c r="P1610" s="48" t="str">
        <f t="array" ref="P1610">HYPERLINK(INDEX('File Links'!B:B, MATCH(O1610, 'File Links'!C:C, 0)))
</f>
        <v>https://drive.google.com/file/d/144ul3eCkiKHuL75LCKm6YabVN-pgBX8u/view?usp=drivesdk</v>
      </c>
      <c r="Q1610" s="147" t="s">
        <v>6103</v>
      </c>
      <c r="R1610" s="147" t="s">
        <v>6104</v>
      </c>
      <c r="S1610" s="60"/>
      <c r="T1610" s="144">
        <v>1.0</v>
      </c>
      <c r="U1610" s="145" t="s">
        <v>6105</v>
      </c>
      <c r="V1610" s="147" t="s">
        <v>9044</v>
      </c>
      <c r="W1610" s="1455" t="str">
        <f> hyperlink(vlookup(lower(R1610),'File Links'!F:G, 2, FALSE), "LINK")</f>
        <v>LINK</v>
      </c>
      <c r="X1610" s="60"/>
      <c r="Y1610" s="147" t="s">
        <v>139</v>
      </c>
      <c r="Z1610" s="147" t="s">
        <v>10144</v>
      </c>
      <c r="AA1610" s="147" t="s">
        <v>10145</v>
      </c>
      <c r="AB1610" s="147" t="s">
        <v>10161</v>
      </c>
      <c r="AC1610" s="147" t="s">
        <v>10162</v>
      </c>
      <c r="AD1610" s="327">
        <v>5.0</v>
      </c>
      <c r="AE1610" s="144">
        <v>106.0</v>
      </c>
      <c r="AF1610" s="327" t="s">
        <v>10163</v>
      </c>
      <c r="AG1610" s="144" t="s">
        <v>162</v>
      </c>
      <c r="AH1610" s="327" t="s">
        <v>892</v>
      </c>
      <c r="AI1610" s="327">
        <v>0.052</v>
      </c>
      <c r="AJ1610" s="147" t="s">
        <v>164</v>
      </c>
      <c r="AK1610" s="147" t="s">
        <v>179</v>
      </c>
      <c r="AL1610" s="147" t="s">
        <v>132</v>
      </c>
      <c r="AM1610" s="60"/>
      <c r="AN1610" s="144">
        <v>158.0</v>
      </c>
      <c r="AO1610" s="327" t="s">
        <v>10164</v>
      </c>
      <c r="AP1610" s="144" t="s">
        <v>162</v>
      </c>
      <c r="AQ1610" s="60"/>
      <c r="AR1610" s="144">
        <v>0.01</v>
      </c>
      <c r="AS1610" s="147" t="s">
        <v>164</v>
      </c>
      <c r="AT1610" s="147" t="s">
        <v>179</v>
      </c>
      <c r="AU1610" s="147" t="s">
        <v>132</v>
      </c>
      <c r="AV1610" s="410" t="s">
        <v>10153</v>
      </c>
      <c r="AW1610" s="60" t="s">
        <v>134</v>
      </c>
      <c r="AY1610" s="60" t="s">
        <v>144</v>
      </c>
    </row>
    <row r="1611">
      <c r="A1611" s="115" t="s">
        <v>5350</v>
      </c>
      <c r="B1611" s="41" t="s">
        <v>107</v>
      </c>
      <c r="C1611" s="41" t="s">
        <v>144</v>
      </c>
      <c r="E1611" s="60" t="s">
        <v>10130</v>
      </c>
      <c r="F1611" s="147" t="s">
        <v>10165</v>
      </c>
      <c r="G1611" s="147" t="s">
        <v>144</v>
      </c>
      <c r="H1611" s="140">
        <v>45687.0</v>
      </c>
      <c r="I1611" s="140">
        <v>45692.0</v>
      </c>
      <c r="J1611" s="454" t="s">
        <v>10166</v>
      </c>
      <c r="K1611" s="60"/>
      <c r="L1611" s="147" t="s">
        <v>10132</v>
      </c>
      <c r="M1611" s="147" t="s">
        <v>10133</v>
      </c>
      <c r="N1611" s="144">
        <v>2.0</v>
      </c>
      <c r="O1611" s="145" t="s">
        <v>10150</v>
      </c>
      <c r="P1611" s="48" t="str">
        <f t="array" ref="P1611">HYPERLINK(INDEX('File Links'!B:B, MATCH(O1611, 'File Links'!C:C, 0)))
</f>
        <v>https://drive.google.com/file/d/144ul3eCkiKHuL75LCKm6YabVN-pgBX8u/view?usp=drivesdk</v>
      </c>
      <c r="Q1611" s="147" t="s">
        <v>6103</v>
      </c>
      <c r="R1611" s="147" t="s">
        <v>6104</v>
      </c>
      <c r="S1611" s="60"/>
      <c r="T1611" s="144">
        <v>1.0</v>
      </c>
      <c r="U1611" s="145" t="s">
        <v>6105</v>
      </c>
      <c r="V1611" s="147" t="s">
        <v>9044</v>
      </c>
      <c r="W1611" s="1455" t="str">
        <f> hyperlink(vlookup(lower(R1611),'File Links'!F:G, 2, FALSE), "LINK")</f>
        <v>LINK</v>
      </c>
      <c r="X1611" s="60"/>
      <c r="Y1611" s="147" t="s">
        <v>139</v>
      </c>
      <c r="Z1611" s="147" t="s">
        <v>10144</v>
      </c>
      <c r="AA1611" s="147" t="s">
        <v>10145</v>
      </c>
      <c r="AB1611" s="147" t="s">
        <v>10167</v>
      </c>
      <c r="AC1611" s="147" t="s">
        <v>10168</v>
      </c>
      <c r="AD1611" s="327">
        <v>5.0</v>
      </c>
      <c r="AE1611" s="144">
        <v>106.0</v>
      </c>
      <c r="AF1611" s="327" t="s">
        <v>10169</v>
      </c>
      <c r="AG1611" s="144" t="s">
        <v>162</v>
      </c>
      <c r="AH1611" s="327" t="s">
        <v>892</v>
      </c>
      <c r="AI1611" s="327">
        <v>0.134</v>
      </c>
      <c r="AJ1611" s="147" t="s">
        <v>164</v>
      </c>
      <c r="AK1611" s="147" t="s">
        <v>128</v>
      </c>
      <c r="AL1611" s="147" t="s">
        <v>129</v>
      </c>
      <c r="AM1611" s="60"/>
      <c r="AN1611" s="144">
        <v>158.0</v>
      </c>
      <c r="AO1611" s="327" t="s">
        <v>10170</v>
      </c>
      <c r="AP1611" s="144" t="s">
        <v>162</v>
      </c>
      <c r="AQ1611" s="60"/>
      <c r="AR1611" s="144">
        <v>0.058</v>
      </c>
      <c r="AS1611" s="147" t="s">
        <v>164</v>
      </c>
      <c r="AT1611" s="147" t="s">
        <v>179</v>
      </c>
      <c r="AU1611" s="147" t="s">
        <v>132</v>
      </c>
      <c r="AV1611" s="410" t="s">
        <v>10153</v>
      </c>
      <c r="AW1611" s="60" t="s">
        <v>134</v>
      </c>
      <c r="AY1611" s="60" t="s">
        <v>144</v>
      </c>
    </row>
    <row r="1612">
      <c r="A1612" s="60" t="s">
        <v>106</v>
      </c>
      <c r="B1612" s="41" t="s">
        <v>107</v>
      </c>
      <c r="C1612" s="41" t="s">
        <v>144</v>
      </c>
      <c r="E1612" s="60" t="s">
        <v>10171</v>
      </c>
      <c r="F1612" s="147" t="s">
        <v>10172</v>
      </c>
      <c r="G1612" s="147" t="s">
        <v>144</v>
      </c>
      <c r="H1612" s="140">
        <v>45687.0</v>
      </c>
      <c r="I1612" s="140">
        <v>45692.0</v>
      </c>
      <c r="J1612" s="454" t="s">
        <v>10173</v>
      </c>
      <c r="K1612" s="60"/>
      <c r="L1612" s="147" t="s">
        <v>10132</v>
      </c>
      <c r="M1612" s="147" t="s">
        <v>10133</v>
      </c>
      <c r="N1612" s="144">
        <v>1.0</v>
      </c>
      <c r="O1612" s="145" t="s">
        <v>10150</v>
      </c>
      <c r="P1612" s="48" t="str">
        <f t="array" ref="P1612">HYPERLINK(INDEX('File Links'!B:B, MATCH(O1612, 'File Links'!C:C, 0)))
</f>
        <v>https://drive.google.com/file/d/144ul3eCkiKHuL75LCKm6YabVN-pgBX8u/view?usp=drivesdk</v>
      </c>
      <c r="Q1612" s="147" t="s">
        <v>6103</v>
      </c>
      <c r="R1612" s="147" t="s">
        <v>6104</v>
      </c>
      <c r="S1612" s="60"/>
      <c r="T1612" s="144">
        <v>1.0</v>
      </c>
      <c r="U1612" s="145" t="s">
        <v>6105</v>
      </c>
      <c r="V1612" s="147" t="s">
        <v>9044</v>
      </c>
      <c r="W1612" s="1455" t="str">
        <f> hyperlink(vlookup(lower(R1612),'File Links'!F:G, 2, FALSE), "LINK")</f>
        <v>LINK</v>
      </c>
      <c r="X1612" s="60"/>
      <c r="Y1612" s="147" t="s">
        <v>139</v>
      </c>
      <c r="Z1612" s="147" t="s">
        <v>10144</v>
      </c>
      <c r="AA1612" s="147" t="s">
        <v>10145</v>
      </c>
      <c r="AB1612" s="147" t="s">
        <v>10146</v>
      </c>
      <c r="AC1612" s="147" t="s">
        <v>10147</v>
      </c>
      <c r="AD1612" s="144">
        <v>3.0</v>
      </c>
      <c r="AE1612" s="144">
        <v>70.0</v>
      </c>
      <c r="AF1612" s="144">
        <v>0.43</v>
      </c>
      <c r="AG1612" s="144" t="s">
        <v>166</v>
      </c>
      <c r="AH1612" s="144" t="s">
        <v>210</v>
      </c>
      <c r="AI1612" s="327">
        <v>0.001</v>
      </c>
      <c r="AJ1612" s="147" t="s">
        <v>164</v>
      </c>
      <c r="AK1612" s="147" t="s">
        <v>128</v>
      </c>
      <c r="AL1612" s="147" t="s">
        <v>129</v>
      </c>
      <c r="AM1612" s="60"/>
      <c r="AN1612" s="144">
        <v>61.0</v>
      </c>
      <c r="AO1612" s="1265">
        <v>0.3754939</v>
      </c>
      <c r="AP1612" s="1265" t="s">
        <v>166</v>
      </c>
      <c r="AQ1612" s="60"/>
      <c r="AR1612" s="1265">
        <v>0.00382</v>
      </c>
      <c r="AS1612" s="147" t="s">
        <v>164</v>
      </c>
      <c r="AT1612" s="147" t="s">
        <v>179</v>
      </c>
      <c r="AU1612" s="147" t="s">
        <v>132</v>
      </c>
      <c r="AV1612" s="410" t="s">
        <v>10153</v>
      </c>
      <c r="AW1612" s="60" t="s">
        <v>134</v>
      </c>
      <c r="AY1612" s="60" t="s">
        <v>144</v>
      </c>
    </row>
    <row r="1613">
      <c r="A1613" s="60" t="s">
        <v>106</v>
      </c>
      <c r="B1613" s="41" t="s">
        <v>107</v>
      </c>
      <c r="C1613" s="41" t="s">
        <v>243</v>
      </c>
      <c r="E1613" s="147" t="s">
        <v>10174</v>
      </c>
      <c r="F1613" s="147" t="s">
        <v>10175</v>
      </c>
      <c r="G1613" s="147" t="s">
        <v>244</v>
      </c>
      <c r="H1613" s="140">
        <v>45671.0</v>
      </c>
      <c r="I1613" s="140">
        <v>45692.0</v>
      </c>
      <c r="J1613" s="1485" t="s">
        <v>10176</v>
      </c>
      <c r="K1613" s="60"/>
      <c r="L1613" s="147" t="s">
        <v>10177</v>
      </c>
      <c r="M1613" s="147" t="s">
        <v>10178</v>
      </c>
      <c r="N1613" s="60"/>
      <c r="O1613" s="145" t="str">
        <f> SUBSTITUTE(lower(M1613), "/", "--") &amp;  ".pdf"</f>
        <v>10.1177--0956797614554955.pdf</v>
      </c>
      <c r="P1613" s="48" t="str">
        <f t="array" ref="P1613">HYPERLINK(INDEX('File Links'!B:B, MATCH(O1613, 'File Links'!C:C, 0)))
</f>
        <v>https://drive.google.com/file/d/1epyBwvNQIzhoIzncHzNCghI35bEcM7FS/view?usp=drivesdk</v>
      </c>
      <c r="Q1613" s="147" t="s">
        <v>10179</v>
      </c>
      <c r="R1613" s="147" t="s">
        <v>10180</v>
      </c>
      <c r="S1613" s="60"/>
      <c r="T1613" s="60"/>
      <c r="U1613" s="145" t="s">
        <v>6105</v>
      </c>
      <c r="V1613" s="147" t="s">
        <v>6349</v>
      </c>
      <c r="W1613" s="1455" t="str">
        <f> hyperlink(vlookup(lower(R1613),'File Links'!E:F, 2, FALSE), "LINK")</f>
        <v>LINK</v>
      </c>
      <c r="X1613" s="60"/>
      <c r="Y1613" s="147" t="s">
        <v>220</v>
      </c>
      <c r="Z1613" s="60"/>
      <c r="AA1613" s="147" t="s">
        <v>10181</v>
      </c>
      <c r="AB1613" s="60"/>
      <c r="AC1613" s="147" t="s">
        <v>10182</v>
      </c>
      <c r="AD1613" s="144">
        <v>3.0</v>
      </c>
      <c r="AE1613" s="144">
        <v>48.0</v>
      </c>
      <c r="AF1613" s="144">
        <v>285.81</v>
      </c>
      <c r="AG1613" s="147" t="s">
        <v>1051</v>
      </c>
      <c r="AH1613" s="147" t="s">
        <v>210</v>
      </c>
      <c r="AI1613" s="144">
        <v>0.001</v>
      </c>
      <c r="AJ1613" s="147" t="s">
        <v>164</v>
      </c>
      <c r="AK1613" s="147" t="s">
        <v>179</v>
      </c>
      <c r="AL1613" s="147" t="s">
        <v>132</v>
      </c>
      <c r="AM1613" s="147" t="s">
        <v>129</v>
      </c>
      <c r="AN1613" s="144">
        <v>95.0</v>
      </c>
      <c r="AO1613" s="144">
        <v>91.11</v>
      </c>
      <c r="AP1613" s="147" t="s">
        <v>1051</v>
      </c>
      <c r="AQ1613" s="60"/>
      <c r="AR1613" s="144">
        <v>0.001</v>
      </c>
      <c r="AS1613" s="147" t="s">
        <v>127</v>
      </c>
      <c r="AT1613" s="147" t="s">
        <v>179</v>
      </c>
      <c r="AU1613" s="147" t="s">
        <v>132</v>
      </c>
      <c r="AV1613" s="60"/>
      <c r="AW1613" s="147" t="s">
        <v>142</v>
      </c>
      <c r="AY1613" s="60" t="s">
        <v>144</v>
      </c>
    </row>
    <row r="1614">
      <c r="A1614" s="115" t="s">
        <v>5350</v>
      </c>
      <c r="B1614" s="41" t="s">
        <v>107</v>
      </c>
      <c r="C1614" s="41" t="s">
        <v>144</v>
      </c>
      <c r="E1614" s="60" t="s">
        <v>10175</v>
      </c>
      <c r="F1614" s="147" t="s">
        <v>10183</v>
      </c>
      <c r="G1614" s="147" t="s">
        <v>144</v>
      </c>
      <c r="H1614" s="140">
        <v>45687.0</v>
      </c>
      <c r="I1614" s="140">
        <v>45692.0</v>
      </c>
      <c r="J1614" s="412" t="s">
        <v>10184</v>
      </c>
      <c r="K1614" s="60"/>
      <c r="L1614" s="147" t="s">
        <v>10177</v>
      </c>
      <c r="M1614" s="147" t="s">
        <v>10178</v>
      </c>
      <c r="N1614" s="144">
        <v>1.0</v>
      </c>
      <c r="O1614" s="145" t="s">
        <v>10185</v>
      </c>
      <c r="P1614" s="48" t="str">
        <f t="array" ref="P1614">HYPERLINK(INDEX('File Links'!B:B, MATCH(O1614, 'File Links'!C:C, 0)))
</f>
        <v>https://drive.google.com/file/d/1epyBwvNQIzhoIzncHzNCghI35bEcM7FS/view?usp=drivesdk</v>
      </c>
      <c r="Q1614" s="147" t="s">
        <v>6103</v>
      </c>
      <c r="R1614" s="147" t="s">
        <v>6104</v>
      </c>
      <c r="S1614" s="60"/>
      <c r="T1614" s="144">
        <v>1.0</v>
      </c>
      <c r="U1614" s="145" t="s">
        <v>6105</v>
      </c>
      <c r="V1614" s="147" t="s">
        <v>155</v>
      </c>
      <c r="W1614" s="1455" t="str">
        <f> hyperlink(vlookup(lower(R1614),'File Links'!F:G, 2, FALSE), "LINK")</f>
        <v>LINK</v>
      </c>
      <c r="X1614" s="60"/>
      <c r="Y1614" s="147" t="s">
        <v>220</v>
      </c>
      <c r="Z1614" s="147" t="s">
        <v>10186</v>
      </c>
      <c r="AA1614" s="147" t="s">
        <v>10187</v>
      </c>
      <c r="AB1614" s="147" t="s">
        <v>10188</v>
      </c>
      <c r="AC1614" s="147" t="s">
        <v>10189</v>
      </c>
      <c r="AD1614" s="144">
        <v>3.0</v>
      </c>
      <c r="AE1614" s="144">
        <v>48.0</v>
      </c>
      <c r="AF1614" s="144">
        <v>0.99</v>
      </c>
      <c r="AG1614" s="144" t="s">
        <v>7687</v>
      </c>
      <c r="AH1614" s="144" t="s">
        <v>210</v>
      </c>
      <c r="AI1614" s="144">
        <v>0.001</v>
      </c>
      <c r="AJ1614" s="147" t="s">
        <v>127</v>
      </c>
      <c r="AK1614" s="147" t="s">
        <v>179</v>
      </c>
      <c r="AL1614" s="147" t="s">
        <v>132</v>
      </c>
      <c r="AM1614" s="60"/>
      <c r="AN1614" s="144">
        <v>95.0</v>
      </c>
      <c r="AO1614" s="144">
        <v>0.97</v>
      </c>
      <c r="AP1614" s="144" t="s">
        <v>7687</v>
      </c>
      <c r="AQ1614" s="144" t="s">
        <v>625</v>
      </c>
      <c r="AR1614" s="144">
        <v>0.001</v>
      </c>
      <c r="AS1614" s="147" t="s">
        <v>127</v>
      </c>
      <c r="AT1614" s="147" t="s">
        <v>179</v>
      </c>
      <c r="AU1614" s="147" t="s">
        <v>132</v>
      </c>
      <c r="AV1614" s="60"/>
      <c r="AW1614" s="60" t="s">
        <v>142</v>
      </c>
      <c r="AY1614" s="60" t="s">
        <v>144</v>
      </c>
    </row>
    <row r="1615">
      <c r="A1615" s="115" t="s">
        <v>5350</v>
      </c>
      <c r="B1615" s="41" t="s">
        <v>107</v>
      </c>
      <c r="C1615" s="41" t="s">
        <v>144</v>
      </c>
      <c r="E1615" s="60" t="s">
        <v>10175</v>
      </c>
      <c r="F1615" s="147" t="s">
        <v>10190</v>
      </c>
      <c r="G1615" s="147" t="s">
        <v>144</v>
      </c>
      <c r="H1615" s="140">
        <v>45687.0</v>
      </c>
      <c r="I1615" s="140">
        <v>45692.0</v>
      </c>
      <c r="J1615" s="412" t="s">
        <v>10184</v>
      </c>
      <c r="K1615" s="60"/>
      <c r="L1615" s="147" t="s">
        <v>10177</v>
      </c>
      <c r="M1615" s="147" t="s">
        <v>10178</v>
      </c>
      <c r="N1615" s="144">
        <v>1.0</v>
      </c>
      <c r="O1615" s="145" t="s">
        <v>10185</v>
      </c>
      <c r="P1615" s="48" t="str">
        <f t="array" ref="P1615">HYPERLINK(INDEX('File Links'!B:B, MATCH(O1615, 'File Links'!C:C, 0)))
</f>
        <v>https://drive.google.com/file/d/1epyBwvNQIzhoIzncHzNCghI35bEcM7FS/view?usp=drivesdk</v>
      </c>
      <c r="Q1615" s="147" t="s">
        <v>6103</v>
      </c>
      <c r="R1615" s="147" t="s">
        <v>6104</v>
      </c>
      <c r="S1615" s="60"/>
      <c r="T1615" s="144">
        <v>1.0</v>
      </c>
      <c r="U1615" s="145" t="s">
        <v>6105</v>
      </c>
      <c r="V1615" s="147" t="s">
        <v>155</v>
      </c>
      <c r="W1615" s="1455" t="str">
        <f> hyperlink(vlookup(lower(R1615),'File Links'!F:G, 2, FALSE), "LINK")</f>
        <v>LINK</v>
      </c>
      <c r="X1615" s="60"/>
      <c r="Y1615" s="147" t="s">
        <v>220</v>
      </c>
      <c r="Z1615" s="147" t="s">
        <v>10186</v>
      </c>
      <c r="AA1615" s="147" t="s">
        <v>10187</v>
      </c>
      <c r="AB1615" s="147" t="s">
        <v>10191</v>
      </c>
      <c r="AC1615" s="147" t="s">
        <v>10192</v>
      </c>
      <c r="AD1615" s="327">
        <v>3.0</v>
      </c>
      <c r="AE1615" s="144">
        <v>48.0</v>
      </c>
      <c r="AF1615" s="327">
        <v>2.27</v>
      </c>
      <c r="AG1615" s="144" t="s">
        <v>1006</v>
      </c>
      <c r="AH1615" s="327" t="s">
        <v>210</v>
      </c>
      <c r="AI1615" s="144">
        <v>0.001</v>
      </c>
      <c r="AJ1615" s="147" t="s">
        <v>127</v>
      </c>
      <c r="AK1615" s="147" t="s">
        <v>179</v>
      </c>
      <c r="AL1615" s="147" t="s">
        <v>132</v>
      </c>
      <c r="AM1615" s="60"/>
      <c r="AN1615" s="144">
        <v>95.0</v>
      </c>
      <c r="AO1615" s="327">
        <v>0.02278</v>
      </c>
      <c r="AP1615" s="144" t="s">
        <v>1006</v>
      </c>
      <c r="AQ1615" s="144" t="s">
        <v>625</v>
      </c>
      <c r="AR1615" s="144">
        <f> 6.28*10^-13</f>
        <v>0</v>
      </c>
      <c r="AS1615" s="147" t="s">
        <v>127</v>
      </c>
      <c r="AT1615" s="147" t="s">
        <v>179</v>
      </c>
      <c r="AU1615" s="147" t="s">
        <v>132</v>
      </c>
      <c r="AV1615" s="60"/>
      <c r="AW1615" s="60" t="s">
        <v>142</v>
      </c>
      <c r="AY1615" s="60" t="s">
        <v>144</v>
      </c>
    </row>
    <row r="1616">
      <c r="A1616" s="115" t="s">
        <v>5350</v>
      </c>
      <c r="B1616" s="41" t="s">
        <v>107</v>
      </c>
      <c r="C1616" s="41" t="s">
        <v>144</v>
      </c>
      <c r="E1616" s="60" t="s">
        <v>10175</v>
      </c>
      <c r="F1616" s="147" t="s">
        <v>10193</v>
      </c>
      <c r="G1616" s="147" t="s">
        <v>144</v>
      </c>
      <c r="H1616" s="140">
        <v>45687.0</v>
      </c>
      <c r="I1616" s="140">
        <v>45692.0</v>
      </c>
      <c r="J1616" s="412" t="s">
        <v>10184</v>
      </c>
      <c r="K1616" s="60"/>
      <c r="L1616" s="147" t="s">
        <v>10177</v>
      </c>
      <c r="M1616" s="147" t="s">
        <v>10178</v>
      </c>
      <c r="N1616" s="144">
        <v>1.0</v>
      </c>
      <c r="O1616" s="145" t="s">
        <v>10185</v>
      </c>
      <c r="P1616" s="48" t="str">
        <f t="array" ref="P1616">HYPERLINK(INDEX('File Links'!B:B, MATCH(O1616, 'File Links'!C:C, 0)))
</f>
        <v>https://drive.google.com/file/d/1epyBwvNQIzhoIzncHzNCghI35bEcM7FS/view?usp=drivesdk</v>
      </c>
      <c r="Q1616" s="147" t="s">
        <v>6103</v>
      </c>
      <c r="R1616" s="147" t="s">
        <v>6104</v>
      </c>
      <c r="S1616" s="60"/>
      <c r="T1616" s="144">
        <v>1.0</v>
      </c>
      <c r="U1616" s="145" t="s">
        <v>6105</v>
      </c>
      <c r="V1616" s="147" t="s">
        <v>155</v>
      </c>
      <c r="W1616" s="1455" t="str">
        <f> hyperlink(vlookup(lower(R1616),'File Links'!F:G, 2, FALSE), "LINK")</f>
        <v>LINK</v>
      </c>
      <c r="X1616" s="60"/>
      <c r="Y1616" s="147" t="s">
        <v>220</v>
      </c>
      <c r="Z1616" s="147" t="s">
        <v>10186</v>
      </c>
      <c r="AA1616" s="147" t="s">
        <v>10187</v>
      </c>
      <c r="AB1616" s="147" t="s">
        <v>10194</v>
      </c>
      <c r="AC1616" s="147" t="s">
        <v>10195</v>
      </c>
      <c r="AD1616" s="327">
        <v>3.0</v>
      </c>
      <c r="AE1616" s="144">
        <v>48.0</v>
      </c>
      <c r="AF1616" s="327">
        <v>-1.09</v>
      </c>
      <c r="AG1616" s="144" t="s">
        <v>1006</v>
      </c>
      <c r="AH1616" s="327" t="s">
        <v>210</v>
      </c>
      <c r="AI1616" s="144">
        <v>0.001</v>
      </c>
      <c r="AJ1616" s="147" t="s">
        <v>127</v>
      </c>
      <c r="AK1616" s="147" t="s">
        <v>179</v>
      </c>
      <c r="AL1616" s="147" t="s">
        <v>132</v>
      </c>
      <c r="AM1616" s="60"/>
      <c r="AN1616" s="144">
        <v>95.0</v>
      </c>
      <c r="AO1616" s="327">
        <v>-1.786E-4</v>
      </c>
      <c r="AP1616" s="144" t="s">
        <v>1006</v>
      </c>
      <c r="AQ1616" s="144" t="s">
        <v>625</v>
      </c>
      <c r="AR1616" s="144">
        <v>3.63E-4</v>
      </c>
      <c r="AS1616" s="147" t="s">
        <v>164</v>
      </c>
      <c r="AT1616" s="147" t="s">
        <v>179</v>
      </c>
      <c r="AU1616" s="147" t="s">
        <v>132</v>
      </c>
      <c r="AV1616" s="60"/>
      <c r="AW1616" s="60" t="s">
        <v>142</v>
      </c>
      <c r="AY1616" s="60" t="s">
        <v>144</v>
      </c>
    </row>
    <row r="1617">
      <c r="A1617" s="115" t="s">
        <v>5350</v>
      </c>
      <c r="B1617" s="41" t="s">
        <v>107</v>
      </c>
      <c r="C1617" s="41" t="s">
        <v>144</v>
      </c>
      <c r="E1617" s="60" t="s">
        <v>10175</v>
      </c>
      <c r="F1617" s="147" t="s">
        <v>10196</v>
      </c>
      <c r="G1617" s="147" t="s">
        <v>144</v>
      </c>
      <c r="H1617" s="140">
        <v>45687.0</v>
      </c>
      <c r="I1617" s="140">
        <v>45692.0</v>
      </c>
      <c r="J1617" s="412" t="s">
        <v>10184</v>
      </c>
      <c r="K1617" s="60"/>
      <c r="L1617" s="147" t="s">
        <v>10177</v>
      </c>
      <c r="M1617" s="147" t="s">
        <v>10178</v>
      </c>
      <c r="N1617" s="144">
        <v>1.0</v>
      </c>
      <c r="O1617" s="145" t="s">
        <v>10185</v>
      </c>
      <c r="P1617" s="48" t="str">
        <f t="array" ref="P1617">HYPERLINK(INDEX('File Links'!B:B, MATCH(O1617, 'File Links'!C:C, 0)))
</f>
        <v>https://drive.google.com/file/d/1epyBwvNQIzhoIzncHzNCghI35bEcM7FS/view?usp=drivesdk</v>
      </c>
      <c r="Q1617" s="147" t="s">
        <v>6103</v>
      </c>
      <c r="R1617" s="147" t="s">
        <v>6104</v>
      </c>
      <c r="S1617" s="60"/>
      <c r="T1617" s="144">
        <v>1.0</v>
      </c>
      <c r="U1617" s="145" t="s">
        <v>6105</v>
      </c>
      <c r="V1617" s="147" t="s">
        <v>155</v>
      </c>
      <c r="W1617" s="1455" t="str">
        <f> hyperlink(vlookup(lower(R1617),'File Links'!F:G, 2, FALSE), "LINK")</f>
        <v>LINK</v>
      </c>
      <c r="X1617" s="60"/>
      <c r="Y1617" s="147" t="s">
        <v>220</v>
      </c>
      <c r="Z1617" s="147" t="s">
        <v>10186</v>
      </c>
      <c r="AA1617" s="147" t="s">
        <v>10187</v>
      </c>
      <c r="AB1617" s="147" t="s">
        <v>10197</v>
      </c>
      <c r="AC1617" s="147" t="s">
        <v>10198</v>
      </c>
      <c r="AD1617" s="327">
        <v>3.0</v>
      </c>
      <c r="AE1617" s="144">
        <v>48.0</v>
      </c>
      <c r="AF1617" s="327">
        <v>0.34</v>
      </c>
      <c r="AG1617" s="144" t="s">
        <v>1006</v>
      </c>
      <c r="AH1617" s="327" t="s">
        <v>210</v>
      </c>
      <c r="AI1617" s="327">
        <v>0.03</v>
      </c>
      <c r="AJ1617" s="147" t="s">
        <v>127</v>
      </c>
      <c r="AK1617" s="147" t="s">
        <v>179</v>
      </c>
      <c r="AL1617" s="147" t="s">
        <v>132</v>
      </c>
      <c r="AM1617" s="60"/>
      <c r="AN1617" s="144">
        <v>95.0</v>
      </c>
      <c r="AO1617" s="327">
        <v>-0.0195</v>
      </c>
      <c r="AP1617" s="144" t="s">
        <v>1006</v>
      </c>
      <c r="AQ1617" s="144" t="s">
        <v>625</v>
      </c>
      <c r="AR1617" s="144">
        <f>1.23*10^-9</f>
        <v>0.00000000123</v>
      </c>
      <c r="AS1617" s="147" t="s">
        <v>127</v>
      </c>
      <c r="AT1617" s="147" t="s">
        <v>179</v>
      </c>
      <c r="AU1617" s="147" t="s">
        <v>132</v>
      </c>
      <c r="AV1617" s="60"/>
      <c r="AW1617" s="60" t="s">
        <v>142</v>
      </c>
      <c r="AY1617" s="60" t="s">
        <v>144</v>
      </c>
    </row>
    <row r="1618">
      <c r="A1618" s="115" t="s">
        <v>5350</v>
      </c>
      <c r="B1618" s="41" t="s">
        <v>107</v>
      </c>
      <c r="C1618" s="41" t="s">
        <v>144</v>
      </c>
      <c r="E1618" s="60" t="s">
        <v>10175</v>
      </c>
      <c r="F1618" s="147" t="s">
        <v>10199</v>
      </c>
      <c r="G1618" s="147" t="s">
        <v>144</v>
      </c>
      <c r="H1618" s="140">
        <v>45687.0</v>
      </c>
      <c r="I1618" s="140">
        <v>45692.0</v>
      </c>
      <c r="J1618" s="412" t="s">
        <v>10184</v>
      </c>
      <c r="K1618" s="60"/>
      <c r="L1618" s="147" t="s">
        <v>10177</v>
      </c>
      <c r="M1618" s="147" t="s">
        <v>10178</v>
      </c>
      <c r="N1618" s="144">
        <v>1.0</v>
      </c>
      <c r="O1618" s="145" t="s">
        <v>10185</v>
      </c>
      <c r="P1618" s="48" t="str">
        <f t="array" ref="P1618">HYPERLINK(INDEX('File Links'!B:B, MATCH(O1618, 'File Links'!C:C, 0)))
</f>
        <v>https://drive.google.com/file/d/1epyBwvNQIzhoIzncHzNCghI35bEcM7FS/view?usp=drivesdk</v>
      </c>
      <c r="Q1618" s="147" t="s">
        <v>6103</v>
      </c>
      <c r="R1618" s="147" t="s">
        <v>6104</v>
      </c>
      <c r="S1618" s="60"/>
      <c r="T1618" s="144">
        <v>1.0</v>
      </c>
      <c r="U1618" s="145" t="s">
        <v>6105</v>
      </c>
      <c r="V1618" s="147" t="s">
        <v>155</v>
      </c>
      <c r="W1618" s="1455" t="str">
        <f> hyperlink(vlookup(lower(R1618),'File Links'!F:G, 2, FALSE), "LINK")</f>
        <v>LINK</v>
      </c>
      <c r="X1618" s="60"/>
      <c r="Y1618" s="147" t="s">
        <v>220</v>
      </c>
      <c r="Z1618" s="147" t="s">
        <v>10186</v>
      </c>
      <c r="AA1618" s="147" t="s">
        <v>10187</v>
      </c>
      <c r="AB1618" s="147" t="s">
        <v>10200</v>
      </c>
      <c r="AC1618" s="147" t="s">
        <v>10201</v>
      </c>
      <c r="AD1618" s="327">
        <v>3.0</v>
      </c>
      <c r="AE1618" s="144">
        <v>48.0</v>
      </c>
      <c r="AF1618" s="327">
        <v>-1.54</v>
      </c>
      <c r="AG1618" s="144" t="s">
        <v>1006</v>
      </c>
      <c r="AH1618" s="327" t="s">
        <v>210</v>
      </c>
      <c r="AI1618" s="327">
        <v>0.001</v>
      </c>
      <c r="AJ1618" s="147" t="s">
        <v>127</v>
      </c>
      <c r="AK1618" s="147" t="s">
        <v>128</v>
      </c>
      <c r="AL1618" s="60" t="s">
        <v>129</v>
      </c>
      <c r="AM1618" s="60"/>
      <c r="AN1618" s="144">
        <v>95.0</v>
      </c>
      <c r="AO1618" s="327">
        <v>9.845E-5</v>
      </c>
      <c r="AP1618" s="144" t="s">
        <v>1006</v>
      </c>
      <c r="AQ1618" s="144" t="s">
        <v>625</v>
      </c>
      <c r="AR1618" s="144">
        <v>0.098598</v>
      </c>
      <c r="AS1618" s="147" t="s">
        <v>164</v>
      </c>
      <c r="AT1618" s="147" t="s">
        <v>179</v>
      </c>
      <c r="AU1618" s="147" t="s">
        <v>132</v>
      </c>
      <c r="AV1618" s="60"/>
      <c r="AW1618" s="60" t="s">
        <v>142</v>
      </c>
      <c r="AY1618" s="60" t="s">
        <v>144</v>
      </c>
    </row>
    <row r="1619">
      <c r="A1619" s="115" t="s">
        <v>5350</v>
      </c>
      <c r="B1619" s="41" t="s">
        <v>107</v>
      </c>
      <c r="C1619" s="41" t="s">
        <v>144</v>
      </c>
      <c r="E1619" s="60" t="s">
        <v>10175</v>
      </c>
      <c r="F1619" s="147" t="s">
        <v>10202</v>
      </c>
      <c r="G1619" s="147" t="s">
        <v>144</v>
      </c>
      <c r="H1619" s="140">
        <v>45687.0</v>
      </c>
      <c r="I1619" s="140">
        <v>45692.0</v>
      </c>
      <c r="J1619" s="412" t="s">
        <v>10184</v>
      </c>
      <c r="K1619" s="60"/>
      <c r="L1619" s="147" t="s">
        <v>10177</v>
      </c>
      <c r="M1619" s="147" t="s">
        <v>10178</v>
      </c>
      <c r="N1619" s="144">
        <v>1.0</v>
      </c>
      <c r="O1619" s="145" t="s">
        <v>10185</v>
      </c>
      <c r="P1619" s="48" t="str">
        <f t="array" ref="P1619">HYPERLINK(INDEX('File Links'!B:B, MATCH(O1619, 'File Links'!C:C, 0)))
</f>
        <v>https://drive.google.com/file/d/1epyBwvNQIzhoIzncHzNCghI35bEcM7FS/view?usp=drivesdk</v>
      </c>
      <c r="Q1619" s="147" t="s">
        <v>6103</v>
      </c>
      <c r="R1619" s="147" t="s">
        <v>6104</v>
      </c>
      <c r="S1619" s="60"/>
      <c r="T1619" s="144">
        <v>1.0</v>
      </c>
      <c r="U1619" s="145" t="s">
        <v>6105</v>
      </c>
      <c r="V1619" s="147" t="s">
        <v>155</v>
      </c>
      <c r="W1619" s="1455" t="str">
        <f> hyperlink(vlookup(lower(R1619),'File Links'!F:G, 2, FALSE), "LINK")</f>
        <v>LINK</v>
      </c>
      <c r="X1619" s="60"/>
      <c r="Y1619" s="147" t="s">
        <v>220</v>
      </c>
      <c r="Z1619" s="147" t="s">
        <v>10186</v>
      </c>
      <c r="AA1619" s="147" t="s">
        <v>10187</v>
      </c>
      <c r="AB1619" s="147" t="s">
        <v>10203</v>
      </c>
      <c r="AC1619" s="147" t="s">
        <v>10204</v>
      </c>
      <c r="AD1619" s="327">
        <v>3.0</v>
      </c>
      <c r="AE1619" s="144">
        <v>48.0</v>
      </c>
      <c r="AF1619" s="327">
        <v>-0.26</v>
      </c>
      <c r="AG1619" s="144" t="s">
        <v>1006</v>
      </c>
      <c r="AH1619" s="327" t="s">
        <v>210</v>
      </c>
      <c r="AI1619" s="327">
        <v>0.001</v>
      </c>
      <c r="AJ1619" s="147" t="s">
        <v>127</v>
      </c>
      <c r="AK1619" s="147" t="s">
        <v>128</v>
      </c>
      <c r="AL1619" s="60" t="s">
        <v>129</v>
      </c>
      <c r="AM1619" s="60"/>
      <c r="AN1619" s="144">
        <v>95.0</v>
      </c>
      <c r="AO1619" s="327">
        <v>-0.09845</v>
      </c>
      <c r="AP1619" s="144" t="s">
        <v>1006</v>
      </c>
      <c r="AQ1619" s="144" t="s">
        <v>625</v>
      </c>
      <c r="AR1619" s="144">
        <v>0.207203</v>
      </c>
      <c r="AS1619" s="147" t="s">
        <v>164</v>
      </c>
      <c r="AT1619" s="147" t="s">
        <v>179</v>
      </c>
      <c r="AU1619" s="147" t="s">
        <v>132</v>
      </c>
      <c r="AV1619" s="60"/>
      <c r="AW1619" s="60" t="s">
        <v>142</v>
      </c>
      <c r="AY1619" s="60" t="s">
        <v>144</v>
      </c>
    </row>
    <row r="1620">
      <c r="A1620" s="60" t="s">
        <v>106</v>
      </c>
      <c r="B1620" s="41" t="s">
        <v>107</v>
      </c>
      <c r="C1620" s="41" t="s">
        <v>243</v>
      </c>
      <c r="E1620" s="147" t="s">
        <v>10205</v>
      </c>
      <c r="F1620" s="147" t="s">
        <v>10206</v>
      </c>
      <c r="G1620" s="147" t="s">
        <v>244</v>
      </c>
      <c r="H1620" s="140">
        <v>45672.0</v>
      </c>
      <c r="I1620" s="140">
        <v>45692.0</v>
      </c>
      <c r="J1620" s="60"/>
      <c r="K1620" s="60" t="s">
        <v>9078</v>
      </c>
      <c r="L1620" s="147" t="s">
        <v>10207</v>
      </c>
      <c r="M1620" s="147" t="s">
        <v>10208</v>
      </c>
      <c r="N1620" s="60"/>
      <c r="O1620" s="145" t="str">
        <f> SUBSTITUTE(lower(M1620), "/", "--") &amp;  ".pdf"</f>
        <v>10.1037--xge0000738.pdf</v>
      </c>
      <c r="P1620" s="48" t="str">
        <f t="array" ref="P1620">HYPERLINK(INDEX('File Links'!B:B, MATCH(O1620, 'File Links'!C:C, 0)))
</f>
        <v>https://drive.google.com/file/d/18gORVnI1F3fjlDcwB6OsrshMJDerCS2r/view?usp=drivesdk</v>
      </c>
      <c r="Q1620" s="147" t="s">
        <v>10209</v>
      </c>
      <c r="R1620" s="147" t="s">
        <v>10210</v>
      </c>
      <c r="S1620" s="60"/>
      <c r="T1620" s="60"/>
      <c r="U1620" s="145" t="s">
        <v>6105</v>
      </c>
      <c r="V1620" s="147" t="s">
        <v>318</v>
      </c>
      <c r="W1620" s="1455" t="str">
        <f> hyperlink(vlookup(lower(R1620),'File Links'!E:F, 2, FALSE), "LINK")</f>
        <v>LINK</v>
      </c>
      <c r="X1620" s="60"/>
      <c r="Y1620" s="147" t="s">
        <v>220</v>
      </c>
      <c r="Z1620" s="60"/>
      <c r="AA1620" s="147" t="s">
        <v>10211</v>
      </c>
      <c r="AB1620" s="60"/>
      <c r="AC1620" s="147" t="s">
        <v>10212</v>
      </c>
      <c r="AD1620" s="1265">
        <v>1742.0</v>
      </c>
      <c r="AE1620" s="144">
        <v>223.0</v>
      </c>
      <c r="AF1620" s="144">
        <v>0.4</v>
      </c>
      <c r="AG1620" s="147" t="s">
        <v>166</v>
      </c>
      <c r="AH1620" s="1268" t="s">
        <v>10213</v>
      </c>
      <c r="AI1620" s="144">
        <v>0.004</v>
      </c>
      <c r="AJ1620" s="147" t="s">
        <v>164</v>
      </c>
      <c r="AK1620" s="147" t="s">
        <v>128</v>
      </c>
      <c r="AL1620" s="147" t="s">
        <v>132</v>
      </c>
      <c r="AM1620" s="303" t="s">
        <v>10214</v>
      </c>
      <c r="AN1620" s="144">
        <v>194.0</v>
      </c>
      <c r="AO1620" s="1486">
        <v>0.145882726528282</v>
      </c>
      <c r="AP1620" s="147" t="s">
        <v>166</v>
      </c>
      <c r="AQ1620" s="60"/>
      <c r="AR1620" s="1486">
        <v>0.044079512790297</v>
      </c>
      <c r="AS1620" s="147" t="s">
        <v>164</v>
      </c>
      <c r="AT1620" s="147" t="s">
        <v>179</v>
      </c>
      <c r="AU1620" s="147" t="s">
        <v>132</v>
      </c>
      <c r="AV1620" s="60"/>
      <c r="AW1620" s="147" t="s">
        <v>134</v>
      </c>
      <c r="AY1620" s="60" t="s">
        <v>144</v>
      </c>
    </row>
    <row r="1621">
      <c r="A1621" s="115" t="s">
        <v>5350</v>
      </c>
      <c r="B1621" s="41" t="s">
        <v>107</v>
      </c>
      <c r="C1621" s="41" t="s">
        <v>144</v>
      </c>
      <c r="E1621" s="60" t="s">
        <v>10206</v>
      </c>
      <c r="F1621" s="147" t="s">
        <v>10205</v>
      </c>
      <c r="G1621" s="147" t="s">
        <v>144</v>
      </c>
      <c r="H1621" s="140">
        <v>45687.0</v>
      </c>
      <c r="I1621" s="140">
        <v>45692.0</v>
      </c>
      <c r="J1621" s="412" t="s">
        <v>10215</v>
      </c>
      <c r="K1621" s="60"/>
      <c r="L1621" s="147" t="s">
        <v>10207</v>
      </c>
      <c r="M1621" s="60"/>
      <c r="N1621" s="144">
        <v>3.0</v>
      </c>
      <c r="O1621" s="145" t="s">
        <v>351</v>
      </c>
      <c r="P1621" s="544" t="str">
        <f t="array" ref="P1621">HYPERLINK(INDEX('File Links'!B:B, MATCH(O1621, 'File Links'!C:C, 0)))
</f>
        <v>#N/A</v>
      </c>
      <c r="Q1621" s="147" t="s">
        <v>6103</v>
      </c>
      <c r="R1621" s="147" t="s">
        <v>6104</v>
      </c>
      <c r="S1621" s="60"/>
      <c r="T1621" s="144">
        <v>1.0</v>
      </c>
      <c r="U1621" s="145" t="s">
        <v>6105</v>
      </c>
      <c r="V1621" s="147" t="s">
        <v>9109</v>
      </c>
      <c r="W1621" s="1455" t="str">
        <f> hyperlink(vlookup(lower(R1621),'File Links'!F:G, 2, FALSE), "LINK")</f>
        <v>LINK</v>
      </c>
      <c r="X1621" s="60"/>
      <c r="Y1621" s="147" t="s">
        <v>220</v>
      </c>
      <c r="Z1621" s="147" t="s">
        <v>10216</v>
      </c>
      <c r="AA1621" s="147" t="s">
        <v>10217</v>
      </c>
      <c r="AB1621" s="147" t="s">
        <v>10218</v>
      </c>
      <c r="AC1621" s="147" t="s">
        <v>10219</v>
      </c>
      <c r="AD1621" s="144">
        <v>9.0</v>
      </c>
      <c r="AE1621" s="144">
        <v>223.0</v>
      </c>
      <c r="AF1621" s="144">
        <v>0.4</v>
      </c>
      <c r="AG1621" s="144" t="s">
        <v>166</v>
      </c>
      <c r="AH1621" s="144" t="s">
        <v>625</v>
      </c>
      <c r="AI1621" s="144">
        <v>0.004</v>
      </c>
      <c r="AJ1621" s="147" t="s">
        <v>164</v>
      </c>
      <c r="AK1621" s="147" t="s">
        <v>128</v>
      </c>
      <c r="AL1621" s="147" t="s">
        <v>132</v>
      </c>
      <c r="AM1621" s="60"/>
      <c r="AN1621" s="144">
        <v>194.0</v>
      </c>
      <c r="AO1621" s="144">
        <v>0.145882726528282</v>
      </c>
      <c r="AP1621" s="144" t="s">
        <v>166</v>
      </c>
      <c r="AQ1621" s="60"/>
      <c r="AR1621" s="144">
        <v>0.044079512790297</v>
      </c>
      <c r="AS1621" s="147" t="s">
        <v>164</v>
      </c>
      <c r="AT1621" s="147" t="s">
        <v>179</v>
      </c>
      <c r="AU1621" s="147" t="s">
        <v>132</v>
      </c>
      <c r="AV1621" s="60"/>
      <c r="AW1621" s="60" t="s">
        <v>134</v>
      </c>
      <c r="AY1621" s="60" t="s">
        <v>144</v>
      </c>
    </row>
    <row r="1622">
      <c r="A1622" s="60" t="s">
        <v>106</v>
      </c>
      <c r="B1622" s="41" t="s">
        <v>107</v>
      </c>
      <c r="C1622" s="41" t="s">
        <v>243</v>
      </c>
      <c r="E1622" s="147" t="s">
        <v>10220</v>
      </c>
      <c r="F1622" s="147" t="s">
        <v>10221</v>
      </c>
      <c r="G1622" s="147" t="s">
        <v>244</v>
      </c>
      <c r="H1622" s="140">
        <v>45664.0</v>
      </c>
      <c r="I1622" s="140">
        <v>45692.0</v>
      </c>
      <c r="J1622" s="60"/>
      <c r="K1622" s="60" t="s">
        <v>10123</v>
      </c>
      <c r="L1622" s="147" t="s">
        <v>10222</v>
      </c>
      <c r="M1622" s="147" t="s">
        <v>10223</v>
      </c>
      <c r="N1622" s="60"/>
      <c r="O1622" s="145" t="str">
        <f> SUBSTITUTE(lower(M1622), "/", "--") &amp;  ".pdf"</f>
        <v>10.1111--cogs.12176.pdf</v>
      </c>
      <c r="P1622" s="48" t="str">
        <f t="array" ref="P1622">HYPERLINK(INDEX('File Links'!B:B, MATCH(O1622, 'File Links'!C:C, 0)))
</f>
        <v>https://drive.google.com/file/d/1noF0-gFXnE925nL0unfvsQ-ANlXov76A/view?usp=drivesdk</v>
      </c>
      <c r="Q1622" s="147" t="s">
        <v>10224</v>
      </c>
      <c r="R1622" s="147" t="s">
        <v>10225</v>
      </c>
      <c r="S1622" s="60"/>
      <c r="T1622" s="60"/>
      <c r="U1622" s="145" t="s">
        <v>6105</v>
      </c>
      <c r="V1622" s="147" t="s">
        <v>9109</v>
      </c>
      <c r="W1622" s="1455" t="str">
        <f> hyperlink(vlookup(lower(R1622),'File Links'!E:F, 2, FALSE), "LINK")</f>
        <v>LINK</v>
      </c>
      <c r="X1622" s="60"/>
      <c r="Y1622" s="147" t="s">
        <v>139</v>
      </c>
      <c r="Z1622" s="1460" t="s">
        <v>10226</v>
      </c>
      <c r="AA1622" s="1460" t="s">
        <v>10227</v>
      </c>
      <c r="AB1622" s="1460" t="s">
        <v>10228</v>
      </c>
      <c r="AC1622" s="147" t="s">
        <v>10229</v>
      </c>
      <c r="AD1622" s="1459">
        <v>10.0</v>
      </c>
      <c r="AE1622" s="144">
        <v>32.0</v>
      </c>
      <c r="AF1622" s="144">
        <v>31.45</v>
      </c>
      <c r="AG1622" s="147" t="s">
        <v>1051</v>
      </c>
      <c r="AH1622" s="1460" t="s">
        <v>629</v>
      </c>
      <c r="AI1622" s="144">
        <v>0.001</v>
      </c>
      <c r="AJ1622" s="147" t="s">
        <v>127</v>
      </c>
      <c r="AK1622" s="147" t="s">
        <v>179</v>
      </c>
      <c r="AL1622" s="147" t="s">
        <v>132</v>
      </c>
      <c r="AM1622" s="147" t="s">
        <v>129</v>
      </c>
      <c r="AN1622" s="144">
        <v>100.0</v>
      </c>
      <c r="AO1622" s="60"/>
      <c r="AP1622" s="60"/>
      <c r="AQ1622" s="60"/>
      <c r="AR1622" s="60"/>
      <c r="AS1622" s="60"/>
      <c r="AT1622" s="147" t="s">
        <v>179</v>
      </c>
      <c r="AU1622" s="147" t="s">
        <v>132</v>
      </c>
      <c r="AV1622" s="60"/>
      <c r="AW1622" s="147" t="s">
        <v>134</v>
      </c>
      <c r="AY1622" s="60" t="s">
        <v>144</v>
      </c>
    </row>
    <row r="1623">
      <c r="A1623" s="60" t="s">
        <v>106</v>
      </c>
      <c r="B1623" s="41" t="s">
        <v>107</v>
      </c>
      <c r="C1623" s="41" t="s">
        <v>144</v>
      </c>
      <c r="E1623" s="60" t="s">
        <v>10221</v>
      </c>
      <c r="F1623" s="147" t="s">
        <v>10220</v>
      </c>
      <c r="G1623" s="147" t="s">
        <v>144</v>
      </c>
      <c r="H1623" s="140">
        <v>45687.0</v>
      </c>
      <c r="I1623" s="140">
        <v>45692.0</v>
      </c>
      <c r="J1623" s="412" t="s">
        <v>10230</v>
      </c>
      <c r="K1623" s="60"/>
      <c r="L1623" s="147" t="s">
        <v>10222</v>
      </c>
      <c r="M1623" s="147" t="s">
        <v>10223</v>
      </c>
      <c r="N1623" s="60"/>
      <c r="O1623" s="145" t="s">
        <v>10231</v>
      </c>
      <c r="P1623" s="48" t="str">
        <f t="array" ref="P1623">HYPERLINK(INDEX('File Links'!B:B, MATCH(O1623, 'File Links'!C:C, 0)))
</f>
        <v>https://drive.google.com/file/d/1noF0-gFXnE925nL0unfvsQ-ANlXov76A/view?usp=drivesdk</v>
      </c>
      <c r="Q1623" s="147" t="s">
        <v>6103</v>
      </c>
      <c r="R1623" s="147" t="s">
        <v>6104</v>
      </c>
      <c r="S1623" s="60"/>
      <c r="T1623" s="144">
        <v>1.0</v>
      </c>
      <c r="U1623" s="145" t="s">
        <v>6105</v>
      </c>
      <c r="V1623" s="147" t="s">
        <v>9109</v>
      </c>
      <c r="W1623" s="1455" t="str">
        <f> hyperlink(vlookup(lower(R1623),'File Links'!F:G, 2, FALSE), "LINK")</f>
        <v>LINK</v>
      </c>
      <c r="X1623" s="60"/>
      <c r="Y1623" s="147" t="s">
        <v>139</v>
      </c>
      <c r="Z1623" s="147" t="s">
        <v>10226</v>
      </c>
      <c r="AA1623" s="147" t="s">
        <v>10227</v>
      </c>
      <c r="AB1623" s="147" t="s">
        <v>10228</v>
      </c>
      <c r="AC1623" s="147" t="s">
        <v>10232</v>
      </c>
      <c r="AD1623" s="144">
        <v>10.0</v>
      </c>
      <c r="AE1623" s="144">
        <v>32.0</v>
      </c>
      <c r="AF1623" s="1470">
        <v>1.012734458295901</v>
      </c>
      <c r="AG1623" s="144" t="s">
        <v>166</v>
      </c>
      <c r="AH1623" s="144" t="s">
        <v>299</v>
      </c>
      <c r="AI1623" s="144">
        <v>0.05</v>
      </c>
      <c r="AJ1623" s="147" t="s">
        <v>127</v>
      </c>
      <c r="AK1623" s="147" t="s">
        <v>179</v>
      </c>
      <c r="AL1623" s="147" t="s">
        <v>132</v>
      </c>
      <c r="AM1623" s="60"/>
      <c r="AN1623" s="144">
        <v>100.0</v>
      </c>
      <c r="AO1623" s="144">
        <v>0.15</v>
      </c>
      <c r="AP1623" s="144" t="s">
        <v>166</v>
      </c>
      <c r="AQ1623" s="60"/>
      <c r="AR1623" s="60"/>
      <c r="AS1623" s="60"/>
      <c r="AT1623" s="147" t="s">
        <v>179</v>
      </c>
      <c r="AU1623" s="147" t="s">
        <v>132</v>
      </c>
      <c r="AV1623" s="60"/>
      <c r="AW1623" s="60" t="s">
        <v>134</v>
      </c>
      <c r="AY1623" s="60" t="s">
        <v>144</v>
      </c>
    </row>
    <row r="1624" hidden="1">
      <c r="A1624" s="115" t="s">
        <v>5350</v>
      </c>
      <c r="B1624" s="41" t="s">
        <v>107</v>
      </c>
      <c r="C1624" s="1463" t="s">
        <v>144</v>
      </c>
      <c r="D1624" s="1463" t="s">
        <v>9305</v>
      </c>
      <c r="E1624" s="147" t="s">
        <v>10220</v>
      </c>
      <c r="F1624" s="147" t="s">
        <v>10221</v>
      </c>
      <c r="G1624" s="642" t="s">
        <v>9306</v>
      </c>
      <c r="H1624" s="140">
        <v>45664.0</v>
      </c>
      <c r="I1624" s="140">
        <v>45692.0</v>
      </c>
      <c r="J1624" s="60"/>
      <c r="K1624" s="60"/>
      <c r="L1624" s="147" t="s">
        <v>10222</v>
      </c>
      <c r="M1624" s="147" t="s">
        <v>10223</v>
      </c>
      <c r="N1624" s="60"/>
      <c r="O1624" s="145" t="str">
        <f t="shared" ref="O1624:O1625" si="83"> SUBSTITUTE(lower(M1624), "/", "--") &amp;  ".pdf"</f>
        <v>10.1111--cogs.12176.pdf</v>
      </c>
      <c r="P1624" s="48" t="str">
        <f t="array" ref="P1624">HYPERLINK(INDEX('File Links'!B:B, MATCH(O1624, 'File Links'!C:C, 0)))
</f>
        <v>https://drive.google.com/file/d/1noF0-gFXnE925nL0unfvsQ-ANlXov76A/view?usp=drivesdk</v>
      </c>
      <c r="Q1624" s="147" t="s">
        <v>10224</v>
      </c>
      <c r="R1624" s="147" t="s">
        <v>10225</v>
      </c>
      <c r="S1624" s="60"/>
      <c r="T1624" s="60"/>
      <c r="U1624" s="145" t="s">
        <v>6105</v>
      </c>
      <c r="V1624" s="147" t="s">
        <v>9109</v>
      </c>
      <c r="W1624" s="1455" t="str">
        <f> hyperlink(vlookup(lower(R1624),'File Links'!E:F, 2, FALSE), "LINK")</f>
        <v>LINK</v>
      </c>
      <c r="X1624" s="60" t="s">
        <v>10233</v>
      </c>
      <c r="Y1624" s="60"/>
      <c r="Z1624" s="60"/>
      <c r="AA1624" s="60"/>
      <c r="AB1624" s="60"/>
      <c r="AC1624" s="60"/>
      <c r="AD1624" s="60"/>
      <c r="AE1624" s="60"/>
      <c r="AF1624" s="60"/>
      <c r="AG1624" s="60"/>
      <c r="AH1624" s="60"/>
      <c r="AI1624" s="60"/>
      <c r="AJ1624" s="60"/>
      <c r="AK1624" s="60"/>
      <c r="AL1624" s="60"/>
      <c r="AM1624" s="60"/>
      <c r="AN1624" s="60"/>
      <c r="AO1624" s="60"/>
      <c r="AP1624" s="60"/>
      <c r="AQ1624" s="60"/>
      <c r="AR1624" s="60"/>
      <c r="AS1624" s="60"/>
      <c r="AT1624" s="60"/>
      <c r="AU1624" s="60"/>
      <c r="AV1624" s="60"/>
      <c r="AW1624" s="60"/>
      <c r="AY1624" s="60" t="s">
        <v>144</v>
      </c>
    </row>
    <row r="1625">
      <c r="A1625" s="60" t="s">
        <v>106</v>
      </c>
      <c r="B1625" s="41" t="s">
        <v>107</v>
      </c>
      <c r="C1625" s="41" t="s">
        <v>243</v>
      </c>
      <c r="E1625" s="147" t="s">
        <v>10234</v>
      </c>
      <c r="F1625" s="147" t="s">
        <v>10235</v>
      </c>
      <c r="G1625" s="147" t="s">
        <v>244</v>
      </c>
      <c r="H1625" s="140">
        <v>45672.0</v>
      </c>
      <c r="I1625" s="140">
        <v>45692.0</v>
      </c>
      <c r="J1625" s="60"/>
      <c r="K1625" s="60"/>
      <c r="L1625" s="147" t="s">
        <v>10236</v>
      </c>
      <c r="M1625" s="147" t="s">
        <v>10237</v>
      </c>
      <c r="N1625" s="60"/>
      <c r="O1625" s="145" t="str">
        <f t="shared" si="83"/>
        <v>10.1177--0956797614559285.pdf</v>
      </c>
      <c r="P1625" s="48" t="str">
        <f t="array" ref="P1625">HYPERLINK(INDEX('File Links'!B:B, MATCH(O1625, 'File Links'!C:C, 0)))
</f>
        <v>https://drive.google.com/file/d/1hgaLy7Pk7l8_uT0qzsdgGRA4OH5u_0hL/view?usp=drivesdk</v>
      </c>
      <c r="Q1625" s="147" t="s">
        <v>10238</v>
      </c>
      <c r="R1625" s="147" t="s">
        <v>10239</v>
      </c>
      <c r="S1625" s="60"/>
      <c r="T1625" s="60"/>
      <c r="U1625" s="145" t="s">
        <v>6105</v>
      </c>
      <c r="V1625" s="147" t="s">
        <v>318</v>
      </c>
      <c r="W1625" s="1455" t="str">
        <f> hyperlink(vlookup(lower(R1625),'File Links'!E:F, 2, FALSE), "LINK")</f>
        <v>LINK</v>
      </c>
      <c r="X1625" s="60"/>
      <c r="Y1625" s="147" t="s">
        <v>139</v>
      </c>
      <c r="Z1625" s="60"/>
      <c r="AA1625" s="147" t="s">
        <v>10240</v>
      </c>
      <c r="AB1625" s="60"/>
      <c r="AC1625" s="147" t="s">
        <v>10241</v>
      </c>
      <c r="AD1625" s="144">
        <v>5.0</v>
      </c>
      <c r="AE1625" s="144">
        <v>48.0</v>
      </c>
      <c r="AF1625" s="1486">
        <v>7.89</v>
      </c>
      <c r="AG1625" s="147" t="s">
        <v>1051</v>
      </c>
      <c r="AH1625" s="147" t="s">
        <v>892</v>
      </c>
      <c r="AI1625" s="144">
        <v>0.007</v>
      </c>
      <c r="AJ1625" s="147" t="s">
        <v>164</v>
      </c>
      <c r="AK1625" s="147" t="s">
        <v>179</v>
      </c>
      <c r="AL1625" s="147" t="s">
        <v>132</v>
      </c>
      <c r="AM1625" s="147" t="s">
        <v>129</v>
      </c>
      <c r="AN1625" s="144">
        <v>51.0</v>
      </c>
      <c r="AO1625" s="1486">
        <v>0.0669198092463301</v>
      </c>
      <c r="AP1625" s="147" t="s">
        <v>166</v>
      </c>
      <c r="AQ1625" s="60"/>
      <c r="AR1625" s="1486">
        <v>0.652055010791243</v>
      </c>
      <c r="AS1625" s="147" t="s">
        <v>164</v>
      </c>
      <c r="AT1625" s="147" t="s">
        <v>179</v>
      </c>
      <c r="AU1625" s="147" t="s">
        <v>132</v>
      </c>
      <c r="AV1625" s="60"/>
      <c r="AW1625" s="1268" t="s">
        <v>134</v>
      </c>
      <c r="AY1625" s="60" t="s">
        <v>144</v>
      </c>
    </row>
    <row r="1626">
      <c r="A1626" s="115" t="s">
        <v>5350</v>
      </c>
      <c r="B1626" s="41" t="s">
        <v>107</v>
      </c>
      <c r="C1626" s="41" t="s">
        <v>144</v>
      </c>
      <c r="E1626" s="60" t="s">
        <v>10235</v>
      </c>
      <c r="F1626" s="147" t="s">
        <v>10242</v>
      </c>
      <c r="G1626" s="147" t="s">
        <v>144</v>
      </c>
      <c r="H1626" s="140">
        <v>45687.0</v>
      </c>
      <c r="I1626" s="140">
        <v>45692.0</v>
      </c>
      <c r="J1626" s="454" t="s">
        <v>10243</v>
      </c>
      <c r="K1626" s="60"/>
      <c r="L1626" s="147" t="s">
        <v>10236</v>
      </c>
      <c r="M1626" s="147" t="s">
        <v>10237</v>
      </c>
      <c r="N1626" s="144">
        <v>3.0</v>
      </c>
      <c r="O1626" s="145" t="s">
        <v>10244</v>
      </c>
      <c r="P1626" s="48" t="str">
        <f t="array" ref="P1626">HYPERLINK(INDEX('File Links'!B:B, MATCH(O1626, 'File Links'!C:C, 0)))
</f>
        <v>https://drive.google.com/file/d/1hgaLy7Pk7l8_uT0qzsdgGRA4OH5u_0hL/view?usp=drivesdk</v>
      </c>
      <c r="Q1626" s="147" t="s">
        <v>6103</v>
      </c>
      <c r="R1626" s="147" t="s">
        <v>6104</v>
      </c>
      <c r="S1626" s="60"/>
      <c r="T1626" s="144">
        <v>1.0</v>
      </c>
      <c r="U1626" s="145" t="s">
        <v>6105</v>
      </c>
      <c r="V1626" s="147" t="s">
        <v>9109</v>
      </c>
      <c r="W1626" s="1455" t="str">
        <f> hyperlink(vlookup(lower(R1626),'File Links'!F:G, 2, FALSE), "LINK")</f>
        <v>LINK</v>
      </c>
      <c r="X1626" s="42"/>
      <c r="Y1626" s="147" t="s">
        <v>139</v>
      </c>
      <c r="Z1626" s="147" t="s">
        <v>10245</v>
      </c>
      <c r="AA1626" s="147" t="s">
        <v>10246</v>
      </c>
      <c r="AB1626" s="147" t="s">
        <v>10247</v>
      </c>
      <c r="AC1626" s="147" t="s">
        <v>10248</v>
      </c>
      <c r="AD1626" s="144">
        <v>5.0</v>
      </c>
      <c r="AE1626" s="144">
        <v>48.0</v>
      </c>
      <c r="AF1626" s="144">
        <v>2.91</v>
      </c>
      <c r="AG1626" s="144" t="s">
        <v>166</v>
      </c>
      <c r="AH1626" s="144" t="s">
        <v>892</v>
      </c>
      <c r="AI1626" s="144">
        <v>0.001</v>
      </c>
      <c r="AJ1626" s="147" t="s">
        <v>127</v>
      </c>
      <c r="AK1626" s="147" t="s">
        <v>179</v>
      </c>
      <c r="AL1626" s="147" t="s">
        <v>132</v>
      </c>
      <c r="AM1626" s="60"/>
      <c r="AN1626" s="144">
        <v>51.0</v>
      </c>
      <c r="AO1626" s="144">
        <v>2.23</v>
      </c>
      <c r="AP1626" s="144" t="s">
        <v>166</v>
      </c>
      <c r="AQ1626" s="144" t="s">
        <v>624</v>
      </c>
      <c r="AR1626" s="144">
        <v>0.001</v>
      </c>
      <c r="AS1626" s="147" t="s">
        <v>127</v>
      </c>
      <c r="AT1626" s="147" t="s">
        <v>179</v>
      </c>
      <c r="AU1626" s="147" t="s">
        <v>132</v>
      </c>
      <c r="AV1626" s="60"/>
      <c r="AW1626" s="60" t="s">
        <v>142</v>
      </c>
      <c r="AY1626" s="60" t="s">
        <v>144</v>
      </c>
    </row>
    <row r="1627">
      <c r="A1627" s="115" t="s">
        <v>5350</v>
      </c>
      <c r="B1627" s="41" t="s">
        <v>107</v>
      </c>
      <c r="C1627" s="41" t="s">
        <v>144</v>
      </c>
      <c r="E1627" s="60" t="s">
        <v>10235</v>
      </c>
      <c r="F1627" s="147" t="s">
        <v>10249</v>
      </c>
      <c r="G1627" s="147" t="s">
        <v>144</v>
      </c>
      <c r="H1627" s="140">
        <v>45687.0</v>
      </c>
      <c r="I1627" s="140">
        <v>45692.0</v>
      </c>
      <c r="J1627" s="454" t="s">
        <v>10250</v>
      </c>
      <c r="K1627" s="60"/>
      <c r="L1627" s="147" t="s">
        <v>10236</v>
      </c>
      <c r="M1627" s="147" t="s">
        <v>10237</v>
      </c>
      <c r="N1627" s="144">
        <v>3.0</v>
      </c>
      <c r="O1627" s="145" t="s">
        <v>10244</v>
      </c>
      <c r="P1627" s="48" t="str">
        <f t="array" ref="P1627">HYPERLINK(INDEX('File Links'!B:B, MATCH(O1627, 'File Links'!C:C, 0)))
</f>
        <v>https://drive.google.com/file/d/1hgaLy7Pk7l8_uT0qzsdgGRA4OH5u_0hL/view?usp=drivesdk</v>
      </c>
      <c r="Q1627" s="147" t="s">
        <v>6103</v>
      </c>
      <c r="R1627" s="147" t="s">
        <v>6104</v>
      </c>
      <c r="S1627" s="60"/>
      <c r="T1627" s="144">
        <v>1.0</v>
      </c>
      <c r="U1627" s="145" t="s">
        <v>6105</v>
      </c>
      <c r="V1627" s="147" t="s">
        <v>9109</v>
      </c>
      <c r="W1627" s="1455" t="str">
        <f> hyperlink(vlookup(lower(R1627),'File Links'!F:G, 2, FALSE), "LINK")</f>
        <v>LINK</v>
      </c>
      <c r="X1627" s="60"/>
      <c r="Y1627" s="147" t="s">
        <v>139</v>
      </c>
      <c r="Z1627" s="147" t="s">
        <v>10245</v>
      </c>
      <c r="AA1627" s="147" t="s">
        <v>10246</v>
      </c>
      <c r="AB1627" s="147" t="s">
        <v>10251</v>
      </c>
      <c r="AC1627" s="147" t="s">
        <v>10252</v>
      </c>
      <c r="AD1627" s="144">
        <v>5.0</v>
      </c>
      <c r="AE1627" s="144">
        <v>48.0</v>
      </c>
      <c r="AF1627" s="327">
        <v>0.81</v>
      </c>
      <c r="AG1627" s="144" t="s">
        <v>166</v>
      </c>
      <c r="AH1627" s="144" t="s">
        <v>892</v>
      </c>
      <c r="AI1627" s="327">
        <v>0.001</v>
      </c>
      <c r="AJ1627" s="147" t="s">
        <v>164</v>
      </c>
      <c r="AK1627" s="147" t="s">
        <v>179</v>
      </c>
      <c r="AL1627" s="147" t="s">
        <v>132</v>
      </c>
      <c r="AM1627" s="60"/>
      <c r="AN1627" s="327">
        <v>51.0</v>
      </c>
      <c r="AO1627" s="327">
        <v>0.92</v>
      </c>
      <c r="AP1627" s="144" t="s">
        <v>166</v>
      </c>
      <c r="AQ1627" s="327" t="s">
        <v>175</v>
      </c>
      <c r="AR1627" s="144">
        <v>0.006</v>
      </c>
      <c r="AS1627" s="147" t="s">
        <v>164</v>
      </c>
      <c r="AT1627" s="147" t="s">
        <v>179</v>
      </c>
      <c r="AU1627" s="147" t="s">
        <v>132</v>
      </c>
      <c r="AV1627" s="60"/>
      <c r="AW1627" s="60" t="s">
        <v>142</v>
      </c>
      <c r="AY1627" s="60" t="s">
        <v>144</v>
      </c>
    </row>
    <row r="1628">
      <c r="A1628" s="115" t="s">
        <v>5350</v>
      </c>
      <c r="B1628" s="41" t="s">
        <v>107</v>
      </c>
      <c r="C1628" s="41" t="s">
        <v>144</v>
      </c>
      <c r="E1628" s="60" t="s">
        <v>10235</v>
      </c>
      <c r="F1628" s="147" t="s">
        <v>10253</v>
      </c>
      <c r="G1628" s="147" t="s">
        <v>144</v>
      </c>
      <c r="H1628" s="140">
        <v>45687.0</v>
      </c>
      <c r="I1628" s="140">
        <v>45692.0</v>
      </c>
      <c r="J1628" s="454" t="s">
        <v>10254</v>
      </c>
      <c r="K1628" s="60"/>
      <c r="L1628" s="147" t="s">
        <v>10236</v>
      </c>
      <c r="M1628" s="147" t="s">
        <v>10237</v>
      </c>
      <c r="N1628" s="144">
        <v>3.0</v>
      </c>
      <c r="O1628" s="145" t="s">
        <v>10244</v>
      </c>
      <c r="P1628" s="48" t="str">
        <f t="array" ref="P1628">HYPERLINK(INDEX('File Links'!B:B, MATCH(O1628, 'File Links'!C:C, 0)))
</f>
        <v>https://drive.google.com/file/d/1hgaLy7Pk7l8_uT0qzsdgGRA4OH5u_0hL/view?usp=drivesdk</v>
      </c>
      <c r="Q1628" s="147" t="s">
        <v>6103</v>
      </c>
      <c r="R1628" s="147" t="s">
        <v>6104</v>
      </c>
      <c r="S1628" s="60"/>
      <c r="T1628" s="144">
        <v>1.0</v>
      </c>
      <c r="U1628" s="145" t="s">
        <v>6105</v>
      </c>
      <c r="V1628" s="147" t="s">
        <v>9109</v>
      </c>
      <c r="W1628" s="1455" t="str">
        <f> hyperlink(vlookup(lower(R1628),'File Links'!F:G, 2, FALSE), "LINK")</f>
        <v>LINK</v>
      </c>
      <c r="X1628" s="60"/>
      <c r="Y1628" s="147" t="s">
        <v>139</v>
      </c>
      <c r="Z1628" s="147" t="s">
        <v>10245</v>
      </c>
      <c r="AA1628" s="147" t="s">
        <v>10246</v>
      </c>
      <c r="AB1628" s="147" t="s">
        <v>10255</v>
      </c>
      <c r="AC1628" s="147" t="s">
        <v>10256</v>
      </c>
      <c r="AD1628" s="144">
        <v>5.0</v>
      </c>
      <c r="AE1628" s="144">
        <v>48.0</v>
      </c>
      <c r="AF1628" s="327">
        <v>0.93</v>
      </c>
      <c r="AG1628" s="144" t="s">
        <v>166</v>
      </c>
      <c r="AH1628" s="144" t="s">
        <v>892</v>
      </c>
      <c r="AI1628" s="144">
        <v>0.001</v>
      </c>
      <c r="AJ1628" s="147" t="s">
        <v>127</v>
      </c>
      <c r="AK1628" s="147" t="s">
        <v>179</v>
      </c>
      <c r="AL1628" s="147" t="s">
        <v>132</v>
      </c>
      <c r="AM1628" s="60"/>
      <c r="AN1628" s="327">
        <v>51.0</v>
      </c>
      <c r="AO1628" s="327">
        <v>0.56</v>
      </c>
      <c r="AP1628" s="144" t="s">
        <v>166</v>
      </c>
      <c r="AQ1628" s="327" t="s">
        <v>297</v>
      </c>
      <c r="AR1628" s="144">
        <v>0.048</v>
      </c>
      <c r="AS1628" s="147" t="s">
        <v>164</v>
      </c>
      <c r="AT1628" s="147" t="s">
        <v>179</v>
      </c>
      <c r="AU1628" s="147" t="s">
        <v>132</v>
      </c>
      <c r="AV1628" s="60"/>
      <c r="AW1628" s="60" t="s">
        <v>142</v>
      </c>
      <c r="AY1628" s="60" t="s">
        <v>144</v>
      </c>
    </row>
    <row r="1629">
      <c r="A1629" s="115" t="s">
        <v>5350</v>
      </c>
      <c r="B1629" s="41" t="s">
        <v>107</v>
      </c>
      <c r="C1629" s="41" t="s">
        <v>144</v>
      </c>
      <c r="E1629" s="60" t="s">
        <v>10235</v>
      </c>
      <c r="F1629" s="147" t="s">
        <v>10257</v>
      </c>
      <c r="G1629" s="147" t="s">
        <v>144</v>
      </c>
      <c r="H1629" s="140">
        <v>45687.0</v>
      </c>
      <c r="I1629" s="140">
        <v>45692.0</v>
      </c>
      <c r="J1629" s="454" t="s">
        <v>10258</v>
      </c>
      <c r="K1629" s="60"/>
      <c r="L1629" s="147" t="s">
        <v>10236</v>
      </c>
      <c r="M1629" s="147" t="s">
        <v>10237</v>
      </c>
      <c r="N1629" s="144">
        <v>3.0</v>
      </c>
      <c r="O1629" s="145" t="s">
        <v>10244</v>
      </c>
      <c r="P1629" s="48" t="str">
        <f t="array" ref="P1629">HYPERLINK(INDEX('File Links'!B:B, MATCH(O1629, 'File Links'!C:C, 0)))
</f>
        <v>https://drive.google.com/file/d/1hgaLy7Pk7l8_uT0qzsdgGRA4OH5u_0hL/view?usp=drivesdk</v>
      </c>
      <c r="Q1629" s="147" t="s">
        <v>6103</v>
      </c>
      <c r="R1629" s="147" t="s">
        <v>6104</v>
      </c>
      <c r="S1629" s="60"/>
      <c r="T1629" s="144">
        <v>1.0</v>
      </c>
      <c r="U1629" s="145" t="s">
        <v>6105</v>
      </c>
      <c r="V1629" s="147" t="s">
        <v>9109</v>
      </c>
      <c r="W1629" s="1455" t="str">
        <f> hyperlink(vlookup(lower(R1629),'File Links'!F:G, 2, FALSE), "LINK")</f>
        <v>LINK</v>
      </c>
      <c r="X1629" s="60"/>
      <c r="Y1629" s="147" t="s">
        <v>139</v>
      </c>
      <c r="Z1629" s="147" t="s">
        <v>10245</v>
      </c>
      <c r="AA1629" s="147" t="s">
        <v>10246</v>
      </c>
      <c r="AB1629" s="147" t="s">
        <v>10259</v>
      </c>
      <c r="AC1629" s="147" t="s">
        <v>10260</v>
      </c>
      <c r="AD1629" s="144">
        <v>5.0</v>
      </c>
      <c r="AE1629" s="144">
        <v>48.0</v>
      </c>
      <c r="AF1629" s="327">
        <v>0.08</v>
      </c>
      <c r="AG1629" s="144" t="s">
        <v>166</v>
      </c>
      <c r="AH1629" s="144" t="s">
        <v>892</v>
      </c>
      <c r="AI1629" s="327">
        <v>0.69</v>
      </c>
      <c r="AJ1629" s="147" t="s">
        <v>164</v>
      </c>
      <c r="AK1629" s="147" t="s">
        <v>179</v>
      </c>
      <c r="AL1629" s="147" t="s">
        <v>132</v>
      </c>
      <c r="AM1629" s="60"/>
      <c r="AN1629" s="327">
        <v>51.0</v>
      </c>
      <c r="AO1629" s="327">
        <v>0.57</v>
      </c>
      <c r="AP1629" s="144" t="s">
        <v>166</v>
      </c>
      <c r="AQ1629" s="327" t="s">
        <v>1574</v>
      </c>
      <c r="AR1629" s="144">
        <v>0.066</v>
      </c>
      <c r="AS1629" s="147" t="s">
        <v>164</v>
      </c>
      <c r="AT1629" s="147" t="s">
        <v>179</v>
      </c>
      <c r="AU1629" s="147" t="s">
        <v>132</v>
      </c>
      <c r="AV1629" s="60"/>
      <c r="AW1629" s="60" t="s">
        <v>142</v>
      </c>
      <c r="AY1629" s="60" t="s">
        <v>144</v>
      </c>
    </row>
    <row r="1630">
      <c r="A1630" s="115" t="s">
        <v>5350</v>
      </c>
      <c r="B1630" s="41" t="s">
        <v>107</v>
      </c>
      <c r="C1630" s="41" t="s">
        <v>144</v>
      </c>
      <c r="E1630" s="60" t="s">
        <v>10235</v>
      </c>
      <c r="F1630" s="147" t="s">
        <v>10261</v>
      </c>
      <c r="G1630" s="147" t="s">
        <v>144</v>
      </c>
      <c r="H1630" s="140">
        <v>45687.0</v>
      </c>
      <c r="I1630" s="140">
        <v>45692.0</v>
      </c>
      <c r="J1630" s="454" t="s">
        <v>10262</v>
      </c>
      <c r="K1630" s="60"/>
      <c r="L1630" s="147" t="s">
        <v>10236</v>
      </c>
      <c r="M1630" s="147" t="s">
        <v>10237</v>
      </c>
      <c r="N1630" s="144">
        <v>3.0</v>
      </c>
      <c r="O1630" s="145" t="s">
        <v>10244</v>
      </c>
      <c r="P1630" s="48" t="str">
        <f t="array" ref="P1630">HYPERLINK(INDEX('File Links'!B:B, MATCH(O1630, 'File Links'!C:C, 0)))
</f>
        <v>https://drive.google.com/file/d/1hgaLy7Pk7l8_uT0qzsdgGRA4OH5u_0hL/view?usp=drivesdk</v>
      </c>
      <c r="Q1630" s="147" t="s">
        <v>6103</v>
      </c>
      <c r="R1630" s="147" t="s">
        <v>6104</v>
      </c>
      <c r="S1630" s="60"/>
      <c r="T1630" s="144">
        <v>1.0</v>
      </c>
      <c r="U1630" s="145" t="s">
        <v>6105</v>
      </c>
      <c r="V1630" s="147" t="s">
        <v>9109</v>
      </c>
      <c r="W1630" s="1455" t="str">
        <f> hyperlink(vlookup(lower(R1630),'File Links'!F:G, 2, FALSE), "LINK")</f>
        <v>LINK</v>
      </c>
      <c r="X1630" s="60"/>
      <c r="Y1630" s="147" t="s">
        <v>139</v>
      </c>
      <c r="Z1630" s="147" t="s">
        <v>10245</v>
      </c>
      <c r="AA1630" s="147" t="s">
        <v>10246</v>
      </c>
      <c r="AB1630" s="147" t="s">
        <v>10263</v>
      </c>
      <c r="AC1630" s="147" t="s">
        <v>10264</v>
      </c>
      <c r="AD1630" s="144">
        <v>5.0</v>
      </c>
      <c r="AE1630" s="144">
        <v>48.0</v>
      </c>
      <c r="AF1630" s="327">
        <v>0.15</v>
      </c>
      <c r="AG1630" s="144" t="s">
        <v>130</v>
      </c>
      <c r="AH1630" s="144" t="s">
        <v>892</v>
      </c>
      <c r="AI1630" s="327">
        <v>0.007</v>
      </c>
      <c r="AJ1630" s="147" t="s">
        <v>164</v>
      </c>
      <c r="AK1630" s="147" t="s">
        <v>179</v>
      </c>
      <c r="AL1630" s="147" t="s">
        <v>132</v>
      </c>
      <c r="AM1630" s="60"/>
      <c r="AN1630" s="327">
        <v>51.0</v>
      </c>
      <c r="AO1630" s="1487">
        <v>0.25</v>
      </c>
      <c r="AP1630" s="144" t="s">
        <v>130</v>
      </c>
      <c r="AQ1630" s="327" t="s">
        <v>1580</v>
      </c>
      <c r="AR1630" s="144">
        <v>0.001</v>
      </c>
      <c r="AS1630" s="147" t="s">
        <v>127</v>
      </c>
      <c r="AT1630" s="147" t="s">
        <v>179</v>
      </c>
      <c r="AU1630" s="147" t="s">
        <v>132</v>
      </c>
      <c r="AV1630" s="60"/>
      <c r="AW1630" s="60" t="s">
        <v>142</v>
      </c>
      <c r="AY1630" s="60" t="s">
        <v>144</v>
      </c>
    </row>
    <row r="1631">
      <c r="A1631" s="60" t="s">
        <v>106</v>
      </c>
      <c r="B1631" s="41" t="s">
        <v>107</v>
      </c>
      <c r="C1631" s="41" t="s">
        <v>243</v>
      </c>
      <c r="E1631" s="147" t="s">
        <v>10265</v>
      </c>
      <c r="F1631" s="147" t="s">
        <v>10266</v>
      </c>
      <c r="G1631" s="147" t="s">
        <v>244</v>
      </c>
      <c r="H1631" s="140">
        <v>45672.0</v>
      </c>
      <c r="I1631" s="140">
        <v>45692.0</v>
      </c>
      <c r="J1631" s="60"/>
      <c r="K1631" s="60"/>
      <c r="L1631" s="147" t="s">
        <v>10267</v>
      </c>
      <c r="M1631" s="147" t="s">
        <v>10268</v>
      </c>
      <c r="N1631" s="60"/>
      <c r="O1631" s="145" t="str">
        <f> SUBSTITUTE(lower(M1631), "/", "--") &amp;  ".pdf"</f>
        <v>10.1177--0956797616630964.pdf</v>
      </c>
      <c r="P1631" s="48" t="str">
        <f t="array" ref="P1631">HYPERLINK(INDEX('File Links'!B:B, MATCH(O1631, 'File Links'!C:C, 0)))
</f>
        <v>https://drive.google.com/file/d/149vWpYz3xUBwjR-0Vi63Qa-y5jEghDmg/view?usp=drivesdk</v>
      </c>
      <c r="Q1631" s="147" t="s">
        <v>10269</v>
      </c>
      <c r="R1631" s="147" t="s">
        <v>10270</v>
      </c>
      <c r="S1631" s="60"/>
      <c r="T1631" s="60"/>
      <c r="U1631" s="145" t="s">
        <v>6105</v>
      </c>
      <c r="V1631" s="147" t="s">
        <v>318</v>
      </c>
      <c r="W1631" s="1455" t="str">
        <f> hyperlink(vlookup(lower(R1631),'File Links'!E:F, 2, FALSE), "LINK")</f>
        <v>LINK</v>
      </c>
      <c r="X1631" s="60"/>
      <c r="Y1631" s="147" t="s">
        <v>139</v>
      </c>
      <c r="Z1631" s="60"/>
      <c r="AA1631" s="147" t="s">
        <v>9184</v>
      </c>
      <c r="AB1631" s="60"/>
      <c r="AC1631" s="147" t="s">
        <v>10271</v>
      </c>
      <c r="AD1631" s="144">
        <v>6.0</v>
      </c>
      <c r="AE1631" s="144">
        <v>16.0</v>
      </c>
      <c r="AF1631" s="144">
        <v>0.3</v>
      </c>
      <c r="AG1631" s="147" t="s">
        <v>130</v>
      </c>
      <c r="AH1631" s="147" t="s">
        <v>1062</v>
      </c>
      <c r="AI1631" s="144">
        <v>0.02</v>
      </c>
      <c r="AJ1631" s="147" t="s">
        <v>164</v>
      </c>
      <c r="AK1631" s="147" t="s">
        <v>179</v>
      </c>
      <c r="AL1631" s="147" t="s">
        <v>132</v>
      </c>
      <c r="AM1631" s="147" t="s">
        <v>129</v>
      </c>
      <c r="AN1631" s="144">
        <v>39.0</v>
      </c>
      <c r="AO1631" s="1486">
        <v>0.280224269158902</v>
      </c>
      <c r="AP1631" s="147" t="s">
        <v>166</v>
      </c>
      <c r="AQ1631" s="60"/>
      <c r="AR1631" s="1486">
        <v>0.0881902635199541</v>
      </c>
      <c r="AS1631" s="147" t="s">
        <v>164</v>
      </c>
      <c r="AT1631" s="147" t="s">
        <v>179</v>
      </c>
      <c r="AU1631" s="147" t="s">
        <v>132</v>
      </c>
      <c r="AV1631" s="60"/>
      <c r="AW1631" s="1268" t="s">
        <v>134</v>
      </c>
      <c r="AY1631" s="60" t="s">
        <v>144</v>
      </c>
    </row>
    <row r="1632">
      <c r="A1632" s="115" t="s">
        <v>5350</v>
      </c>
      <c r="B1632" s="41" t="s">
        <v>107</v>
      </c>
      <c r="C1632" s="41" t="s">
        <v>144</v>
      </c>
      <c r="E1632" s="60" t="s">
        <v>10266</v>
      </c>
      <c r="F1632" s="147" t="s">
        <v>10265</v>
      </c>
      <c r="G1632" s="147" t="s">
        <v>144</v>
      </c>
      <c r="H1632" s="140">
        <v>45687.0</v>
      </c>
      <c r="I1632" s="140">
        <v>45692.0</v>
      </c>
      <c r="J1632" s="454" t="s">
        <v>10272</v>
      </c>
      <c r="K1632" s="60"/>
      <c r="L1632" s="147" t="s">
        <v>10267</v>
      </c>
      <c r="M1632" s="147" t="s">
        <v>10268</v>
      </c>
      <c r="N1632" s="144">
        <v>3.0</v>
      </c>
      <c r="O1632" s="145" t="s">
        <v>10273</v>
      </c>
      <c r="P1632" s="48" t="str">
        <f t="array" ref="P1632">HYPERLINK(INDEX('File Links'!B:B, MATCH(O1632, 'File Links'!C:C, 0)))
</f>
        <v>https://drive.google.com/file/d/149vWpYz3xUBwjR-0Vi63Qa-y5jEghDmg/view?usp=drivesdk</v>
      </c>
      <c r="Q1632" s="147" t="s">
        <v>6103</v>
      </c>
      <c r="R1632" s="147" t="s">
        <v>6104</v>
      </c>
      <c r="S1632" s="60"/>
      <c r="T1632" s="144">
        <v>1.0</v>
      </c>
      <c r="U1632" s="145" t="s">
        <v>6105</v>
      </c>
      <c r="V1632" s="147" t="s">
        <v>155</v>
      </c>
      <c r="W1632" s="1455" t="str">
        <f> hyperlink(vlookup(lower(R1632),'File Links'!F:G, 2, FALSE), "LINK")</f>
        <v>LINK</v>
      </c>
      <c r="X1632" s="42"/>
      <c r="Y1632" s="147" t="s">
        <v>139</v>
      </c>
      <c r="Z1632" s="147" t="s">
        <v>10274</v>
      </c>
      <c r="AA1632" s="147" t="s">
        <v>10275</v>
      </c>
      <c r="AB1632" s="147" t="s">
        <v>10276</v>
      </c>
      <c r="AC1632" s="147" t="s">
        <v>10277</v>
      </c>
      <c r="AD1632" s="144">
        <v>6.0</v>
      </c>
      <c r="AE1632" s="144">
        <v>16.0</v>
      </c>
      <c r="AF1632" s="144">
        <v>0.31</v>
      </c>
      <c r="AG1632" s="144" t="s">
        <v>130</v>
      </c>
      <c r="AH1632" s="144" t="s">
        <v>131</v>
      </c>
      <c r="AI1632" s="144">
        <v>1.0E-4</v>
      </c>
      <c r="AJ1632" s="147" t="s">
        <v>164</v>
      </c>
      <c r="AK1632" s="147" t="s">
        <v>179</v>
      </c>
      <c r="AL1632" s="147" t="s">
        <v>132</v>
      </c>
      <c r="AM1632" s="60"/>
      <c r="AN1632" s="144">
        <v>39.0</v>
      </c>
      <c r="AO1632" s="1467">
        <v>0.4</v>
      </c>
      <c r="AP1632" s="144" t="s">
        <v>130</v>
      </c>
      <c r="AQ1632" s="60"/>
      <c r="AR1632" s="144">
        <v>0.0</v>
      </c>
      <c r="AS1632" s="147" t="s">
        <v>164</v>
      </c>
      <c r="AT1632" s="147" t="s">
        <v>179</v>
      </c>
      <c r="AU1632" s="147" t="s">
        <v>132</v>
      </c>
      <c r="AV1632" s="60"/>
      <c r="AW1632" s="60" t="s">
        <v>142</v>
      </c>
      <c r="AY1632" s="60" t="s">
        <v>144</v>
      </c>
    </row>
    <row r="1633">
      <c r="A1633" s="115" t="s">
        <v>5350</v>
      </c>
      <c r="B1633" s="41" t="s">
        <v>107</v>
      </c>
      <c r="C1633" s="41" t="s">
        <v>144</v>
      </c>
      <c r="E1633" s="60" t="s">
        <v>10266</v>
      </c>
      <c r="F1633" s="147" t="s">
        <v>10278</v>
      </c>
      <c r="G1633" s="147" t="s">
        <v>144</v>
      </c>
      <c r="H1633" s="140">
        <v>45687.0</v>
      </c>
      <c r="I1633" s="140">
        <v>45692.0</v>
      </c>
      <c r="J1633" s="454" t="s">
        <v>10279</v>
      </c>
      <c r="K1633" s="60"/>
      <c r="L1633" s="147" t="s">
        <v>10267</v>
      </c>
      <c r="M1633" s="147" t="s">
        <v>10268</v>
      </c>
      <c r="N1633" s="144">
        <v>3.0</v>
      </c>
      <c r="O1633" s="145" t="s">
        <v>10273</v>
      </c>
      <c r="P1633" s="48" t="str">
        <f t="array" ref="P1633">HYPERLINK(INDEX('File Links'!B:B, MATCH(O1633, 'File Links'!C:C, 0)))
</f>
        <v>https://drive.google.com/file/d/149vWpYz3xUBwjR-0Vi63Qa-y5jEghDmg/view?usp=drivesdk</v>
      </c>
      <c r="Q1633" s="147" t="s">
        <v>6103</v>
      </c>
      <c r="R1633" s="147" t="s">
        <v>6104</v>
      </c>
      <c r="S1633" s="60"/>
      <c r="T1633" s="144">
        <v>1.0</v>
      </c>
      <c r="U1633" s="145" t="s">
        <v>6105</v>
      </c>
      <c r="V1633" s="147" t="s">
        <v>155</v>
      </c>
      <c r="W1633" s="1455" t="str">
        <f> hyperlink(vlookup(lower(R1633),'File Links'!F:G, 2, FALSE), "LINK")</f>
        <v>LINK</v>
      </c>
      <c r="X1633" s="60"/>
      <c r="Y1633" s="147" t="s">
        <v>139</v>
      </c>
      <c r="Z1633" s="147" t="s">
        <v>10274</v>
      </c>
      <c r="AA1633" s="147" t="s">
        <v>10275</v>
      </c>
      <c r="AB1633" s="147" t="s">
        <v>10280</v>
      </c>
      <c r="AC1633" s="147" t="s">
        <v>10281</v>
      </c>
      <c r="AD1633" s="144">
        <v>6.0</v>
      </c>
      <c r="AE1633" s="144">
        <v>16.0</v>
      </c>
      <c r="AF1633" s="327">
        <v>0.3</v>
      </c>
      <c r="AG1633" s="144" t="s">
        <v>130</v>
      </c>
      <c r="AH1633" s="144" t="s">
        <v>131</v>
      </c>
      <c r="AI1633" s="327">
        <v>0.02</v>
      </c>
      <c r="AJ1633" s="147" t="s">
        <v>164</v>
      </c>
      <c r="AK1633" s="147" t="s">
        <v>179</v>
      </c>
      <c r="AL1633" s="147" t="s">
        <v>132</v>
      </c>
      <c r="AM1633" s="60"/>
      <c r="AN1633" s="144">
        <v>39.0</v>
      </c>
      <c r="AO1633" s="1467">
        <v>0.04</v>
      </c>
      <c r="AP1633" s="144" t="s">
        <v>130</v>
      </c>
      <c r="AQ1633" s="60"/>
      <c r="AR1633" s="144">
        <v>0.09</v>
      </c>
      <c r="AS1633" s="147" t="s">
        <v>164</v>
      </c>
      <c r="AT1633" s="147" t="s">
        <v>179</v>
      </c>
      <c r="AU1633" s="147" t="s">
        <v>132</v>
      </c>
      <c r="AV1633" s="60"/>
      <c r="AW1633" s="60" t="s">
        <v>142</v>
      </c>
      <c r="AY1633" s="60" t="s">
        <v>144</v>
      </c>
    </row>
    <row r="1634" hidden="1">
      <c r="A1634" s="115" t="s">
        <v>5350</v>
      </c>
      <c r="B1634" s="41" t="s">
        <v>107</v>
      </c>
      <c r="C1634" s="41" t="s">
        <v>144</v>
      </c>
      <c r="E1634" s="60" t="s">
        <v>10282</v>
      </c>
      <c r="F1634" s="147" t="s">
        <v>10283</v>
      </c>
      <c r="G1634" s="147" t="s">
        <v>144</v>
      </c>
      <c r="H1634" s="140">
        <v>45687.0</v>
      </c>
      <c r="I1634" s="140">
        <v>45692.0</v>
      </c>
      <c r="J1634" s="60"/>
      <c r="K1634" s="60"/>
      <c r="L1634" s="147" t="s">
        <v>10284</v>
      </c>
      <c r="M1634" s="147" t="s">
        <v>10285</v>
      </c>
      <c r="N1634" s="144">
        <v>1.0</v>
      </c>
      <c r="O1634" s="145" t="s">
        <v>10286</v>
      </c>
      <c r="P1634" s="48" t="str">
        <f t="array" ref="P1634">HYPERLINK(INDEX('File Links'!B:B, MATCH(O1634, 'File Links'!C:C, 0)))
</f>
        <v>https://drive.google.com/file/d/1LtoTK2zHVIYGFfb_cXHLXLWkOHpGikA0/view?usp=drivesdk</v>
      </c>
      <c r="Q1634" s="147" t="s">
        <v>6103</v>
      </c>
      <c r="R1634" s="147" t="s">
        <v>6104</v>
      </c>
      <c r="S1634" s="60"/>
      <c r="T1634" s="144">
        <v>1.0</v>
      </c>
      <c r="U1634" s="145" t="s">
        <v>6105</v>
      </c>
      <c r="V1634" s="60"/>
      <c r="W1634" s="1455" t="str">
        <f> hyperlink(vlookup(lower(R1634),'File Links'!F:G, 2, FALSE), "LINK")</f>
        <v>LINK</v>
      </c>
      <c r="X1634" s="147" t="s">
        <v>9031</v>
      </c>
      <c r="Y1634" s="60"/>
      <c r="Z1634" s="60"/>
      <c r="AA1634" s="60"/>
      <c r="AB1634" s="60"/>
      <c r="AC1634" s="60"/>
      <c r="AD1634" s="60"/>
      <c r="AE1634" s="60"/>
      <c r="AF1634" s="60"/>
      <c r="AG1634" s="60"/>
      <c r="AH1634" s="60"/>
      <c r="AI1634" s="60"/>
      <c r="AJ1634" s="60"/>
      <c r="AK1634" s="60"/>
      <c r="AL1634" s="60"/>
      <c r="AM1634" s="60"/>
      <c r="AN1634" s="60"/>
      <c r="AO1634" s="60"/>
      <c r="AP1634" s="60"/>
      <c r="AQ1634" s="60"/>
      <c r="AR1634" s="60"/>
      <c r="AS1634" s="60"/>
      <c r="AT1634" s="60"/>
      <c r="AU1634" s="60"/>
      <c r="AV1634" s="60"/>
      <c r="AW1634" s="60"/>
      <c r="AY1634" s="60" t="s">
        <v>144</v>
      </c>
    </row>
    <row r="1635">
      <c r="A1635" s="60" t="s">
        <v>106</v>
      </c>
      <c r="B1635" s="41" t="s">
        <v>107</v>
      </c>
      <c r="C1635" s="41" t="s">
        <v>243</v>
      </c>
      <c r="E1635" s="147" t="s">
        <v>10283</v>
      </c>
      <c r="F1635" s="147" t="s">
        <v>10282</v>
      </c>
      <c r="G1635" s="147" t="s">
        <v>244</v>
      </c>
      <c r="H1635" s="140">
        <v>45672.0</v>
      </c>
      <c r="I1635" s="140">
        <v>45692.0</v>
      </c>
      <c r="J1635" s="412" t="s">
        <v>6190</v>
      </c>
      <c r="K1635" s="60"/>
      <c r="L1635" s="147" t="s">
        <v>10284</v>
      </c>
      <c r="M1635" s="147" t="s">
        <v>10285</v>
      </c>
      <c r="N1635" s="60"/>
      <c r="O1635" s="145" t="str">
        <f t="shared" ref="O1635:O1636" si="84"> SUBSTITUTE(lower(M1635), "/", "--") &amp;  ".pdf"</f>
        <v>10.1126--science.148.3670.661.pdf</v>
      </c>
      <c r="P1635" s="48" t="str">
        <f t="array" ref="P1635">HYPERLINK(INDEX('File Links'!B:B, MATCH(O1635, 'File Links'!C:C, 0)))
</f>
        <v>https://drive.google.com/file/d/1LtoTK2zHVIYGFfb_cXHLXLWkOHpGikA0/view?usp=drivesdk</v>
      </c>
      <c r="Q1635" s="147" t="s">
        <v>10287</v>
      </c>
      <c r="R1635" s="147" t="s">
        <v>10288</v>
      </c>
      <c r="S1635" s="60"/>
      <c r="T1635" s="60"/>
      <c r="U1635" s="145" t="s">
        <v>6105</v>
      </c>
      <c r="V1635" s="147" t="s">
        <v>6117</v>
      </c>
      <c r="W1635" s="1455" t="str">
        <f> hyperlink(vlookup(lower(R1635),'File Links'!E:F, 2, FALSE), "LINK")</f>
        <v>LINK</v>
      </c>
      <c r="X1635" s="60"/>
      <c r="Y1635" s="147" t="s">
        <v>139</v>
      </c>
      <c r="Z1635" s="60"/>
      <c r="AA1635" s="60"/>
      <c r="AB1635" s="60"/>
      <c r="AC1635" s="147" t="s">
        <v>165</v>
      </c>
      <c r="AD1635" s="147" t="s">
        <v>165</v>
      </c>
      <c r="AE1635" s="147" t="s">
        <v>165</v>
      </c>
      <c r="AF1635" s="147" t="s">
        <v>165</v>
      </c>
      <c r="AG1635" s="147" t="s">
        <v>165</v>
      </c>
      <c r="AH1635" s="147" t="s">
        <v>165</v>
      </c>
      <c r="AI1635" s="147" t="s">
        <v>165</v>
      </c>
      <c r="AJ1635" s="60"/>
      <c r="AK1635" s="147" t="s">
        <v>179</v>
      </c>
      <c r="AL1635" s="147" t="s">
        <v>821</v>
      </c>
      <c r="AM1635" s="147" t="s">
        <v>129</v>
      </c>
      <c r="AN1635" s="144">
        <v>26.0</v>
      </c>
      <c r="AO1635" s="147" t="s">
        <v>165</v>
      </c>
      <c r="AP1635" s="60"/>
      <c r="AQ1635" s="60"/>
      <c r="AR1635" s="147" t="s">
        <v>165</v>
      </c>
      <c r="AS1635" s="60"/>
      <c r="AT1635" s="147" t="s">
        <v>179</v>
      </c>
      <c r="AU1635" s="147" t="s">
        <v>821</v>
      </c>
      <c r="AV1635" s="60"/>
      <c r="AW1635" s="147" t="s">
        <v>134</v>
      </c>
      <c r="AY1635" s="60" t="s">
        <v>144</v>
      </c>
    </row>
    <row r="1636">
      <c r="A1636" s="60" t="s">
        <v>106</v>
      </c>
      <c r="B1636" s="41" t="s">
        <v>107</v>
      </c>
      <c r="C1636" s="41" t="s">
        <v>243</v>
      </c>
      <c r="E1636" s="147" t="s">
        <v>10289</v>
      </c>
      <c r="F1636" s="147" t="s">
        <v>10290</v>
      </c>
      <c r="G1636" s="147" t="s">
        <v>244</v>
      </c>
      <c r="H1636" s="140">
        <v>45672.0</v>
      </c>
      <c r="I1636" s="140">
        <v>45692.0</v>
      </c>
      <c r="J1636" s="60"/>
      <c r="K1636" s="60" t="s">
        <v>9078</v>
      </c>
      <c r="L1636" s="147" t="s">
        <v>10291</v>
      </c>
      <c r="M1636" s="147" t="s">
        <v>10292</v>
      </c>
      <c r="N1636" s="60"/>
      <c r="O1636" s="145" t="str">
        <f t="shared" si="84"/>
        <v>10.1073--pnas.1202129109.pdf</v>
      </c>
      <c r="P1636" s="48" t="str">
        <f t="array" ref="P1636">HYPERLINK(INDEX('File Links'!B:B, MATCH(O1636, 'File Links'!C:C, 0)))
</f>
        <v>https://drive.google.com/file/d/11Av49SlCGKMhtLvS_jk4226riFKcyhNh/view?usp=drivesdk</v>
      </c>
      <c r="Q1636" s="147" t="s">
        <v>10293</v>
      </c>
      <c r="R1636" s="147" t="s">
        <v>10294</v>
      </c>
      <c r="S1636" s="60"/>
      <c r="T1636" s="60"/>
      <c r="U1636" s="145" t="s">
        <v>6105</v>
      </c>
      <c r="V1636" s="147" t="s">
        <v>6117</v>
      </c>
      <c r="W1636" s="1455" t="str">
        <f> hyperlink(vlookup(lower(R1636),'File Links'!E:F, 2, FALSE), "LINK")</f>
        <v>LINK</v>
      </c>
      <c r="X1636" s="60"/>
      <c r="Y1636" s="147" t="s">
        <v>220</v>
      </c>
      <c r="Z1636" s="60"/>
      <c r="AA1636" s="60"/>
      <c r="AB1636" s="60"/>
      <c r="AC1636" s="147" t="s">
        <v>10295</v>
      </c>
      <c r="AD1636" s="1265">
        <v>8039.0</v>
      </c>
      <c r="AE1636" s="144">
        <v>37.0</v>
      </c>
      <c r="AF1636" s="144">
        <v>1.11</v>
      </c>
      <c r="AG1636" s="147" t="s">
        <v>166</v>
      </c>
      <c r="AH1636" s="1268" t="s">
        <v>10296</v>
      </c>
      <c r="AI1636" s="144">
        <v>0.002</v>
      </c>
      <c r="AJ1636" s="147" t="s">
        <v>164</v>
      </c>
      <c r="AK1636" s="147" t="s">
        <v>179</v>
      </c>
      <c r="AL1636" s="147" t="s">
        <v>132</v>
      </c>
      <c r="AM1636" s="147" t="s">
        <v>129</v>
      </c>
      <c r="AN1636" s="144">
        <v>19.0</v>
      </c>
      <c r="AO1636" s="1486">
        <v>0.00917662935482247</v>
      </c>
      <c r="AP1636" s="147" t="s">
        <v>166</v>
      </c>
      <c r="AQ1636" s="60"/>
      <c r="AR1636" s="1486">
        <v>0.968533455924623</v>
      </c>
      <c r="AS1636" s="147" t="s">
        <v>164</v>
      </c>
      <c r="AT1636" s="147" t="s">
        <v>179</v>
      </c>
      <c r="AU1636" s="147" t="s">
        <v>821</v>
      </c>
      <c r="AV1636" s="60"/>
      <c r="AW1636" s="147" t="s">
        <v>134</v>
      </c>
      <c r="AY1636" s="60" t="s">
        <v>144</v>
      </c>
    </row>
    <row r="1637">
      <c r="A1637" s="115" t="s">
        <v>5350</v>
      </c>
      <c r="B1637" s="41" t="s">
        <v>107</v>
      </c>
      <c r="C1637" s="41" t="s">
        <v>144</v>
      </c>
      <c r="E1637" s="60" t="s">
        <v>10290</v>
      </c>
      <c r="F1637" s="147" t="s">
        <v>10289</v>
      </c>
      <c r="G1637" s="147" t="s">
        <v>144</v>
      </c>
      <c r="H1637" s="140">
        <v>45687.0</v>
      </c>
      <c r="I1637" s="140">
        <v>45692.0</v>
      </c>
      <c r="J1637" s="412" t="s">
        <v>10230</v>
      </c>
      <c r="K1637" s="60"/>
      <c r="L1637" s="147" t="s">
        <v>10291</v>
      </c>
      <c r="M1637" s="147" t="s">
        <v>10292</v>
      </c>
      <c r="N1637" s="144">
        <v>2.0</v>
      </c>
      <c r="O1637" s="145" t="s">
        <v>10297</v>
      </c>
      <c r="P1637" s="48" t="str">
        <f t="array" ref="P1637">HYPERLINK(INDEX('File Links'!B:B, MATCH(O1637, 'File Links'!C:C, 0)))
</f>
        <v>https://drive.google.com/file/d/11Av49SlCGKMhtLvS_jk4226riFKcyhNh/view?usp=drivesdk</v>
      </c>
      <c r="Q1637" s="147" t="s">
        <v>6103</v>
      </c>
      <c r="R1637" s="147" t="s">
        <v>6104</v>
      </c>
      <c r="S1637" s="60"/>
      <c r="T1637" s="144">
        <v>1.0</v>
      </c>
      <c r="U1637" s="145" t="s">
        <v>6105</v>
      </c>
      <c r="V1637" s="147" t="s">
        <v>9044</v>
      </c>
      <c r="W1637" s="1455" t="str">
        <f> hyperlink(vlookup(lower(R1637),'File Links'!F:G, 2, FALSE), "LINK")</f>
        <v>LINK</v>
      </c>
      <c r="X1637" s="60"/>
      <c r="Y1637" s="147" t="s">
        <v>220</v>
      </c>
      <c r="Z1637" s="147" t="s">
        <v>10298</v>
      </c>
      <c r="AA1637" s="147" t="s">
        <v>10299</v>
      </c>
      <c r="AB1637" s="147" t="s">
        <v>10300</v>
      </c>
      <c r="AC1637" s="147" t="s">
        <v>10301</v>
      </c>
      <c r="AD1637" s="144">
        <v>2.0</v>
      </c>
      <c r="AE1637" s="144">
        <v>37.0</v>
      </c>
      <c r="AF1637" s="144">
        <v>1.11</v>
      </c>
      <c r="AG1637" s="144" t="s">
        <v>166</v>
      </c>
      <c r="AH1637" s="144" t="s">
        <v>886</v>
      </c>
      <c r="AI1637" s="144">
        <v>0.002</v>
      </c>
      <c r="AJ1637" s="147" t="s">
        <v>164</v>
      </c>
      <c r="AK1637" s="147" t="s">
        <v>179</v>
      </c>
      <c r="AL1637" s="147" t="s">
        <v>132</v>
      </c>
      <c r="AM1637" s="60"/>
      <c r="AN1637" s="144">
        <v>19.0</v>
      </c>
      <c r="AO1637" s="327" t="s">
        <v>10302</v>
      </c>
      <c r="AP1637" s="144" t="s">
        <v>166</v>
      </c>
      <c r="AQ1637" s="60"/>
      <c r="AR1637" s="144" t="s">
        <v>10303</v>
      </c>
      <c r="AS1637" s="147" t="s">
        <v>164</v>
      </c>
      <c r="AT1637" s="147" t="s">
        <v>179</v>
      </c>
      <c r="AU1637" s="147" t="s">
        <v>821</v>
      </c>
      <c r="AV1637" s="60"/>
      <c r="AW1637" s="60" t="s">
        <v>134</v>
      </c>
      <c r="AY1637" s="60" t="s">
        <v>144</v>
      </c>
    </row>
    <row r="1638">
      <c r="A1638" s="60" t="s">
        <v>106</v>
      </c>
      <c r="B1638" s="41" t="s">
        <v>107</v>
      </c>
      <c r="C1638" s="41" t="s">
        <v>243</v>
      </c>
      <c r="E1638" s="147" t="s">
        <v>10304</v>
      </c>
      <c r="F1638" s="147" t="s">
        <v>10305</v>
      </c>
      <c r="G1638" s="147" t="s">
        <v>244</v>
      </c>
      <c r="H1638" s="140">
        <v>45672.0</v>
      </c>
      <c r="I1638" s="140">
        <v>45692.0</v>
      </c>
      <c r="J1638" s="60"/>
      <c r="K1638" s="60" t="s">
        <v>10306</v>
      </c>
      <c r="L1638" s="147" t="s">
        <v>10307</v>
      </c>
      <c r="M1638" s="147" t="s">
        <v>10308</v>
      </c>
      <c r="N1638" s="60"/>
      <c r="O1638" s="145" t="str">
        <f> SUBSTITUTE(lower(M1638), "/", "--") &amp;  ".pdf"</f>
        <v>10.1177--0956797616667459.pdf</v>
      </c>
      <c r="P1638" s="48" t="str">
        <f t="array" ref="P1638">HYPERLINK(INDEX('File Links'!B:B, MATCH(O1638, 'File Links'!C:C, 0)))
</f>
        <v>https://drive.google.com/file/d/1xo-D0d5xWZy_-HQc9CNuFVE8l1hYTkzr/view?usp=drivesdk</v>
      </c>
      <c r="Q1638" s="147" t="s">
        <v>10309</v>
      </c>
      <c r="R1638" s="147" t="s">
        <v>10310</v>
      </c>
      <c r="S1638" s="60"/>
      <c r="T1638" s="60"/>
      <c r="U1638" s="145" t="s">
        <v>6105</v>
      </c>
      <c r="V1638" s="147" t="s">
        <v>318</v>
      </c>
      <c r="W1638" s="1455" t="str">
        <f> hyperlink(vlookup(lower(R1638),'File Links'!E:F, 2, FALSE), "LINK")</f>
        <v>LINK</v>
      </c>
      <c r="X1638" s="60"/>
      <c r="Y1638" s="147" t="s">
        <v>139</v>
      </c>
      <c r="Z1638" s="60"/>
      <c r="AA1638" s="147" t="s">
        <v>6763</v>
      </c>
      <c r="AB1638" s="60"/>
      <c r="AC1638" s="147" t="s">
        <v>10311</v>
      </c>
      <c r="AD1638" s="144">
        <v>1511.0</v>
      </c>
      <c r="AE1638" s="144">
        <v>139.0</v>
      </c>
      <c r="AF1638" s="144">
        <v>0.85</v>
      </c>
      <c r="AG1638" s="147" t="s">
        <v>166</v>
      </c>
      <c r="AH1638" s="147" t="s">
        <v>10312</v>
      </c>
      <c r="AI1638" s="144">
        <v>0.001</v>
      </c>
      <c r="AJ1638" s="147" t="s">
        <v>164</v>
      </c>
      <c r="AK1638" s="147" t="s">
        <v>179</v>
      </c>
      <c r="AL1638" s="147" t="s">
        <v>821</v>
      </c>
      <c r="AM1638" s="147" t="s">
        <v>129</v>
      </c>
      <c r="AN1638" s="144">
        <v>212.0</v>
      </c>
      <c r="AO1638" s="1486">
        <v>-0.0483174434709905</v>
      </c>
      <c r="AP1638" s="147" t="s">
        <v>166</v>
      </c>
      <c r="AQ1638" s="60"/>
      <c r="AR1638" s="1486">
        <v>0.483548956401245</v>
      </c>
      <c r="AS1638" s="147" t="s">
        <v>164</v>
      </c>
      <c r="AT1638" s="147" t="s">
        <v>179</v>
      </c>
      <c r="AU1638" s="147" t="s">
        <v>821</v>
      </c>
      <c r="AV1638" s="60"/>
      <c r="AW1638" s="147" t="s">
        <v>134</v>
      </c>
      <c r="AY1638" s="60" t="s">
        <v>144</v>
      </c>
    </row>
    <row r="1639">
      <c r="A1639" s="115" t="s">
        <v>5350</v>
      </c>
      <c r="B1639" s="41" t="s">
        <v>107</v>
      </c>
      <c r="C1639" s="41" t="s">
        <v>144</v>
      </c>
      <c r="E1639" s="60" t="s">
        <v>10305</v>
      </c>
      <c r="F1639" s="147" t="s">
        <v>10304</v>
      </c>
      <c r="G1639" s="147" t="s">
        <v>144</v>
      </c>
      <c r="H1639" s="140">
        <v>45687.0</v>
      </c>
      <c r="I1639" s="140">
        <v>45692.0</v>
      </c>
      <c r="J1639" s="454" t="s">
        <v>10313</v>
      </c>
      <c r="K1639" s="60"/>
      <c r="L1639" s="147" t="s">
        <v>10307</v>
      </c>
      <c r="M1639" s="147" t="s">
        <v>10308</v>
      </c>
      <c r="N1639" s="144">
        <v>1.0</v>
      </c>
      <c r="O1639" s="145" t="s">
        <v>10314</v>
      </c>
      <c r="P1639" s="48" t="str">
        <f t="array" ref="P1639">HYPERLINK(INDEX('File Links'!B:B, MATCH(O1639, 'File Links'!C:C, 0)))
</f>
        <v>https://drive.google.com/file/d/1xo-D0d5xWZy_-HQc9CNuFVE8l1hYTkzr/view?usp=drivesdk</v>
      </c>
      <c r="Q1639" s="147" t="s">
        <v>6103</v>
      </c>
      <c r="R1639" s="147" t="s">
        <v>6104</v>
      </c>
      <c r="S1639" s="60"/>
      <c r="T1639" s="144">
        <v>1.0</v>
      </c>
      <c r="U1639" s="145" t="s">
        <v>6105</v>
      </c>
      <c r="V1639" s="147" t="s">
        <v>155</v>
      </c>
      <c r="W1639" s="1455" t="str">
        <f> hyperlink(vlookup(lower(R1639),'File Links'!F:G, 2, FALSE), "LINK")</f>
        <v>LINK</v>
      </c>
      <c r="X1639" s="42"/>
      <c r="Y1639" s="147" t="s">
        <v>139</v>
      </c>
      <c r="Z1639" s="147" t="s">
        <v>10315</v>
      </c>
      <c r="AA1639" s="147" t="s">
        <v>10316</v>
      </c>
      <c r="AB1639" s="147" t="s">
        <v>10317</v>
      </c>
      <c r="AC1639" s="147" t="s">
        <v>10318</v>
      </c>
      <c r="AD1639" s="144">
        <v>5.0</v>
      </c>
      <c r="AE1639" s="144">
        <v>139.0</v>
      </c>
      <c r="AF1639" s="144">
        <v>0.61</v>
      </c>
      <c r="AG1639" s="144" t="s">
        <v>166</v>
      </c>
      <c r="AH1639" s="144" t="s">
        <v>892</v>
      </c>
      <c r="AI1639" s="144">
        <v>0.001</v>
      </c>
      <c r="AJ1639" s="147" t="s">
        <v>127</v>
      </c>
      <c r="AK1639" s="147" t="s">
        <v>179</v>
      </c>
      <c r="AL1639" s="147" t="s">
        <v>821</v>
      </c>
      <c r="AM1639" s="60"/>
      <c r="AN1639" s="144">
        <v>212.0</v>
      </c>
      <c r="AO1639" s="144" t="s">
        <v>10319</v>
      </c>
      <c r="AP1639" s="144" t="s">
        <v>162</v>
      </c>
      <c r="AQ1639" s="60"/>
      <c r="AR1639" s="144">
        <v>0.908</v>
      </c>
      <c r="AS1639" s="147" t="s">
        <v>164</v>
      </c>
      <c r="AT1639" s="147" t="s">
        <v>179</v>
      </c>
      <c r="AU1639" s="147" t="s">
        <v>821</v>
      </c>
      <c r="AV1639" s="60"/>
      <c r="AW1639" s="60" t="s">
        <v>142</v>
      </c>
      <c r="AY1639" s="60" t="s">
        <v>144</v>
      </c>
    </row>
    <row r="1640">
      <c r="A1640" s="115" t="s">
        <v>5350</v>
      </c>
      <c r="B1640" s="41" t="s">
        <v>107</v>
      </c>
      <c r="C1640" s="41" t="s">
        <v>144</v>
      </c>
      <c r="E1640" s="60" t="s">
        <v>10305</v>
      </c>
      <c r="F1640" s="147" t="s">
        <v>10320</v>
      </c>
      <c r="G1640" s="147" t="s">
        <v>144</v>
      </c>
      <c r="H1640" s="140">
        <v>45687.0</v>
      </c>
      <c r="I1640" s="140">
        <v>45692.0</v>
      </c>
      <c r="J1640" s="454" t="s">
        <v>10321</v>
      </c>
      <c r="K1640" s="60"/>
      <c r="L1640" s="147" t="s">
        <v>10307</v>
      </c>
      <c r="M1640" s="147" t="s">
        <v>10308</v>
      </c>
      <c r="N1640" s="144">
        <v>1.0</v>
      </c>
      <c r="O1640" s="145" t="s">
        <v>10314</v>
      </c>
      <c r="P1640" s="48" t="str">
        <f t="array" ref="P1640">HYPERLINK(INDEX('File Links'!B:B, MATCH(O1640, 'File Links'!C:C, 0)))
</f>
        <v>https://drive.google.com/file/d/1xo-D0d5xWZy_-HQc9CNuFVE8l1hYTkzr/view?usp=drivesdk</v>
      </c>
      <c r="Q1640" s="147" t="s">
        <v>6103</v>
      </c>
      <c r="R1640" s="147" t="s">
        <v>6104</v>
      </c>
      <c r="S1640" s="60"/>
      <c r="T1640" s="144">
        <v>1.0</v>
      </c>
      <c r="U1640" s="145" t="s">
        <v>6105</v>
      </c>
      <c r="V1640" s="147" t="s">
        <v>155</v>
      </c>
      <c r="W1640" s="1455" t="str">
        <f> hyperlink(vlookup(lower(R1640),'File Links'!F:G, 2, FALSE), "LINK")</f>
        <v>LINK</v>
      </c>
      <c r="X1640" s="60"/>
      <c r="Y1640" s="147" t="s">
        <v>139</v>
      </c>
      <c r="Z1640" s="147" t="s">
        <v>10315</v>
      </c>
      <c r="AA1640" s="147" t="s">
        <v>10316</v>
      </c>
      <c r="AB1640" s="147" t="s">
        <v>10322</v>
      </c>
      <c r="AC1640" s="147" t="s">
        <v>10323</v>
      </c>
      <c r="AD1640" s="327">
        <v>5.0</v>
      </c>
      <c r="AE1640" s="144">
        <v>139.0</v>
      </c>
      <c r="AF1640" s="327">
        <v>0.67</v>
      </c>
      <c r="AG1640" s="144" t="s">
        <v>166</v>
      </c>
      <c r="AH1640" s="327" t="s">
        <v>892</v>
      </c>
      <c r="AI1640" s="144">
        <v>0.001</v>
      </c>
      <c r="AJ1640" s="147" t="s">
        <v>127</v>
      </c>
      <c r="AK1640" s="147" t="s">
        <v>179</v>
      </c>
      <c r="AL1640" s="147" t="s">
        <v>821</v>
      </c>
      <c r="AM1640" s="60"/>
      <c r="AN1640" s="144">
        <v>212.0</v>
      </c>
      <c r="AO1640" s="144" t="s">
        <v>10324</v>
      </c>
      <c r="AP1640" s="144" t="s">
        <v>162</v>
      </c>
      <c r="AQ1640" s="60"/>
      <c r="AR1640" s="144">
        <v>0.817</v>
      </c>
      <c r="AS1640" s="147" t="s">
        <v>164</v>
      </c>
      <c r="AT1640" s="147" t="s">
        <v>179</v>
      </c>
      <c r="AU1640" s="147" t="s">
        <v>821</v>
      </c>
      <c r="AV1640" s="60"/>
      <c r="AW1640" s="60" t="s">
        <v>142</v>
      </c>
      <c r="AY1640" s="60" t="s">
        <v>144</v>
      </c>
    </row>
    <row r="1641">
      <c r="A1641" s="115" t="s">
        <v>5350</v>
      </c>
      <c r="B1641" s="41" t="s">
        <v>107</v>
      </c>
      <c r="C1641" s="41" t="s">
        <v>144</v>
      </c>
      <c r="E1641" s="60" t="s">
        <v>10305</v>
      </c>
      <c r="F1641" s="147" t="s">
        <v>10325</v>
      </c>
      <c r="G1641" s="147" t="s">
        <v>144</v>
      </c>
      <c r="H1641" s="140">
        <v>45687.0</v>
      </c>
      <c r="I1641" s="140">
        <v>45692.0</v>
      </c>
      <c r="J1641" s="454" t="s">
        <v>10326</v>
      </c>
      <c r="K1641" s="60"/>
      <c r="L1641" s="147" t="s">
        <v>10307</v>
      </c>
      <c r="M1641" s="147" t="s">
        <v>10308</v>
      </c>
      <c r="N1641" s="144">
        <v>1.0</v>
      </c>
      <c r="O1641" s="145" t="s">
        <v>10314</v>
      </c>
      <c r="P1641" s="48" t="str">
        <f t="array" ref="P1641">HYPERLINK(INDEX('File Links'!B:B, MATCH(O1641, 'File Links'!C:C, 0)))
</f>
        <v>https://drive.google.com/file/d/1xo-D0d5xWZy_-HQc9CNuFVE8l1hYTkzr/view?usp=drivesdk</v>
      </c>
      <c r="Q1641" s="147" t="s">
        <v>6103</v>
      </c>
      <c r="R1641" s="147" t="s">
        <v>6104</v>
      </c>
      <c r="S1641" s="60"/>
      <c r="T1641" s="144">
        <v>1.0</v>
      </c>
      <c r="U1641" s="145" t="s">
        <v>6105</v>
      </c>
      <c r="V1641" s="147" t="s">
        <v>155</v>
      </c>
      <c r="W1641" s="1455" t="str">
        <f> hyperlink(vlookup(lower(R1641),'File Links'!F:G, 2, FALSE), "LINK")</f>
        <v>LINK</v>
      </c>
      <c r="X1641" s="60"/>
      <c r="Y1641" s="147" t="s">
        <v>139</v>
      </c>
      <c r="Z1641" s="147" t="s">
        <v>10315</v>
      </c>
      <c r="AA1641" s="147" t="s">
        <v>10316</v>
      </c>
      <c r="AB1641" s="147" t="s">
        <v>10327</v>
      </c>
      <c r="AC1641" s="147" t="s">
        <v>10328</v>
      </c>
      <c r="AD1641" s="327">
        <v>5.0</v>
      </c>
      <c r="AE1641" s="144">
        <v>139.0</v>
      </c>
      <c r="AF1641" s="327">
        <v>0.1</v>
      </c>
      <c r="AG1641" s="144" t="s">
        <v>130</v>
      </c>
      <c r="AH1641" s="327" t="s">
        <v>892</v>
      </c>
      <c r="AI1641" s="144">
        <v>0.001</v>
      </c>
      <c r="AJ1641" s="147" t="s">
        <v>127</v>
      </c>
      <c r="AK1641" s="147" t="s">
        <v>179</v>
      </c>
      <c r="AL1641" s="147" t="s">
        <v>821</v>
      </c>
      <c r="AM1641" s="60"/>
      <c r="AN1641" s="144">
        <v>212.0</v>
      </c>
      <c r="AO1641" s="144" t="s">
        <v>10329</v>
      </c>
      <c r="AP1641" s="144" t="s">
        <v>162</v>
      </c>
      <c r="AQ1641" s="60"/>
      <c r="AR1641" s="144">
        <v>0.284</v>
      </c>
      <c r="AS1641" s="147" t="s">
        <v>164</v>
      </c>
      <c r="AT1641" s="147" t="s">
        <v>179</v>
      </c>
      <c r="AU1641" s="147" t="s">
        <v>821</v>
      </c>
      <c r="AV1641" s="60"/>
      <c r="AW1641" s="60" t="s">
        <v>142</v>
      </c>
      <c r="AY1641" s="60" t="s">
        <v>144</v>
      </c>
    </row>
    <row r="1642">
      <c r="A1642" s="60" t="s">
        <v>586</v>
      </c>
      <c r="B1642" s="41" t="s">
        <v>107</v>
      </c>
      <c r="C1642" s="41" t="s">
        <v>243</v>
      </c>
      <c r="E1642" s="147" t="s">
        <v>10330</v>
      </c>
      <c r="F1642" s="147" t="s">
        <v>10331</v>
      </c>
      <c r="G1642" s="147" t="s">
        <v>244</v>
      </c>
      <c r="H1642" s="140">
        <v>45672.0</v>
      </c>
      <c r="I1642" s="140">
        <v>45692.0</v>
      </c>
      <c r="J1642" s="412" t="s">
        <v>10332</v>
      </c>
      <c r="K1642" s="60"/>
      <c r="L1642" s="147" t="s">
        <v>10333</v>
      </c>
      <c r="M1642" s="147" t="s">
        <v>10334</v>
      </c>
      <c r="N1642" s="60"/>
      <c r="O1642" s="145" t="str">
        <f> SUBSTITUTE(lower(M1642), "/", "--") &amp;  ".pdf"</f>
        <v>10.1093--jos--ffw010.pdf</v>
      </c>
      <c r="P1642" s="48" t="str">
        <f t="array" ref="P1642">HYPERLINK(INDEX('File Links'!B:B, MATCH(O1642, 'File Links'!C:C, 0)))
</f>
        <v>https://drive.google.com/file/d/10gwwst21XMDLdZDUQ3-UJKa2tLRTlO7K/view?usp=drivesdk</v>
      </c>
      <c r="Q1642" s="147" t="s">
        <v>10335</v>
      </c>
      <c r="R1642" s="147" t="s">
        <v>10336</v>
      </c>
      <c r="S1642" s="60"/>
      <c r="T1642" s="60"/>
      <c r="U1642" s="145" t="s">
        <v>6105</v>
      </c>
      <c r="V1642" s="60"/>
      <c r="W1642" s="1455" t="str">
        <f> hyperlink(vlookup(lower(R1642),'File Links'!E:F, 2, FALSE), "LINK")</f>
        <v>LINK</v>
      </c>
      <c r="X1642" s="60"/>
      <c r="Y1642" s="60"/>
      <c r="Z1642" s="60"/>
      <c r="AA1642" s="60"/>
      <c r="AB1642" s="60"/>
      <c r="AC1642" s="60"/>
      <c r="AD1642" s="60"/>
      <c r="AE1642" s="60"/>
      <c r="AF1642" s="60"/>
      <c r="AG1642" s="60"/>
      <c r="AH1642" s="60"/>
      <c r="AI1642" s="60"/>
      <c r="AJ1642" s="60"/>
      <c r="AK1642" s="147" t="s">
        <v>179</v>
      </c>
      <c r="AL1642" s="147" t="s">
        <v>821</v>
      </c>
      <c r="AM1642" s="147" t="s">
        <v>129</v>
      </c>
      <c r="AN1642" s="60"/>
      <c r="AO1642" s="60"/>
      <c r="AP1642" s="60"/>
      <c r="AQ1642" s="60"/>
      <c r="AR1642" s="60"/>
      <c r="AS1642" s="147" t="s">
        <v>164</v>
      </c>
      <c r="AT1642" s="147" t="s">
        <v>179</v>
      </c>
      <c r="AU1642" s="147" t="s">
        <v>821</v>
      </c>
      <c r="AV1642" s="60"/>
      <c r="AW1642" s="147" t="s">
        <v>134</v>
      </c>
      <c r="AY1642" s="60" t="s">
        <v>144</v>
      </c>
    </row>
    <row r="1643">
      <c r="A1643" s="115" t="s">
        <v>5350</v>
      </c>
      <c r="B1643" s="41" t="s">
        <v>107</v>
      </c>
      <c r="C1643" s="41" t="s">
        <v>144</v>
      </c>
      <c r="E1643" s="60" t="s">
        <v>10331</v>
      </c>
      <c r="F1643" s="147" t="s">
        <v>10330</v>
      </c>
      <c r="G1643" s="147" t="s">
        <v>144</v>
      </c>
      <c r="H1643" s="140">
        <v>45687.0</v>
      </c>
      <c r="I1643" s="140">
        <v>45692.0</v>
      </c>
      <c r="J1643" s="454" t="s">
        <v>10337</v>
      </c>
      <c r="K1643" s="642" t="s">
        <v>2021</v>
      </c>
      <c r="L1643" s="147" t="s">
        <v>10333</v>
      </c>
      <c r="M1643" s="147" t="s">
        <v>10334</v>
      </c>
      <c r="N1643" s="144">
        <v>1.0</v>
      </c>
      <c r="O1643" s="145" t="s">
        <v>10338</v>
      </c>
      <c r="P1643" s="48" t="str">
        <f t="array" ref="P1643">HYPERLINK(INDEX('File Links'!B:B, MATCH(O1643, 'File Links'!C:C, 0)))
</f>
        <v>https://drive.google.com/file/d/10gwwst21XMDLdZDUQ3-UJKa2tLRTlO7K/view?usp=drivesdk</v>
      </c>
      <c r="Q1643" s="147" t="s">
        <v>6103</v>
      </c>
      <c r="R1643" s="147" t="s">
        <v>6104</v>
      </c>
      <c r="S1643" s="60"/>
      <c r="T1643" s="144">
        <v>1.0</v>
      </c>
      <c r="U1643" s="145" t="s">
        <v>6105</v>
      </c>
      <c r="V1643" s="147" t="s">
        <v>10339</v>
      </c>
      <c r="W1643" s="1455" t="str">
        <f> hyperlink(vlookup(lower(R1643),'File Links'!F:G, 2, FALSE), "LINK")</f>
        <v>LINK</v>
      </c>
      <c r="X1643" s="60"/>
      <c r="Y1643" s="147" t="s">
        <v>960</v>
      </c>
      <c r="Z1643" s="147" t="s">
        <v>10340</v>
      </c>
      <c r="AA1643" s="147" t="s">
        <v>10341</v>
      </c>
      <c r="AB1643" s="147" t="s">
        <v>10342</v>
      </c>
      <c r="AC1643" s="60"/>
      <c r="AD1643" s="60"/>
      <c r="AE1643" s="144">
        <v>41.0</v>
      </c>
      <c r="AF1643" s="60"/>
      <c r="AG1643" s="60"/>
      <c r="AH1643" s="60"/>
      <c r="AI1643" s="144">
        <f>9.21719900448522*10^-19</f>
        <v>0</v>
      </c>
      <c r="AJ1643" s="147" t="s">
        <v>164</v>
      </c>
      <c r="AK1643" s="147" t="s">
        <v>179</v>
      </c>
      <c r="AL1643" s="147" t="s">
        <v>821</v>
      </c>
      <c r="AM1643" s="60"/>
      <c r="AN1643" s="144">
        <v>20.0</v>
      </c>
      <c r="AO1643" s="144" t="s">
        <v>10343</v>
      </c>
      <c r="AP1643" s="144" t="s">
        <v>162</v>
      </c>
      <c r="AQ1643" s="60"/>
      <c r="AR1643" s="144">
        <v>0.001</v>
      </c>
      <c r="AS1643" s="147" t="s">
        <v>127</v>
      </c>
      <c r="AT1643" s="147" t="s">
        <v>179</v>
      </c>
      <c r="AU1643" s="147" t="s">
        <v>821</v>
      </c>
      <c r="AV1643" s="60"/>
      <c r="AW1643" s="60" t="s">
        <v>142</v>
      </c>
      <c r="AY1643" s="60" t="s">
        <v>144</v>
      </c>
    </row>
    <row r="1644">
      <c r="A1644" s="60" t="s">
        <v>106</v>
      </c>
      <c r="B1644" s="41" t="s">
        <v>107</v>
      </c>
      <c r="C1644" s="41" t="s">
        <v>243</v>
      </c>
      <c r="E1644" s="147" t="s">
        <v>10344</v>
      </c>
      <c r="F1644" s="147" t="s">
        <v>10345</v>
      </c>
      <c r="G1644" s="147" t="s">
        <v>244</v>
      </c>
      <c r="H1644" s="140">
        <v>45672.0</v>
      </c>
      <c r="I1644" s="140">
        <v>45692.0</v>
      </c>
      <c r="J1644" s="412" t="s">
        <v>10346</v>
      </c>
      <c r="K1644" s="60"/>
      <c r="L1644" s="147" t="s">
        <v>10347</v>
      </c>
      <c r="M1644" s="147" t="s">
        <v>10348</v>
      </c>
      <c r="N1644" s="60"/>
      <c r="O1644" s="145" t="str">
        <f> SUBSTITUTE(lower(M1644), "/", "--") &amp;  ".pdf"</f>
        <v>10.1177--0956797615624492.pdf</v>
      </c>
      <c r="P1644" s="48" t="str">
        <f t="array" ref="P1644">HYPERLINK(INDEX('File Links'!B:B, MATCH(O1644, 'File Links'!C:C, 0)))
</f>
        <v>https://drive.google.com/file/d/1MpP2-43GqkWDRpuwJ-apCbzIk2GwSMn_/view?usp=drivesdk</v>
      </c>
      <c r="Q1644" s="147" t="s">
        <v>10349</v>
      </c>
      <c r="R1644" s="147" t="s">
        <v>10350</v>
      </c>
      <c r="S1644" s="60"/>
      <c r="T1644" s="60"/>
      <c r="U1644" s="145" t="s">
        <v>6105</v>
      </c>
      <c r="V1644" s="147" t="s">
        <v>6117</v>
      </c>
      <c r="W1644" s="1455" t="str">
        <f> hyperlink(vlookup(lower(R1644),'File Links'!E:F, 2, FALSE), "LINK")</f>
        <v>LINK</v>
      </c>
      <c r="X1644" s="60"/>
      <c r="Y1644" s="147" t="s">
        <v>220</v>
      </c>
      <c r="Z1644" s="60"/>
      <c r="AA1644" s="147" t="s">
        <v>10351</v>
      </c>
      <c r="AB1644" s="60"/>
      <c r="AC1644" s="147" t="s">
        <v>10352</v>
      </c>
      <c r="AD1644" s="144">
        <v>3.0</v>
      </c>
      <c r="AE1644" s="144">
        <v>63.0</v>
      </c>
      <c r="AF1644" s="144">
        <v>17.21</v>
      </c>
      <c r="AG1644" s="147" t="s">
        <v>1051</v>
      </c>
      <c r="AH1644" s="147" t="s">
        <v>210</v>
      </c>
      <c r="AI1644" s="144">
        <v>0.001</v>
      </c>
      <c r="AJ1644" s="147" t="s">
        <v>127</v>
      </c>
      <c r="AK1644" s="147" t="s">
        <v>179</v>
      </c>
      <c r="AL1644" s="147" t="s">
        <v>132</v>
      </c>
      <c r="AM1644" s="147" t="s">
        <v>129</v>
      </c>
      <c r="AN1644" s="144">
        <v>26.0</v>
      </c>
      <c r="AO1644" s="1486">
        <v>-0.0204714248912809</v>
      </c>
      <c r="AP1644" s="147" t="s">
        <v>166</v>
      </c>
      <c r="AQ1644" s="60"/>
      <c r="AR1644" s="1486">
        <v>0.919289815940389</v>
      </c>
      <c r="AS1644" s="147" t="s">
        <v>164</v>
      </c>
      <c r="AT1644" s="147" t="s">
        <v>179</v>
      </c>
      <c r="AU1644" s="147" t="s">
        <v>132</v>
      </c>
      <c r="AV1644" s="60"/>
      <c r="AW1644" s="147" t="s">
        <v>134</v>
      </c>
      <c r="AY1644" s="60" t="s">
        <v>144</v>
      </c>
    </row>
    <row r="1645">
      <c r="A1645" s="115" t="s">
        <v>5350</v>
      </c>
      <c r="B1645" s="41" t="s">
        <v>107</v>
      </c>
      <c r="C1645" s="41" t="s">
        <v>144</v>
      </c>
      <c r="E1645" s="60" t="s">
        <v>10345</v>
      </c>
      <c r="F1645" s="147" t="s">
        <v>10344</v>
      </c>
      <c r="G1645" s="147" t="s">
        <v>144</v>
      </c>
      <c r="H1645" s="140">
        <v>45687.0</v>
      </c>
      <c r="I1645" s="140">
        <v>45692.0</v>
      </c>
      <c r="J1645" s="454" t="s">
        <v>10353</v>
      </c>
      <c r="K1645" s="60"/>
      <c r="L1645" s="147" t="s">
        <v>10347</v>
      </c>
      <c r="M1645" s="147" t="s">
        <v>10348</v>
      </c>
      <c r="N1645" s="144">
        <v>1.0</v>
      </c>
      <c r="O1645" s="145" t="s">
        <v>10354</v>
      </c>
      <c r="P1645" s="48" t="str">
        <f t="array" ref="P1645">HYPERLINK(INDEX('File Links'!B:B, MATCH(O1645, 'File Links'!C:C, 0)))
</f>
        <v>https://drive.google.com/file/d/1MpP2-43GqkWDRpuwJ-apCbzIk2GwSMn_/view?usp=drivesdk</v>
      </c>
      <c r="Q1645" s="147" t="s">
        <v>6103</v>
      </c>
      <c r="R1645" s="147" t="s">
        <v>6104</v>
      </c>
      <c r="S1645" s="60"/>
      <c r="T1645" s="144">
        <v>1.0</v>
      </c>
      <c r="U1645" s="145" t="s">
        <v>6105</v>
      </c>
      <c r="V1645" s="147" t="s">
        <v>9044</v>
      </c>
      <c r="W1645" s="1455" t="str">
        <f> hyperlink(vlookup(lower(R1645),'File Links'!F:G, 2, FALSE), "LINK")</f>
        <v>LINK</v>
      </c>
      <c r="X1645" s="60"/>
      <c r="Y1645" s="147" t="s">
        <v>220</v>
      </c>
      <c r="Z1645" s="147" t="s">
        <v>9556</v>
      </c>
      <c r="AA1645" s="147" t="s">
        <v>10355</v>
      </c>
      <c r="AB1645" s="147" t="s">
        <v>10356</v>
      </c>
      <c r="AC1645" s="147" t="s">
        <v>10357</v>
      </c>
      <c r="AD1645" s="144">
        <v>3.0</v>
      </c>
      <c r="AE1645" s="144">
        <v>63.0</v>
      </c>
      <c r="AF1645" s="144">
        <v>0.22</v>
      </c>
      <c r="AG1645" s="144" t="s">
        <v>1785</v>
      </c>
      <c r="AH1645" s="144" t="s">
        <v>210</v>
      </c>
      <c r="AI1645" s="144">
        <v>0.001</v>
      </c>
      <c r="AJ1645" s="147" t="s">
        <v>127</v>
      </c>
      <c r="AK1645" s="147" t="s">
        <v>179</v>
      </c>
      <c r="AL1645" s="147" t="s">
        <v>132</v>
      </c>
      <c r="AM1645" s="60"/>
      <c r="AN1645" s="144">
        <v>26.0</v>
      </c>
      <c r="AO1645" s="144" t="s">
        <v>10358</v>
      </c>
      <c r="AP1645" s="144" t="s">
        <v>162</v>
      </c>
      <c r="AQ1645" s="60"/>
      <c r="AR1645" s="144">
        <v>0.27</v>
      </c>
      <c r="AS1645" s="147" t="s">
        <v>164</v>
      </c>
      <c r="AT1645" s="147" t="s">
        <v>179</v>
      </c>
      <c r="AU1645" s="147" t="s">
        <v>132</v>
      </c>
      <c r="AV1645" s="60"/>
      <c r="AW1645" s="60" t="s">
        <v>134</v>
      </c>
      <c r="AY1645" s="60" t="s">
        <v>144</v>
      </c>
    </row>
    <row r="1646">
      <c r="A1646" s="115" t="s">
        <v>5350</v>
      </c>
      <c r="B1646" s="41" t="s">
        <v>107</v>
      </c>
      <c r="C1646" s="41" t="s">
        <v>144</v>
      </c>
      <c r="E1646" s="60" t="s">
        <v>10359</v>
      </c>
      <c r="F1646" s="147" t="s">
        <v>10360</v>
      </c>
      <c r="G1646" s="147" t="s">
        <v>144</v>
      </c>
      <c r="H1646" s="140">
        <v>45687.0</v>
      </c>
      <c r="I1646" s="140">
        <v>45692.0</v>
      </c>
      <c r="J1646" s="454" t="s">
        <v>10361</v>
      </c>
      <c r="K1646" s="60"/>
      <c r="L1646" s="147" t="s">
        <v>10347</v>
      </c>
      <c r="M1646" s="147" t="s">
        <v>10348</v>
      </c>
      <c r="N1646" s="144">
        <v>3.0</v>
      </c>
      <c r="O1646" s="145" t="s">
        <v>10354</v>
      </c>
      <c r="P1646" s="48" t="str">
        <f t="array" ref="P1646">HYPERLINK(INDEX('File Links'!B:B, MATCH(O1646, 'File Links'!C:C, 0)))
</f>
        <v>https://drive.google.com/file/d/1MpP2-43GqkWDRpuwJ-apCbzIk2GwSMn_/view?usp=drivesdk</v>
      </c>
      <c r="Q1646" s="147" t="s">
        <v>6103</v>
      </c>
      <c r="R1646" s="147" t="s">
        <v>6104</v>
      </c>
      <c r="S1646" s="60"/>
      <c r="T1646" s="144">
        <v>1.0</v>
      </c>
      <c r="U1646" s="145" t="s">
        <v>6105</v>
      </c>
      <c r="V1646" s="147" t="s">
        <v>9109</v>
      </c>
      <c r="W1646" s="1455" t="str">
        <f> hyperlink(vlookup(lower(R1646),'File Links'!F:G, 2, FALSE), "LINK")</f>
        <v>LINK</v>
      </c>
      <c r="X1646" s="60"/>
      <c r="Y1646" s="147" t="s">
        <v>220</v>
      </c>
      <c r="Z1646" s="147" t="s">
        <v>9556</v>
      </c>
      <c r="AA1646" s="147" t="s">
        <v>10355</v>
      </c>
      <c r="AB1646" s="147" t="s">
        <v>10362</v>
      </c>
      <c r="AC1646" s="147" t="s">
        <v>10363</v>
      </c>
      <c r="AD1646" s="327">
        <v>7.0</v>
      </c>
      <c r="AE1646" s="144">
        <v>62.0</v>
      </c>
      <c r="AF1646" s="327">
        <v>0.35</v>
      </c>
      <c r="AG1646" s="144" t="s">
        <v>1785</v>
      </c>
      <c r="AH1646" s="327" t="s">
        <v>125</v>
      </c>
      <c r="AI1646" s="144">
        <v>0.001</v>
      </c>
      <c r="AJ1646" s="147" t="s">
        <v>127</v>
      </c>
      <c r="AK1646" s="147" t="s">
        <v>179</v>
      </c>
      <c r="AL1646" s="147" t="s">
        <v>821</v>
      </c>
      <c r="AM1646" s="60"/>
      <c r="AN1646" s="144">
        <v>14.0</v>
      </c>
      <c r="AO1646" s="327">
        <v>0.0020787</v>
      </c>
      <c r="AP1646" s="144" t="s">
        <v>130</v>
      </c>
      <c r="AQ1646" s="60"/>
      <c r="AR1646" s="144">
        <v>0.4551992</v>
      </c>
      <c r="AS1646" s="147" t="s">
        <v>164</v>
      </c>
      <c r="AT1646" s="147" t="s">
        <v>179</v>
      </c>
      <c r="AU1646" s="147" t="s">
        <v>821</v>
      </c>
      <c r="AV1646" s="60"/>
      <c r="AW1646" s="60" t="s">
        <v>134</v>
      </c>
      <c r="AY1646" s="60" t="s">
        <v>144</v>
      </c>
    </row>
    <row r="1647">
      <c r="A1647" s="60" t="s">
        <v>106</v>
      </c>
      <c r="B1647" s="41" t="s">
        <v>107</v>
      </c>
      <c r="C1647" s="41" t="s">
        <v>243</v>
      </c>
      <c r="E1647" s="60" t="s">
        <v>10359</v>
      </c>
      <c r="F1647" s="147" t="s">
        <v>10364</v>
      </c>
      <c r="G1647" s="147" t="s">
        <v>244</v>
      </c>
      <c r="H1647" s="140">
        <v>45672.0</v>
      </c>
      <c r="I1647" s="140">
        <v>45692.0</v>
      </c>
      <c r="J1647" s="412" t="s">
        <v>10365</v>
      </c>
      <c r="K1647" s="60"/>
      <c r="L1647" s="147" t="s">
        <v>10347</v>
      </c>
      <c r="M1647" s="147" t="s">
        <v>10348</v>
      </c>
      <c r="N1647" s="60"/>
      <c r="O1647" s="145" t="str">
        <f t="shared" ref="O1647:O1648" si="85"> SUBSTITUTE(lower(M1647), "/", "--") &amp;  ".pdf"</f>
        <v>10.1177--0956797615624492.pdf</v>
      </c>
      <c r="P1647" s="48" t="str">
        <f t="array" ref="P1647">HYPERLINK(INDEX('File Links'!B:B, MATCH(O1647, 'File Links'!C:C, 0)))
</f>
        <v>https://drive.google.com/file/d/1MpP2-43GqkWDRpuwJ-apCbzIk2GwSMn_/view?usp=drivesdk</v>
      </c>
      <c r="Q1647" s="147" t="s">
        <v>10366</v>
      </c>
      <c r="R1647" s="147" t="s">
        <v>10367</v>
      </c>
      <c r="S1647" s="60"/>
      <c r="T1647" s="60"/>
      <c r="U1647" s="145" t="s">
        <v>6105</v>
      </c>
      <c r="V1647" s="147" t="s">
        <v>318</v>
      </c>
      <c r="W1647" s="1455" t="str">
        <f> hyperlink(vlookup(lower(R1647),'File Links'!E:F, 2, FALSE), "LINK")</f>
        <v>LINK</v>
      </c>
      <c r="X1647" s="60"/>
      <c r="Y1647" s="147" t="s">
        <v>220</v>
      </c>
      <c r="Z1647" s="60"/>
      <c r="AA1647" s="60"/>
      <c r="AB1647" s="60"/>
      <c r="AC1647" s="147" t="s">
        <v>165</v>
      </c>
      <c r="AD1647" s="147" t="s">
        <v>165</v>
      </c>
      <c r="AE1647" s="144">
        <v>62.0</v>
      </c>
      <c r="AF1647" s="1486">
        <v>0.548480826803157</v>
      </c>
      <c r="AG1647" s="147" t="s">
        <v>166</v>
      </c>
      <c r="AH1647" s="147" t="s">
        <v>165</v>
      </c>
      <c r="AI1647" s="1488">
        <v>6.62469529051993E-5</v>
      </c>
      <c r="AJ1647" s="147" t="s">
        <v>164</v>
      </c>
      <c r="AK1647" s="147" t="s">
        <v>179</v>
      </c>
      <c r="AL1647" s="147" t="s">
        <v>821</v>
      </c>
      <c r="AM1647" s="147" t="s">
        <v>129</v>
      </c>
      <c r="AN1647" s="144">
        <v>14.0</v>
      </c>
      <c r="AO1647" s="1489">
        <v>0.448958987300324</v>
      </c>
      <c r="AP1647" s="147" t="s">
        <v>166</v>
      </c>
      <c r="AQ1647" s="60"/>
      <c r="AR1647" s="1489">
        <v>0.129496379178315</v>
      </c>
      <c r="AS1647" s="147" t="s">
        <v>164</v>
      </c>
      <c r="AT1647" s="147" t="s">
        <v>179</v>
      </c>
      <c r="AU1647" s="147" t="s">
        <v>821</v>
      </c>
      <c r="AV1647" s="60"/>
      <c r="AW1647" s="147" t="s">
        <v>134</v>
      </c>
      <c r="AY1647" s="60" t="s">
        <v>144</v>
      </c>
    </row>
    <row r="1648">
      <c r="A1648" s="60" t="s">
        <v>586</v>
      </c>
      <c r="B1648" s="41" t="s">
        <v>107</v>
      </c>
      <c r="C1648" s="41" t="s">
        <v>243</v>
      </c>
      <c r="E1648" s="147" t="s">
        <v>10368</v>
      </c>
      <c r="F1648" s="147" t="s">
        <v>10369</v>
      </c>
      <c r="G1648" s="147" t="s">
        <v>244</v>
      </c>
      <c r="H1648" s="140">
        <v>45672.0</v>
      </c>
      <c r="I1648" s="140">
        <v>45692.0</v>
      </c>
      <c r="J1648" s="412" t="s">
        <v>10370</v>
      </c>
      <c r="K1648" s="60" t="s">
        <v>10123</v>
      </c>
      <c r="L1648" s="147" t="s">
        <v>10371</v>
      </c>
      <c r="M1648" s="147" t="s">
        <v>10372</v>
      </c>
      <c r="N1648" s="60"/>
      <c r="O1648" s="145" t="str">
        <f t="shared" si="85"/>
        <v>10.1515--ling.2011.016.pdf</v>
      </c>
      <c r="P1648" s="48" t="str">
        <f t="array" ref="P1648">HYPERLINK(INDEX('File Links'!B:B, MATCH(O1648, 'File Links'!C:C, 0)))
</f>
        <v>https://drive.google.com/file/d/1OhQWWe3jm8WtNRylZvAGE-c4xHX8dswr/view?usp=drivesdk</v>
      </c>
      <c r="Q1648" s="147" t="s">
        <v>10373</v>
      </c>
      <c r="R1648" s="147" t="s">
        <v>10374</v>
      </c>
      <c r="S1648" s="60"/>
      <c r="T1648" s="60"/>
      <c r="U1648" s="145" t="s">
        <v>6105</v>
      </c>
      <c r="V1648" s="147" t="s">
        <v>9109</v>
      </c>
      <c r="W1648" s="1455" t="str">
        <f> hyperlink(vlookup(lower(R1648),'File Links'!E:F, 2, FALSE), "LINK")</f>
        <v>LINK</v>
      </c>
      <c r="X1648" s="60"/>
      <c r="Y1648" s="147" t="s">
        <v>220</v>
      </c>
      <c r="Z1648" s="1460" t="s">
        <v>10375</v>
      </c>
      <c r="AA1648" s="1460" t="s">
        <v>10376</v>
      </c>
      <c r="AB1648" s="1460" t="s">
        <v>10377</v>
      </c>
      <c r="AC1648" s="147" t="s">
        <v>10378</v>
      </c>
      <c r="AD1648" s="144">
        <v>540.0</v>
      </c>
      <c r="AE1648" s="144">
        <v>20.0</v>
      </c>
      <c r="AF1648" s="144">
        <v>0.85</v>
      </c>
      <c r="AG1648" s="147" t="s">
        <v>166</v>
      </c>
      <c r="AH1648" s="147" t="s">
        <v>10379</v>
      </c>
      <c r="AI1648" s="144">
        <v>0.005</v>
      </c>
      <c r="AJ1648" s="147" t="s">
        <v>127</v>
      </c>
      <c r="AK1648" s="147" t="s">
        <v>179</v>
      </c>
      <c r="AL1648" s="147" t="s">
        <v>821</v>
      </c>
      <c r="AM1648" s="147" t="s">
        <v>129</v>
      </c>
      <c r="AN1648" s="144">
        <v>35.0</v>
      </c>
      <c r="AO1648" s="144">
        <v>0.902433572610701</v>
      </c>
      <c r="AP1648" s="147" t="s">
        <v>166</v>
      </c>
      <c r="AQ1648" s="60"/>
      <c r="AR1648" s="1490">
        <f>7.8*10^-6</f>
        <v>0.0000078</v>
      </c>
      <c r="AS1648" s="147" t="s">
        <v>164</v>
      </c>
      <c r="AT1648" s="147" t="s">
        <v>179</v>
      </c>
      <c r="AU1648" s="147" t="s">
        <v>821</v>
      </c>
      <c r="AV1648" s="60"/>
      <c r="AW1648" s="1268" t="s">
        <v>134</v>
      </c>
      <c r="AY1648" s="60" t="s">
        <v>144</v>
      </c>
    </row>
    <row r="1649">
      <c r="A1649" s="60" t="s">
        <v>586</v>
      </c>
      <c r="B1649" s="41" t="s">
        <v>107</v>
      </c>
      <c r="C1649" s="41" t="s">
        <v>144</v>
      </c>
      <c r="E1649" s="60" t="s">
        <v>10369</v>
      </c>
      <c r="F1649" s="147" t="s">
        <v>10368</v>
      </c>
      <c r="G1649" s="147" t="s">
        <v>144</v>
      </c>
      <c r="H1649" s="140">
        <v>45687.0</v>
      </c>
      <c r="I1649" s="140">
        <v>45692.0</v>
      </c>
      <c r="J1649" s="454" t="s">
        <v>10380</v>
      </c>
      <c r="K1649" s="60"/>
      <c r="L1649" s="147" t="s">
        <v>10371</v>
      </c>
      <c r="M1649" s="60"/>
      <c r="N1649" s="144">
        <v>1.0</v>
      </c>
      <c r="O1649" s="145" t="s">
        <v>351</v>
      </c>
      <c r="P1649" s="544" t="str">
        <f t="array" ref="P1649">HYPERLINK(INDEX('File Links'!B:B, MATCH(O1649, 'File Links'!C:C, 0)))
</f>
        <v>#N/A</v>
      </c>
      <c r="Q1649" s="147" t="s">
        <v>6103</v>
      </c>
      <c r="R1649" s="147" t="s">
        <v>6104</v>
      </c>
      <c r="S1649" s="60"/>
      <c r="T1649" s="144">
        <v>1.0</v>
      </c>
      <c r="U1649" s="145" t="s">
        <v>6105</v>
      </c>
      <c r="V1649" s="147" t="s">
        <v>9109</v>
      </c>
      <c r="W1649" s="1455" t="str">
        <f> hyperlink(vlookup(lower(R1649),'File Links'!F:G, 2, FALSE), "LINK")</f>
        <v>LINK</v>
      </c>
      <c r="X1649" s="60"/>
      <c r="Y1649" s="147" t="s">
        <v>220</v>
      </c>
      <c r="Z1649" s="147" t="s">
        <v>10375</v>
      </c>
      <c r="AA1649" s="147" t="s">
        <v>10376</v>
      </c>
      <c r="AB1649" s="147" t="s">
        <v>10377</v>
      </c>
      <c r="AC1649" s="147" t="s">
        <v>10381</v>
      </c>
      <c r="AD1649" s="144">
        <v>14.0</v>
      </c>
      <c r="AE1649" s="144">
        <v>20.0</v>
      </c>
      <c r="AF1649" s="144" t="s">
        <v>10382</v>
      </c>
      <c r="AG1649" s="144" t="s">
        <v>162</v>
      </c>
      <c r="AH1649" s="144" t="s">
        <v>2232</v>
      </c>
      <c r="AI1649" s="144">
        <v>0.005</v>
      </c>
      <c r="AJ1649" s="147" t="s">
        <v>127</v>
      </c>
      <c r="AK1649" s="147" t="s">
        <v>179</v>
      </c>
      <c r="AL1649" s="147" t="s">
        <v>821</v>
      </c>
      <c r="AM1649" s="60"/>
      <c r="AN1649" s="144">
        <v>35.0</v>
      </c>
      <c r="AO1649" s="144">
        <v>0.902</v>
      </c>
      <c r="AP1649" s="144" t="s">
        <v>166</v>
      </c>
      <c r="AQ1649" s="60"/>
      <c r="AR1649" s="144">
        <f>2.2*10^-16</f>
        <v>0</v>
      </c>
      <c r="AS1649" s="147" t="s">
        <v>127</v>
      </c>
      <c r="AT1649" s="147" t="s">
        <v>179</v>
      </c>
      <c r="AU1649" s="147" t="s">
        <v>821</v>
      </c>
      <c r="AV1649" s="60"/>
      <c r="AW1649" s="60" t="s">
        <v>142</v>
      </c>
      <c r="AY1649" s="60" t="s">
        <v>144</v>
      </c>
    </row>
    <row r="1650">
      <c r="A1650" s="115" t="s">
        <v>5350</v>
      </c>
      <c r="B1650" s="41" t="s">
        <v>107</v>
      </c>
      <c r="C1650" s="41" t="s">
        <v>144</v>
      </c>
      <c r="E1650" s="60" t="s">
        <v>10369</v>
      </c>
      <c r="F1650" s="147" t="s">
        <v>10383</v>
      </c>
      <c r="G1650" s="147" t="s">
        <v>144</v>
      </c>
      <c r="H1650" s="140">
        <v>45687.0</v>
      </c>
      <c r="I1650" s="140">
        <v>45692.0</v>
      </c>
      <c r="J1650" s="454" t="s">
        <v>10384</v>
      </c>
      <c r="K1650" s="60"/>
      <c r="L1650" s="147" t="s">
        <v>10371</v>
      </c>
      <c r="M1650" s="60"/>
      <c r="N1650" s="144">
        <v>1.0</v>
      </c>
      <c r="O1650" s="145" t="s">
        <v>351</v>
      </c>
      <c r="P1650" s="544" t="str">
        <f t="array" ref="P1650">HYPERLINK(INDEX('File Links'!B:B, MATCH(O1650, 'File Links'!C:C, 0)))
</f>
        <v>#N/A</v>
      </c>
      <c r="Q1650" s="147" t="s">
        <v>6103</v>
      </c>
      <c r="R1650" s="147" t="s">
        <v>6104</v>
      </c>
      <c r="S1650" s="60"/>
      <c r="T1650" s="144">
        <v>1.0</v>
      </c>
      <c r="U1650" s="145" t="s">
        <v>6105</v>
      </c>
      <c r="V1650" s="147" t="s">
        <v>9109</v>
      </c>
      <c r="W1650" s="1455" t="str">
        <f> hyperlink(vlookup(lower(R1650),'File Links'!F:G, 2, FALSE), "LINK")</f>
        <v>LINK</v>
      </c>
      <c r="X1650" s="60"/>
      <c r="Y1650" s="147" t="s">
        <v>220</v>
      </c>
      <c r="Z1650" s="147" t="s">
        <v>10375</v>
      </c>
      <c r="AA1650" s="147" t="s">
        <v>10376</v>
      </c>
      <c r="AB1650" s="147" t="s">
        <v>10385</v>
      </c>
      <c r="AC1650" s="147" t="s">
        <v>10386</v>
      </c>
      <c r="AD1650" s="327">
        <v>15.0</v>
      </c>
      <c r="AE1650" s="144">
        <v>20.0</v>
      </c>
      <c r="AF1650" s="327" t="s">
        <v>10387</v>
      </c>
      <c r="AG1650" s="144" t="s">
        <v>162</v>
      </c>
      <c r="AH1650" s="327" t="s">
        <v>624</v>
      </c>
      <c r="AI1650" s="327">
        <v>0.05</v>
      </c>
      <c r="AJ1650" s="147" t="s">
        <v>127</v>
      </c>
      <c r="AK1650" s="147" t="s">
        <v>179</v>
      </c>
      <c r="AL1650" s="147" t="s">
        <v>821</v>
      </c>
      <c r="AM1650" s="60"/>
      <c r="AN1650" s="144">
        <v>35.0</v>
      </c>
      <c r="AO1650" s="327" t="s">
        <v>10388</v>
      </c>
      <c r="AP1650" s="144" t="s">
        <v>162</v>
      </c>
      <c r="AQ1650" s="60"/>
      <c r="AR1650" s="144">
        <f>1.654*10^-5</f>
        <v>0.00001654</v>
      </c>
      <c r="AS1650" s="147" t="s">
        <v>164</v>
      </c>
      <c r="AT1650" s="147" t="s">
        <v>179</v>
      </c>
      <c r="AU1650" s="147" t="s">
        <v>821</v>
      </c>
      <c r="AV1650" s="60"/>
      <c r="AW1650" s="60" t="s">
        <v>142</v>
      </c>
      <c r="AY1650" s="60" t="s">
        <v>144</v>
      </c>
    </row>
    <row r="1651" hidden="1">
      <c r="A1651" s="60" t="s">
        <v>106</v>
      </c>
      <c r="B1651" s="41" t="s">
        <v>107</v>
      </c>
      <c r="C1651" s="41" t="s">
        <v>144</v>
      </c>
      <c r="E1651" s="60" t="s">
        <v>10389</v>
      </c>
      <c r="F1651" s="147" t="s">
        <v>10390</v>
      </c>
      <c r="G1651" s="147" t="s">
        <v>144</v>
      </c>
      <c r="H1651" s="140">
        <v>45687.0</v>
      </c>
      <c r="I1651" s="140">
        <v>45692.0</v>
      </c>
      <c r="J1651" s="454" t="s">
        <v>10391</v>
      </c>
      <c r="K1651" s="60"/>
      <c r="L1651" s="147" t="s">
        <v>10392</v>
      </c>
      <c r="M1651" s="147" t="s">
        <v>10393</v>
      </c>
      <c r="N1651" s="144">
        <v>2.0</v>
      </c>
      <c r="O1651" s="145" t="s">
        <v>10394</v>
      </c>
      <c r="P1651" s="48" t="str">
        <f t="array" ref="P1651">HYPERLINK(INDEX('File Links'!B:B, MATCH(O1651, 'File Links'!C:C, 0)))
</f>
        <v>https://drive.google.com/file/d/1OIEvCCJvM-_IxEbcHAL2vNkKmVoEHa3G/view?usp=drivesdk</v>
      </c>
      <c r="Q1651" s="147" t="s">
        <v>6103</v>
      </c>
      <c r="R1651" s="147" t="s">
        <v>6104</v>
      </c>
      <c r="S1651" s="60"/>
      <c r="T1651" s="144">
        <v>1.0</v>
      </c>
      <c r="U1651" s="145" t="s">
        <v>6105</v>
      </c>
      <c r="V1651" s="60"/>
      <c r="W1651" s="1455" t="str">
        <f> hyperlink(vlookup(lower(R1651),'File Links'!F:G, 2, FALSE), "LINK")</f>
        <v>LINK</v>
      </c>
      <c r="X1651" s="147" t="s">
        <v>10395</v>
      </c>
      <c r="Y1651" s="60"/>
      <c r="Z1651" s="60"/>
      <c r="AA1651" s="60"/>
      <c r="AB1651" s="60"/>
      <c r="AC1651" s="60"/>
      <c r="AD1651" s="60"/>
      <c r="AE1651" s="60"/>
      <c r="AF1651" s="60"/>
      <c r="AG1651" s="60"/>
      <c r="AH1651" s="60"/>
      <c r="AI1651" s="60"/>
      <c r="AJ1651" s="60"/>
      <c r="AK1651" s="60"/>
      <c r="AL1651" s="60"/>
      <c r="AM1651" s="60"/>
      <c r="AN1651" s="60"/>
      <c r="AO1651" s="60"/>
      <c r="AP1651" s="60"/>
      <c r="AQ1651" s="60"/>
      <c r="AR1651" s="60"/>
      <c r="AS1651" s="60"/>
      <c r="AT1651" s="60"/>
      <c r="AU1651" s="60"/>
      <c r="AV1651" s="60"/>
      <c r="AW1651" s="60"/>
      <c r="AY1651" s="60" t="s">
        <v>144</v>
      </c>
    </row>
    <row r="1652">
      <c r="A1652" s="115" t="s">
        <v>5350</v>
      </c>
      <c r="B1652" s="41" t="s">
        <v>107</v>
      </c>
      <c r="C1652" s="41" t="s">
        <v>243</v>
      </c>
      <c r="E1652" s="147" t="s">
        <v>10390</v>
      </c>
      <c r="F1652" s="147" t="s">
        <v>10389</v>
      </c>
      <c r="G1652" s="147" t="s">
        <v>244</v>
      </c>
      <c r="H1652" s="140">
        <v>45672.0</v>
      </c>
      <c r="I1652" s="140">
        <v>45692.0</v>
      </c>
      <c r="J1652" s="412" t="s">
        <v>10396</v>
      </c>
      <c r="K1652" s="60"/>
      <c r="L1652" s="147" t="s">
        <v>10392</v>
      </c>
      <c r="M1652" s="147" t="s">
        <v>10393</v>
      </c>
      <c r="N1652" s="60"/>
      <c r="O1652" s="145" t="str">
        <f t="shared" ref="O1652:O1653" si="86"> SUBSTITUTE(lower(M1652), "/", "--") &amp;  ".pdf"</f>
        <v>10.1177--0956797616650875.pdf</v>
      </c>
      <c r="P1652" s="48" t="str">
        <f t="array" ref="P1652">HYPERLINK(INDEX('File Links'!B:B, MATCH(O1652, 'File Links'!C:C, 0)))
</f>
        <v>https://drive.google.com/file/d/1OIEvCCJvM-_IxEbcHAL2vNkKmVoEHa3G/view?usp=drivesdk</v>
      </c>
      <c r="Q1652" s="147" t="s">
        <v>10397</v>
      </c>
      <c r="R1652" s="147" t="s">
        <v>10398</v>
      </c>
      <c r="S1652" s="60"/>
      <c r="T1652" s="60"/>
      <c r="U1652" s="145" t="s">
        <v>6105</v>
      </c>
      <c r="V1652" s="147" t="s">
        <v>7707</v>
      </c>
      <c r="W1652" s="1455" t="str">
        <f> hyperlink(vlookup(lower(R1652),'File Links'!E:F, 2, FALSE), "LINK")</f>
        <v>LINK</v>
      </c>
      <c r="X1652" s="60"/>
      <c r="Y1652" s="147" t="s">
        <v>139</v>
      </c>
      <c r="Z1652" s="60" t="s">
        <v>9756</v>
      </c>
      <c r="AA1652" s="147" t="s">
        <v>10399</v>
      </c>
      <c r="AB1652" s="60" t="s">
        <v>10400</v>
      </c>
      <c r="AC1652" s="147" t="s">
        <v>10401</v>
      </c>
      <c r="AD1652" s="144">
        <v>7.0</v>
      </c>
      <c r="AE1652" s="144">
        <v>112.0</v>
      </c>
      <c r="AF1652" s="144">
        <v>2.44</v>
      </c>
      <c r="AG1652" s="147" t="s">
        <v>1006</v>
      </c>
      <c r="AH1652" s="147" t="s">
        <v>4365</v>
      </c>
      <c r="AI1652" s="144">
        <v>0.004</v>
      </c>
      <c r="AJ1652" s="147" t="s">
        <v>164</v>
      </c>
      <c r="AK1652" s="147" t="s">
        <v>179</v>
      </c>
      <c r="AL1652" s="147" t="s">
        <v>821</v>
      </c>
      <c r="AM1652" s="303" t="s">
        <v>10402</v>
      </c>
      <c r="AN1652" s="144">
        <v>136.0</v>
      </c>
      <c r="AO1652" s="1487">
        <v>3.737</v>
      </c>
      <c r="AP1652" s="147" t="s">
        <v>1006</v>
      </c>
      <c r="AQ1652" s="60"/>
      <c r="AR1652" s="144">
        <v>0.001</v>
      </c>
      <c r="AS1652" s="147" t="s">
        <v>127</v>
      </c>
      <c r="AT1652" s="147" t="s">
        <v>179</v>
      </c>
      <c r="AU1652" s="147" t="s">
        <v>821</v>
      </c>
      <c r="AV1652" s="60"/>
      <c r="AW1652" s="147" t="s">
        <v>134</v>
      </c>
      <c r="AY1652" s="60" t="s">
        <v>144</v>
      </c>
    </row>
    <row r="1653">
      <c r="A1653" s="115" t="s">
        <v>5350</v>
      </c>
      <c r="B1653" s="41" t="s">
        <v>107</v>
      </c>
      <c r="C1653" s="41" t="s">
        <v>243</v>
      </c>
      <c r="E1653" s="147" t="s">
        <v>10403</v>
      </c>
      <c r="F1653" s="147" t="s">
        <v>10404</v>
      </c>
      <c r="G1653" s="147" t="s">
        <v>244</v>
      </c>
      <c r="H1653" s="140">
        <v>45664.0</v>
      </c>
      <c r="I1653" s="140">
        <v>45692.0</v>
      </c>
      <c r="J1653" s="412" t="s">
        <v>10405</v>
      </c>
      <c r="K1653" s="60" t="s">
        <v>10123</v>
      </c>
      <c r="L1653" s="147" t="s">
        <v>10406</v>
      </c>
      <c r="M1653" s="147" t="s">
        <v>10407</v>
      </c>
      <c r="N1653" s="60"/>
      <c r="O1653" s="145" t="str">
        <f t="shared" si="86"/>
        <v>10.1177--0956797616674999.pdf</v>
      </c>
      <c r="P1653" s="48" t="str">
        <f t="array" ref="P1653">HYPERLINK(INDEX('File Links'!B:B, MATCH(O1653, 'File Links'!C:C, 0)))
</f>
        <v>https://drive.google.com/file/d/1wVhOcOsRL9M-ypPdSaPRTLv-PLlAWOf1/view?usp=drivesdk</v>
      </c>
      <c r="Q1653" s="147" t="s">
        <v>10408</v>
      </c>
      <c r="R1653" s="147" t="s">
        <v>10409</v>
      </c>
      <c r="S1653" s="638" t="s">
        <v>10410</v>
      </c>
      <c r="T1653" s="60"/>
      <c r="U1653" s="145" t="s">
        <v>6105</v>
      </c>
      <c r="V1653" s="147" t="s">
        <v>9109</v>
      </c>
      <c r="W1653" s="1455" t="str">
        <f> hyperlink(vlookup(lower(R1653),'File Links'!E:F, 2, FALSE), "LINK")</f>
        <v>LINK</v>
      </c>
      <c r="X1653" s="60"/>
      <c r="Y1653" s="147" t="s">
        <v>220</v>
      </c>
      <c r="Z1653" s="1460" t="s">
        <v>9556</v>
      </c>
      <c r="AA1653" s="1460" t="s">
        <v>10411</v>
      </c>
      <c r="AB1653" s="1460" t="s">
        <v>10412</v>
      </c>
      <c r="AC1653" s="147" t="s">
        <v>10413</v>
      </c>
      <c r="AD1653" s="144">
        <v>13.0</v>
      </c>
      <c r="AE1653" s="144">
        <v>234.0</v>
      </c>
      <c r="AF1653" s="144">
        <v>0.26</v>
      </c>
      <c r="AG1653" s="147" t="s">
        <v>130</v>
      </c>
      <c r="AH1653" s="147" t="s">
        <v>432</v>
      </c>
      <c r="AI1653" s="60"/>
      <c r="AJ1653" s="60"/>
      <c r="AK1653" s="147" t="s">
        <v>179</v>
      </c>
      <c r="AL1653" s="147" t="s">
        <v>821</v>
      </c>
      <c r="AM1653" s="147" t="s">
        <v>129</v>
      </c>
      <c r="AN1653" s="144">
        <v>43.0</v>
      </c>
      <c r="AO1653" s="144">
        <v>0.603040513083647</v>
      </c>
      <c r="AP1653" s="147" t="s">
        <v>166</v>
      </c>
      <c r="AQ1653" s="60"/>
      <c r="AR1653" s="1351">
        <f>3.33*10^-4</f>
        <v>0.000333</v>
      </c>
      <c r="AS1653" s="147" t="s">
        <v>164</v>
      </c>
      <c r="AT1653" s="147" t="s">
        <v>179</v>
      </c>
      <c r="AU1653" s="147" t="s">
        <v>821</v>
      </c>
      <c r="AV1653" s="60"/>
      <c r="AW1653" s="147" t="s">
        <v>134</v>
      </c>
      <c r="AY1653" s="60" t="s">
        <v>144</v>
      </c>
    </row>
    <row r="1654" hidden="1">
      <c r="A1654" s="60" t="s">
        <v>106</v>
      </c>
      <c r="B1654" s="41" t="s">
        <v>107</v>
      </c>
      <c r="C1654" s="41" t="s">
        <v>144</v>
      </c>
      <c r="E1654" s="60" t="s">
        <v>10414</v>
      </c>
      <c r="F1654" s="147" t="s">
        <v>10415</v>
      </c>
      <c r="G1654" s="147" t="s">
        <v>144</v>
      </c>
      <c r="H1654" s="140">
        <v>45687.0</v>
      </c>
      <c r="I1654" s="140">
        <v>45692.0</v>
      </c>
      <c r="J1654" s="60"/>
      <c r="K1654" s="60"/>
      <c r="L1654" s="147" t="s">
        <v>10406</v>
      </c>
      <c r="M1654" s="147" t="s">
        <v>10407</v>
      </c>
      <c r="N1654" s="144">
        <v>3.0</v>
      </c>
      <c r="O1654" s="145" t="s">
        <v>10416</v>
      </c>
      <c r="P1654" s="48" t="str">
        <f t="array" ref="P1654">HYPERLINK(INDEX('File Links'!B:B, MATCH(O1654, 'File Links'!C:C, 0)))
</f>
        <v>https://drive.google.com/file/d/1wVhOcOsRL9M-ypPdSaPRTLv-PLlAWOf1/view?usp=drivesdk</v>
      </c>
      <c r="Q1654" s="147" t="s">
        <v>6103</v>
      </c>
      <c r="R1654" s="147" t="s">
        <v>6104</v>
      </c>
      <c r="S1654" s="638" t="s">
        <v>10410</v>
      </c>
      <c r="T1654" s="144">
        <v>1.0</v>
      </c>
      <c r="U1654" s="145" t="s">
        <v>6105</v>
      </c>
      <c r="V1654" s="147" t="s">
        <v>155</v>
      </c>
      <c r="W1654" s="1455" t="str">
        <f> hyperlink(vlookup(lower(R1654),'File Links'!F:G, 2, FALSE), "LINK")</f>
        <v>LINK</v>
      </c>
      <c r="X1654" s="147" t="s">
        <v>10417</v>
      </c>
      <c r="Y1654" s="60"/>
      <c r="Z1654" s="60"/>
      <c r="AA1654" s="60"/>
      <c r="AB1654" s="60"/>
      <c r="AC1654" s="60"/>
      <c r="AD1654" s="60"/>
      <c r="AE1654" s="60"/>
      <c r="AF1654" s="60"/>
      <c r="AG1654" s="60"/>
      <c r="AH1654" s="60"/>
      <c r="AI1654" s="60"/>
      <c r="AJ1654" s="60"/>
      <c r="AK1654" s="60"/>
      <c r="AL1654" s="60"/>
      <c r="AM1654" s="60"/>
      <c r="AN1654" s="60"/>
      <c r="AO1654" s="60"/>
      <c r="AP1654" s="60"/>
      <c r="AQ1654" s="60"/>
      <c r="AR1654" s="60"/>
      <c r="AS1654" s="60"/>
      <c r="AT1654" s="60"/>
      <c r="AU1654" s="60"/>
      <c r="AV1654" s="60"/>
      <c r="AW1654" s="60"/>
      <c r="AY1654" s="60" t="s">
        <v>144</v>
      </c>
    </row>
    <row r="1655">
      <c r="A1655" s="115" t="s">
        <v>5350</v>
      </c>
      <c r="B1655" s="41" t="s">
        <v>107</v>
      </c>
      <c r="C1655" s="41" t="s">
        <v>243</v>
      </c>
      <c r="E1655" s="147" t="s">
        <v>10403</v>
      </c>
      <c r="F1655" s="147" t="s">
        <v>10418</v>
      </c>
      <c r="G1655" s="147" t="s">
        <v>244</v>
      </c>
      <c r="H1655" s="140">
        <v>45664.0</v>
      </c>
      <c r="I1655" s="140">
        <v>45692.0</v>
      </c>
      <c r="J1655" s="412" t="s">
        <v>10419</v>
      </c>
      <c r="K1655" s="60" t="s">
        <v>10123</v>
      </c>
      <c r="L1655" s="147" t="s">
        <v>10406</v>
      </c>
      <c r="M1655" s="147" t="s">
        <v>10407</v>
      </c>
      <c r="N1655" s="60"/>
      <c r="O1655" s="145" t="str">
        <f> SUBSTITUTE(lower(M1655), "/", "--") &amp;  ".pdf"</f>
        <v>10.1177--0956797616674999.pdf</v>
      </c>
      <c r="P1655" s="48" t="str">
        <f t="array" ref="P1655">HYPERLINK(INDEX('File Links'!B:B, MATCH(O1655, 'File Links'!C:C, 0)))
</f>
        <v>https://drive.google.com/file/d/1wVhOcOsRL9M-ypPdSaPRTLv-PLlAWOf1/view?usp=drivesdk</v>
      </c>
      <c r="Q1655" s="147" t="s">
        <v>10420</v>
      </c>
      <c r="R1655" s="147" t="s">
        <v>10421</v>
      </c>
      <c r="S1655" s="638" t="s">
        <v>10410</v>
      </c>
      <c r="T1655" s="60"/>
      <c r="U1655" s="145" t="s">
        <v>6105</v>
      </c>
      <c r="V1655" s="147" t="s">
        <v>9109</v>
      </c>
      <c r="W1655" s="1455" t="str">
        <f> hyperlink(vlookup(lower(R1655),'File Links'!E:F, 2, FALSE), "LINK")</f>
        <v>LINK</v>
      </c>
      <c r="X1655" s="60"/>
      <c r="Y1655" s="147" t="s">
        <v>220</v>
      </c>
      <c r="Z1655" s="1460" t="s">
        <v>9556</v>
      </c>
      <c r="AA1655" s="1460" t="s">
        <v>10411</v>
      </c>
      <c r="AB1655" s="1460" t="s">
        <v>10412</v>
      </c>
      <c r="AC1655" s="147" t="s">
        <v>10422</v>
      </c>
      <c r="AD1655" s="144">
        <v>8.0</v>
      </c>
      <c r="AE1655" s="144">
        <v>229.0</v>
      </c>
      <c r="AF1655" s="144">
        <v>0.31</v>
      </c>
      <c r="AG1655" s="147" t="s">
        <v>130</v>
      </c>
      <c r="AH1655" s="147" t="s">
        <v>610</v>
      </c>
      <c r="AI1655" s="60"/>
      <c r="AJ1655" s="60"/>
      <c r="AK1655" s="147" t="s">
        <v>179</v>
      </c>
      <c r="AL1655" s="147" t="s">
        <v>821</v>
      </c>
      <c r="AM1655" s="147" t="s">
        <v>129</v>
      </c>
      <c r="AN1655" s="144">
        <v>29.0</v>
      </c>
      <c r="AO1655" s="144">
        <v>16.72</v>
      </c>
      <c r="AP1655" s="147" t="s">
        <v>1051</v>
      </c>
      <c r="AQ1655" s="60"/>
      <c r="AR1655" s="1351">
        <f>1.4*10^-4</f>
        <v>0.00014</v>
      </c>
      <c r="AS1655" s="147" t="s">
        <v>164</v>
      </c>
      <c r="AT1655" s="147" t="s">
        <v>179</v>
      </c>
      <c r="AU1655" s="147" t="s">
        <v>821</v>
      </c>
      <c r="AV1655" s="60"/>
      <c r="AW1655" s="147" t="s">
        <v>134</v>
      </c>
      <c r="AY1655" s="60" t="s">
        <v>144</v>
      </c>
    </row>
    <row r="1656">
      <c r="A1656" s="60" t="s">
        <v>106</v>
      </c>
      <c r="B1656" s="41" t="s">
        <v>107</v>
      </c>
      <c r="C1656" s="41" t="s">
        <v>144</v>
      </c>
      <c r="E1656" s="60" t="s">
        <v>10404</v>
      </c>
      <c r="F1656" s="147" t="s">
        <v>10403</v>
      </c>
      <c r="G1656" s="147" t="s">
        <v>144</v>
      </c>
      <c r="H1656" s="140">
        <v>45687.0</v>
      </c>
      <c r="I1656" s="140">
        <v>45692.0</v>
      </c>
      <c r="J1656" s="60"/>
      <c r="K1656" s="60"/>
      <c r="L1656" s="147" t="s">
        <v>10406</v>
      </c>
      <c r="M1656" s="147" t="s">
        <v>10407</v>
      </c>
      <c r="N1656" s="147" t="s">
        <v>10423</v>
      </c>
      <c r="O1656" s="145" t="s">
        <v>10416</v>
      </c>
      <c r="P1656" s="48" t="str">
        <f t="array" ref="P1656">HYPERLINK(INDEX('File Links'!B:B, MATCH(O1656, 'File Links'!C:C, 0)))
</f>
        <v>https://drive.google.com/file/d/1wVhOcOsRL9M-ypPdSaPRTLv-PLlAWOf1/view?usp=drivesdk</v>
      </c>
      <c r="Q1656" s="147" t="s">
        <v>6103</v>
      </c>
      <c r="R1656" s="147" t="s">
        <v>6104</v>
      </c>
      <c r="S1656" s="638" t="s">
        <v>10410</v>
      </c>
      <c r="T1656" s="144">
        <v>1.0</v>
      </c>
      <c r="U1656" s="145" t="s">
        <v>6105</v>
      </c>
      <c r="V1656" s="147" t="s">
        <v>155</v>
      </c>
      <c r="W1656" s="1455" t="str">
        <f> hyperlink(vlookup(lower(R1656),'File Links'!F:G, 2, FALSE), "LINK")</f>
        <v>LINK</v>
      </c>
      <c r="X1656" s="60"/>
      <c r="Y1656" s="147" t="s">
        <v>220</v>
      </c>
      <c r="Z1656" s="147" t="s">
        <v>9556</v>
      </c>
      <c r="AA1656" s="147" t="s">
        <v>10411</v>
      </c>
      <c r="AB1656" s="147" t="s">
        <v>10412</v>
      </c>
      <c r="AC1656" s="147" t="s">
        <v>10424</v>
      </c>
      <c r="AD1656" s="144">
        <v>9.0</v>
      </c>
      <c r="AE1656" s="144">
        <v>234.0</v>
      </c>
      <c r="AF1656" s="144">
        <v>-0.04</v>
      </c>
      <c r="AG1656" s="144" t="s">
        <v>1006</v>
      </c>
      <c r="AH1656" s="144" t="s">
        <v>625</v>
      </c>
      <c r="AI1656" s="327">
        <v>0.05</v>
      </c>
      <c r="AJ1656" s="147" t="s">
        <v>329</v>
      </c>
      <c r="AK1656" s="147" t="s">
        <v>179</v>
      </c>
      <c r="AL1656" s="147" t="s">
        <v>821</v>
      </c>
      <c r="AM1656" s="60"/>
      <c r="AN1656" s="144">
        <v>43.0</v>
      </c>
      <c r="AO1656" s="1491" t="s">
        <v>10425</v>
      </c>
      <c r="AP1656" s="144" t="s">
        <v>162</v>
      </c>
      <c r="AQ1656" s="144" t="s">
        <v>165</v>
      </c>
      <c r="AR1656" s="144">
        <v>0.05</v>
      </c>
      <c r="AS1656" s="147" t="s">
        <v>329</v>
      </c>
      <c r="AT1656" s="147" t="s">
        <v>179</v>
      </c>
      <c r="AU1656" s="147" t="s">
        <v>821</v>
      </c>
      <c r="AV1656" s="60"/>
      <c r="AW1656" s="60" t="s">
        <v>134</v>
      </c>
      <c r="AY1656" s="60" t="s">
        <v>144</v>
      </c>
    </row>
    <row r="1657">
      <c r="A1657" s="60" t="s">
        <v>106</v>
      </c>
      <c r="B1657" s="41" t="s">
        <v>107</v>
      </c>
      <c r="C1657" s="41" t="s">
        <v>243</v>
      </c>
      <c r="E1657" s="147" t="s">
        <v>10426</v>
      </c>
      <c r="F1657" s="147" t="s">
        <v>10427</v>
      </c>
      <c r="G1657" s="147" t="s">
        <v>244</v>
      </c>
      <c r="H1657" s="140">
        <v>45672.0</v>
      </c>
      <c r="I1657" s="140">
        <v>45692.0</v>
      </c>
      <c r="J1657" s="60"/>
      <c r="K1657" s="60"/>
      <c r="L1657" s="147" t="s">
        <v>10428</v>
      </c>
      <c r="M1657" s="147" t="s">
        <v>10429</v>
      </c>
      <c r="N1657" s="60"/>
      <c r="O1657" s="145" t="str">
        <f> SUBSTITUTE(lower(M1657), "/", "--") &amp;  ".pdf"</f>
        <v>10.1089--cyber.2016.0530.pdf</v>
      </c>
      <c r="P1657" s="48" t="str">
        <f t="array" ref="P1657">HYPERLINK(INDEX('File Links'!B:B, MATCH(O1657, 'File Links'!C:C, 0)))
</f>
        <v>https://drive.google.com/file/d/1Z0u77Ei4pPZsjR5reXLadM9xd0tgKrac/view?usp=drivesdk</v>
      </c>
      <c r="Q1657" s="147" t="s">
        <v>10430</v>
      </c>
      <c r="R1657" s="147" t="s">
        <v>10431</v>
      </c>
      <c r="S1657" s="60"/>
      <c r="T1657" s="60"/>
      <c r="U1657" s="145" t="s">
        <v>6105</v>
      </c>
      <c r="V1657" s="147" t="s">
        <v>6117</v>
      </c>
      <c r="W1657" s="1455" t="str">
        <f> hyperlink(vlookup(lower(R1657),'File Links'!E:F, 2, FALSE), "LINK")</f>
        <v>LINK</v>
      </c>
      <c r="X1657" s="60"/>
      <c r="Y1657" s="147" t="s">
        <v>220</v>
      </c>
      <c r="Z1657" s="60"/>
      <c r="AA1657" s="147" t="s">
        <v>9230</v>
      </c>
      <c r="AB1657" s="60"/>
      <c r="AC1657" s="147" t="s">
        <v>10432</v>
      </c>
      <c r="AD1657" s="144">
        <v>338.0</v>
      </c>
      <c r="AE1657" s="144">
        <v>128.0</v>
      </c>
      <c r="AF1657" s="1486">
        <v>8.91</v>
      </c>
      <c r="AG1657" s="147" t="s">
        <v>1051</v>
      </c>
      <c r="AH1657" s="147" t="s">
        <v>10433</v>
      </c>
      <c r="AI1657" s="144">
        <v>0.003</v>
      </c>
      <c r="AJ1657" s="147" t="s">
        <v>164</v>
      </c>
      <c r="AK1657" s="147" t="s">
        <v>179</v>
      </c>
      <c r="AL1657" s="147" t="s">
        <v>132</v>
      </c>
      <c r="AM1657" s="147" t="s">
        <v>129</v>
      </c>
      <c r="AN1657" s="144">
        <v>56.0</v>
      </c>
      <c r="AO1657" s="1486">
        <v>0.247796849633978</v>
      </c>
      <c r="AP1657" s="147" t="s">
        <v>166</v>
      </c>
      <c r="AQ1657" s="60"/>
      <c r="AR1657" s="1486">
        <v>0.33715549846412</v>
      </c>
      <c r="AS1657" s="147" t="s">
        <v>164</v>
      </c>
      <c r="AT1657" s="147" t="s">
        <v>179</v>
      </c>
      <c r="AU1657" s="147" t="s">
        <v>132</v>
      </c>
      <c r="AV1657" s="60"/>
      <c r="AW1657" s="147" t="s">
        <v>134</v>
      </c>
      <c r="AY1657" s="60" t="s">
        <v>144</v>
      </c>
    </row>
    <row r="1658">
      <c r="A1658" s="115" t="s">
        <v>5350</v>
      </c>
      <c r="B1658" s="41" t="s">
        <v>107</v>
      </c>
      <c r="C1658" s="41" t="s">
        <v>144</v>
      </c>
      <c r="E1658" s="60" t="s">
        <v>10427</v>
      </c>
      <c r="F1658" s="147" t="s">
        <v>10434</v>
      </c>
      <c r="G1658" s="147" t="s">
        <v>144</v>
      </c>
      <c r="H1658" s="140">
        <v>45687.0</v>
      </c>
      <c r="I1658" s="140">
        <v>45692.0</v>
      </c>
      <c r="J1658" s="454" t="s">
        <v>10435</v>
      </c>
      <c r="K1658" s="60"/>
      <c r="L1658" s="147" t="s">
        <v>10428</v>
      </c>
      <c r="M1658" s="147" t="s">
        <v>10429</v>
      </c>
      <c r="N1658" s="144">
        <v>2.0</v>
      </c>
      <c r="O1658" s="145" t="s">
        <v>10436</v>
      </c>
      <c r="P1658" s="48" t="str">
        <f t="array" ref="P1658">HYPERLINK(INDEX('File Links'!B:B, MATCH(O1658, 'File Links'!C:C, 0)))
</f>
        <v>https://drive.google.com/file/d/1Z0u77Ei4pPZsjR5reXLadM9xd0tgKrac/view?usp=drivesdk</v>
      </c>
      <c r="Q1658" s="147" t="s">
        <v>6103</v>
      </c>
      <c r="R1658" s="147" t="s">
        <v>6104</v>
      </c>
      <c r="S1658" s="60"/>
      <c r="T1658" s="144">
        <v>1.0</v>
      </c>
      <c r="U1658" s="145" t="s">
        <v>6105</v>
      </c>
      <c r="V1658" s="147" t="s">
        <v>9044</v>
      </c>
      <c r="W1658" s="1455" t="str">
        <f> hyperlink(vlookup(lower(R1658),'File Links'!F:G, 2, FALSE), "LINK")</f>
        <v>LINK</v>
      </c>
      <c r="X1658" s="60"/>
      <c r="Y1658" s="147" t="s">
        <v>220</v>
      </c>
      <c r="Z1658" s="147" t="s">
        <v>10437</v>
      </c>
      <c r="AA1658" s="147" t="s">
        <v>10438</v>
      </c>
      <c r="AB1658" s="147" t="s">
        <v>10439</v>
      </c>
      <c r="AC1658" s="147" t="s">
        <v>10440</v>
      </c>
      <c r="AD1658" s="144">
        <v>5.0</v>
      </c>
      <c r="AE1658" s="144">
        <v>128.0</v>
      </c>
      <c r="AF1658" s="144">
        <v>0.018</v>
      </c>
      <c r="AG1658" s="144" t="s">
        <v>1785</v>
      </c>
      <c r="AH1658" s="144" t="s">
        <v>892</v>
      </c>
      <c r="AI1658" s="144">
        <v>0.134</v>
      </c>
      <c r="AJ1658" s="147" t="s">
        <v>164</v>
      </c>
      <c r="AK1658" s="147" t="s">
        <v>179</v>
      </c>
      <c r="AL1658" s="147" t="s">
        <v>132</v>
      </c>
      <c r="AM1658" s="60"/>
      <c r="AN1658" s="144">
        <v>56.0</v>
      </c>
      <c r="AO1658" s="144">
        <v>-0.012222</v>
      </c>
      <c r="AP1658" s="144" t="s">
        <v>1006</v>
      </c>
      <c r="AQ1658" s="144" t="s">
        <v>2416</v>
      </c>
      <c r="AR1658" s="60"/>
      <c r="AS1658" s="60"/>
      <c r="AT1658" s="147" t="s">
        <v>179</v>
      </c>
      <c r="AU1658" s="147" t="s">
        <v>132</v>
      </c>
      <c r="AV1658" s="60"/>
      <c r="AW1658" s="60" t="s">
        <v>134</v>
      </c>
      <c r="AY1658" s="60" t="s">
        <v>144</v>
      </c>
    </row>
    <row r="1659">
      <c r="A1659" s="115" t="s">
        <v>5350</v>
      </c>
      <c r="B1659" s="41" t="s">
        <v>107</v>
      </c>
      <c r="C1659" s="41" t="s">
        <v>144</v>
      </c>
      <c r="E1659" s="60" t="s">
        <v>10427</v>
      </c>
      <c r="F1659" s="147" t="s">
        <v>10441</v>
      </c>
      <c r="G1659" s="147" t="s">
        <v>144</v>
      </c>
      <c r="H1659" s="140">
        <v>45687.0</v>
      </c>
      <c r="I1659" s="140">
        <v>45692.0</v>
      </c>
      <c r="J1659" s="454" t="s">
        <v>10442</v>
      </c>
      <c r="K1659" s="60"/>
      <c r="L1659" s="147" t="s">
        <v>10428</v>
      </c>
      <c r="M1659" s="147" t="s">
        <v>10429</v>
      </c>
      <c r="N1659" s="144">
        <v>2.0</v>
      </c>
      <c r="O1659" s="145" t="s">
        <v>10436</v>
      </c>
      <c r="P1659" s="48" t="str">
        <f t="array" ref="P1659">HYPERLINK(INDEX('File Links'!B:B, MATCH(O1659, 'File Links'!C:C, 0)))
</f>
        <v>https://drive.google.com/file/d/1Z0u77Ei4pPZsjR5reXLadM9xd0tgKrac/view?usp=drivesdk</v>
      </c>
      <c r="Q1659" s="147" t="s">
        <v>6103</v>
      </c>
      <c r="R1659" s="147" t="s">
        <v>6104</v>
      </c>
      <c r="S1659" s="60"/>
      <c r="T1659" s="144">
        <v>1.0</v>
      </c>
      <c r="U1659" s="145" t="s">
        <v>6105</v>
      </c>
      <c r="V1659" s="147" t="s">
        <v>9044</v>
      </c>
      <c r="W1659" s="1455" t="str">
        <f> hyperlink(vlookup(lower(R1659),'File Links'!F:G, 2, FALSE), "LINK")</f>
        <v>LINK</v>
      </c>
      <c r="X1659" s="60"/>
      <c r="Y1659" s="147" t="s">
        <v>220</v>
      </c>
      <c r="Z1659" s="147" t="s">
        <v>10437</v>
      </c>
      <c r="AA1659" s="147" t="s">
        <v>10438</v>
      </c>
      <c r="AB1659" s="147" t="s">
        <v>10443</v>
      </c>
      <c r="AC1659" s="147" t="s">
        <v>10444</v>
      </c>
      <c r="AD1659" s="327">
        <v>5.0</v>
      </c>
      <c r="AE1659" s="144">
        <v>128.0</v>
      </c>
      <c r="AF1659" s="327">
        <v>0.002</v>
      </c>
      <c r="AG1659" s="144" t="s">
        <v>1785</v>
      </c>
      <c r="AH1659" s="327" t="s">
        <v>892</v>
      </c>
      <c r="AI1659" s="327">
        <v>0.609</v>
      </c>
      <c r="AJ1659" s="147" t="s">
        <v>164</v>
      </c>
      <c r="AK1659" s="147" t="s">
        <v>179</v>
      </c>
      <c r="AL1659" s="147" t="s">
        <v>132</v>
      </c>
      <c r="AM1659" s="60"/>
      <c r="AN1659" s="144">
        <v>56.0</v>
      </c>
      <c r="AO1659" s="1487">
        <v>0.004395</v>
      </c>
      <c r="AP1659" s="144" t="s">
        <v>1006</v>
      </c>
      <c r="AQ1659" s="144" t="s">
        <v>2416</v>
      </c>
      <c r="AR1659" s="60"/>
      <c r="AS1659" s="60"/>
      <c r="AT1659" s="147" t="s">
        <v>179</v>
      </c>
      <c r="AU1659" s="147" t="s">
        <v>132</v>
      </c>
      <c r="AV1659" s="60"/>
      <c r="AW1659" s="60" t="s">
        <v>134</v>
      </c>
      <c r="AY1659" s="60" t="s">
        <v>144</v>
      </c>
    </row>
    <row r="1660">
      <c r="A1660" s="115" t="s">
        <v>5350</v>
      </c>
      <c r="B1660" s="41" t="s">
        <v>107</v>
      </c>
      <c r="C1660" s="41" t="s">
        <v>144</v>
      </c>
      <c r="E1660" s="60" t="s">
        <v>10427</v>
      </c>
      <c r="F1660" s="147" t="s">
        <v>10445</v>
      </c>
      <c r="G1660" s="147" t="s">
        <v>144</v>
      </c>
      <c r="H1660" s="140">
        <v>45687.0</v>
      </c>
      <c r="I1660" s="140">
        <v>45692.0</v>
      </c>
      <c r="J1660" s="454" t="s">
        <v>10446</v>
      </c>
      <c r="K1660" s="60"/>
      <c r="L1660" s="147" t="s">
        <v>10428</v>
      </c>
      <c r="M1660" s="147" t="s">
        <v>10429</v>
      </c>
      <c r="N1660" s="144">
        <v>2.0</v>
      </c>
      <c r="O1660" s="145" t="s">
        <v>10436</v>
      </c>
      <c r="P1660" s="48" t="str">
        <f t="array" ref="P1660">HYPERLINK(INDEX('File Links'!B:B, MATCH(O1660, 'File Links'!C:C, 0)))
</f>
        <v>https://drive.google.com/file/d/1Z0u77Ei4pPZsjR5reXLadM9xd0tgKrac/view?usp=drivesdk</v>
      </c>
      <c r="Q1660" s="147" t="s">
        <v>6103</v>
      </c>
      <c r="R1660" s="147" t="s">
        <v>6104</v>
      </c>
      <c r="S1660" s="60"/>
      <c r="T1660" s="144">
        <v>1.0</v>
      </c>
      <c r="U1660" s="145" t="s">
        <v>6105</v>
      </c>
      <c r="V1660" s="147" t="s">
        <v>9044</v>
      </c>
      <c r="W1660" s="1455" t="str">
        <f> hyperlink(vlookup(lower(R1660),'File Links'!F:G, 2, FALSE), "LINK")</f>
        <v>LINK</v>
      </c>
      <c r="X1660" s="60"/>
      <c r="Y1660" s="147" t="s">
        <v>220</v>
      </c>
      <c r="Z1660" s="147" t="s">
        <v>10437</v>
      </c>
      <c r="AA1660" s="147" t="s">
        <v>10438</v>
      </c>
      <c r="AB1660" s="147" t="s">
        <v>10447</v>
      </c>
      <c r="AC1660" s="147" t="s">
        <v>10448</v>
      </c>
      <c r="AD1660" s="327">
        <v>5.0</v>
      </c>
      <c r="AE1660" s="144">
        <v>128.0</v>
      </c>
      <c r="AF1660" s="327">
        <v>0.066</v>
      </c>
      <c r="AG1660" s="144" t="s">
        <v>1785</v>
      </c>
      <c r="AH1660" s="327" t="s">
        <v>892</v>
      </c>
      <c r="AI1660" s="327">
        <v>0.003</v>
      </c>
      <c r="AJ1660" s="147" t="s">
        <v>164</v>
      </c>
      <c r="AK1660" s="147" t="s">
        <v>179</v>
      </c>
      <c r="AL1660" s="147" t="s">
        <v>132</v>
      </c>
      <c r="AM1660" s="60"/>
      <c r="AN1660" s="144">
        <v>56.0</v>
      </c>
      <c r="AO1660" s="1487">
        <v>0.044627</v>
      </c>
      <c r="AP1660" s="144" t="s">
        <v>1006</v>
      </c>
      <c r="AQ1660" s="144" t="s">
        <v>2416</v>
      </c>
      <c r="AR1660" s="144">
        <v>0.968</v>
      </c>
      <c r="AS1660" s="147" t="s">
        <v>164</v>
      </c>
      <c r="AT1660" s="147" t="s">
        <v>179</v>
      </c>
      <c r="AU1660" s="147" t="s">
        <v>132</v>
      </c>
      <c r="AV1660" s="60"/>
      <c r="AW1660" s="60" t="s">
        <v>134</v>
      </c>
      <c r="AY1660" s="60" t="s">
        <v>144</v>
      </c>
    </row>
    <row r="1661">
      <c r="A1661" s="60" t="s">
        <v>106</v>
      </c>
      <c r="B1661" s="41" t="s">
        <v>107</v>
      </c>
      <c r="C1661" s="41" t="s">
        <v>243</v>
      </c>
      <c r="E1661" s="147" t="s">
        <v>10449</v>
      </c>
      <c r="F1661" s="147" t="s">
        <v>10450</v>
      </c>
      <c r="G1661" s="147" t="s">
        <v>244</v>
      </c>
      <c r="H1661" s="140">
        <v>45672.0</v>
      </c>
      <c r="I1661" s="140">
        <v>45692.0</v>
      </c>
      <c r="J1661" s="60"/>
      <c r="K1661" s="60" t="s">
        <v>9078</v>
      </c>
      <c r="L1661" s="147" t="s">
        <v>10451</v>
      </c>
      <c r="M1661" s="147" t="s">
        <v>10452</v>
      </c>
      <c r="N1661" s="60"/>
      <c r="O1661" s="145" t="str">
        <f> SUBSTITUTE(lower(M1661), "/", "--") &amp;  ".pdf"</f>
        <v>10.1111--cogs.12605.pdf</v>
      </c>
      <c r="P1661" s="48" t="str">
        <f t="array" ref="P1661">HYPERLINK(INDEX('File Links'!B:B, MATCH(O1661, 'File Links'!C:C, 0)))
</f>
        <v>https://drive.google.com/file/d/1fqDwT6f6uPiUgL_jMbCxBCBzksaDNMma/view?usp=drivesdk</v>
      </c>
      <c r="Q1661" s="147" t="s">
        <v>10453</v>
      </c>
      <c r="R1661" s="147" t="s">
        <v>10454</v>
      </c>
      <c r="S1661" s="60"/>
      <c r="T1661" s="60"/>
      <c r="U1661" s="145" t="s">
        <v>6105</v>
      </c>
      <c r="V1661" s="147" t="s">
        <v>318</v>
      </c>
      <c r="W1661" s="1455" t="str">
        <f> hyperlink(vlookup(lower(R1661),'File Links'!E:F, 2, FALSE), "LINK")</f>
        <v>LINK</v>
      </c>
      <c r="X1661" s="60"/>
      <c r="Y1661" s="147" t="s">
        <v>139</v>
      </c>
      <c r="Z1661" s="60"/>
      <c r="AA1661" s="60"/>
      <c r="AB1661" s="60"/>
      <c r="AC1661" s="147" t="s">
        <v>10455</v>
      </c>
      <c r="AD1661" s="1265">
        <v>1273.0</v>
      </c>
      <c r="AE1661" s="144">
        <v>182.0</v>
      </c>
      <c r="AF1661" s="1486">
        <v>163.22</v>
      </c>
      <c r="AG1661" s="147" t="s">
        <v>1051</v>
      </c>
      <c r="AH1661" s="1268" t="s">
        <v>10456</v>
      </c>
      <c r="AI1661" s="144">
        <v>0.001</v>
      </c>
      <c r="AJ1661" s="147" t="s">
        <v>127</v>
      </c>
      <c r="AK1661" s="147" t="s">
        <v>179</v>
      </c>
      <c r="AL1661" s="147" t="s">
        <v>132</v>
      </c>
      <c r="AM1661" s="147" t="s">
        <v>129</v>
      </c>
      <c r="AN1661" s="144">
        <v>13.0</v>
      </c>
      <c r="AO1661" s="1486">
        <v>1.63866476810305</v>
      </c>
      <c r="AP1661" s="147" t="s">
        <v>166</v>
      </c>
      <c r="AQ1661" s="60"/>
      <c r="AR1661" s="1488">
        <v>8.29167038817029E-4</v>
      </c>
      <c r="AS1661" s="147" t="s">
        <v>164</v>
      </c>
      <c r="AT1661" s="147" t="s">
        <v>179</v>
      </c>
      <c r="AU1661" s="147" t="s">
        <v>132</v>
      </c>
      <c r="AV1661" s="60"/>
      <c r="AW1661" s="147" t="s">
        <v>134</v>
      </c>
      <c r="AY1661" s="60" t="s">
        <v>144</v>
      </c>
    </row>
    <row r="1662">
      <c r="A1662" s="115" t="s">
        <v>5350</v>
      </c>
      <c r="B1662" s="41" t="s">
        <v>107</v>
      </c>
      <c r="C1662" s="41" t="s">
        <v>144</v>
      </c>
      <c r="E1662" s="60" t="s">
        <v>10450</v>
      </c>
      <c r="F1662" s="147" t="s">
        <v>10449</v>
      </c>
      <c r="G1662" s="147" t="s">
        <v>144</v>
      </c>
      <c r="H1662" s="140">
        <v>45687.0</v>
      </c>
      <c r="I1662" s="140">
        <v>45692.0</v>
      </c>
      <c r="J1662" s="454" t="s">
        <v>10457</v>
      </c>
      <c r="K1662" s="60"/>
      <c r="L1662" s="147" t="s">
        <v>10451</v>
      </c>
      <c r="M1662" s="147" t="s">
        <v>10452</v>
      </c>
      <c r="N1662" s="144">
        <v>1.0</v>
      </c>
      <c r="O1662" s="145" t="s">
        <v>10458</v>
      </c>
      <c r="P1662" s="48" t="str">
        <f t="array" ref="P1662">HYPERLINK(INDEX('File Links'!B:B, MATCH(O1662, 'File Links'!C:C, 0)))
</f>
        <v>https://drive.google.com/file/d/1fqDwT6f6uPiUgL_jMbCxBCBzksaDNMma/view?usp=drivesdk</v>
      </c>
      <c r="Q1662" s="147" t="s">
        <v>6103</v>
      </c>
      <c r="R1662" s="147" t="s">
        <v>6104</v>
      </c>
      <c r="S1662" s="60"/>
      <c r="T1662" s="144">
        <v>1.0</v>
      </c>
      <c r="U1662" s="145" t="s">
        <v>6105</v>
      </c>
      <c r="V1662" s="147" t="s">
        <v>9109</v>
      </c>
      <c r="W1662" s="1455" t="str">
        <f> hyperlink(vlookup(lower(R1662),'File Links'!F:G, 2, FALSE), "LINK")</f>
        <v>LINK</v>
      </c>
      <c r="X1662" s="60"/>
      <c r="Y1662" s="147" t="s">
        <v>139</v>
      </c>
      <c r="Z1662" s="147" t="s">
        <v>10459</v>
      </c>
      <c r="AA1662" s="147" t="s">
        <v>10460</v>
      </c>
      <c r="AB1662" s="147" t="s">
        <v>10461</v>
      </c>
      <c r="AC1662" s="147" t="s">
        <v>10462</v>
      </c>
      <c r="AD1662" s="144">
        <v>9.0</v>
      </c>
      <c r="AE1662" s="144">
        <v>182.0</v>
      </c>
      <c r="AF1662" s="144">
        <v>0.478</v>
      </c>
      <c r="AG1662" s="144" t="s">
        <v>1785</v>
      </c>
      <c r="AH1662" s="144" t="s">
        <v>625</v>
      </c>
      <c r="AI1662" s="144">
        <v>0.001</v>
      </c>
      <c r="AJ1662" s="147" t="s">
        <v>127</v>
      </c>
      <c r="AK1662" s="147" t="s">
        <v>179</v>
      </c>
      <c r="AL1662" s="147" t="s">
        <v>132</v>
      </c>
      <c r="AM1662" s="60"/>
      <c r="AN1662" s="144">
        <v>13.0</v>
      </c>
      <c r="AO1662" s="327" t="s">
        <v>10463</v>
      </c>
      <c r="AP1662" s="144" t="s">
        <v>166</v>
      </c>
      <c r="AQ1662" s="60"/>
      <c r="AR1662" s="144">
        <f>8.29167038817029*10^-4</f>
        <v>0.0008291670388</v>
      </c>
      <c r="AS1662" s="147" t="s">
        <v>164</v>
      </c>
      <c r="AT1662" s="147" t="s">
        <v>179</v>
      </c>
      <c r="AU1662" s="147" t="s">
        <v>132</v>
      </c>
      <c r="AV1662" s="60"/>
      <c r="AW1662" s="60" t="s">
        <v>134</v>
      </c>
      <c r="AY1662" s="60" t="s">
        <v>144</v>
      </c>
    </row>
    <row r="1663">
      <c r="A1663" s="60" t="s">
        <v>106</v>
      </c>
      <c r="B1663" s="41" t="s">
        <v>107</v>
      </c>
      <c r="C1663" s="41" t="s">
        <v>243</v>
      </c>
      <c r="E1663" s="147" t="s">
        <v>10464</v>
      </c>
      <c r="F1663" s="147" t="s">
        <v>10465</v>
      </c>
      <c r="G1663" s="147" t="s">
        <v>244</v>
      </c>
      <c r="H1663" s="140">
        <v>45672.0</v>
      </c>
      <c r="I1663" s="140">
        <v>45692.0</v>
      </c>
      <c r="J1663" s="60"/>
      <c r="K1663" s="60"/>
      <c r="L1663" s="147" t="s">
        <v>10466</v>
      </c>
      <c r="M1663" s="147" t="s">
        <v>10467</v>
      </c>
      <c r="N1663" s="60"/>
      <c r="O1663" s="145" t="str">
        <f> SUBSTITUTE(lower(M1663), "/", "--") &amp;  ".pdf"</f>
        <v>10.1177--09567976221082637.pdf</v>
      </c>
      <c r="P1663" s="48" t="str">
        <f t="array" ref="P1663">HYPERLINK(INDEX('File Links'!B:B, MATCH(O1663, 'File Links'!C:C, 0)))
</f>
        <v>https://drive.google.com/file/d/1ETLxNzxxAx38Kbjl_2clUvwzL5DDrTd8/view?usp=drivesdk</v>
      </c>
      <c r="Q1663" s="147" t="s">
        <v>10468</v>
      </c>
      <c r="R1663" s="147" t="s">
        <v>10469</v>
      </c>
      <c r="S1663" s="60"/>
      <c r="T1663" s="60"/>
      <c r="U1663" s="145" t="s">
        <v>6105</v>
      </c>
      <c r="V1663" s="147" t="s">
        <v>318</v>
      </c>
      <c r="W1663" s="1455" t="str">
        <f> hyperlink(vlookup(lower(R1663),'File Links'!E:F, 2, FALSE), "LINK")</f>
        <v>LINK</v>
      </c>
      <c r="X1663" s="60"/>
      <c r="Y1663" s="147" t="s">
        <v>139</v>
      </c>
      <c r="Z1663" s="60"/>
      <c r="AA1663" s="147" t="s">
        <v>10470</v>
      </c>
      <c r="AB1663" s="60"/>
      <c r="AC1663" s="147" t="s">
        <v>10471</v>
      </c>
      <c r="AD1663" s="144">
        <v>105.0</v>
      </c>
      <c r="AE1663" s="144">
        <v>34.0</v>
      </c>
      <c r="AF1663" s="144">
        <v>0.51</v>
      </c>
      <c r="AG1663" s="147" t="s">
        <v>166</v>
      </c>
      <c r="AH1663" s="147" t="s">
        <v>10472</v>
      </c>
      <c r="AI1663" s="1492">
        <v>0.005</v>
      </c>
      <c r="AJ1663" s="147" t="s">
        <v>164</v>
      </c>
      <c r="AK1663" s="147" t="s">
        <v>128</v>
      </c>
      <c r="AL1663" s="147" t="s">
        <v>132</v>
      </c>
      <c r="AM1663" s="147" t="s">
        <v>10473</v>
      </c>
      <c r="AN1663" s="144">
        <v>31.0</v>
      </c>
      <c r="AO1663" s="1486">
        <v>0.111879077901676</v>
      </c>
      <c r="AP1663" s="147" t="s">
        <v>166</v>
      </c>
      <c r="AQ1663" s="60"/>
      <c r="AR1663" s="1486">
        <v>0.544634947869308</v>
      </c>
      <c r="AS1663" s="147" t="s">
        <v>164</v>
      </c>
      <c r="AT1663" s="147" t="s">
        <v>179</v>
      </c>
      <c r="AU1663" s="147" t="s">
        <v>132</v>
      </c>
      <c r="AV1663" s="60"/>
      <c r="AW1663" s="147" t="s">
        <v>134</v>
      </c>
      <c r="AY1663" s="60" t="s">
        <v>144</v>
      </c>
    </row>
    <row r="1664">
      <c r="A1664" s="115" t="s">
        <v>5350</v>
      </c>
      <c r="B1664" s="41" t="s">
        <v>107</v>
      </c>
      <c r="C1664" s="41" t="s">
        <v>144</v>
      </c>
      <c r="E1664" s="60" t="s">
        <v>10465</v>
      </c>
      <c r="F1664" s="147" t="s">
        <v>10464</v>
      </c>
      <c r="G1664" s="147" t="s">
        <v>144</v>
      </c>
      <c r="H1664" s="140">
        <v>45687.0</v>
      </c>
      <c r="I1664" s="140">
        <v>45692.0</v>
      </c>
      <c r="J1664" s="412" t="s">
        <v>10474</v>
      </c>
      <c r="K1664" s="60"/>
      <c r="L1664" s="147" t="s">
        <v>10466</v>
      </c>
      <c r="M1664" s="147" t="s">
        <v>10467</v>
      </c>
      <c r="N1664" s="144">
        <v>1.0</v>
      </c>
      <c r="O1664" s="145" t="s">
        <v>10475</v>
      </c>
      <c r="P1664" s="48" t="str">
        <f t="array" ref="P1664">HYPERLINK(INDEX('File Links'!B:B, MATCH(O1664, 'File Links'!C:C, 0)))
</f>
        <v>https://drive.google.com/file/d/1ETLxNzxxAx38Kbjl_2clUvwzL5DDrTd8/view?usp=drivesdk</v>
      </c>
      <c r="Q1664" s="147" t="s">
        <v>6103</v>
      </c>
      <c r="R1664" s="147" t="s">
        <v>6104</v>
      </c>
      <c r="S1664" s="60"/>
      <c r="T1664" s="144">
        <v>1.0</v>
      </c>
      <c r="U1664" s="145" t="s">
        <v>6105</v>
      </c>
      <c r="V1664" s="147" t="s">
        <v>9109</v>
      </c>
      <c r="W1664" s="1455" t="str">
        <f> hyperlink(vlookup(lower(R1664),'File Links'!F:G, 2, FALSE), "LINK")</f>
        <v>LINK</v>
      </c>
      <c r="X1664" s="42"/>
      <c r="Y1664" s="147" t="s">
        <v>139</v>
      </c>
      <c r="Z1664" s="147" t="s">
        <v>10476</v>
      </c>
      <c r="AA1664" s="147" t="s">
        <v>10477</v>
      </c>
      <c r="AB1664" s="147" t="s">
        <v>10478</v>
      </c>
      <c r="AC1664" s="147" t="s">
        <v>10479</v>
      </c>
      <c r="AD1664" s="144">
        <v>7.0</v>
      </c>
      <c r="AE1664" s="144">
        <v>34.0</v>
      </c>
      <c r="AF1664" s="144">
        <v>0.507361593764794</v>
      </c>
      <c r="AG1664" s="144" t="s">
        <v>166</v>
      </c>
      <c r="AH1664" s="144" t="s">
        <v>125</v>
      </c>
      <c r="AI1664" s="144" t="s">
        <v>10480</v>
      </c>
      <c r="AJ1664" s="147" t="s">
        <v>127</v>
      </c>
      <c r="AK1664" s="147" t="s">
        <v>128</v>
      </c>
      <c r="AL1664" s="147" t="s">
        <v>132</v>
      </c>
      <c r="AM1664" s="147" t="s">
        <v>10481</v>
      </c>
      <c r="AN1664" s="144">
        <v>31.0</v>
      </c>
      <c r="AO1664" s="144">
        <v>0.111879077901676</v>
      </c>
      <c r="AP1664" s="144" t="s">
        <v>166</v>
      </c>
      <c r="AQ1664" s="60"/>
      <c r="AR1664" s="144">
        <v>0.544634947869308</v>
      </c>
      <c r="AS1664" s="147" t="s">
        <v>164</v>
      </c>
      <c r="AT1664" s="147" t="s">
        <v>179</v>
      </c>
      <c r="AU1664" s="147" t="s">
        <v>132</v>
      </c>
      <c r="AV1664" s="410" t="s">
        <v>10482</v>
      </c>
      <c r="AW1664" s="60" t="s">
        <v>134</v>
      </c>
      <c r="AY1664" s="60" t="s">
        <v>144</v>
      </c>
    </row>
    <row r="1665">
      <c r="A1665" s="60" t="s">
        <v>106</v>
      </c>
      <c r="B1665" s="41" t="s">
        <v>107</v>
      </c>
      <c r="C1665" s="41" t="s">
        <v>243</v>
      </c>
      <c r="E1665" s="147" t="s">
        <v>10483</v>
      </c>
      <c r="F1665" s="147" t="s">
        <v>10484</v>
      </c>
      <c r="G1665" s="147" t="s">
        <v>244</v>
      </c>
      <c r="H1665" s="140">
        <v>45672.0</v>
      </c>
      <c r="I1665" s="140">
        <v>45692.0</v>
      </c>
      <c r="J1665" s="60"/>
      <c r="K1665" s="60"/>
      <c r="L1665" s="147" t="s">
        <v>10485</v>
      </c>
      <c r="M1665" s="147" t="s">
        <v>10486</v>
      </c>
      <c r="N1665" s="60"/>
      <c r="O1665" s="145" t="str">
        <f> SUBSTITUTE(lower(M1665), "/", "--") &amp;  ".pdf"</f>
        <v>10.1126--science.1132491.pdf</v>
      </c>
      <c r="P1665" s="48" t="str">
        <f t="array" ref="P1665">HYPERLINK(INDEX('File Links'!B:B, MATCH(O1665, 'File Links'!C:C, 0)))
</f>
        <v>https://drive.google.com/file/d/1OWk3W7aLK7NhvpfeOXWbAeYjSBS6on3O/view?usp=drivesdk</v>
      </c>
      <c r="Q1665" s="147" t="s">
        <v>10487</v>
      </c>
      <c r="R1665" s="147" t="s">
        <v>10488</v>
      </c>
      <c r="S1665" s="60"/>
      <c r="T1665" s="60"/>
      <c r="U1665" s="145" t="s">
        <v>6105</v>
      </c>
      <c r="V1665" s="147" t="s">
        <v>318</v>
      </c>
      <c r="W1665" s="1455" t="str">
        <f> hyperlink(vlookup(lower(R1665),'File Links'!E:F, 2, FALSE), "LINK")</f>
        <v>LINK</v>
      </c>
      <c r="X1665" s="60"/>
      <c r="Y1665" s="147" t="s">
        <v>220</v>
      </c>
      <c r="Z1665" s="147" t="s">
        <v>6247</v>
      </c>
      <c r="AA1665" s="60"/>
      <c r="AB1665" s="147" t="s">
        <v>6249</v>
      </c>
      <c r="AC1665" s="147" t="s">
        <v>10489</v>
      </c>
      <c r="AD1665" s="144">
        <v>1155.0</v>
      </c>
      <c r="AE1665" s="144">
        <v>40.0</v>
      </c>
      <c r="AF1665" s="144">
        <v>0.63</v>
      </c>
      <c r="AG1665" s="147" t="s">
        <v>166</v>
      </c>
      <c r="AH1665" s="147" t="s">
        <v>10490</v>
      </c>
      <c r="AI1665" s="144">
        <v>0.04</v>
      </c>
      <c r="AJ1665" s="147" t="s">
        <v>127</v>
      </c>
      <c r="AK1665" s="147" t="s">
        <v>179</v>
      </c>
      <c r="AL1665" s="147" t="s">
        <v>129</v>
      </c>
      <c r="AM1665" s="147" t="s">
        <v>129</v>
      </c>
      <c r="AN1665" s="144">
        <v>86.0</v>
      </c>
      <c r="AO1665" s="1486">
        <v>0.124365054041184</v>
      </c>
      <c r="AP1665" s="147" t="s">
        <v>166</v>
      </c>
      <c r="AQ1665" s="60"/>
      <c r="AR1665" s="1486">
        <v>0.563448936597826</v>
      </c>
      <c r="AS1665" s="147" t="s">
        <v>164</v>
      </c>
      <c r="AT1665" s="147" t="s">
        <v>179</v>
      </c>
      <c r="AU1665" s="147" t="s">
        <v>129</v>
      </c>
      <c r="AV1665" s="60"/>
      <c r="AW1665" s="147" t="s">
        <v>134</v>
      </c>
      <c r="AY1665" s="60" t="s">
        <v>144</v>
      </c>
    </row>
    <row r="1666">
      <c r="A1666" s="115" t="s">
        <v>5350</v>
      </c>
      <c r="B1666" s="41" t="s">
        <v>107</v>
      </c>
      <c r="C1666" s="41" t="s">
        <v>144</v>
      </c>
      <c r="E1666" s="60" t="s">
        <v>10484</v>
      </c>
      <c r="F1666" s="147" t="s">
        <v>10483</v>
      </c>
      <c r="G1666" s="147" t="s">
        <v>144</v>
      </c>
      <c r="H1666" s="140">
        <v>45687.0</v>
      </c>
      <c r="I1666" s="140">
        <v>45692.0</v>
      </c>
      <c r="J1666" s="412" t="s">
        <v>10230</v>
      </c>
      <c r="K1666" s="60"/>
      <c r="L1666" s="147" t="s">
        <v>10485</v>
      </c>
      <c r="M1666" s="147" t="s">
        <v>10486</v>
      </c>
      <c r="N1666" s="144">
        <v>6.0</v>
      </c>
      <c r="O1666" s="145" t="s">
        <v>10491</v>
      </c>
      <c r="P1666" s="48" t="str">
        <f t="array" ref="P1666">HYPERLINK(INDEX('File Links'!B:B, MATCH(O1666, 'File Links'!C:C, 0)))
</f>
        <v>https://drive.google.com/file/d/1OWk3W7aLK7NhvpfeOXWbAeYjSBS6on3O/view?usp=drivesdk</v>
      </c>
      <c r="Q1666" s="147" t="s">
        <v>6103</v>
      </c>
      <c r="R1666" s="147" t="s">
        <v>6104</v>
      </c>
      <c r="S1666" s="60"/>
      <c r="T1666" s="144">
        <v>1.0</v>
      </c>
      <c r="U1666" s="145" t="s">
        <v>6105</v>
      </c>
      <c r="V1666" s="147" t="s">
        <v>9109</v>
      </c>
      <c r="W1666" s="1455" t="str">
        <f> hyperlink(vlookup(lower(R1666),'File Links'!F:G, 2, FALSE), "LINK")</f>
        <v>LINK</v>
      </c>
      <c r="X1666" s="60"/>
      <c r="Y1666" s="147" t="s">
        <v>220</v>
      </c>
      <c r="Z1666" s="147" t="s">
        <v>7920</v>
      </c>
      <c r="AA1666" s="147" t="s">
        <v>10492</v>
      </c>
      <c r="AB1666" s="147" t="s">
        <v>10493</v>
      </c>
      <c r="AC1666" s="147" t="s">
        <v>10494</v>
      </c>
      <c r="AD1666" s="144">
        <v>3.0</v>
      </c>
      <c r="AE1666" s="144">
        <v>40.0</v>
      </c>
      <c r="AF1666" s="144">
        <v>0.64</v>
      </c>
      <c r="AG1666" s="144" t="s">
        <v>166</v>
      </c>
      <c r="AH1666" s="144" t="s">
        <v>210</v>
      </c>
      <c r="AI1666" s="144">
        <v>0.05</v>
      </c>
      <c r="AJ1666" s="147" t="s">
        <v>127</v>
      </c>
      <c r="AK1666" s="147" t="s">
        <v>179</v>
      </c>
      <c r="AL1666" s="147" t="s">
        <v>129</v>
      </c>
      <c r="AM1666" s="60"/>
      <c r="AN1666" s="144">
        <v>86.0</v>
      </c>
      <c r="AO1666" s="327" t="s">
        <v>10495</v>
      </c>
      <c r="AP1666" s="144" t="s">
        <v>166</v>
      </c>
      <c r="AQ1666" s="60"/>
      <c r="AR1666" s="144">
        <v>0.563448936597826</v>
      </c>
      <c r="AS1666" s="147" t="s">
        <v>164</v>
      </c>
      <c r="AT1666" s="147" t="s">
        <v>179</v>
      </c>
      <c r="AU1666" s="147" t="s">
        <v>129</v>
      </c>
      <c r="AV1666" s="60"/>
      <c r="AW1666" s="60" t="s">
        <v>134</v>
      </c>
      <c r="AY1666" s="60" t="s">
        <v>144</v>
      </c>
    </row>
    <row r="1667">
      <c r="A1667" s="60" t="s">
        <v>106</v>
      </c>
      <c r="B1667" s="41" t="s">
        <v>107</v>
      </c>
      <c r="C1667" s="41" t="s">
        <v>243</v>
      </c>
      <c r="E1667" s="147" t="s">
        <v>10496</v>
      </c>
      <c r="F1667" s="147" t="s">
        <v>10497</v>
      </c>
      <c r="G1667" s="147" t="s">
        <v>244</v>
      </c>
      <c r="H1667" s="140">
        <v>45672.0</v>
      </c>
      <c r="I1667" s="140">
        <v>45692.0</v>
      </c>
      <c r="J1667" s="412" t="s">
        <v>10498</v>
      </c>
      <c r="K1667" s="60" t="s">
        <v>9078</v>
      </c>
      <c r="L1667" s="147" t="s">
        <v>10499</v>
      </c>
      <c r="M1667" s="147" t="s">
        <v>10500</v>
      </c>
      <c r="N1667" s="60"/>
      <c r="O1667" s="145" t="str">
        <f> SUBSTITUTE(lower(M1667), "/", "--") &amp;  ".pdf"</f>
        <v>10.1177--0956797613502732.pdf</v>
      </c>
      <c r="P1667" s="48" t="str">
        <f t="array" ref="P1667">HYPERLINK(INDEX('File Links'!B:B, MATCH(O1667, 'File Links'!C:C, 0)))
</f>
        <v>https://drive.google.com/file/d/1oYbk_RfphQEQTiM6p882mmwIrb7aGJDY/view?usp=drivesdk</v>
      </c>
      <c r="Q1667" s="147" t="s">
        <v>10501</v>
      </c>
      <c r="R1667" s="147" t="s">
        <v>10502</v>
      </c>
      <c r="S1667" s="60"/>
      <c r="T1667" s="60"/>
      <c r="U1667" s="145" t="s">
        <v>6105</v>
      </c>
      <c r="V1667" s="147" t="s">
        <v>318</v>
      </c>
      <c r="W1667" s="1455" t="str">
        <f> hyperlink(vlookup(lower(R1667),'File Links'!E:F, 2, FALSE), "LINK")</f>
        <v>LINK</v>
      </c>
      <c r="X1667" s="60"/>
      <c r="Y1667" s="147" t="s">
        <v>220</v>
      </c>
      <c r="Z1667" s="60"/>
      <c r="AA1667" s="147" t="s">
        <v>6763</v>
      </c>
      <c r="AB1667" s="60"/>
      <c r="AC1667" s="147" t="s">
        <v>10503</v>
      </c>
      <c r="AD1667" s="1265">
        <v>279.0</v>
      </c>
      <c r="AE1667" s="144">
        <v>87.0</v>
      </c>
      <c r="AF1667" s="144">
        <v>7.55</v>
      </c>
      <c r="AG1667" s="147" t="s">
        <v>1051</v>
      </c>
      <c r="AH1667" s="1268" t="s">
        <v>10504</v>
      </c>
      <c r="AI1667" s="144">
        <v>0.01</v>
      </c>
      <c r="AJ1667" s="147" t="s">
        <v>127</v>
      </c>
      <c r="AK1667" s="147" t="s">
        <v>179</v>
      </c>
      <c r="AL1667" s="147" t="s">
        <v>132</v>
      </c>
      <c r="AM1667" s="147" t="s">
        <v>129</v>
      </c>
      <c r="AN1667" s="144">
        <v>120.0</v>
      </c>
      <c r="AO1667" s="1486">
        <v>0.242790791466753</v>
      </c>
      <c r="AP1667" s="147" t="s">
        <v>166</v>
      </c>
      <c r="AQ1667" s="60"/>
      <c r="AR1667" s="1486">
        <v>0.459121525224115</v>
      </c>
      <c r="AS1667" s="147" t="s">
        <v>164</v>
      </c>
      <c r="AT1667" s="147" t="s">
        <v>179</v>
      </c>
      <c r="AU1667" s="147" t="s">
        <v>129</v>
      </c>
      <c r="AV1667" s="60"/>
      <c r="AW1667" s="147" t="s">
        <v>134</v>
      </c>
      <c r="AY1667" s="60" t="s">
        <v>144</v>
      </c>
    </row>
    <row r="1668">
      <c r="A1668" s="115" t="s">
        <v>5350</v>
      </c>
      <c r="B1668" s="41" t="s">
        <v>107</v>
      </c>
      <c r="C1668" s="41" t="s">
        <v>144</v>
      </c>
      <c r="E1668" s="60" t="s">
        <v>10497</v>
      </c>
      <c r="F1668" s="147" t="s">
        <v>10496</v>
      </c>
      <c r="G1668" s="147" t="s">
        <v>144</v>
      </c>
      <c r="H1668" s="140">
        <v>45687.0</v>
      </c>
      <c r="I1668" s="140">
        <v>45692.0</v>
      </c>
      <c r="J1668" s="454" t="s">
        <v>10505</v>
      </c>
      <c r="K1668" s="60"/>
      <c r="L1668" s="147" t="s">
        <v>10499</v>
      </c>
      <c r="M1668" s="147" t="s">
        <v>10500</v>
      </c>
      <c r="N1668" s="144">
        <v>1.0</v>
      </c>
      <c r="O1668" s="145" t="s">
        <v>10506</v>
      </c>
      <c r="P1668" s="48" t="str">
        <f t="array" ref="P1668">HYPERLINK(INDEX('File Links'!B:B, MATCH(O1668, 'File Links'!C:C, 0)))
</f>
        <v>https://drive.google.com/file/d/1oYbk_RfphQEQTiM6p882mmwIrb7aGJDY/view?usp=drivesdk</v>
      </c>
      <c r="Q1668" s="147" t="s">
        <v>6103</v>
      </c>
      <c r="R1668" s="147" t="s">
        <v>6104</v>
      </c>
      <c r="S1668" s="60"/>
      <c r="T1668" s="144">
        <v>1.0</v>
      </c>
      <c r="U1668" s="145" t="s">
        <v>6105</v>
      </c>
      <c r="V1668" s="1460" t="s">
        <v>10112</v>
      </c>
      <c r="W1668" s="1455" t="str">
        <f> hyperlink(vlookup(lower(R1668),'File Links'!F:G, 2, FALSE), "LINK")</f>
        <v>LINK</v>
      </c>
      <c r="X1668" s="60"/>
      <c r="Y1668" s="147" t="s">
        <v>220</v>
      </c>
      <c r="Z1668" s="147" t="s">
        <v>10315</v>
      </c>
      <c r="AA1668" s="147" t="s">
        <v>10507</v>
      </c>
      <c r="AB1668" s="147" t="s">
        <v>10508</v>
      </c>
      <c r="AC1668" s="147" t="s">
        <v>10509</v>
      </c>
      <c r="AD1668" s="144">
        <v>2.0</v>
      </c>
      <c r="AE1668" s="144">
        <v>87.0</v>
      </c>
      <c r="AF1668" s="327">
        <v>0.144</v>
      </c>
      <c r="AG1668" s="144" t="s">
        <v>130</v>
      </c>
      <c r="AH1668" s="144" t="s">
        <v>886</v>
      </c>
      <c r="AI1668" s="144">
        <v>0.01</v>
      </c>
      <c r="AJ1668" s="147" t="s">
        <v>127</v>
      </c>
      <c r="AK1668" s="147" t="s">
        <v>179</v>
      </c>
      <c r="AL1668" s="147" t="s">
        <v>129</v>
      </c>
      <c r="AM1668" s="60"/>
      <c r="AN1668" s="144">
        <v>120.0</v>
      </c>
      <c r="AO1668" s="144" t="s">
        <v>10510</v>
      </c>
      <c r="AP1668" s="144" t="s">
        <v>162</v>
      </c>
      <c r="AQ1668" s="144" t="s">
        <v>299</v>
      </c>
      <c r="AR1668" s="144">
        <v>0.459</v>
      </c>
      <c r="AS1668" s="147" t="s">
        <v>164</v>
      </c>
      <c r="AT1668" s="147" t="s">
        <v>179</v>
      </c>
      <c r="AU1668" s="147" t="s">
        <v>129</v>
      </c>
      <c r="AV1668" s="60"/>
      <c r="AW1668" s="60" t="s">
        <v>142</v>
      </c>
      <c r="AY1668" s="60" t="s">
        <v>144</v>
      </c>
    </row>
    <row r="1669">
      <c r="A1669" s="115" t="s">
        <v>5350</v>
      </c>
      <c r="B1669" s="41" t="s">
        <v>107</v>
      </c>
      <c r="C1669" s="41" t="s">
        <v>144</v>
      </c>
      <c r="E1669" s="60" t="s">
        <v>10497</v>
      </c>
      <c r="F1669" s="147" t="s">
        <v>10511</v>
      </c>
      <c r="G1669" s="147" t="s">
        <v>144</v>
      </c>
      <c r="H1669" s="140">
        <v>45687.0</v>
      </c>
      <c r="I1669" s="140">
        <v>45692.0</v>
      </c>
      <c r="J1669" s="454" t="s">
        <v>10512</v>
      </c>
      <c r="K1669" s="60"/>
      <c r="L1669" s="147" t="s">
        <v>10499</v>
      </c>
      <c r="M1669" s="147" t="s">
        <v>10500</v>
      </c>
      <c r="N1669" s="144">
        <v>1.0</v>
      </c>
      <c r="O1669" s="145" t="s">
        <v>10506</v>
      </c>
      <c r="P1669" s="48" t="str">
        <f t="array" ref="P1669">HYPERLINK(INDEX('File Links'!B:B, MATCH(O1669, 'File Links'!C:C, 0)))
</f>
        <v>https://drive.google.com/file/d/1oYbk_RfphQEQTiM6p882mmwIrb7aGJDY/view?usp=drivesdk</v>
      </c>
      <c r="Q1669" s="147" t="s">
        <v>6103</v>
      </c>
      <c r="R1669" s="147" t="s">
        <v>6104</v>
      </c>
      <c r="S1669" s="60"/>
      <c r="T1669" s="144">
        <v>1.0</v>
      </c>
      <c r="U1669" s="145" t="s">
        <v>6105</v>
      </c>
      <c r="V1669" s="1460" t="s">
        <v>10112</v>
      </c>
      <c r="W1669" s="1455" t="str">
        <f> hyperlink(vlookup(lower(R1669),'File Links'!F:G, 2, FALSE), "LINK")</f>
        <v>LINK</v>
      </c>
      <c r="X1669" s="60"/>
      <c r="Y1669" s="147" t="s">
        <v>220</v>
      </c>
      <c r="Z1669" s="147" t="s">
        <v>10315</v>
      </c>
      <c r="AA1669" s="147" t="s">
        <v>10507</v>
      </c>
      <c r="AB1669" s="147" t="s">
        <v>10513</v>
      </c>
      <c r="AC1669" s="147" t="s">
        <v>10514</v>
      </c>
      <c r="AD1669" s="327">
        <v>3.0</v>
      </c>
      <c r="AE1669" s="144">
        <v>87.0</v>
      </c>
      <c r="AF1669" s="327">
        <v>0.043</v>
      </c>
      <c r="AG1669" s="144" t="s">
        <v>130</v>
      </c>
      <c r="AH1669" s="327" t="s">
        <v>210</v>
      </c>
      <c r="AI1669" s="327">
        <v>0.059</v>
      </c>
      <c r="AJ1669" s="147" t="s">
        <v>164</v>
      </c>
      <c r="AK1669" s="147" t="s">
        <v>179</v>
      </c>
      <c r="AL1669" s="147" t="s">
        <v>129</v>
      </c>
      <c r="AM1669" s="60"/>
      <c r="AN1669" s="144">
        <v>120.0</v>
      </c>
      <c r="AO1669" s="327" t="s">
        <v>10515</v>
      </c>
      <c r="AP1669" s="144" t="s">
        <v>162</v>
      </c>
      <c r="AQ1669" s="144" t="s">
        <v>299</v>
      </c>
      <c r="AR1669" s="144">
        <v>0.04869</v>
      </c>
      <c r="AS1669" s="147" t="s">
        <v>164</v>
      </c>
      <c r="AT1669" s="147" t="s">
        <v>179</v>
      </c>
      <c r="AU1669" s="147" t="s">
        <v>129</v>
      </c>
      <c r="AV1669" s="60"/>
      <c r="AW1669" s="60" t="s">
        <v>142</v>
      </c>
      <c r="AY1669" s="60" t="s">
        <v>144</v>
      </c>
    </row>
    <row r="1670">
      <c r="A1670" s="60" t="s">
        <v>106</v>
      </c>
      <c r="B1670" s="41" t="s">
        <v>107</v>
      </c>
      <c r="C1670" s="41" t="s">
        <v>243</v>
      </c>
      <c r="E1670" s="147" t="s">
        <v>10516</v>
      </c>
      <c r="F1670" s="147" t="s">
        <v>10517</v>
      </c>
      <c r="G1670" s="147" t="s">
        <v>244</v>
      </c>
      <c r="H1670" s="140">
        <v>45672.0</v>
      </c>
      <c r="I1670" s="140">
        <v>45692.0</v>
      </c>
      <c r="J1670" s="412" t="s">
        <v>10518</v>
      </c>
      <c r="K1670" s="60"/>
      <c r="L1670" s="147" t="s">
        <v>10519</v>
      </c>
      <c r="M1670" s="147" t="s">
        <v>10520</v>
      </c>
      <c r="N1670" s="60"/>
      <c r="O1670" s="145" t="str">
        <f> SUBSTITUTE(lower(M1670), "/", "--") &amp;  ".pdf"</f>
        <v>10.1038--s41467-021-27323-3.pdf</v>
      </c>
      <c r="P1670" s="48" t="str">
        <f t="array" ref="P1670">HYPERLINK(INDEX('File Links'!B:B, MATCH(O1670, 'File Links'!C:C, 0)))
</f>
        <v>https://drive.google.com/file/d/1E9n7K_S1QjugzYn-rTEbb--ETbvudVse/view?usp=drivesdk</v>
      </c>
      <c r="Q1670" s="147" t="s">
        <v>10521</v>
      </c>
      <c r="R1670" s="147" t="s">
        <v>10522</v>
      </c>
      <c r="S1670" s="60"/>
      <c r="T1670" s="60"/>
      <c r="U1670" s="145" t="s">
        <v>6105</v>
      </c>
      <c r="V1670" s="147" t="s">
        <v>318</v>
      </c>
      <c r="W1670" s="1455" t="str">
        <f> hyperlink(vlookup(lower(R1670),'File Links'!E:F, 2, FALSE), "LINK")</f>
        <v>LINK</v>
      </c>
      <c r="X1670" s="60"/>
      <c r="Y1670" s="1268" t="s">
        <v>139</v>
      </c>
      <c r="Z1670" s="60"/>
      <c r="AA1670" s="60"/>
      <c r="AB1670" s="60"/>
      <c r="AC1670" s="147" t="s">
        <v>10523</v>
      </c>
      <c r="AD1670" s="144">
        <v>4.0</v>
      </c>
      <c r="AE1670" s="144">
        <v>556.0</v>
      </c>
      <c r="AF1670" s="144">
        <v>0.28</v>
      </c>
      <c r="AG1670" s="147" t="s">
        <v>166</v>
      </c>
      <c r="AH1670" s="147" t="s">
        <v>10524</v>
      </c>
      <c r="AI1670" s="144">
        <v>0.001</v>
      </c>
      <c r="AJ1670" s="147" t="s">
        <v>127</v>
      </c>
      <c r="AK1670" s="147" t="s">
        <v>179</v>
      </c>
      <c r="AL1670" s="147" t="s">
        <v>129</v>
      </c>
      <c r="AM1670" s="147" t="s">
        <v>129</v>
      </c>
      <c r="AN1670" s="144">
        <v>47.0</v>
      </c>
      <c r="AO1670" s="1486">
        <v>0.389720527496613</v>
      </c>
      <c r="AP1670" s="147" t="s">
        <v>166</v>
      </c>
      <c r="AQ1670" s="60"/>
      <c r="AR1670" s="1486">
        <v>0.115563444416586</v>
      </c>
      <c r="AS1670" s="147" t="s">
        <v>164</v>
      </c>
      <c r="AT1670" s="147" t="s">
        <v>179</v>
      </c>
      <c r="AU1670" s="147" t="s">
        <v>129</v>
      </c>
      <c r="AV1670" s="60"/>
      <c r="AW1670" s="147" t="s">
        <v>134</v>
      </c>
      <c r="AY1670" s="60" t="s">
        <v>144</v>
      </c>
    </row>
    <row r="1671">
      <c r="A1671" s="115" t="s">
        <v>5350</v>
      </c>
      <c r="B1671" s="41" t="s">
        <v>107</v>
      </c>
      <c r="C1671" s="41" t="s">
        <v>144</v>
      </c>
      <c r="E1671" s="60" t="s">
        <v>10517</v>
      </c>
      <c r="F1671" s="147" t="s">
        <v>10516</v>
      </c>
      <c r="G1671" s="147" t="s">
        <v>144</v>
      </c>
      <c r="H1671" s="140">
        <v>45687.0</v>
      </c>
      <c r="I1671" s="140">
        <v>45692.0</v>
      </c>
      <c r="J1671" s="412" t="s">
        <v>10525</v>
      </c>
      <c r="K1671" s="60"/>
      <c r="L1671" s="147" t="s">
        <v>10519</v>
      </c>
      <c r="M1671" s="60"/>
      <c r="N1671" s="144" t="s">
        <v>10526</v>
      </c>
      <c r="O1671" s="145" t="s">
        <v>351</v>
      </c>
      <c r="P1671" s="544" t="str">
        <f t="array" ref="P1671">HYPERLINK(INDEX('File Links'!B:B, MATCH(O1671, 'File Links'!C:C, 0)))
</f>
        <v>#N/A</v>
      </c>
      <c r="Q1671" s="147" t="s">
        <v>6103</v>
      </c>
      <c r="R1671" s="147" t="s">
        <v>6104</v>
      </c>
      <c r="S1671" s="60"/>
      <c r="T1671" s="144">
        <v>1.0</v>
      </c>
      <c r="U1671" s="145" t="s">
        <v>6105</v>
      </c>
      <c r="V1671" s="147" t="s">
        <v>9109</v>
      </c>
      <c r="W1671" s="1455" t="str">
        <f> hyperlink(vlookup(lower(R1671),'File Links'!F:G, 2, FALSE), "LINK")</f>
        <v>LINK</v>
      </c>
      <c r="X1671" s="60"/>
      <c r="Y1671" s="1460" t="s">
        <v>849</v>
      </c>
      <c r="Z1671" s="147" t="s">
        <v>8062</v>
      </c>
      <c r="AA1671" s="147" t="s">
        <v>10527</v>
      </c>
      <c r="AB1671" s="147" t="s">
        <v>10528</v>
      </c>
      <c r="AC1671" s="147" t="s">
        <v>10529</v>
      </c>
      <c r="AD1671" s="144">
        <v>4.0</v>
      </c>
      <c r="AE1671" s="144">
        <v>321.0</v>
      </c>
      <c r="AF1671" s="144" t="s">
        <v>10530</v>
      </c>
      <c r="AG1671" s="144" t="s">
        <v>162</v>
      </c>
      <c r="AH1671" s="144" t="s">
        <v>861</v>
      </c>
      <c r="AI1671" s="327">
        <v>0.001</v>
      </c>
      <c r="AJ1671" s="147" t="s">
        <v>127</v>
      </c>
      <c r="AK1671" s="147" t="s">
        <v>179</v>
      </c>
      <c r="AL1671" s="147" t="s">
        <v>129</v>
      </c>
      <c r="AM1671" s="60"/>
      <c r="AN1671" s="144">
        <v>47.0</v>
      </c>
      <c r="AO1671" s="144">
        <v>0.03912084</v>
      </c>
      <c r="AP1671" s="144" t="s">
        <v>10531</v>
      </c>
      <c r="AQ1671" s="144" t="s">
        <v>10532</v>
      </c>
      <c r="AR1671" s="144">
        <v>0.116</v>
      </c>
      <c r="AS1671" s="147" t="s">
        <v>164</v>
      </c>
      <c r="AT1671" s="147" t="s">
        <v>179</v>
      </c>
      <c r="AU1671" s="147" t="s">
        <v>129</v>
      </c>
      <c r="AV1671" s="60"/>
      <c r="AW1671" s="60" t="s">
        <v>142</v>
      </c>
      <c r="AY1671" s="60" t="s">
        <v>144</v>
      </c>
    </row>
    <row r="1672">
      <c r="A1672" s="60" t="s">
        <v>106</v>
      </c>
      <c r="B1672" s="41" t="s">
        <v>107</v>
      </c>
      <c r="C1672" s="41" t="s">
        <v>243</v>
      </c>
      <c r="E1672" s="147" t="s">
        <v>10533</v>
      </c>
      <c r="F1672" s="147" t="s">
        <v>10534</v>
      </c>
      <c r="G1672" s="147" t="s">
        <v>244</v>
      </c>
      <c r="H1672" s="140">
        <v>45672.0</v>
      </c>
      <c r="I1672" s="140">
        <v>45692.0</v>
      </c>
      <c r="J1672" s="60"/>
      <c r="K1672" s="60" t="s">
        <v>9078</v>
      </c>
      <c r="L1672" s="147" t="s">
        <v>10535</v>
      </c>
      <c r="M1672" s="147" t="s">
        <v>10536</v>
      </c>
      <c r="N1672" s="60"/>
      <c r="O1672" s="145" t="str">
        <f> SUBSTITUTE(lower(M1672), "/", "--") &amp;  ".pdf"</f>
        <v>10.1177--0956797613508412.pdf</v>
      </c>
      <c r="P1672" s="48" t="str">
        <f t="array" ref="P1672">HYPERLINK(INDEX('File Links'!B:B, MATCH(O1672, 'File Links'!C:C, 0)))
</f>
        <v>https://drive.google.com/file/d/1VYqvNkQuJmP378cGj71lJ4JV-clMH0Yv/view?usp=drivesdk</v>
      </c>
      <c r="Q1672" s="147" t="s">
        <v>10537</v>
      </c>
      <c r="R1672" s="147" t="s">
        <v>10538</v>
      </c>
      <c r="S1672" s="60"/>
      <c r="T1672" s="60"/>
      <c r="U1672" s="145" t="s">
        <v>6105</v>
      </c>
      <c r="V1672" s="147" t="s">
        <v>6291</v>
      </c>
      <c r="W1672" s="1455" t="str">
        <f> hyperlink(vlookup(lower(R1672),'File Links'!E:F, 2, FALSE), "LINK")</f>
        <v>LINK</v>
      </c>
      <c r="X1672" s="60"/>
      <c r="Y1672" s="147" t="s">
        <v>220</v>
      </c>
      <c r="Z1672" s="60"/>
      <c r="AA1672" s="147" t="s">
        <v>10539</v>
      </c>
      <c r="AB1672" s="60"/>
      <c r="AC1672" s="147" t="s">
        <v>10540</v>
      </c>
      <c r="AD1672" s="1265">
        <v>442.0</v>
      </c>
      <c r="AE1672" s="144">
        <v>168.0</v>
      </c>
      <c r="AF1672" s="144">
        <v>10.7</v>
      </c>
      <c r="AG1672" s="147" t="s">
        <v>1051</v>
      </c>
      <c r="AH1672" s="1268" t="s">
        <v>10541</v>
      </c>
      <c r="AI1672" s="144">
        <v>0.01</v>
      </c>
      <c r="AJ1672" s="147" t="s">
        <v>164</v>
      </c>
      <c r="AK1672" s="147" t="s">
        <v>128</v>
      </c>
      <c r="AL1672" s="147" t="s">
        <v>132</v>
      </c>
      <c r="AM1672" s="147" t="s">
        <v>129</v>
      </c>
      <c r="AN1672" s="144">
        <v>37.0</v>
      </c>
      <c r="AO1672" s="1486">
        <v>0.139256851135717</v>
      </c>
      <c r="AP1672" s="147" t="s">
        <v>166</v>
      </c>
      <c r="AQ1672" s="60"/>
      <c r="AR1672" s="1486">
        <v>0.687444834440912</v>
      </c>
      <c r="AS1672" s="147" t="s">
        <v>164</v>
      </c>
      <c r="AT1672" s="147" t="s">
        <v>179</v>
      </c>
      <c r="AU1672" s="147" t="s">
        <v>132</v>
      </c>
      <c r="AV1672" s="60"/>
      <c r="AW1672" s="147" t="s">
        <v>134</v>
      </c>
      <c r="AY1672" s="60" t="s">
        <v>144</v>
      </c>
    </row>
    <row r="1673">
      <c r="A1673" s="115" t="s">
        <v>5350</v>
      </c>
      <c r="B1673" s="41" t="s">
        <v>107</v>
      </c>
      <c r="C1673" s="41" t="s">
        <v>144</v>
      </c>
      <c r="E1673" s="60" t="s">
        <v>10534</v>
      </c>
      <c r="F1673" s="147" t="s">
        <v>10533</v>
      </c>
      <c r="G1673" s="147" t="s">
        <v>144</v>
      </c>
      <c r="H1673" s="140">
        <v>45687.0</v>
      </c>
      <c r="I1673" s="140">
        <v>45692.0</v>
      </c>
      <c r="J1673" s="454" t="s">
        <v>10542</v>
      </c>
      <c r="K1673" s="60"/>
      <c r="L1673" s="147" t="s">
        <v>10535</v>
      </c>
      <c r="M1673" s="147" t="s">
        <v>10536</v>
      </c>
      <c r="N1673" s="144">
        <v>2.0</v>
      </c>
      <c r="O1673" s="145" t="s">
        <v>10543</v>
      </c>
      <c r="P1673" s="48" t="str">
        <f t="array" ref="P1673">HYPERLINK(INDEX('File Links'!B:B, MATCH(O1673, 'File Links'!C:C, 0)))
</f>
        <v>https://drive.google.com/file/d/1VYqvNkQuJmP378cGj71lJ4JV-clMH0Yv/view?usp=drivesdk</v>
      </c>
      <c r="Q1673" s="147" t="s">
        <v>6103</v>
      </c>
      <c r="R1673" s="147" t="s">
        <v>6104</v>
      </c>
      <c r="S1673" s="60"/>
      <c r="T1673" s="144">
        <v>1.0</v>
      </c>
      <c r="U1673" s="145" t="s">
        <v>6105</v>
      </c>
      <c r="V1673" s="147" t="s">
        <v>7707</v>
      </c>
      <c r="W1673" s="1455" t="str">
        <f> hyperlink(vlookup(lower(R1673),'File Links'!F:G, 2, FALSE), "LINK")</f>
        <v>LINK</v>
      </c>
      <c r="X1673" s="60"/>
      <c r="Y1673" s="147" t="s">
        <v>220</v>
      </c>
      <c r="Z1673" s="147" t="s">
        <v>10544</v>
      </c>
      <c r="AA1673" s="147" t="s">
        <v>10545</v>
      </c>
      <c r="AB1673" s="147" t="s">
        <v>10546</v>
      </c>
      <c r="AC1673" s="147" t="s">
        <v>10547</v>
      </c>
      <c r="AD1673" s="144">
        <v>4.0</v>
      </c>
      <c r="AE1673" s="144">
        <v>168.0</v>
      </c>
      <c r="AF1673" s="144">
        <v>0.49</v>
      </c>
      <c r="AG1673" s="144" t="s">
        <v>1006</v>
      </c>
      <c r="AH1673" s="144" t="s">
        <v>861</v>
      </c>
      <c r="AI1673" s="144">
        <v>0.01</v>
      </c>
      <c r="AJ1673" s="147" t="s">
        <v>164</v>
      </c>
      <c r="AK1673" s="147" t="s">
        <v>128</v>
      </c>
      <c r="AL1673" s="147" t="s">
        <v>132</v>
      </c>
      <c r="AM1673" s="60"/>
      <c r="AN1673" s="144">
        <v>37.0</v>
      </c>
      <c r="AO1673" s="1475">
        <v>-1.0907</v>
      </c>
      <c r="AP1673" s="144" t="s">
        <v>1006</v>
      </c>
      <c r="AQ1673" s="60"/>
      <c r="AR1673" s="1493">
        <v>0.6871</v>
      </c>
      <c r="AS1673" s="147" t="s">
        <v>164</v>
      </c>
      <c r="AT1673" s="147" t="s">
        <v>179</v>
      </c>
      <c r="AU1673" s="147" t="s">
        <v>132</v>
      </c>
      <c r="AV1673" s="60"/>
      <c r="AW1673" s="60" t="s">
        <v>134</v>
      </c>
      <c r="AY1673" s="60" t="s">
        <v>144</v>
      </c>
    </row>
    <row r="1674">
      <c r="A1674" s="115" t="s">
        <v>5350</v>
      </c>
      <c r="B1674" s="41" t="s">
        <v>107</v>
      </c>
      <c r="C1674" s="41" t="s">
        <v>144</v>
      </c>
      <c r="E1674" s="60" t="s">
        <v>10534</v>
      </c>
      <c r="F1674" s="147" t="s">
        <v>10548</v>
      </c>
      <c r="G1674" s="147" t="s">
        <v>144</v>
      </c>
      <c r="H1674" s="140">
        <v>45687.0</v>
      </c>
      <c r="I1674" s="140">
        <v>45692.0</v>
      </c>
      <c r="J1674" s="454" t="s">
        <v>10549</v>
      </c>
      <c r="K1674" s="60"/>
      <c r="L1674" s="147" t="s">
        <v>10535</v>
      </c>
      <c r="M1674" s="147" t="s">
        <v>10536</v>
      </c>
      <c r="N1674" s="144">
        <v>2.0</v>
      </c>
      <c r="O1674" s="145" t="s">
        <v>10543</v>
      </c>
      <c r="P1674" s="48" t="str">
        <f t="array" ref="P1674">HYPERLINK(INDEX('File Links'!B:B, MATCH(O1674, 'File Links'!C:C, 0)))
</f>
        <v>https://drive.google.com/file/d/1VYqvNkQuJmP378cGj71lJ4JV-clMH0Yv/view?usp=drivesdk</v>
      </c>
      <c r="Q1674" s="147" t="s">
        <v>6103</v>
      </c>
      <c r="R1674" s="147" t="s">
        <v>6104</v>
      </c>
      <c r="S1674" s="60"/>
      <c r="T1674" s="144">
        <v>1.0</v>
      </c>
      <c r="U1674" s="145" t="s">
        <v>6105</v>
      </c>
      <c r="V1674" s="147" t="s">
        <v>7707</v>
      </c>
      <c r="W1674" s="1455" t="str">
        <f> hyperlink(vlookup(lower(R1674),'File Links'!F:G, 2, FALSE), "LINK")</f>
        <v>LINK</v>
      </c>
      <c r="X1674" s="60"/>
      <c r="Y1674" s="147" t="s">
        <v>220</v>
      </c>
      <c r="Z1674" s="147" t="s">
        <v>10544</v>
      </c>
      <c r="AA1674" s="147" t="s">
        <v>10545</v>
      </c>
      <c r="AB1674" s="147" t="s">
        <v>10550</v>
      </c>
      <c r="AC1674" s="147" t="s">
        <v>10551</v>
      </c>
      <c r="AD1674" s="144">
        <v>4.0</v>
      </c>
      <c r="AE1674" s="144">
        <v>168.0</v>
      </c>
      <c r="AF1674" s="327">
        <v>0.45</v>
      </c>
      <c r="AG1674" s="144" t="s">
        <v>1006</v>
      </c>
      <c r="AH1674" s="144" t="s">
        <v>861</v>
      </c>
      <c r="AI1674" s="144">
        <v>0.001</v>
      </c>
      <c r="AJ1674" s="147" t="s">
        <v>127</v>
      </c>
      <c r="AK1674" s="147" t="s">
        <v>128</v>
      </c>
      <c r="AL1674" s="147" t="s">
        <v>132</v>
      </c>
      <c r="AM1674" s="60"/>
      <c r="AN1674" s="144">
        <v>37.0</v>
      </c>
      <c r="AO1674" s="1475">
        <v>1.7739</v>
      </c>
      <c r="AP1674" s="144" t="s">
        <v>1006</v>
      </c>
      <c r="AQ1674" s="60"/>
      <c r="AR1674" s="144">
        <v>0.01574</v>
      </c>
      <c r="AS1674" s="147" t="s">
        <v>164</v>
      </c>
      <c r="AT1674" s="147" t="s">
        <v>179</v>
      </c>
      <c r="AU1674" s="147" t="s">
        <v>132</v>
      </c>
      <c r="AV1674" s="60"/>
      <c r="AW1674" s="60" t="s">
        <v>134</v>
      </c>
      <c r="AY1674" s="60" t="s">
        <v>144</v>
      </c>
    </row>
    <row r="1675">
      <c r="A1675" s="115" t="s">
        <v>5350</v>
      </c>
      <c r="B1675" s="41" t="s">
        <v>107</v>
      </c>
      <c r="C1675" s="41" t="s">
        <v>144</v>
      </c>
      <c r="E1675" s="60" t="s">
        <v>10534</v>
      </c>
      <c r="F1675" s="147" t="s">
        <v>10552</v>
      </c>
      <c r="G1675" s="147" t="s">
        <v>144</v>
      </c>
      <c r="H1675" s="140">
        <v>45687.0</v>
      </c>
      <c r="I1675" s="140">
        <v>45692.0</v>
      </c>
      <c r="J1675" s="454" t="s">
        <v>10553</v>
      </c>
      <c r="K1675" s="60"/>
      <c r="L1675" s="147" t="s">
        <v>10535</v>
      </c>
      <c r="M1675" s="147" t="s">
        <v>10536</v>
      </c>
      <c r="N1675" s="144">
        <v>2.0</v>
      </c>
      <c r="O1675" s="145" t="s">
        <v>10543</v>
      </c>
      <c r="P1675" s="48" t="str">
        <f t="array" ref="P1675">HYPERLINK(INDEX('File Links'!B:B, MATCH(O1675, 'File Links'!C:C, 0)))
</f>
        <v>https://drive.google.com/file/d/1VYqvNkQuJmP378cGj71lJ4JV-clMH0Yv/view?usp=drivesdk</v>
      </c>
      <c r="Q1675" s="147" t="s">
        <v>6103</v>
      </c>
      <c r="R1675" s="147" t="s">
        <v>6104</v>
      </c>
      <c r="S1675" s="60"/>
      <c r="T1675" s="144">
        <v>1.0</v>
      </c>
      <c r="U1675" s="145" t="s">
        <v>6105</v>
      </c>
      <c r="V1675" s="147" t="s">
        <v>7707</v>
      </c>
      <c r="W1675" s="1455" t="str">
        <f> hyperlink(vlookup(lower(R1675),'File Links'!F:G, 2, FALSE), "LINK")</f>
        <v>LINK</v>
      </c>
      <c r="X1675" s="60"/>
      <c r="Y1675" s="147" t="s">
        <v>220</v>
      </c>
      <c r="Z1675" s="147" t="s">
        <v>10544</v>
      </c>
      <c r="AA1675" s="147" t="s">
        <v>10545</v>
      </c>
      <c r="AB1675" s="147" t="s">
        <v>10554</v>
      </c>
      <c r="AC1675" s="147" t="s">
        <v>10555</v>
      </c>
      <c r="AD1675" s="144">
        <v>4.0</v>
      </c>
      <c r="AE1675" s="144">
        <v>168.0</v>
      </c>
      <c r="AF1675" s="327">
        <v>0.1</v>
      </c>
      <c r="AG1675" s="144" t="s">
        <v>1006</v>
      </c>
      <c r="AH1675" s="144" t="s">
        <v>861</v>
      </c>
      <c r="AI1675" s="327">
        <v>0.56</v>
      </c>
      <c r="AJ1675" s="147" t="s">
        <v>164</v>
      </c>
      <c r="AK1675" s="147" t="s">
        <v>128</v>
      </c>
      <c r="AL1675" s="147" t="s">
        <v>132</v>
      </c>
      <c r="AM1675" s="60"/>
      <c r="AN1675" s="144">
        <v>37.0</v>
      </c>
      <c r="AO1675" s="1475">
        <v>-1.2391</v>
      </c>
      <c r="AP1675" s="144" t="s">
        <v>1006</v>
      </c>
      <c r="AQ1675" s="60"/>
      <c r="AR1675" s="144">
        <v>0.00788</v>
      </c>
      <c r="AS1675" s="147" t="s">
        <v>164</v>
      </c>
      <c r="AT1675" s="147" t="s">
        <v>179</v>
      </c>
      <c r="AU1675" s="147" t="s">
        <v>132</v>
      </c>
      <c r="AV1675" s="60"/>
      <c r="AW1675" s="60" t="s">
        <v>134</v>
      </c>
      <c r="AY1675" s="60" t="s">
        <v>144</v>
      </c>
    </row>
    <row r="1676">
      <c r="A1676" s="60" t="s">
        <v>586</v>
      </c>
      <c r="B1676" s="41" t="s">
        <v>107</v>
      </c>
      <c r="C1676" s="41" t="s">
        <v>144</v>
      </c>
      <c r="E1676" s="60" t="s">
        <v>10556</v>
      </c>
      <c r="F1676" s="147" t="s">
        <v>10557</v>
      </c>
      <c r="G1676" s="147" t="s">
        <v>144</v>
      </c>
      <c r="H1676" s="140">
        <v>45687.0</v>
      </c>
      <c r="I1676" s="140">
        <v>45692.0</v>
      </c>
      <c r="J1676" s="412" t="s">
        <v>10558</v>
      </c>
      <c r="K1676" s="60"/>
      <c r="L1676" s="147" t="s">
        <v>10559</v>
      </c>
      <c r="M1676" s="147" t="s">
        <v>10560</v>
      </c>
      <c r="N1676" s="144">
        <v>8.0</v>
      </c>
      <c r="O1676" s="145" t="s">
        <v>10561</v>
      </c>
      <c r="P1676" s="48" t="str">
        <f t="array" ref="P1676">HYPERLINK(INDEX('File Links'!B:B, MATCH(O1676, 'File Links'!C:C, 0)))
</f>
        <v>https://drive.google.com/file/d/164yvRbDzBp4QTOt60ne0zLFnKfzz6qWW/view?usp=drivesdk</v>
      </c>
      <c r="Q1676" s="147" t="s">
        <v>6103</v>
      </c>
      <c r="R1676" s="147" t="s">
        <v>6104</v>
      </c>
      <c r="S1676" s="60"/>
      <c r="T1676" s="144">
        <v>1.0</v>
      </c>
      <c r="U1676" s="145" t="s">
        <v>6105</v>
      </c>
      <c r="V1676" s="147" t="s">
        <v>9044</v>
      </c>
      <c r="W1676" s="1455" t="str">
        <f> hyperlink(vlookup(lower(R1676),'File Links'!F:G, 2, FALSE), "LINK")</f>
        <v>LINK</v>
      </c>
      <c r="X1676" s="60"/>
      <c r="Y1676" s="147" t="s">
        <v>220</v>
      </c>
      <c r="Z1676" s="147" t="s">
        <v>10562</v>
      </c>
      <c r="AA1676" s="147" t="s">
        <v>10563</v>
      </c>
      <c r="AB1676" s="147" t="s">
        <v>10564</v>
      </c>
      <c r="AC1676" s="147" t="s">
        <v>10565</v>
      </c>
      <c r="AD1676" s="144">
        <v>3.0</v>
      </c>
      <c r="AE1676" s="144">
        <v>30.0</v>
      </c>
      <c r="AF1676" s="144" t="s">
        <v>10566</v>
      </c>
      <c r="AG1676" s="144" t="s">
        <v>162</v>
      </c>
      <c r="AH1676" s="144" t="s">
        <v>210</v>
      </c>
      <c r="AI1676" s="144">
        <v>0.001</v>
      </c>
      <c r="AJ1676" s="147" t="s">
        <v>127</v>
      </c>
      <c r="AK1676" s="147" t="s">
        <v>128</v>
      </c>
      <c r="AL1676" s="60" t="s">
        <v>129</v>
      </c>
      <c r="AM1676" s="60"/>
      <c r="AN1676" s="144">
        <v>52.0</v>
      </c>
      <c r="AO1676" s="144">
        <v>1.68033610083361</v>
      </c>
      <c r="AP1676" s="144" t="s">
        <v>166</v>
      </c>
      <c r="AQ1676" s="60"/>
      <c r="AR1676" s="144">
        <f>2.34043039062105*10^-7</f>
        <v>0.0000002340430391</v>
      </c>
      <c r="AS1676" s="147" t="s">
        <v>164</v>
      </c>
      <c r="AT1676" s="147" t="s">
        <v>128</v>
      </c>
      <c r="AU1676" s="60" t="s">
        <v>129</v>
      </c>
      <c r="AV1676" s="60"/>
      <c r="AW1676" s="60" t="s">
        <v>134</v>
      </c>
      <c r="AY1676" s="60" t="s">
        <v>144</v>
      </c>
    </row>
    <row r="1677">
      <c r="A1677" s="60" t="s">
        <v>106</v>
      </c>
      <c r="B1677" s="41" t="s">
        <v>107</v>
      </c>
      <c r="C1677" s="41" t="s">
        <v>243</v>
      </c>
      <c r="E1677" s="147" t="s">
        <v>10567</v>
      </c>
      <c r="F1677" s="147" t="s">
        <v>10568</v>
      </c>
      <c r="G1677" s="147" t="s">
        <v>244</v>
      </c>
      <c r="H1677" s="140">
        <v>45672.0</v>
      </c>
      <c r="I1677" s="140">
        <v>45692.0</v>
      </c>
      <c r="J1677" s="412" t="s">
        <v>10569</v>
      </c>
      <c r="K1677" s="60"/>
      <c r="L1677" s="147" t="s">
        <v>10570</v>
      </c>
      <c r="M1677" s="147" t="s">
        <v>10571</v>
      </c>
      <c r="N1677" s="60"/>
      <c r="O1677" s="145" t="str">
        <f> SUBSTITUTE(lower(M1677), "/", "--") &amp;  ".pdf"</f>
        <v>10.1016--j.obhdp.2010.10.001.pdf</v>
      </c>
      <c r="P1677" s="48" t="str">
        <f t="array" ref="P1677">HYPERLINK(INDEX('File Links'!B:B, MATCH(O1677, 'File Links'!C:C, 0)))
</f>
        <v>https://drive.google.com/file/d/1zCYZDaOwE-K33Jkam-tMneBjxjoNVHza/view?usp=drivesdk</v>
      </c>
      <c r="Q1677" s="147" t="s">
        <v>10572</v>
      </c>
      <c r="R1677" s="147" t="s">
        <v>10573</v>
      </c>
      <c r="S1677" s="60"/>
      <c r="T1677" s="60"/>
      <c r="U1677" s="145" t="s">
        <v>6105</v>
      </c>
      <c r="V1677" s="147" t="s">
        <v>6117</v>
      </c>
      <c r="W1677" s="1455" t="str">
        <f> hyperlink(vlookup(lower(R1677),'File Links'!E:F, 2, FALSE), "LINK")</f>
        <v>LINK</v>
      </c>
      <c r="X1677" s="60"/>
      <c r="Y1677" s="147" t="s">
        <v>220</v>
      </c>
      <c r="Z1677" s="60"/>
      <c r="AA1677" s="60"/>
      <c r="AB1677" s="60"/>
      <c r="AC1677" s="147" t="s">
        <v>165</v>
      </c>
      <c r="AD1677" s="147" t="s">
        <v>165</v>
      </c>
      <c r="AE1677" s="144">
        <v>127.0</v>
      </c>
      <c r="AF1677" s="147" t="s">
        <v>165</v>
      </c>
      <c r="AG1677" s="60"/>
      <c r="AH1677" s="147" t="s">
        <v>165</v>
      </c>
      <c r="AI1677" s="147" t="s">
        <v>165</v>
      </c>
      <c r="AJ1677" s="60"/>
      <c r="AK1677" s="147" t="s">
        <v>179</v>
      </c>
      <c r="AL1677" s="147" t="s">
        <v>821</v>
      </c>
      <c r="AM1677" s="147" t="s">
        <v>129</v>
      </c>
      <c r="AN1677" s="144">
        <v>36.0</v>
      </c>
      <c r="AO1677" s="147" t="s">
        <v>165</v>
      </c>
      <c r="AP1677" s="60"/>
      <c r="AQ1677" s="60"/>
      <c r="AR1677" s="147" t="s">
        <v>165</v>
      </c>
      <c r="AS1677" s="60"/>
      <c r="AT1677" s="147" t="s">
        <v>179</v>
      </c>
      <c r="AU1677" s="147" t="s">
        <v>821</v>
      </c>
      <c r="AV1677" s="60"/>
      <c r="AW1677" s="147" t="s">
        <v>134</v>
      </c>
      <c r="AY1677" s="60" t="s">
        <v>144</v>
      </c>
    </row>
    <row r="1678">
      <c r="A1678" s="60" t="s">
        <v>586</v>
      </c>
      <c r="B1678" s="41" t="s">
        <v>107</v>
      </c>
      <c r="C1678" s="41" t="s">
        <v>144</v>
      </c>
      <c r="E1678" s="60" t="s">
        <v>10568</v>
      </c>
      <c r="F1678" s="147" t="s">
        <v>10567</v>
      </c>
      <c r="G1678" s="147" t="s">
        <v>144</v>
      </c>
      <c r="H1678" s="140">
        <v>45687.0</v>
      </c>
      <c r="I1678" s="140">
        <v>45692.0</v>
      </c>
      <c r="J1678" s="454" t="s">
        <v>10574</v>
      </c>
      <c r="K1678" s="60"/>
      <c r="L1678" s="147" t="s">
        <v>10570</v>
      </c>
      <c r="M1678" s="60"/>
      <c r="N1678" s="144">
        <v>2.0</v>
      </c>
      <c r="O1678" s="145" t="s">
        <v>351</v>
      </c>
      <c r="P1678" s="544" t="str">
        <f t="array" ref="P1678">HYPERLINK(INDEX('File Links'!B:B, MATCH(O1678, 'File Links'!C:C, 0)))
</f>
        <v>#N/A</v>
      </c>
      <c r="Q1678" s="147" t="s">
        <v>6103</v>
      </c>
      <c r="R1678" s="147" t="s">
        <v>6104</v>
      </c>
      <c r="S1678" s="60"/>
      <c r="T1678" s="144">
        <v>1.0</v>
      </c>
      <c r="U1678" s="145" t="s">
        <v>6105</v>
      </c>
      <c r="V1678" s="147" t="s">
        <v>10034</v>
      </c>
      <c r="W1678" s="1455" t="str">
        <f> hyperlink(vlookup(lower(R1678),'File Links'!F:G, 2, FALSE), "LINK")</f>
        <v>LINK</v>
      </c>
      <c r="X1678" s="60"/>
      <c r="Y1678" s="147" t="s">
        <v>960</v>
      </c>
      <c r="Z1678" s="147" t="s">
        <v>10575</v>
      </c>
      <c r="AA1678" s="147" t="s">
        <v>10576</v>
      </c>
      <c r="AB1678" s="147" t="s">
        <v>10577</v>
      </c>
      <c r="AC1678" s="147" t="s">
        <v>10578</v>
      </c>
      <c r="AD1678" s="144">
        <v>5.0</v>
      </c>
      <c r="AE1678" s="144">
        <v>127.0</v>
      </c>
      <c r="AF1678" s="144" t="s">
        <v>10579</v>
      </c>
      <c r="AG1678" s="144" t="s">
        <v>162</v>
      </c>
      <c r="AH1678" s="144" t="s">
        <v>892</v>
      </c>
      <c r="AI1678" s="144">
        <v>0.02</v>
      </c>
      <c r="AJ1678" s="147" t="s">
        <v>164</v>
      </c>
      <c r="AK1678" s="147" t="s">
        <v>179</v>
      </c>
      <c r="AL1678" s="147" t="s">
        <v>821</v>
      </c>
      <c r="AM1678" s="60"/>
      <c r="AN1678" s="144">
        <v>36.0</v>
      </c>
      <c r="AO1678" s="144" t="s">
        <v>10580</v>
      </c>
      <c r="AP1678" s="144" t="s">
        <v>162</v>
      </c>
      <c r="AQ1678" s="144" t="s">
        <v>131</v>
      </c>
      <c r="AR1678" s="144">
        <v>1.0</v>
      </c>
      <c r="AS1678" s="147" t="s">
        <v>164</v>
      </c>
      <c r="AT1678" s="147" t="s">
        <v>179</v>
      </c>
      <c r="AU1678" s="147" t="s">
        <v>821</v>
      </c>
      <c r="AV1678" s="60"/>
      <c r="AW1678" s="60" t="s">
        <v>142</v>
      </c>
      <c r="AY1678" s="60" t="s">
        <v>144</v>
      </c>
    </row>
    <row r="1679">
      <c r="A1679" s="60" t="s">
        <v>106</v>
      </c>
      <c r="B1679" s="41" t="s">
        <v>107</v>
      </c>
      <c r="C1679" s="41" t="s">
        <v>243</v>
      </c>
      <c r="E1679" s="147" t="s">
        <v>10581</v>
      </c>
      <c r="F1679" s="147" t="s">
        <v>10582</v>
      </c>
      <c r="G1679" s="147" t="s">
        <v>244</v>
      </c>
      <c r="H1679" s="140">
        <v>45673.0</v>
      </c>
      <c r="I1679" s="140">
        <v>45692.0</v>
      </c>
      <c r="J1679" s="60"/>
      <c r="K1679" s="60" t="s">
        <v>9078</v>
      </c>
      <c r="L1679" s="147" t="s">
        <v>10583</v>
      </c>
      <c r="M1679" s="147" t="s">
        <v>10584</v>
      </c>
      <c r="N1679" s="60"/>
      <c r="O1679" s="145" t="str">
        <f> SUBSTITUTE(lower(M1679), "/", "--") &amp;  ".pdf"</f>
        <v>10.1177--0956797615585002.pdf</v>
      </c>
      <c r="P1679" s="48" t="str">
        <f t="array" ref="P1679">HYPERLINK(INDEX('File Links'!B:B, MATCH(O1679, 'File Links'!C:C, 0)))
</f>
        <v>https://drive.google.com/file/d/1hlj_PiSmruASavYOS4OPpCrR4tKfol15/view?usp=drivesdk</v>
      </c>
      <c r="Q1679" s="147" t="s">
        <v>10585</v>
      </c>
      <c r="R1679" s="147" t="s">
        <v>10586</v>
      </c>
      <c r="S1679" s="60"/>
      <c r="T1679" s="60"/>
      <c r="U1679" s="145" t="s">
        <v>6105</v>
      </c>
      <c r="V1679" s="147" t="s">
        <v>318</v>
      </c>
      <c r="W1679" s="1455" t="str">
        <f> hyperlink(vlookup(lower(R1679),'File Links'!E:F, 2, FALSE), "LINK")</f>
        <v>LINK</v>
      </c>
      <c r="X1679" s="60"/>
      <c r="Y1679" s="147" t="s">
        <v>139</v>
      </c>
      <c r="Z1679" s="60"/>
      <c r="AA1679" s="147" t="s">
        <v>9842</v>
      </c>
      <c r="AB1679" s="60"/>
      <c r="AC1679" s="147" t="s">
        <v>10587</v>
      </c>
      <c r="AD1679" s="1265">
        <v>1272.0</v>
      </c>
      <c r="AE1679" s="144">
        <v>12.0</v>
      </c>
      <c r="AF1679" s="144">
        <v>32.04</v>
      </c>
      <c r="AG1679" s="147" t="s">
        <v>1051</v>
      </c>
      <c r="AH1679" s="1265">
        <v>1274.0</v>
      </c>
      <c r="AI1679" s="144">
        <v>0.001</v>
      </c>
      <c r="AJ1679" s="147" t="s">
        <v>127</v>
      </c>
      <c r="AK1679" s="147" t="s">
        <v>179</v>
      </c>
      <c r="AL1679" s="147" t="s">
        <v>132</v>
      </c>
      <c r="AM1679" s="147" t="s">
        <v>129</v>
      </c>
      <c r="AN1679" s="144">
        <v>30.0</v>
      </c>
      <c r="AO1679" s="1486">
        <v>0.374440967926238</v>
      </c>
      <c r="AP1679" s="147" t="s">
        <v>166</v>
      </c>
      <c r="AQ1679" s="60"/>
      <c r="AR1679" s="1486">
        <v>0.067319915476862</v>
      </c>
      <c r="AS1679" s="147" t="s">
        <v>164</v>
      </c>
      <c r="AT1679" s="147" t="s">
        <v>179</v>
      </c>
      <c r="AU1679" s="147" t="s">
        <v>132</v>
      </c>
      <c r="AV1679" s="60"/>
      <c r="AW1679" s="147" t="s">
        <v>134</v>
      </c>
      <c r="AY1679" s="60" t="s">
        <v>144</v>
      </c>
    </row>
    <row r="1680">
      <c r="A1680" s="115" t="s">
        <v>5350</v>
      </c>
      <c r="B1680" s="41" t="s">
        <v>107</v>
      </c>
      <c r="C1680" s="41" t="s">
        <v>144</v>
      </c>
      <c r="E1680" s="60" t="s">
        <v>10582</v>
      </c>
      <c r="F1680" s="147" t="s">
        <v>10581</v>
      </c>
      <c r="G1680" s="147" t="s">
        <v>144</v>
      </c>
      <c r="H1680" s="140">
        <v>45687.0</v>
      </c>
      <c r="I1680" s="140">
        <v>45692.0</v>
      </c>
      <c r="J1680" s="454" t="s">
        <v>10588</v>
      </c>
      <c r="K1680" s="60"/>
      <c r="L1680" s="147" t="s">
        <v>10583</v>
      </c>
      <c r="M1680" s="147" t="s">
        <v>10584</v>
      </c>
      <c r="N1680" s="144" t="s">
        <v>3771</v>
      </c>
      <c r="O1680" s="145" t="s">
        <v>10589</v>
      </c>
      <c r="P1680" s="48" t="str">
        <f t="array" ref="P1680">HYPERLINK(INDEX('File Links'!B:B, MATCH(O1680, 'File Links'!C:C, 0)))
</f>
        <v>https://drive.google.com/file/d/1hlj_PiSmruASavYOS4OPpCrR4tKfol15/view?usp=drivesdk</v>
      </c>
      <c r="Q1680" s="147" t="s">
        <v>6103</v>
      </c>
      <c r="R1680" s="147" t="s">
        <v>6104</v>
      </c>
      <c r="S1680" s="60"/>
      <c r="T1680" s="144">
        <v>1.0</v>
      </c>
      <c r="U1680" s="145" t="s">
        <v>6105</v>
      </c>
      <c r="V1680" s="147" t="s">
        <v>9109</v>
      </c>
      <c r="W1680" s="1455" t="str">
        <f> hyperlink(vlookup(lower(R1680),'File Links'!F:G, 2, FALSE), "LINK")</f>
        <v>LINK</v>
      </c>
      <c r="X1680" s="60"/>
      <c r="Y1680" s="147" t="s">
        <v>139</v>
      </c>
      <c r="Z1680" s="147" t="s">
        <v>10590</v>
      </c>
      <c r="AA1680" s="147" t="s">
        <v>10591</v>
      </c>
      <c r="AB1680" s="147" t="s">
        <v>10592</v>
      </c>
      <c r="AC1680" s="147" t="s">
        <v>10593</v>
      </c>
      <c r="AD1680" s="144">
        <v>4.0</v>
      </c>
      <c r="AE1680" s="144">
        <v>12.0</v>
      </c>
      <c r="AF1680" s="144">
        <v>0.74</v>
      </c>
      <c r="AG1680" s="144" t="s">
        <v>1785</v>
      </c>
      <c r="AH1680" s="144" t="s">
        <v>861</v>
      </c>
      <c r="AI1680" s="144">
        <v>0.001</v>
      </c>
      <c r="AJ1680" s="147" t="s">
        <v>127</v>
      </c>
      <c r="AK1680" s="147" t="s">
        <v>179</v>
      </c>
      <c r="AL1680" s="147" t="s">
        <v>132</v>
      </c>
      <c r="AM1680" s="60"/>
      <c r="AN1680" s="144">
        <v>30.0</v>
      </c>
      <c r="AO1680" s="144" t="s">
        <v>10594</v>
      </c>
      <c r="AP1680" s="144" t="s">
        <v>162</v>
      </c>
      <c r="AQ1680" s="144" t="s">
        <v>131</v>
      </c>
      <c r="AR1680" s="144">
        <v>0.0673199</v>
      </c>
      <c r="AS1680" s="147" t="s">
        <v>164</v>
      </c>
      <c r="AT1680" s="147" t="s">
        <v>179</v>
      </c>
      <c r="AU1680" s="147" t="s">
        <v>132</v>
      </c>
      <c r="AV1680" s="410" t="s">
        <v>10595</v>
      </c>
      <c r="AW1680" s="60" t="s">
        <v>142</v>
      </c>
      <c r="AY1680" s="60" t="s">
        <v>144</v>
      </c>
    </row>
    <row r="1681">
      <c r="A1681" s="115" t="s">
        <v>5350</v>
      </c>
      <c r="B1681" s="41" t="s">
        <v>107</v>
      </c>
      <c r="C1681" s="41" t="s">
        <v>144</v>
      </c>
      <c r="E1681" s="60" t="s">
        <v>10582</v>
      </c>
      <c r="F1681" s="147" t="s">
        <v>10596</v>
      </c>
      <c r="G1681" s="147" t="s">
        <v>144</v>
      </c>
      <c r="H1681" s="140">
        <v>45687.0</v>
      </c>
      <c r="I1681" s="140">
        <v>45692.0</v>
      </c>
      <c r="J1681" s="454" t="s">
        <v>10597</v>
      </c>
      <c r="K1681" s="60"/>
      <c r="L1681" s="147" t="s">
        <v>10583</v>
      </c>
      <c r="M1681" s="147" t="s">
        <v>10584</v>
      </c>
      <c r="N1681" s="144" t="s">
        <v>3771</v>
      </c>
      <c r="O1681" s="145" t="s">
        <v>10589</v>
      </c>
      <c r="P1681" s="48" t="str">
        <f t="array" ref="P1681">HYPERLINK(INDEX('File Links'!B:B, MATCH(O1681, 'File Links'!C:C, 0)))
</f>
        <v>https://drive.google.com/file/d/1hlj_PiSmruASavYOS4OPpCrR4tKfol15/view?usp=drivesdk</v>
      </c>
      <c r="Q1681" s="147" t="s">
        <v>6103</v>
      </c>
      <c r="R1681" s="147" t="s">
        <v>6104</v>
      </c>
      <c r="S1681" s="60"/>
      <c r="T1681" s="144">
        <v>1.0</v>
      </c>
      <c r="U1681" s="145" t="s">
        <v>6105</v>
      </c>
      <c r="V1681" s="147" t="s">
        <v>9109</v>
      </c>
      <c r="W1681" s="1455" t="str">
        <f> hyperlink(vlookup(lower(R1681),'File Links'!F:G, 2, FALSE), "LINK")</f>
        <v>LINK</v>
      </c>
      <c r="X1681" s="60"/>
      <c r="Y1681" s="147" t="s">
        <v>139</v>
      </c>
      <c r="Z1681" s="147" t="s">
        <v>10590</v>
      </c>
      <c r="AA1681" s="147" t="s">
        <v>10591</v>
      </c>
      <c r="AB1681" s="147" t="s">
        <v>10598</v>
      </c>
      <c r="AC1681" s="147" t="s">
        <v>10599</v>
      </c>
      <c r="AD1681" s="144">
        <v>4.0</v>
      </c>
      <c r="AE1681" s="144">
        <v>12.0</v>
      </c>
      <c r="AF1681" s="327">
        <v>0.64</v>
      </c>
      <c r="AG1681" s="144" t="s">
        <v>1785</v>
      </c>
      <c r="AH1681" s="144" t="s">
        <v>861</v>
      </c>
      <c r="AI1681" s="144">
        <v>0.001</v>
      </c>
      <c r="AJ1681" s="147" t="s">
        <v>164</v>
      </c>
      <c r="AK1681" s="147" t="s">
        <v>179</v>
      </c>
      <c r="AL1681" s="147" t="s">
        <v>132</v>
      </c>
      <c r="AM1681" s="60"/>
      <c r="AN1681" s="144">
        <v>30.0</v>
      </c>
      <c r="AO1681" s="327" t="s">
        <v>10600</v>
      </c>
      <c r="AP1681" s="144" t="s">
        <v>162</v>
      </c>
      <c r="AQ1681" s="327" t="s">
        <v>125</v>
      </c>
      <c r="AR1681" s="144">
        <v>0.0871952</v>
      </c>
      <c r="AS1681" s="147" t="s">
        <v>164</v>
      </c>
      <c r="AT1681" s="147" t="s">
        <v>179</v>
      </c>
      <c r="AU1681" s="147" t="s">
        <v>132</v>
      </c>
      <c r="AV1681" s="410" t="s">
        <v>10595</v>
      </c>
      <c r="AW1681" s="60" t="s">
        <v>142</v>
      </c>
      <c r="AY1681" s="60" t="s">
        <v>144</v>
      </c>
    </row>
    <row r="1682">
      <c r="A1682" s="115" t="s">
        <v>5350</v>
      </c>
      <c r="B1682" s="41" t="s">
        <v>107</v>
      </c>
      <c r="C1682" s="41" t="s">
        <v>243</v>
      </c>
      <c r="E1682" s="147" t="s">
        <v>10601</v>
      </c>
      <c r="F1682" s="147" t="s">
        <v>10602</v>
      </c>
      <c r="G1682" s="147" t="s">
        <v>244</v>
      </c>
      <c r="H1682" s="140">
        <v>45673.0</v>
      </c>
      <c r="I1682" s="140">
        <v>45692.0</v>
      </c>
      <c r="J1682" s="412" t="s">
        <v>10603</v>
      </c>
      <c r="K1682" s="60"/>
      <c r="L1682" s="147" t="s">
        <v>10604</v>
      </c>
      <c r="M1682" s="147" t="s">
        <v>10605</v>
      </c>
      <c r="N1682" s="60"/>
      <c r="O1682" s="145" t="str">
        <f> SUBSTITUTE(lower(M1682), "/", "--") &amp;  ".pdf"</f>
        <v>10.1177--0956797618779061.pdf</v>
      </c>
      <c r="P1682" s="48" t="str">
        <f t="array" ref="P1682">HYPERLINK(INDEX('File Links'!B:B, MATCH(O1682, 'File Links'!C:C, 0)))
</f>
        <v>https://drive.google.com/file/d/1TVEae0arGcjXygxgVD8laFAM0LcnW7EM/view?usp=drivesdk</v>
      </c>
      <c r="Q1682" s="147" t="s">
        <v>10606</v>
      </c>
      <c r="R1682" s="147" t="s">
        <v>10607</v>
      </c>
      <c r="S1682" s="60"/>
      <c r="T1682" s="60"/>
      <c r="U1682" s="145" t="s">
        <v>6105</v>
      </c>
      <c r="V1682" s="147" t="s">
        <v>6291</v>
      </c>
      <c r="W1682" s="1455" t="str">
        <f> hyperlink(vlookup(lower(R1682),'File Links'!E:F, 2, FALSE), "LINK")</f>
        <v>LINK</v>
      </c>
      <c r="X1682" s="60"/>
      <c r="Y1682" s="147" t="s">
        <v>220</v>
      </c>
      <c r="Z1682" s="60"/>
      <c r="AA1682" s="147" t="s">
        <v>9230</v>
      </c>
      <c r="AB1682" s="60"/>
      <c r="AC1682" s="147" t="s">
        <v>10608</v>
      </c>
      <c r="AD1682" s="144">
        <v>5.0</v>
      </c>
      <c r="AE1682" s="144">
        <v>32.0</v>
      </c>
      <c r="AF1682" s="144">
        <v>1.4</v>
      </c>
      <c r="AG1682" s="147" t="s">
        <v>166</v>
      </c>
      <c r="AH1682" s="147" t="s">
        <v>894</v>
      </c>
      <c r="AI1682" s="144">
        <v>0.001</v>
      </c>
      <c r="AJ1682" s="147" t="s">
        <v>127</v>
      </c>
      <c r="AK1682" s="147" t="s">
        <v>179</v>
      </c>
      <c r="AL1682" s="147" t="s">
        <v>129</v>
      </c>
      <c r="AM1682" s="303" t="s">
        <v>10609</v>
      </c>
      <c r="AN1682" s="144">
        <v>17.0</v>
      </c>
      <c r="AO1682" s="1486">
        <v>0.64</v>
      </c>
      <c r="AP1682" s="147" t="s">
        <v>166</v>
      </c>
      <c r="AQ1682" s="60"/>
      <c r="AR1682" s="1488">
        <f>3.2*10^-4</f>
        <v>0.00032</v>
      </c>
      <c r="AS1682" s="147" t="s">
        <v>164</v>
      </c>
      <c r="AT1682" s="147" t="s">
        <v>179</v>
      </c>
      <c r="AU1682" s="1494" t="s">
        <v>129</v>
      </c>
      <c r="AV1682" s="60"/>
      <c r="AW1682" s="147" t="s">
        <v>134</v>
      </c>
      <c r="AY1682" s="60" t="s">
        <v>144</v>
      </c>
    </row>
    <row r="1683">
      <c r="A1683" s="60" t="s">
        <v>106</v>
      </c>
      <c r="B1683" s="41" t="s">
        <v>107</v>
      </c>
      <c r="C1683" s="41" t="s">
        <v>144</v>
      </c>
      <c r="E1683" s="60" t="s">
        <v>10602</v>
      </c>
      <c r="F1683" s="147" t="s">
        <v>10601</v>
      </c>
      <c r="G1683" s="147" t="s">
        <v>144</v>
      </c>
      <c r="H1683" s="140">
        <v>45687.0</v>
      </c>
      <c r="I1683" s="140">
        <v>45692.0</v>
      </c>
      <c r="J1683" s="412" t="s">
        <v>10230</v>
      </c>
      <c r="K1683" s="60"/>
      <c r="L1683" s="147" t="s">
        <v>10604</v>
      </c>
      <c r="M1683" s="147" t="s">
        <v>10605</v>
      </c>
      <c r="N1683" s="144">
        <v>2.0</v>
      </c>
      <c r="O1683" s="145" t="s">
        <v>10610</v>
      </c>
      <c r="P1683" s="48" t="str">
        <f t="array" ref="P1683">HYPERLINK(INDEX('File Links'!B:B, MATCH(O1683, 'File Links'!C:C, 0)))
</f>
        <v>https://drive.google.com/file/d/1TVEae0arGcjXygxgVD8laFAM0LcnW7EM/view?usp=drivesdk</v>
      </c>
      <c r="Q1683" s="147" t="s">
        <v>6103</v>
      </c>
      <c r="R1683" s="147" t="s">
        <v>6104</v>
      </c>
      <c r="S1683" s="60"/>
      <c r="T1683" s="144">
        <v>1.0</v>
      </c>
      <c r="U1683" s="145" t="s">
        <v>6105</v>
      </c>
      <c r="V1683" s="147" t="s">
        <v>7707</v>
      </c>
      <c r="W1683" s="1455" t="str">
        <f> hyperlink(vlookup(lower(R1683),'File Links'!F:G, 2, FALSE), "LINK")</f>
        <v>LINK</v>
      </c>
      <c r="X1683" s="60"/>
      <c r="Y1683" s="147" t="s">
        <v>220</v>
      </c>
      <c r="Z1683" s="147" t="s">
        <v>10611</v>
      </c>
      <c r="AA1683" s="147" t="s">
        <v>10612</v>
      </c>
      <c r="AB1683" s="147" t="s">
        <v>10613</v>
      </c>
      <c r="AC1683" s="147" t="s">
        <v>10614</v>
      </c>
      <c r="AD1683" s="144">
        <v>5.0</v>
      </c>
      <c r="AE1683" s="1459">
        <v>32.0</v>
      </c>
      <c r="AF1683" s="144">
        <v>1.72</v>
      </c>
      <c r="AG1683" s="144" t="s">
        <v>1006</v>
      </c>
      <c r="AH1683" s="144" t="s">
        <v>892</v>
      </c>
      <c r="AI1683" s="60"/>
      <c r="AJ1683" s="60"/>
      <c r="AK1683" s="147" t="s">
        <v>179</v>
      </c>
      <c r="AL1683" s="147" t="s">
        <v>129</v>
      </c>
      <c r="AM1683" s="453" t="s">
        <v>10609</v>
      </c>
      <c r="AN1683" s="144">
        <v>17.0</v>
      </c>
      <c r="AO1683" s="144">
        <v>0.64</v>
      </c>
      <c r="AP1683" s="144" t="s">
        <v>166</v>
      </c>
      <c r="AQ1683" s="144" t="s">
        <v>165</v>
      </c>
      <c r="AR1683" s="144">
        <f>3.25485366864697*10^-4</f>
        <v>0.0003254853669</v>
      </c>
      <c r="AS1683" s="147" t="s">
        <v>164</v>
      </c>
      <c r="AT1683" s="147" t="s">
        <v>179</v>
      </c>
      <c r="AU1683" s="1494" t="s">
        <v>129</v>
      </c>
      <c r="AV1683" s="60"/>
      <c r="AW1683" s="60" t="s">
        <v>134</v>
      </c>
      <c r="AY1683" s="60" t="s">
        <v>144</v>
      </c>
    </row>
    <row r="1684">
      <c r="A1684" s="60" t="s">
        <v>106</v>
      </c>
      <c r="B1684" s="41" t="s">
        <v>107</v>
      </c>
      <c r="C1684" s="41" t="s">
        <v>243</v>
      </c>
      <c r="E1684" s="147" t="s">
        <v>10615</v>
      </c>
      <c r="F1684" s="147" t="s">
        <v>10616</v>
      </c>
      <c r="G1684" s="147" t="s">
        <v>244</v>
      </c>
      <c r="H1684" s="140">
        <v>45673.0</v>
      </c>
      <c r="I1684" s="140">
        <v>45692.0</v>
      </c>
      <c r="J1684" s="60"/>
      <c r="K1684" s="60" t="s">
        <v>9078</v>
      </c>
      <c r="L1684" s="147" t="s">
        <v>10617</v>
      </c>
      <c r="M1684" s="147" t="s">
        <v>10618</v>
      </c>
      <c r="N1684" s="60"/>
      <c r="O1684" s="145" t="str">
        <f> SUBSTITUTE(lower(M1684), "/", "--") &amp;  ".pdf"</f>
        <v>10.1111--1467-9280.02436.pdf</v>
      </c>
      <c r="P1684" s="48" t="str">
        <f t="array" ref="P1684">HYPERLINK(INDEX('File Links'!B:B, MATCH(O1684, 'File Links'!C:C, 0)))
</f>
        <v>https://drive.google.com/file/d/1KeSwecAaGUPly_0Khma5VYzCJyRIWBpt/view?usp=drivesdk</v>
      </c>
      <c r="Q1684" s="147" t="s">
        <v>10619</v>
      </c>
      <c r="R1684" s="147" t="s">
        <v>10620</v>
      </c>
      <c r="S1684" s="60"/>
      <c r="T1684" s="60"/>
      <c r="U1684" s="145" t="s">
        <v>6105</v>
      </c>
      <c r="V1684" s="147" t="s">
        <v>318</v>
      </c>
      <c r="W1684" s="1455" t="str">
        <f> hyperlink(vlookup(lower(R1684),'File Links'!E:F, 2, FALSE), "LINK")</f>
        <v>LINK</v>
      </c>
      <c r="X1684" s="60"/>
      <c r="Y1684" s="147" t="s">
        <v>139</v>
      </c>
      <c r="Z1684" s="60"/>
      <c r="AA1684" s="147" t="s">
        <v>6763</v>
      </c>
      <c r="AB1684" s="60"/>
      <c r="AC1684" s="147" t="s">
        <v>10621</v>
      </c>
      <c r="AD1684" s="1265">
        <v>227.0</v>
      </c>
      <c r="AE1684" s="144">
        <v>18.0</v>
      </c>
      <c r="AF1684" s="1486">
        <v>8.01</v>
      </c>
      <c r="AG1684" s="147" t="s">
        <v>1051</v>
      </c>
      <c r="AH1684" s="1268" t="s">
        <v>10622</v>
      </c>
      <c r="AI1684" s="144">
        <v>0.01</v>
      </c>
      <c r="AJ1684" s="147" t="s">
        <v>1313</v>
      </c>
      <c r="AK1684" s="147" t="s">
        <v>128</v>
      </c>
      <c r="AL1684" s="147" t="s">
        <v>132</v>
      </c>
      <c r="AM1684" s="147" t="s">
        <v>129</v>
      </c>
      <c r="AN1684" s="144">
        <v>10.0</v>
      </c>
      <c r="AO1684" s="1486">
        <v>-0.478539444560215</v>
      </c>
      <c r="AP1684" s="147" t="s">
        <v>166</v>
      </c>
      <c r="AQ1684" s="60"/>
      <c r="AR1684" s="1486">
        <v>0.184939813686217</v>
      </c>
      <c r="AS1684" s="147" t="s">
        <v>164</v>
      </c>
      <c r="AT1684" s="147" t="s">
        <v>179</v>
      </c>
      <c r="AU1684" s="147" t="s">
        <v>132</v>
      </c>
      <c r="AV1684" s="60"/>
      <c r="AW1684" s="147" t="s">
        <v>134</v>
      </c>
      <c r="AY1684" s="60" t="s">
        <v>144</v>
      </c>
    </row>
    <row r="1685">
      <c r="A1685" s="115" t="s">
        <v>5350</v>
      </c>
      <c r="B1685" s="41" t="s">
        <v>107</v>
      </c>
      <c r="C1685" s="41" t="s">
        <v>144</v>
      </c>
      <c r="E1685" s="60" t="s">
        <v>10616</v>
      </c>
      <c r="F1685" s="147" t="s">
        <v>10615</v>
      </c>
      <c r="G1685" s="147" t="s">
        <v>144</v>
      </c>
      <c r="H1685" s="140">
        <v>45687.0</v>
      </c>
      <c r="I1685" s="140">
        <v>45692.0</v>
      </c>
      <c r="J1685" s="454" t="s">
        <v>10623</v>
      </c>
      <c r="K1685" s="60"/>
      <c r="L1685" s="147" t="s">
        <v>10617</v>
      </c>
      <c r="M1685" s="147" t="s">
        <v>10618</v>
      </c>
      <c r="N1685" s="144">
        <v>1.0</v>
      </c>
      <c r="O1685" s="145" t="s">
        <v>10624</v>
      </c>
      <c r="P1685" s="48" t="str">
        <f t="array" ref="P1685">HYPERLINK(INDEX('File Links'!B:B, MATCH(O1685, 'File Links'!C:C, 0)))
</f>
        <v>https://drive.google.com/file/d/1KeSwecAaGUPly_0Khma5VYzCJyRIWBpt/view?usp=drivesdk</v>
      </c>
      <c r="Q1685" s="147" t="s">
        <v>6103</v>
      </c>
      <c r="R1685" s="147" t="s">
        <v>6104</v>
      </c>
      <c r="S1685" s="60"/>
      <c r="T1685" s="144">
        <v>1.0</v>
      </c>
      <c r="U1685" s="145" t="s">
        <v>6105</v>
      </c>
      <c r="V1685" s="147" t="s">
        <v>10034</v>
      </c>
      <c r="W1685" s="1455" t="str">
        <f> hyperlink(vlookup(lower(R1685),'File Links'!F:G, 2, FALSE), "LINK")</f>
        <v>LINK</v>
      </c>
      <c r="X1685" s="60"/>
      <c r="Y1685" s="147" t="s">
        <v>139</v>
      </c>
      <c r="Z1685" s="147" t="s">
        <v>7579</v>
      </c>
      <c r="AA1685" s="147" t="s">
        <v>10625</v>
      </c>
      <c r="AB1685" s="147" t="s">
        <v>10626</v>
      </c>
      <c r="AC1685" s="147" t="s">
        <v>10627</v>
      </c>
      <c r="AD1685" s="144">
        <v>3.0</v>
      </c>
      <c r="AE1685" s="144">
        <v>18.0</v>
      </c>
      <c r="AF1685" s="144">
        <v>0.6864229531</v>
      </c>
      <c r="AG1685" s="144" t="s">
        <v>166</v>
      </c>
      <c r="AH1685" s="144" t="s">
        <v>210</v>
      </c>
      <c r="AI1685" s="144">
        <v>0.01</v>
      </c>
      <c r="AJ1685" s="147" t="s">
        <v>1313</v>
      </c>
      <c r="AK1685" s="147" t="s">
        <v>128</v>
      </c>
      <c r="AL1685" s="147" t="s">
        <v>132</v>
      </c>
      <c r="AM1685" s="60"/>
      <c r="AN1685" s="144">
        <v>10.0</v>
      </c>
      <c r="AO1685" s="144">
        <v>-0.4785394446</v>
      </c>
      <c r="AP1685" s="144" t="s">
        <v>166</v>
      </c>
      <c r="AQ1685" s="144" t="s">
        <v>432</v>
      </c>
      <c r="AR1685" s="144">
        <f>0.0185</f>
        <v>0.0185</v>
      </c>
      <c r="AS1685" s="147" t="s">
        <v>164</v>
      </c>
      <c r="AT1685" s="147" t="s">
        <v>179</v>
      </c>
      <c r="AU1685" s="147" t="s">
        <v>132</v>
      </c>
      <c r="AV1685" s="60"/>
      <c r="AW1685" s="60" t="s">
        <v>134</v>
      </c>
      <c r="AY1685" s="60" t="s">
        <v>144</v>
      </c>
    </row>
    <row r="1686">
      <c r="A1686" s="60" t="s">
        <v>586</v>
      </c>
      <c r="B1686" s="41" t="s">
        <v>107</v>
      </c>
      <c r="C1686" s="41" t="s">
        <v>243</v>
      </c>
      <c r="E1686" s="147" t="s">
        <v>10628</v>
      </c>
      <c r="F1686" s="147" t="s">
        <v>10629</v>
      </c>
      <c r="G1686" s="147" t="s">
        <v>244</v>
      </c>
      <c r="H1686" s="140">
        <v>45673.0</v>
      </c>
      <c r="I1686" s="140">
        <v>45692.0</v>
      </c>
      <c r="J1686" s="412" t="s">
        <v>10630</v>
      </c>
      <c r="K1686" s="60" t="s">
        <v>10631</v>
      </c>
      <c r="L1686" s="147" t="s">
        <v>10632</v>
      </c>
      <c r="M1686" s="147" t="s">
        <v>10633</v>
      </c>
      <c r="N1686" s="60"/>
      <c r="O1686" s="145" t="str">
        <f> SUBSTITUTE(lower(M1686), "/", "--") &amp;  ".pdf"</f>
        <v>10.1177--0956797619856844.pdf</v>
      </c>
      <c r="P1686" s="48" t="str">
        <f t="array" ref="P1686">HYPERLINK(INDEX('File Links'!B:B, MATCH(O1686, 'File Links'!C:C, 0)))
</f>
        <v>https://drive.google.com/file/d/1QWFGg5y_FwCsYU4iJVkw7s0HZoH7av3y/view?usp=drivesdk</v>
      </c>
      <c r="Q1686" s="147" t="s">
        <v>10634</v>
      </c>
      <c r="R1686" s="147" t="s">
        <v>10635</v>
      </c>
      <c r="S1686" s="60"/>
      <c r="T1686" s="60"/>
      <c r="U1686" s="145" t="s">
        <v>6105</v>
      </c>
      <c r="V1686" s="147" t="s">
        <v>6291</v>
      </c>
      <c r="W1686" s="1455" t="str">
        <f> hyperlink(vlookup(lower(R1686),'File Links'!E:F, 2, FALSE), "LINK")</f>
        <v>LINK</v>
      </c>
      <c r="X1686" s="60"/>
      <c r="Y1686" s="147" t="s">
        <v>139</v>
      </c>
      <c r="Z1686" s="1460" t="s">
        <v>10636</v>
      </c>
      <c r="AA1686" s="1354" t="s">
        <v>10637</v>
      </c>
      <c r="AB1686" s="1460" t="s">
        <v>10638</v>
      </c>
      <c r="AC1686" s="147" t="s">
        <v>10639</v>
      </c>
      <c r="AD1686" s="144">
        <v>8.0</v>
      </c>
      <c r="AE1686" s="144">
        <v>96.0</v>
      </c>
      <c r="AF1686" s="144">
        <v>0.5</v>
      </c>
      <c r="AG1686" s="147" t="s">
        <v>166</v>
      </c>
      <c r="AH1686" s="147" t="s">
        <v>610</v>
      </c>
      <c r="AI1686" s="144">
        <v>0.019</v>
      </c>
      <c r="AJ1686" s="147" t="s">
        <v>164</v>
      </c>
      <c r="AK1686" s="147" t="s">
        <v>179</v>
      </c>
      <c r="AL1686" s="147" t="s">
        <v>129</v>
      </c>
      <c r="AM1686" s="303" t="s">
        <v>10640</v>
      </c>
      <c r="AN1686" s="144">
        <v>160.0</v>
      </c>
      <c r="AO1686" s="1486">
        <v>0.202495955602966</v>
      </c>
      <c r="AP1686" s="147" t="s">
        <v>166</v>
      </c>
      <c r="AQ1686" s="60"/>
      <c r="AR1686" s="1486">
        <v>0.47425673913639</v>
      </c>
      <c r="AS1686" s="147" t="s">
        <v>164</v>
      </c>
      <c r="AT1686" s="147" t="s">
        <v>179</v>
      </c>
      <c r="AU1686" s="147" t="s">
        <v>129</v>
      </c>
      <c r="AV1686" s="60"/>
      <c r="AW1686" s="147" t="s">
        <v>134</v>
      </c>
      <c r="AY1686" s="60" t="s">
        <v>144</v>
      </c>
    </row>
    <row r="1687">
      <c r="A1687" s="60" t="s">
        <v>106</v>
      </c>
      <c r="B1687" s="41" t="s">
        <v>107</v>
      </c>
      <c r="C1687" s="41" t="s">
        <v>144</v>
      </c>
      <c r="E1687" s="60" t="s">
        <v>10629</v>
      </c>
      <c r="F1687" s="147" t="s">
        <v>10641</v>
      </c>
      <c r="G1687" s="147" t="s">
        <v>144</v>
      </c>
      <c r="H1687" s="140">
        <v>45687.0</v>
      </c>
      <c r="I1687" s="140">
        <v>45692.0</v>
      </c>
      <c r="J1687" s="454" t="s">
        <v>10642</v>
      </c>
      <c r="K1687" s="60"/>
      <c r="L1687" s="147" t="s">
        <v>10632</v>
      </c>
      <c r="M1687" s="147" t="s">
        <v>10633</v>
      </c>
      <c r="N1687" s="144">
        <v>5.0</v>
      </c>
      <c r="O1687" s="145" t="s">
        <v>10643</v>
      </c>
      <c r="P1687" s="48" t="str">
        <f t="array" ref="P1687">HYPERLINK(INDEX('File Links'!B:B, MATCH(O1687, 'File Links'!C:C, 0)))
</f>
        <v>https://drive.google.com/file/d/1QWFGg5y_FwCsYU4iJVkw7s0HZoH7av3y/view?usp=drivesdk</v>
      </c>
      <c r="Q1687" s="147" t="s">
        <v>6103</v>
      </c>
      <c r="R1687" s="147" t="s">
        <v>6104</v>
      </c>
      <c r="S1687" s="60"/>
      <c r="T1687" s="144">
        <v>1.0</v>
      </c>
      <c r="U1687" s="145" t="s">
        <v>6105</v>
      </c>
      <c r="V1687" s="147" t="s">
        <v>7707</v>
      </c>
      <c r="W1687" s="1455" t="str">
        <f> hyperlink(vlookup(lower(R1687),'File Links'!F:G, 2, FALSE), "LINK")</f>
        <v>LINK</v>
      </c>
      <c r="X1687" s="60"/>
      <c r="Y1687" s="147" t="s">
        <v>139</v>
      </c>
      <c r="Z1687" s="147" t="s">
        <v>10636</v>
      </c>
      <c r="AA1687" s="60" t="s">
        <v>10637</v>
      </c>
      <c r="AB1687" s="147" t="s">
        <v>10644</v>
      </c>
      <c r="AC1687" s="147" t="s">
        <v>10645</v>
      </c>
      <c r="AD1687" s="144">
        <v>8.0</v>
      </c>
      <c r="AE1687" s="144">
        <v>240.0</v>
      </c>
      <c r="AF1687" s="144">
        <v>1.72</v>
      </c>
      <c r="AG1687" s="144" t="s">
        <v>166</v>
      </c>
      <c r="AH1687" s="144" t="s">
        <v>610</v>
      </c>
      <c r="AI1687" s="144">
        <v>0.001</v>
      </c>
      <c r="AJ1687" s="147" t="s">
        <v>127</v>
      </c>
      <c r="AK1687" s="147" t="s">
        <v>179</v>
      </c>
      <c r="AL1687" s="147" t="s">
        <v>129</v>
      </c>
      <c r="AM1687" s="453" t="s">
        <v>10640</v>
      </c>
      <c r="AN1687" s="144">
        <v>160.0</v>
      </c>
      <c r="AO1687" s="1487">
        <v>0.44</v>
      </c>
      <c r="AP1687" s="144" t="s">
        <v>166</v>
      </c>
      <c r="AQ1687" s="144" t="s">
        <v>2232</v>
      </c>
      <c r="AR1687" s="144">
        <v>0.1009</v>
      </c>
      <c r="AS1687" s="147" t="s">
        <v>164</v>
      </c>
      <c r="AT1687" s="147" t="s">
        <v>179</v>
      </c>
      <c r="AU1687" s="147" t="s">
        <v>129</v>
      </c>
      <c r="AV1687" s="410" t="s">
        <v>10646</v>
      </c>
      <c r="AW1687" s="60" t="s">
        <v>134</v>
      </c>
      <c r="AY1687" s="60" t="s">
        <v>144</v>
      </c>
    </row>
    <row r="1688">
      <c r="A1688" s="60" t="s">
        <v>106</v>
      </c>
      <c r="B1688" s="41" t="s">
        <v>107</v>
      </c>
      <c r="C1688" s="41" t="s">
        <v>144</v>
      </c>
      <c r="E1688" s="60" t="s">
        <v>10629</v>
      </c>
      <c r="F1688" s="147" t="s">
        <v>10647</v>
      </c>
      <c r="G1688" s="147" t="s">
        <v>144</v>
      </c>
      <c r="H1688" s="140">
        <v>45687.0</v>
      </c>
      <c r="I1688" s="140">
        <v>45692.0</v>
      </c>
      <c r="J1688" s="454" t="s">
        <v>10648</v>
      </c>
      <c r="K1688" s="60"/>
      <c r="L1688" s="147" t="s">
        <v>10632</v>
      </c>
      <c r="M1688" s="147" t="s">
        <v>10633</v>
      </c>
      <c r="N1688" s="144">
        <v>5.0</v>
      </c>
      <c r="O1688" s="145" t="s">
        <v>10643</v>
      </c>
      <c r="P1688" s="48" t="str">
        <f t="array" ref="P1688">HYPERLINK(INDEX('File Links'!B:B, MATCH(O1688, 'File Links'!C:C, 0)))
</f>
        <v>https://drive.google.com/file/d/1QWFGg5y_FwCsYU4iJVkw7s0HZoH7av3y/view?usp=drivesdk</v>
      </c>
      <c r="Q1688" s="147" t="s">
        <v>6103</v>
      </c>
      <c r="R1688" s="147" t="s">
        <v>6104</v>
      </c>
      <c r="S1688" s="60"/>
      <c r="T1688" s="144">
        <v>1.0</v>
      </c>
      <c r="U1688" s="145" t="s">
        <v>6105</v>
      </c>
      <c r="V1688" s="147" t="s">
        <v>7707</v>
      </c>
      <c r="W1688" s="1455" t="str">
        <f> hyperlink(vlookup(lower(R1688),'File Links'!F:G, 2, FALSE), "LINK")</f>
        <v>LINK</v>
      </c>
      <c r="X1688" s="60"/>
      <c r="Y1688" s="147" t="s">
        <v>139</v>
      </c>
      <c r="Z1688" s="147" t="s">
        <v>10636</v>
      </c>
      <c r="AA1688" s="60" t="s">
        <v>10637</v>
      </c>
      <c r="AB1688" s="147" t="s">
        <v>10638</v>
      </c>
      <c r="AC1688" s="147" t="s">
        <v>10649</v>
      </c>
      <c r="AD1688" s="144">
        <v>8.0</v>
      </c>
      <c r="AE1688" s="1459">
        <v>96.0</v>
      </c>
      <c r="AF1688" s="327">
        <v>0.5</v>
      </c>
      <c r="AG1688" s="144" t="s">
        <v>166</v>
      </c>
      <c r="AH1688" s="144" t="s">
        <v>610</v>
      </c>
      <c r="AI1688" s="327">
        <v>0.019</v>
      </c>
      <c r="AJ1688" s="147" t="s">
        <v>164</v>
      </c>
      <c r="AK1688" s="147" t="s">
        <v>179</v>
      </c>
      <c r="AL1688" s="147" t="s">
        <v>129</v>
      </c>
      <c r="AM1688" s="453" t="s">
        <v>10640</v>
      </c>
      <c r="AN1688" s="144">
        <v>160.0</v>
      </c>
      <c r="AO1688" s="1487">
        <v>0.01</v>
      </c>
      <c r="AP1688" s="144" t="s">
        <v>166</v>
      </c>
      <c r="AQ1688" s="327" t="s">
        <v>2232</v>
      </c>
      <c r="AR1688" s="144">
        <v>0.98</v>
      </c>
      <c r="AS1688" s="147" t="s">
        <v>164</v>
      </c>
      <c r="AT1688" s="147" t="s">
        <v>179</v>
      </c>
      <c r="AU1688" s="147" t="s">
        <v>129</v>
      </c>
      <c r="AV1688" s="410" t="s">
        <v>10646</v>
      </c>
      <c r="AW1688" s="60" t="s">
        <v>134</v>
      </c>
      <c r="AY1688" s="60" t="s">
        <v>144</v>
      </c>
    </row>
    <row r="1689">
      <c r="A1689" s="60" t="s">
        <v>106</v>
      </c>
      <c r="B1689" s="41" t="s">
        <v>107</v>
      </c>
      <c r="C1689" s="41" t="s">
        <v>243</v>
      </c>
      <c r="E1689" s="147" t="s">
        <v>10650</v>
      </c>
      <c r="F1689" s="147" t="s">
        <v>10651</v>
      </c>
      <c r="G1689" s="147" t="s">
        <v>244</v>
      </c>
      <c r="H1689" s="140">
        <v>45673.0</v>
      </c>
      <c r="I1689" s="140">
        <v>45692.0</v>
      </c>
      <c r="J1689" s="412" t="s">
        <v>10652</v>
      </c>
      <c r="K1689" s="60"/>
      <c r="L1689" s="147" t="s">
        <v>10653</v>
      </c>
      <c r="M1689" s="147" t="s">
        <v>10654</v>
      </c>
      <c r="N1689" s="60"/>
      <c r="O1689" s="145" t="str">
        <f> SUBSTITUTE(lower(M1689), "/", "--") &amp;  ".pdf"</f>
        <v>10.1016--j.ecresq.2019.10.004.pdf</v>
      </c>
      <c r="P1689" s="48" t="str">
        <f t="array" ref="P1689">HYPERLINK(INDEX('File Links'!B:B, MATCH(O1689, 'File Links'!C:C, 0)))
</f>
        <v>https://drive.google.com/file/d/1w5TanXJyS5YVblHirQgJO5zKr4e7CFnK/view?usp=drivesdk</v>
      </c>
      <c r="Q1689" s="147" t="s">
        <v>10655</v>
      </c>
      <c r="R1689" s="147" t="s">
        <v>10656</v>
      </c>
      <c r="S1689" s="60"/>
      <c r="T1689" s="60"/>
      <c r="U1689" s="145" t="s">
        <v>6105</v>
      </c>
      <c r="V1689" s="147" t="s">
        <v>6349</v>
      </c>
      <c r="W1689" s="1455" t="str">
        <f> hyperlink(vlookup(lower(R1689),'File Links'!E:F, 2, FALSE), "LINK")</f>
        <v>LINK</v>
      </c>
      <c r="X1689" s="60"/>
      <c r="Y1689" s="147" t="s">
        <v>203</v>
      </c>
      <c r="Z1689" s="60"/>
      <c r="AA1689" s="147" t="s">
        <v>10657</v>
      </c>
      <c r="AB1689" s="60"/>
      <c r="AC1689" s="147" t="s">
        <v>10658</v>
      </c>
      <c r="AD1689" s="144">
        <v>116.0</v>
      </c>
      <c r="AE1689" s="144">
        <v>540.0</v>
      </c>
      <c r="AF1689" s="147" t="s">
        <v>165</v>
      </c>
      <c r="AG1689" s="147" t="s">
        <v>165</v>
      </c>
      <c r="AH1689" s="147" t="s">
        <v>10659</v>
      </c>
      <c r="AI1689" s="144">
        <v>0.001</v>
      </c>
      <c r="AJ1689" s="147" t="s">
        <v>127</v>
      </c>
      <c r="AK1689" s="147" t="s">
        <v>179</v>
      </c>
      <c r="AL1689" s="147" t="s">
        <v>132</v>
      </c>
      <c r="AM1689" s="147" t="s">
        <v>129</v>
      </c>
      <c r="AN1689" s="144">
        <v>250.0</v>
      </c>
      <c r="AO1689" s="144">
        <v>1.037</v>
      </c>
      <c r="AP1689" s="147" t="s">
        <v>1006</v>
      </c>
      <c r="AQ1689" s="60"/>
      <c r="AR1689" s="147" t="s">
        <v>165</v>
      </c>
      <c r="AS1689" s="60"/>
      <c r="AT1689" s="147" t="s">
        <v>179</v>
      </c>
      <c r="AU1689" s="147" t="s">
        <v>132</v>
      </c>
      <c r="AV1689" s="60"/>
      <c r="AW1689" s="147" t="s">
        <v>142</v>
      </c>
      <c r="AY1689" s="60" t="s">
        <v>144</v>
      </c>
    </row>
    <row r="1690">
      <c r="A1690" s="60" t="s">
        <v>586</v>
      </c>
      <c r="B1690" s="41" t="s">
        <v>107</v>
      </c>
      <c r="C1690" s="41" t="s">
        <v>144</v>
      </c>
      <c r="E1690" s="60" t="s">
        <v>10651</v>
      </c>
      <c r="F1690" s="147" t="s">
        <v>10660</v>
      </c>
      <c r="G1690" s="147" t="s">
        <v>144</v>
      </c>
      <c r="H1690" s="140">
        <v>45687.0</v>
      </c>
      <c r="I1690" s="140">
        <v>45692.0</v>
      </c>
      <c r="J1690" s="454" t="s">
        <v>10661</v>
      </c>
      <c r="K1690" s="147" t="s">
        <v>10662</v>
      </c>
      <c r="L1690" s="147" t="s">
        <v>10653</v>
      </c>
      <c r="M1690" s="60"/>
      <c r="N1690" s="144">
        <v>1.0</v>
      </c>
      <c r="O1690" s="145" t="s">
        <v>351</v>
      </c>
      <c r="P1690" s="544" t="str">
        <f t="array" ref="P1690">HYPERLINK(INDEX('File Links'!B:B, MATCH(O1690, 'File Links'!C:C, 0)))
</f>
        <v>#N/A</v>
      </c>
      <c r="Q1690" s="147" t="s">
        <v>6103</v>
      </c>
      <c r="R1690" s="147" t="s">
        <v>6104</v>
      </c>
      <c r="S1690" s="60"/>
      <c r="T1690" s="144">
        <v>1.0</v>
      </c>
      <c r="U1690" s="145" t="s">
        <v>6105</v>
      </c>
      <c r="V1690" s="147" t="s">
        <v>9072</v>
      </c>
      <c r="W1690" s="1455" t="str">
        <f> hyperlink(vlookup(lower(R1690),'File Links'!F:G, 2, FALSE), "LINK")</f>
        <v>LINK</v>
      </c>
      <c r="X1690" s="60"/>
      <c r="Y1690" s="147" t="s">
        <v>1820</v>
      </c>
      <c r="Z1690" s="147" t="s">
        <v>10663</v>
      </c>
      <c r="AA1690" s="147" t="s">
        <v>10664</v>
      </c>
      <c r="AB1690" s="147" t="s">
        <v>10665</v>
      </c>
      <c r="AC1690" s="147" t="s">
        <v>10666</v>
      </c>
      <c r="AD1690" s="144">
        <v>8.0</v>
      </c>
      <c r="AE1690" s="144">
        <v>540.0</v>
      </c>
      <c r="AF1690" s="144">
        <v>1.025</v>
      </c>
      <c r="AG1690" s="144" t="s">
        <v>722</v>
      </c>
      <c r="AH1690" s="144" t="s">
        <v>610</v>
      </c>
      <c r="AI1690" s="1495">
        <v>0.001</v>
      </c>
      <c r="AJ1690" s="147" t="s">
        <v>127</v>
      </c>
      <c r="AK1690" s="147" t="s">
        <v>179</v>
      </c>
      <c r="AL1690" s="147" t="s">
        <v>132</v>
      </c>
      <c r="AM1690" s="60"/>
      <c r="AN1690" s="144">
        <v>250.0</v>
      </c>
      <c r="AO1690" s="144">
        <v>1.037</v>
      </c>
      <c r="AP1690" s="144" t="s">
        <v>722</v>
      </c>
      <c r="AQ1690" s="327" t="s">
        <v>2232</v>
      </c>
      <c r="AR1690" s="144">
        <v>0.001</v>
      </c>
      <c r="AS1690" s="147" t="s">
        <v>127</v>
      </c>
      <c r="AT1690" s="147" t="s">
        <v>179</v>
      </c>
      <c r="AU1690" s="147" t="s">
        <v>132</v>
      </c>
      <c r="AV1690" s="60"/>
      <c r="AW1690" s="1354" t="s">
        <v>142</v>
      </c>
      <c r="AY1690" s="60" t="s">
        <v>144</v>
      </c>
    </row>
    <row r="1691">
      <c r="A1691" s="60" t="s">
        <v>586</v>
      </c>
      <c r="B1691" s="41" t="s">
        <v>107</v>
      </c>
      <c r="C1691" s="41" t="s">
        <v>144</v>
      </c>
      <c r="E1691" s="60" t="s">
        <v>10651</v>
      </c>
      <c r="F1691" s="147" t="s">
        <v>10667</v>
      </c>
      <c r="G1691" s="147" t="s">
        <v>144</v>
      </c>
      <c r="H1691" s="140">
        <v>45687.0</v>
      </c>
      <c r="I1691" s="140">
        <v>45692.0</v>
      </c>
      <c r="J1691" s="454" t="s">
        <v>10668</v>
      </c>
      <c r="K1691" s="147" t="s">
        <v>10662</v>
      </c>
      <c r="L1691" s="147" t="s">
        <v>10653</v>
      </c>
      <c r="M1691" s="60"/>
      <c r="N1691" s="144">
        <v>1.0</v>
      </c>
      <c r="O1691" s="145" t="s">
        <v>351</v>
      </c>
      <c r="P1691" s="544" t="str">
        <f t="array" ref="P1691">HYPERLINK(INDEX('File Links'!B:B, MATCH(O1691, 'File Links'!C:C, 0)))
</f>
        <v>#N/A</v>
      </c>
      <c r="Q1691" s="147" t="s">
        <v>6103</v>
      </c>
      <c r="R1691" s="147" t="s">
        <v>6104</v>
      </c>
      <c r="S1691" s="60"/>
      <c r="T1691" s="144">
        <v>1.0</v>
      </c>
      <c r="U1691" s="145" t="s">
        <v>6105</v>
      </c>
      <c r="V1691" s="147" t="s">
        <v>9072</v>
      </c>
      <c r="W1691" s="1455" t="str">
        <f> hyperlink(vlookup(lower(R1691),'File Links'!F:G, 2, FALSE), "LINK")</f>
        <v>LINK</v>
      </c>
      <c r="X1691" s="60"/>
      <c r="Y1691" s="147" t="s">
        <v>1820</v>
      </c>
      <c r="Z1691" s="147" t="s">
        <v>10663</v>
      </c>
      <c r="AA1691" s="147" t="s">
        <v>10664</v>
      </c>
      <c r="AB1691" s="147" t="s">
        <v>10669</v>
      </c>
      <c r="AC1691" s="147" t="s">
        <v>10670</v>
      </c>
      <c r="AD1691" s="144">
        <v>8.0</v>
      </c>
      <c r="AE1691" s="144">
        <v>540.0</v>
      </c>
      <c r="AF1691" s="144">
        <v>1.026</v>
      </c>
      <c r="AG1691" s="144" t="s">
        <v>722</v>
      </c>
      <c r="AH1691" s="144" t="s">
        <v>610</v>
      </c>
      <c r="AI1691" s="1495">
        <v>0.001</v>
      </c>
      <c r="AJ1691" s="147" t="s">
        <v>127</v>
      </c>
      <c r="AK1691" s="147" t="s">
        <v>179</v>
      </c>
      <c r="AL1691" s="147" t="s">
        <v>132</v>
      </c>
      <c r="AM1691" s="60"/>
      <c r="AN1691" s="144">
        <v>250.0</v>
      </c>
      <c r="AO1691" s="1495">
        <v>1.038</v>
      </c>
      <c r="AP1691" s="144" t="s">
        <v>722</v>
      </c>
      <c r="AQ1691" s="327" t="s">
        <v>2232</v>
      </c>
      <c r="AR1691" s="144">
        <v>0.001</v>
      </c>
      <c r="AS1691" s="147" t="s">
        <v>127</v>
      </c>
      <c r="AT1691" s="147" t="s">
        <v>179</v>
      </c>
      <c r="AU1691" s="147" t="s">
        <v>132</v>
      </c>
      <c r="AV1691" s="60"/>
      <c r="AW1691" s="1354" t="s">
        <v>142</v>
      </c>
      <c r="AY1691" s="60" t="s">
        <v>144</v>
      </c>
    </row>
    <row r="1692">
      <c r="A1692" s="60" t="s">
        <v>586</v>
      </c>
      <c r="B1692" s="41" t="s">
        <v>107</v>
      </c>
      <c r="C1692" s="41" t="s">
        <v>144</v>
      </c>
      <c r="E1692" s="60" t="s">
        <v>10651</v>
      </c>
      <c r="F1692" s="147" t="s">
        <v>10671</v>
      </c>
      <c r="G1692" s="147" t="s">
        <v>144</v>
      </c>
      <c r="H1692" s="140">
        <v>45687.0</v>
      </c>
      <c r="I1692" s="140">
        <v>45692.0</v>
      </c>
      <c r="J1692" s="454" t="s">
        <v>10672</v>
      </c>
      <c r="K1692" s="147" t="s">
        <v>10662</v>
      </c>
      <c r="L1692" s="147" t="s">
        <v>10653</v>
      </c>
      <c r="M1692" s="60"/>
      <c r="N1692" s="144">
        <v>1.0</v>
      </c>
      <c r="O1692" s="145" t="s">
        <v>351</v>
      </c>
      <c r="P1692" s="544" t="str">
        <f t="array" ref="P1692">HYPERLINK(INDEX('File Links'!B:B, MATCH(O1692, 'File Links'!C:C, 0)))
</f>
        <v>#N/A</v>
      </c>
      <c r="Q1692" s="147" t="s">
        <v>6103</v>
      </c>
      <c r="R1692" s="147" t="s">
        <v>6104</v>
      </c>
      <c r="S1692" s="60"/>
      <c r="T1692" s="144">
        <v>1.0</v>
      </c>
      <c r="U1692" s="145" t="s">
        <v>6105</v>
      </c>
      <c r="V1692" s="147" t="s">
        <v>9072</v>
      </c>
      <c r="W1692" s="1455" t="str">
        <f> hyperlink(vlookup(lower(R1692),'File Links'!F:G, 2, FALSE), "LINK")</f>
        <v>LINK</v>
      </c>
      <c r="X1692" s="60"/>
      <c r="Y1692" s="147" t="s">
        <v>1820</v>
      </c>
      <c r="Z1692" s="147" t="s">
        <v>10663</v>
      </c>
      <c r="AA1692" s="147" t="s">
        <v>10664</v>
      </c>
      <c r="AB1692" s="147" t="s">
        <v>10673</v>
      </c>
      <c r="AC1692" s="147" t="s">
        <v>10670</v>
      </c>
      <c r="AD1692" s="144">
        <v>8.0</v>
      </c>
      <c r="AE1692" s="144">
        <v>540.0</v>
      </c>
      <c r="AF1692" s="144">
        <v>1.03</v>
      </c>
      <c r="AG1692" s="144" t="s">
        <v>722</v>
      </c>
      <c r="AH1692" s="144" t="s">
        <v>610</v>
      </c>
      <c r="AI1692" s="144">
        <v>0.01</v>
      </c>
      <c r="AJ1692" s="147" t="s">
        <v>127</v>
      </c>
      <c r="AK1692" s="147" t="s">
        <v>179</v>
      </c>
      <c r="AL1692" s="147" t="s">
        <v>132</v>
      </c>
      <c r="AM1692" s="60"/>
      <c r="AN1692" s="144">
        <v>250.0</v>
      </c>
      <c r="AO1692" s="1495">
        <v>1.041</v>
      </c>
      <c r="AP1692" s="144" t="s">
        <v>722</v>
      </c>
      <c r="AQ1692" s="327" t="s">
        <v>2232</v>
      </c>
      <c r="AR1692" s="144">
        <v>0.001</v>
      </c>
      <c r="AS1692" s="147" t="s">
        <v>127</v>
      </c>
      <c r="AT1692" s="147" t="s">
        <v>179</v>
      </c>
      <c r="AU1692" s="147" t="s">
        <v>132</v>
      </c>
      <c r="AV1692" s="60"/>
      <c r="AW1692" s="1354" t="s">
        <v>142</v>
      </c>
      <c r="AY1692" s="60" t="s">
        <v>144</v>
      </c>
    </row>
    <row r="1693">
      <c r="A1693" s="60" t="s">
        <v>586</v>
      </c>
      <c r="B1693" s="41" t="s">
        <v>107</v>
      </c>
      <c r="C1693" s="41" t="s">
        <v>144</v>
      </c>
      <c r="E1693" s="60" t="s">
        <v>10651</v>
      </c>
      <c r="F1693" s="147" t="s">
        <v>10674</v>
      </c>
      <c r="G1693" s="147" t="s">
        <v>144</v>
      </c>
      <c r="H1693" s="140">
        <v>45687.0</v>
      </c>
      <c r="I1693" s="140">
        <v>45692.0</v>
      </c>
      <c r="J1693" s="454" t="s">
        <v>10675</v>
      </c>
      <c r="K1693" s="147" t="s">
        <v>10662</v>
      </c>
      <c r="L1693" s="147" t="s">
        <v>10653</v>
      </c>
      <c r="M1693" s="60"/>
      <c r="N1693" s="144">
        <v>1.0</v>
      </c>
      <c r="O1693" s="145" t="s">
        <v>351</v>
      </c>
      <c r="P1693" s="544" t="str">
        <f t="array" ref="P1693">HYPERLINK(INDEX('File Links'!B:B, MATCH(O1693, 'File Links'!C:C, 0)))
</f>
        <v>#N/A</v>
      </c>
      <c r="Q1693" s="147" t="s">
        <v>6103</v>
      </c>
      <c r="R1693" s="147" t="s">
        <v>6104</v>
      </c>
      <c r="S1693" s="60"/>
      <c r="T1693" s="144">
        <v>1.0</v>
      </c>
      <c r="U1693" s="145" t="s">
        <v>6105</v>
      </c>
      <c r="V1693" s="147" t="s">
        <v>9072</v>
      </c>
      <c r="W1693" s="1455" t="str">
        <f> hyperlink(vlookup(lower(R1693),'File Links'!F:G, 2, FALSE), "LINK")</f>
        <v>LINK</v>
      </c>
      <c r="X1693" s="60"/>
      <c r="Y1693" s="147" t="s">
        <v>1820</v>
      </c>
      <c r="Z1693" s="147" t="s">
        <v>10663</v>
      </c>
      <c r="AA1693" s="147" t="s">
        <v>10664</v>
      </c>
      <c r="AB1693" s="147" t="s">
        <v>10676</v>
      </c>
      <c r="AC1693" s="147" t="s">
        <v>10670</v>
      </c>
      <c r="AD1693" s="144">
        <v>8.0</v>
      </c>
      <c r="AE1693" s="144">
        <v>540.0</v>
      </c>
      <c r="AF1693" s="144">
        <v>1.028</v>
      </c>
      <c r="AG1693" s="144" t="s">
        <v>722</v>
      </c>
      <c r="AH1693" s="144" t="s">
        <v>610</v>
      </c>
      <c r="AI1693" s="1495">
        <v>0.001</v>
      </c>
      <c r="AJ1693" s="147" t="s">
        <v>127</v>
      </c>
      <c r="AK1693" s="147" t="s">
        <v>179</v>
      </c>
      <c r="AL1693" s="147" t="s">
        <v>132</v>
      </c>
      <c r="AM1693" s="60"/>
      <c r="AN1693" s="144">
        <v>250.0</v>
      </c>
      <c r="AO1693" s="1495">
        <v>1.041</v>
      </c>
      <c r="AP1693" s="144" t="s">
        <v>722</v>
      </c>
      <c r="AQ1693" s="327" t="s">
        <v>2232</v>
      </c>
      <c r="AR1693" s="144">
        <v>0.001</v>
      </c>
      <c r="AS1693" s="147" t="s">
        <v>127</v>
      </c>
      <c r="AT1693" s="147" t="s">
        <v>179</v>
      </c>
      <c r="AU1693" s="147" t="s">
        <v>132</v>
      </c>
      <c r="AV1693" s="60"/>
      <c r="AW1693" s="1354" t="s">
        <v>142</v>
      </c>
      <c r="AY1693" s="60" t="s">
        <v>144</v>
      </c>
    </row>
    <row r="1694">
      <c r="A1694" s="60" t="s">
        <v>586</v>
      </c>
      <c r="B1694" s="41" t="s">
        <v>107</v>
      </c>
      <c r="C1694" s="41" t="s">
        <v>144</v>
      </c>
      <c r="E1694" s="60" t="s">
        <v>10651</v>
      </c>
      <c r="F1694" s="147" t="s">
        <v>10677</v>
      </c>
      <c r="G1694" s="147" t="s">
        <v>144</v>
      </c>
      <c r="H1694" s="140">
        <v>45687.0</v>
      </c>
      <c r="I1694" s="140">
        <v>45692.0</v>
      </c>
      <c r="J1694" s="454" t="s">
        <v>10678</v>
      </c>
      <c r="K1694" s="147" t="s">
        <v>10662</v>
      </c>
      <c r="L1694" s="147" t="s">
        <v>10653</v>
      </c>
      <c r="M1694" s="60"/>
      <c r="N1694" s="144">
        <v>1.0</v>
      </c>
      <c r="O1694" s="145" t="s">
        <v>351</v>
      </c>
      <c r="P1694" s="544" t="str">
        <f t="array" ref="P1694">HYPERLINK(INDEX('File Links'!B:B, MATCH(O1694, 'File Links'!C:C, 0)))
</f>
        <v>#N/A</v>
      </c>
      <c r="Q1694" s="147" t="s">
        <v>6103</v>
      </c>
      <c r="R1694" s="147" t="s">
        <v>6104</v>
      </c>
      <c r="S1694" s="60"/>
      <c r="T1694" s="144">
        <v>1.0</v>
      </c>
      <c r="U1694" s="145" t="s">
        <v>6105</v>
      </c>
      <c r="V1694" s="147" t="s">
        <v>9072</v>
      </c>
      <c r="W1694" s="1455" t="str">
        <f> hyperlink(vlookup(lower(R1694),'File Links'!F:G, 2, FALSE), "LINK")</f>
        <v>LINK</v>
      </c>
      <c r="X1694" s="60"/>
      <c r="Y1694" s="147" t="s">
        <v>1820</v>
      </c>
      <c r="Z1694" s="147" t="s">
        <v>10663</v>
      </c>
      <c r="AA1694" s="147" t="s">
        <v>10664</v>
      </c>
      <c r="AB1694" s="147" t="s">
        <v>10679</v>
      </c>
      <c r="AC1694" s="147" t="s">
        <v>10670</v>
      </c>
      <c r="AD1694" s="144">
        <v>8.0</v>
      </c>
      <c r="AE1694" s="144">
        <v>540.0</v>
      </c>
      <c r="AF1694" s="144">
        <v>1.027</v>
      </c>
      <c r="AG1694" s="144" t="s">
        <v>722</v>
      </c>
      <c r="AH1694" s="144" t="s">
        <v>610</v>
      </c>
      <c r="AI1694" s="1495">
        <v>0.001</v>
      </c>
      <c r="AJ1694" s="147" t="s">
        <v>127</v>
      </c>
      <c r="AK1694" s="147" t="s">
        <v>179</v>
      </c>
      <c r="AL1694" s="147" t="s">
        <v>132</v>
      </c>
      <c r="AM1694" s="60"/>
      <c r="AN1694" s="144">
        <v>250.0</v>
      </c>
      <c r="AO1694" s="1495">
        <v>1.041</v>
      </c>
      <c r="AP1694" s="144" t="s">
        <v>722</v>
      </c>
      <c r="AQ1694" s="327" t="s">
        <v>2232</v>
      </c>
      <c r="AR1694" s="144">
        <v>0.001</v>
      </c>
      <c r="AS1694" s="147" t="s">
        <v>127</v>
      </c>
      <c r="AT1694" s="147" t="s">
        <v>179</v>
      </c>
      <c r="AU1694" s="147" t="s">
        <v>132</v>
      </c>
      <c r="AV1694" s="60"/>
      <c r="AW1694" s="1354" t="s">
        <v>142</v>
      </c>
      <c r="AY1694" s="60" t="s">
        <v>144</v>
      </c>
    </row>
    <row r="1695">
      <c r="A1695" s="60" t="s">
        <v>586</v>
      </c>
      <c r="B1695" s="41" t="s">
        <v>107</v>
      </c>
      <c r="C1695" s="41" t="s">
        <v>144</v>
      </c>
      <c r="E1695" s="60" t="s">
        <v>10651</v>
      </c>
      <c r="F1695" s="147" t="s">
        <v>10680</v>
      </c>
      <c r="G1695" s="147" t="s">
        <v>144</v>
      </c>
      <c r="H1695" s="140">
        <v>45687.0</v>
      </c>
      <c r="I1695" s="140">
        <v>45692.0</v>
      </c>
      <c r="J1695" s="454" t="s">
        <v>10681</v>
      </c>
      <c r="K1695" s="147" t="s">
        <v>10662</v>
      </c>
      <c r="L1695" s="147" t="s">
        <v>10653</v>
      </c>
      <c r="M1695" s="60"/>
      <c r="N1695" s="144">
        <v>1.0</v>
      </c>
      <c r="O1695" s="145" t="s">
        <v>351</v>
      </c>
      <c r="P1695" s="544" t="str">
        <f t="array" ref="P1695">HYPERLINK(INDEX('File Links'!B:B, MATCH(O1695, 'File Links'!C:C, 0)))
</f>
        <v>#N/A</v>
      </c>
      <c r="Q1695" s="147" t="s">
        <v>6103</v>
      </c>
      <c r="R1695" s="147" t="s">
        <v>6104</v>
      </c>
      <c r="S1695" s="60"/>
      <c r="T1695" s="144">
        <v>1.0</v>
      </c>
      <c r="U1695" s="145" t="s">
        <v>6105</v>
      </c>
      <c r="V1695" s="147" t="s">
        <v>9072</v>
      </c>
      <c r="W1695" s="1455" t="str">
        <f> hyperlink(vlookup(lower(R1695),'File Links'!F:G, 2, FALSE), "LINK")</f>
        <v>LINK</v>
      </c>
      <c r="X1695" s="60"/>
      <c r="Y1695" s="147" t="s">
        <v>1820</v>
      </c>
      <c r="Z1695" s="147" t="s">
        <v>10663</v>
      </c>
      <c r="AA1695" s="147" t="s">
        <v>10664</v>
      </c>
      <c r="AB1695" s="147" t="s">
        <v>10682</v>
      </c>
      <c r="AC1695" s="147" t="s">
        <v>10666</v>
      </c>
      <c r="AD1695" s="144">
        <v>8.0</v>
      </c>
      <c r="AE1695" s="144">
        <v>540.0</v>
      </c>
      <c r="AF1695" s="144">
        <v>1.0</v>
      </c>
      <c r="AG1695" s="144" t="s">
        <v>722</v>
      </c>
      <c r="AH1695" s="144" t="s">
        <v>610</v>
      </c>
      <c r="AI1695" s="144">
        <v>0.05</v>
      </c>
      <c r="AJ1695" s="147" t="s">
        <v>329</v>
      </c>
      <c r="AK1695" s="147" t="s">
        <v>179</v>
      </c>
      <c r="AL1695" s="147" t="s">
        <v>132</v>
      </c>
      <c r="AM1695" s="60"/>
      <c r="AN1695" s="144">
        <v>250.0</v>
      </c>
      <c r="AO1695" s="1495">
        <v>1.0</v>
      </c>
      <c r="AP1695" s="144" t="s">
        <v>722</v>
      </c>
      <c r="AQ1695" s="327" t="s">
        <v>2232</v>
      </c>
      <c r="AR1695" s="144">
        <v>0.05</v>
      </c>
      <c r="AS1695" s="147" t="s">
        <v>329</v>
      </c>
      <c r="AT1695" s="147" t="s">
        <v>179</v>
      </c>
      <c r="AU1695" s="147" t="s">
        <v>132</v>
      </c>
      <c r="AV1695" s="60"/>
      <c r="AW1695" s="1354" t="s">
        <v>142</v>
      </c>
      <c r="AY1695" s="60" t="s">
        <v>144</v>
      </c>
    </row>
    <row r="1696">
      <c r="A1696" s="60" t="s">
        <v>586</v>
      </c>
      <c r="B1696" s="41" t="s">
        <v>107</v>
      </c>
      <c r="C1696" s="41" t="s">
        <v>144</v>
      </c>
      <c r="E1696" s="60" t="s">
        <v>10651</v>
      </c>
      <c r="F1696" s="147" t="s">
        <v>10683</v>
      </c>
      <c r="G1696" s="147" t="s">
        <v>144</v>
      </c>
      <c r="H1696" s="140">
        <v>45687.0</v>
      </c>
      <c r="I1696" s="140">
        <v>45692.0</v>
      </c>
      <c r="J1696" s="454" t="s">
        <v>10684</v>
      </c>
      <c r="K1696" s="147" t="s">
        <v>10662</v>
      </c>
      <c r="L1696" s="147" t="s">
        <v>10653</v>
      </c>
      <c r="M1696" s="60"/>
      <c r="N1696" s="144">
        <v>1.0</v>
      </c>
      <c r="O1696" s="145" t="s">
        <v>351</v>
      </c>
      <c r="P1696" s="544" t="str">
        <f t="array" ref="P1696">HYPERLINK(INDEX('File Links'!B:B, MATCH(O1696, 'File Links'!C:C, 0)))
</f>
        <v>#N/A</v>
      </c>
      <c r="Q1696" s="147" t="s">
        <v>6103</v>
      </c>
      <c r="R1696" s="147" t="s">
        <v>6104</v>
      </c>
      <c r="S1696" s="60"/>
      <c r="T1696" s="144">
        <v>1.0</v>
      </c>
      <c r="U1696" s="145" t="s">
        <v>6105</v>
      </c>
      <c r="V1696" s="147" t="s">
        <v>9072</v>
      </c>
      <c r="W1696" s="1455" t="str">
        <f> hyperlink(vlookup(lower(R1696),'File Links'!F:G, 2, FALSE), "LINK")</f>
        <v>LINK</v>
      </c>
      <c r="X1696" s="60"/>
      <c r="Y1696" s="147" t="s">
        <v>1820</v>
      </c>
      <c r="Z1696" s="147" t="s">
        <v>10663</v>
      </c>
      <c r="AA1696" s="147" t="s">
        <v>10664</v>
      </c>
      <c r="AB1696" s="147" t="s">
        <v>10685</v>
      </c>
      <c r="AC1696" s="147" t="s">
        <v>10666</v>
      </c>
      <c r="AD1696" s="144">
        <v>8.0</v>
      </c>
      <c r="AE1696" s="144">
        <v>540.0</v>
      </c>
      <c r="AF1696" s="144">
        <v>0.997</v>
      </c>
      <c r="AG1696" s="144" t="s">
        <v>722</v>
      </c>
      <c r="AH1696" s="144" t="s">
        <v>610</v>
      </c>
      <c r="AI1696" s="144">
        <v>0.05</v>
      </c>
      <c r="AJ1696" s="147" t="s">
        <v>329</v>
      </c>
      <c r="AK1696" s="147" t="s">
        <v>179</v>
      </c>
      <c r="AL1696" s="147" t="s">
        <v>132</v>
      </c>
      <c r="AM1696" s="60"/>
      <c r="AN1696" s="144">
        <v>250.0</v>
      </c>
      <c r="AO1696" s="144">
        <v>0.995</v>
      </c>
      <c r="AP1696" s="144" t="s">
        <v>722</v>
      </c>
      <c r="AQ1696" s="327" t="s">
        <v>2232</v>
      </c>
      <c r="AR1696" s="144">
        <v>0.05</v>
      </c>
      <c r="AS1696" s="147" t="s">
        <v>329</v>
      </c>
      <c r="AT1696" s="147" t="s">
        <v>179</v>
      </c>
      <c r="AU1696" s="147" t="s">
        <v>132</v>
      </c>
      <c r="AV1696" s="60"/>
      <c r="AW1696" s="1354" t="s">
        <v>142</v>
      </c>
      <c r="AY1696" s="60" t="s">
        <v>144</v>
      </c>
    </row>
    <row r="1697">
      <c r="A1697" s="60" t="s">
        <v>586</v>
      </c>
      <c r="B1697" s="41" t="s">
        <v>107</v>
      </c>
      <c r="C1697" s="41" t="s">
        <v>144</v>
      </c>
      <c r="E1697" s="60" t="s">
        <v>10651</v>
      </c>
      <c r="F1697" s="147" t="s">
        <v>10686</v>
      </c>
      <c r="G1697" s="147" t="s">
        <v>144</v>
      </c>
      <c r="H1697" s="140">
        <v>45687.0</v>
      </c>
      <c r="I1697" s="140">
        <v>45692.0</v>
      </c>
      <c r="J1697" s="454" t="s">
        <v>10687</v>
      </c>
      <c r="K1697" s="147" t="s">
        <v>10662</v>
      </c>
      <c r="L1697" s="147" t="s">
        <v>10653</v>
      </c>
      <c r="M1697" s="60"/>
      <c r="N1697" s="144">
        <v>1.0</v>
      </c>
      <c r="O1697" s="145" t="s">
        <v>351</v>
      </c>
      <c r="P1697" s="544" t="str">
        <f t="array" ref="P1697">HYPERLINK(INDEX('File Links'!B:B, MATCH(O1697, 'File Links'!C:C, 0)))
</f>
        <v>#N/A</v>
      </c>
      <c r="Q1697" s="147" t="s">
        <v>6103</v>
      </c>
      <c r="R1697" s="147" t="s">
        <v>6104</v>
      </c>
      <c r="S1697" s="60"/>
      <c r="T1697" s="144">
        <v>1.0</v>
      </c>
      <c r="U1697" s="145" t="s">
        <v>6105</v>
      </c>
      <c r="V1697" s="147" t="s">
        <v>9072</v>
      </c>
      <c r="W1697" s="1455" t="str">
        <f> hyperlink(vlookup(lower(R1697),'File Links'!F:G, 2, FALSE), "LINK")</f>
        <v>LINK</v>
      </c>
      <c r="X1697" s="60"/>
      <c r="Y1697" s="147" t="s">
        <v>1820</v>
      </c>
      <c r="Z1697" s="147" t="s">
        <v>10663</v>
      </c>
      <c r="AA1697" s="147" t="s">
        <v>10664</v>
      </c>
      <c r="AB1697" s="147" t="s">
        <v>10688</v>
      </c>
      <c r="AC1697" s="147" t="s">
        <v>10666</v>
      </c>
      <c r="AD1697" s="144">
        <v>8.0</v>
      </c>
      <c r="AE1697" s="144">
        <v>540.0</v>
      </c>
      <c r="AF1697" s="144">
        <v>0.999</v>
      </c>
      <c r="AG1697" s="144" t="s">
        <v>722</v>
      </c>
      <c r="AH1697" s="144" t="s">
        <v>610</v>
      </c>
      <c r="AI1697" s="144">
        <v>0.05</v>
      </c>
      <c r="AJ1697" s="147" t="s">
        <v>329</v>
      </c>
      <c r="AK1697" s="147" t="s">
        <v>179</v>
      </c>
      <c r="AL1697" s="147" t="s">
        <v>132</v>
      </c>
      <c r="AM1697" s="60"/>
      <c r="AN1697" s="144">
        <v>250.0</v>
      </c>
      <c r="AO1697" s="1495">
        <v>0.994</v>
      </c>
      <c r="AP1697" s="144" t="s">
        <v>722</v>
      </c>
      <c r="AQ1697" s="327" t="s">
        <v>2232</v>
      </c>
      <c r="AR1697" s="144">
        <v>0.05</v>
      </c>
      <c r="AS1697" s="147" t="s">
        <v>329</v>
      </c>
      <c r="AT1697" s="147" t="s">
        <v>179</v>
      </c>
      <c r="AU1697" s="147" t="s">
        <v>132</v>
      </c>
      <c r="AV1697" s="60"/>
      <c r="AW1697" s="1354" t="s">
        <v>142</v>
      </c>
      <c r="AY1697" s="60" t="s">
        <v>144</v>
      </c>
    </row>
    <row r="1698">
      <c r="A1698" s="60" t="s">
        <v>586</v>
      </c>
      <c r="B1698" s="41" t="s">
        <v>107</v>
      </c>
      <c r="C1698" s="41" t="s">
        <v>144</v>
      </c>
      <c r="E1698" s="60" t="s">
        <v>10651</v>
      </c>
      <c r="F1698" s="147" t="s">
        <v>10689</v>
      </c>
      <c r="G1698" s="147" t="s">
        <v>144</v>
      </c>
      <c r="H1698" s="140">
        <v>45687.0</v>
      </c>
      <c r="I1698" s="140">
        <v>45692.0</v>
      </c>
      <c r="J1698" s="454" t="s">
        <v>10690</v>
      </c>
      <c r="K1698" s="147" t="s">
        <v>10662</v>
      </c>
      <c r="L1698" s="147" t="s">
        <v>10653</v>
      </c>
      <c r="M1698" s="60"/>
      <c r="N1698" s="144">
        <v>1.0</v>
      </c>
      <c r="O1698" s="145" t="s">
        <v>351</v>
      </c>
      <c r="P1698" s="544" t="str">
        <f t="array" ref="P1698">HYPERLINK(INDEX('File Links'!B:B, MATCH(O1698, 'File Links'!C:C, 0)))
</f>
        <v>#N/A</v>
      </c>
      <c r="Q1698" s="147" t="s">
        <v>6103</v>
      </c>
      <c r="R1698" s="147" t="s">
        <v>6104</v>
      </c>
      <c r="S1698" s="60"/>
      <c r="T1698" s="144">
        <v>1.0</v>
      </c>
      <c r="U1698" s="145" t="s">
        <v>6105</v>
      </c>
      <c r="V1698" s="147" t="s">
        <v>9072</v>
      </c>
      <c r="W1698" s="1455" t="str">
        <f> hyperlink(vlookup(lower(R1698),'File Links'!F:G, 2, FALSE), "LINK")</f>
        <v>LINK</v>
      </c>
      <c r="X1698" s="60"/>
      <c r="Y1698" s="147" t="s">
        <v>1820</v>
      </c>
      <c r="Z1698" s="147" t="s">
        <v>10663</v>
      </c>
      <c r="AA1698" s="147" t="s">
        <v>10664</v>
      </c>
      <c r="AB1698" s="147" t="s">
        <v>10691</v>
      </c>
      <c r="AC1698" s="147" t="s">
        <v>10692</v>
      </c>
      <c r="AD1698" s="144">
        <v>8.0</v>
      </c>
      <c r="AE1698" s="144">
        <v>540.0</v>
      </c>
      <c r="AF1698" s="144">
        <v>1.01</v>
      </c>
      <c r="AG1698" s="144" t="s">
        <v>722</v>
      </c>
      <c r="AH1698" s="144" t="s">
        <v>610</v>
      </c>
      <c r="AI1698" s="144">
        <v>0.05</v>
      </c>
      <c r="AJ1698" s="147" t="s">
        <v>329</v>
      </c>
      <c r="AK1698" s="147" t="s">
        <v>179</v>
      </c>
      <c r="AL1698" s="147" t="s">
        <v>132</v>
      </c>
      <c r="AM1698" s="60"/>
      <c r="AN1698" s="144">
        <v>250.0</v>
      </c>
      <c r="AO1698" s="1495">
        <v>0.999</v>
      </c>
      <c r="AP1698" s="144" t="s">
        <v>722</v>
      </c>
      <c r="AQ1698" s="144" t="s">
        <v>624</v>
      </c>
      <c r="AR1698" s="144">
        <v>0.05</v>
      </c>
      <c r="AS1698" s="147" t="s">
        <v>329</v>
      </c>
      <c r="AT1698" s="147" t="s">
        <v>179</v>
      </c>
      <c r="AU1698" s="147" t="s">
        <v>132</v>
      </c>
      <c r="AV1698" s="60"/>
      <c r="AW1698" s="1354" t="s">
        <v>142</v>
      </c>
      <c r="AY1698" s="60" t="s">
        <v>144</v>
      </c>
    </row>
    <row r="1699">
      <c r="A1699" s="60" t="s">
        <v>586</v>
      </c>
      <c r="B1699" s="41" t="s">
        <v>107</v>
      </c>
      <c r="C1699" s="41" t="s">
        <v>144</v>
      </c>
      <c r="E1699" s="60" t="s">
        <v>10651</v>
      </c>
      <c r="F1699" s="147" t="s">
        <v>10693</v>
      </c>
      <c r="G1699" s="147" t="s">
        <v>144</v>
      </c>
      <c r="H1699" s="140">
        <v>45687.0</v>
      </c>
      <c r="I1699" s="140">
        <v>45692.0</v>
      </c>
      <c r="J1699" s="454" t="s">
        <v>10694</v>
      </c>
      <c r="K1699" s="147" t="s">
        <v>10662</v>
      </c>
      <c r="L1699" s="147" t="s">
        <v>10653</v>
      </c>
      <c r="M1699" s="60"/>
      <c r="N1699" s="144">
        <v>1.0</v>
      </c>
      <c r="O1699" s="145" t="s">
        <v>351</v>
      </c>
      <c r="P1699" s="544" t="str">
        <f t="array" ref="P1699">HYPERLINK(INDEX('File Links'!B:B, MATCH(O1699, 'File Links'!C:C, 0)))
</f>
        <v>#N/A</v>
      </c>
      <c r="Q1699" s="147" t="s">
        <v>6103</v>
      </c>
      <c r="R1699" s="147" t="s">
        <v>6104</v>
      </c>
      <c r="S1699" s="60"/>
      <c r="T1699" s="144">
        <v>1.0</v>
      </c>
      <c r="U1699" s="145" t="s">
        <v>6105</v>
      </c>
      <c r="V1699" s="147" t="s">
        <v>9072</v>
      </c>
      <c r="W1699" s="1455" t="str">
        <f> hyperlink(vlookup(lower(R1699),'File Links'!F:G, 2, FALSE), "LINK")</f>
        <v>LINK</v>
      </c>
      <c r="X1699" s="60"/>
      <c r="Y1699" s="147" t="s">
        <v>1820</v>
      </c>
      <c r="Z1699" s="147" t="s">
        <v>10663</v>
      </c>
      <c r="AA1699" s="147" t="s">
        <v>10664</v>
      </c>
      <c r="AB1699" s="147" t="s">
        <v>10695</v>
      </c>
      <c r="AC1699" s="147" t="s">
        <v>10692</v>
      </c>
      <c r="AD1699" s="144">
        <v>8.0</v>
      </c>
      <c r="AE1699" s="144">
        <v>540.0</v>
      </c>
      <c r="AF1699" s="144">
        <v>1.01</v>
      </c>
      <c r="AG1699" s="144" t="s">
        <v>722</v>
      </c>
      <c r="AH1699" s="144" t="s">
        <v>610</v>
      </c>
      <c r="AI1699" s="144">
        <v>0.05</v>
      </c>
      <c r="AJ1699" s="147" t="s">
        <v>329</v>
      </c>
      <c r="AK1699" s="147" t="s">
        <v>179</v>
      </c>
      <c r="AL1699" s="147" t="s">
        <v>132</v>
      </c>
      <c r="AM1699" s="60"/>
      <c r="AN1699" s="144">
        <v>250.0</v>
      </c>
      <c r="AO1699" s="1495">
        <v>0.999</v>
      </c>
      <c r="AP1699" s="144" t="s">
        <v>722</v>
      </c>
      <c r="AQ1699" s="144" t="s">
        <v>624</v>
      </c>
      <c r="AR1699" s="144">
        <v>0.05</v>
      </c>
      <c r="AS1699" s="147" t="s">
        <v>329</v>
      </c>
      <c r="AT1699" s="147" t="s">
        <v>179</v>
      </c>
      <c r="AU1699" s="147" t="s">
        <v>132</v>
      </c>
      <c r="AV1699" s="60"/>
      <c r="AW1699" s="1354" t="s">
        <v>142</v>
      </c>
      <c r="AY1699" s="60" t="s">
        <v>144</v>
      </c>
    </row>
    <row r="1700">
      <c r="A1700" s="60" t="s">
        <v>586</v>
      </c>
      <c r="B1700" s="41" t="s">
        <v>107</v>
      </c>
      <c r="C1700" s="41" t="s">
        <v>144</v>
      </c>
      <c r="E1700" s="60" t="s">
        <v>10651</v>
      </c>
      <c r="F1700" s="147" t="s">
        <v>10696</v>
      </c>
      <c r="G1700" s="147" t="s">
        <v>144</v>
      </c>
      <c r="H1700" s="140">
        <v>45687.0</v>
      </c>
      <c r="I1700" s="140">
        <v>45692.0</v>
      </c>
      <c r="J1700" s="454" t="s">
        <v>10697</v>
      </c>
      <c r="K1700" s="147" t="s">
        <v>10662</v>
      </c>
      <c r="L1700" s="147" t="s">
        <v>10653</v>
      </c>
      <c r="M1700" s="60"/>
      <c r="N1700" s="144">
        <v>1.0</v>
      </c>
      <c r="O1700" s="145" t="s">
        <v>351</v>
      </c>
      <c r="P1700" s="544" t="str">
        <f t="array" ref="P1700">HYPERLINK(INDEX('File Links'!B:B, MATCH(O1700, 'File Links'!C:C, 0)))
</f>
        <v>#N/A</v>
      </c>
      <c r="Q1700" s="147" t="s">
        <v>6103</v>
      </c>
      <c r="R1700" s="147" t="s">
        <v>6104</v>
      </c>
      <c r="S1700" s="60"/>
      <c r="T1700" s="144">
        <v>1.0</v>
      </c>
      <c r="U1700" s="145" t="s">
        <v>6105</v>
      </c>
      <c r="V1700" s="147" t="s">
        <v>9072</v>
      </c>
      <c r="W1700" s="1455" t="str">
        <f> hyperlink(vlookup(lower(R1700),'File Links'!F:G, 2, FALSE), "LINK")</f>
        <v>LINK</v>
      </c>
      <c r="X1700" s="60"/>
      <c r="Y1700" s="147" t="s">
        <v>1820</v>
      </c>
      <c r="Z1700" s="147" t="s">
        <v>10663</v>
      </c>
      <c r="AA1700" s="147" t="s">
        <v>10664</v>
      </c>
      <c r="AB1700" s="147" t="s">
        <v>10698</v>
      </c>
      <c r="AC1700" s="147" t="s">
        <v>10692</v>
      </c>
      <c r="AD1700" s="144">
        <v>8.0</v>
      </c>
      <c r="AE1700" s="144">
        <v>540.0</v>
      </c>
      <c r="AF1700" s="144">
        <v>1.009</v>
      </c>
      <c r="AG1700" s="144" t="s">
        <v>722</v>
      </c>
      <c r="AH1700" s="144" t="s">
        <v>610</v>
      </c>
      <c r="AI1700" s="144">
        <v>0.05</v>
      </c>
      <c r="AJ1700" s="147" t="s">
        <v>329</v>
      </c>
      <c r="AK1700" s="147" t="s">
        <v>179</v>
      </c>
      <c r="AL1700" s="147" t="s">
        <v>132</v>
      </c>
      <c r="AM1700" s="60"/>
      <c r="AN1700" s="144">
        <v>250.0</v>
      </c>
      <c r="AO1700" s="1495">
        <v>0.997</v>
      </c>
      <c r="AP1700" s="144" t="s">
        <v>722</v>
      </c>
      <c r="AQ1700" s="144" t="s">
        <v>624</v>
      </c>
      <c r="AR1700" s="144">
        <v>0.05</v>
      </c>
      <c r="AS1700" s="147" t="s">
        <v>329</v>
      </c>
      <c r="AT1700" s="147" t="s">
        <v>179</v>
      </c>
      <c r="AU1700" s="147" t="s">
        <v>132</v>
      </c>
      <c r="AV1700" s="60"/>
      <c r="AW1700" s="1354" t="s">
        <v>142</v>
      </c>
      <c r="AY1700" s="60" t="s">
        <v>144</v>
      </c>
    </row>
    <row r="1701">
      <c r="A1701" s="60" t="s">
        <v>586</v>
      </c>
      <c r="B1701" s="41" t="s">
        <v>107</v>
      </c>
      <c r="C1701" s="41" t="s">
        <v>144</v>
      </c>
      <c r="E1701" s="60" t="s">
        <v>10651</v>
      </c>
      <c r="F1701" s="147" t="s">
        <v>10699</v>
      </c>
      <c r="G1701" s="147" t="s">
        <v>144</v>
      </c>
      <c r="H1701" s="140">
        <v>45687.0</v>
      </c>
      <c r="I1701" s="140">
        <v>45692.0</v>
      </c>
      <c r="J1701" s="454" t="s">
        <v>10700</v>
      </c>
      <c r="K1701" s="147" t="s">
        <v>10662</v>
      </c>
      <c r="L1701" s="147" t="s">
        <v>10653</v>
      </c>
      <c r="M1701" s="60"/>
      <c r="N1701" s="144">
        <v>1.0</v>
      </c>
      <c r="O1701" s="145" t="s">
        <v>351</v>
      </c>
      <c r="P1701" s="544" t="str">
        <f t="array" ref="P1701">HYPERLINK(INDEX('File Links'!B:B, MATCH(O1701, 'File Links'!C:C, 0)))
</f>
        <v>#N/A</v>
      </c>
      <c r="Q1701" s="147" t="s">
        <v>6103</v>
      </c>
      <c r="R1701" s="147" t="s">
        <v>6104</v>
      </c>
      <c r="S1701" s="60"/>
      <c r="T1701" s="144">
        <v>1.0</v>
      </c>
      <c r="U1701" s="145" t="s">
        <v>6105</v>
      </c>
      <c r="V1701" s="147" t="s">
        <v>9072</v>
      </c>
      <c r="W1701" s="1455" t="str">
        <f> hyperlink(vlookup(lower(R1701),'File Links'!F:G, 2, FALSE), "LINK")</f>
        <v>LINK</v>
      </c>
      <c r="X1701" s="60"/>
      <c r="Y1701" s="147" t="s">
        <v>1820</v>
      </c>
      <c r="Z1701" s="147" t="s">
        <v>10663</v>
      </c>
      <c r="AA1701" s="147" t="s">
        <v>10664</v>
      </c>
      <c r="AB1701" s="147" t="s">
        <v>10701</v>
      </c>
      <c r="AC1701" s="147" t="s">
        <v>10702</v>
      </c>
      <c r="AD1701" s="144">
        <v>8.0</v>
      </c>
      <c r="AE1701" s="144">
        <v>540.0</v>
      </c>
      <c r="AF1701" s="144">
        <v>0.989</v>
      </c>
      <c r="AG1701" s="144" t="s">
        <v>722</v>
      </c>
      <c r="AH1701" s="144" t="s">
        <v>610</v>
      </c>
      <c r="AI1701" s="144">
        <v>0.05</v>
      </c>
      <c r="AJ1701" s="147" t="s">
        <v>329</v>
      </c>
      <c r="AK1701" s="147" t="s">
        <v>179</v>
      </c>
      <c r="AL1701" s="147" t="s">
        <v>132</v>
      </c>
      <c r="AM1701" s="60"/>
      <c r="AN1701" s="144">
        <v>250.0</v>
      </c>
      <c r="AO1701" s="1495">
        <v>0.998</v>
      </c>
      <c r="AP1701" s="144" t="s">
        <v>722</v>
      </c>
      <c r="AQ1701" s="144" t="s">
        <v>624</v>
      </c>
      <c r="AR1701" s="144">
        <v>0.05</v>
      </c>
      <c r="AS1701" s="147" t="s">
        <v>329</v>
      </c>
      <c r="AT1701" s="147" t="s">
        <v>179</v>
      </c>
      <c r="AU1701" s="147" t="s">
        <v>132</v>
      </c>
      <c r="AV1701" s="60"/>
      <c r="AW1701" s="1354" t="s">
        <v>142</v>
      </c>
      <c r="AY1701" s="60" t="s">
        <v>144</v>
      </c>
    </row>
    <row r="1702">
      <c r="A1702" s="60" t="s">
        <v>586</v>
      </c>
      <c r="B1702" s="41" t="s">
        <v>107</v>
      </c>
      <c r="C1702" s="41" t="s">
        <v>144</v>
      </c>
      <c r="E1702" s="60" t="s">
        <v>10651</v>
      </c>
      <c r="F1702" s="147" t="s">
        <v>10703</v>
      </c>
      <c r="G1702" s="147" t="s">
        <v>144</v>
      </c>
      <c r="H1702" s="140">
        <v>45687.0</v>
      </c>
      <c r="I1702" s="140">
        <v>45692.0</v>
      </c>
      <c r="J1702" s="454" t="s">
        <v>10704</v>
      </c>
      <c r="K1702" s="147" t="s">
        <v>10662</v>
      </c>
      <c r="L1702" s="147" t="s">
        <v>10653</v>
      </c>
      <c r="M1702" s="60"/>
      <c r="N1702" s="144">
        <v>1.0</v>
      </c>
      <c r="O1702" s="145" t="s">
        <v>351</v>
      </c>
      <c r="P1702" s="544" t="str">
        <f t="array" ref="P1702">HYPERLINK(INDEX('File Links'!B:B, MATCH(O1702, 'File Links'!C:C, 0)))
</f>
        <v>#N/A</v>
      </c>
      <c r="Q1702" s="147" t="s">
        <v>6103</v>
      </c>
      <c r="R1702" s="147" t="s">
        <v>6104</v>
      </c>
      <c r="S1702" s="60"/>
      <c r="T1702" s="144">
        <v>1.0</v>
      </c>
      <c r="U1702" s="145" t="s">
        <v>6105</v>
      </c>
      <c r="V1702" s="147" t="s">
        <v>9072</v>
      </c>
      <c r="W1702" s="1455" t="str">
        <f> hyperlink(vlookup(lower(R1702),'File Links'!F:G, 2, FALSE), "LINK")</f>
        <v>LINK</v>
      </c>
      <c r="X1702" s="60"/>
      <c r="Y1702" s="147" t="s">
        <v>1820</v>
      </c>
      <c r="Z1702" s="147" t="s">
        <v>10663</v>
      </c>
      <c r="AA1702" s="147" t="s">
        <v>10664</v>
      </c>
      <c r="AB1702" s="147" t="s">
        <v>10701</v>
      </c>
      <c r="AC1702" s="147" t="s">
        <v>10702</v>
      </c>
      <c r="AD1702" s="144">
        <v>8.0</v>
      </c>
      <c r="AE1702" s="144">
        <v>540.0</v>
      </c>
      <c r="AF1702" s="144">
        <v>0.989</v>
      </c>
      <c r="AG1702" s="144" t="s">
        <v>722</v>
      </c>
      <c r="AH1702" s="144" t="s">
        <v>610</v>
      </c>
      <c r="AI1702" s="144">
        <v>0.05</v>
      </c>
      <c r="AJ1702" s="147" t="s">
        <v>329</v>
      </c>
      <c r="AK1702" s="147" t="s">
        <v>179</v>
      </c>
      <c r="AL1702" s="147" t="s">
        <v>132</v>
      </c>
      <c r="AM1702" s="60"/>
      <c r="AN1702" s="144">
        <v>250.0</v>
      </c>
      <c r="AO1702" s="1495">
        <v>0.998</v>
      </c>
      <c r="AP1702" s="144" t="s">
        <v>722</v>
      </c>
      <c r="AQ1702" s="144" t="s">
        <v>624</v>
      </c>
      <c r="AR1702" s="144">
        <v>0.05</v>
      </c>
      <c r="AS1702" s="147" t="s">
        <v>329</v>
      </c>
      <c r="AT1702" s="147" t="s">
        <v>179</v>
      </c>
      <c r="AU1702" s="147" t="s">
        <v>132</v>
      </c>
      <c r="AV1702" s="60"/>
      <c r="AW1702" s="1354" t="s">
        <v>142</v>
      </c>
      <c r="AY1702" s="60" t="s">
        <v>144</v>
      </c>
    </row>
    <row r="1703">
      <c r="A1703" s="60" t="s">
        <v>586</v>
      </c>
      <c r="B1703" s="41" t="s">
        <v>107</v>
      </c>
      <c r="C1703" s="41" t="s">
        <v>144</v>
      </c>
      <c r="E1703" s="60" t="s">
        <v>10651</v>
      </c>
      <c r="F1703" s="147" t="s">
        <v>10705</v>
      </c>
      <c r="G1703" s="147" t="s">
        <v>144</v>
      </c>
      <c r="H1703" s="140">
        <v>45687.0</v>
      </c>
      <c r="I1703" s="140">
        <v>45692.0</v>
      </c>
      <c r="J1703" s="454" t="s">
        <v>10706</v>
      </c>
      <c r="K1703" s="147" t="s">
        <v>10662</v>
      </c>
      <c r="L1703" s="147" t="s">
        <v>10653</v>
      </c>
      <c r="M1703" s="60"/>
      <c r="N1703" s="144">
        <v>1.0</v>
      </c>
      <c r="O1703" s="145" t="s">
        <v>351</v>
      </c>
      <c r="P1703" s="544" t="str">
        <f t="array" ref="P1703">HYPERLINK(INDEX('File Links'!B:B, MATCH(O1703, 'File Links'!C:C, 0)))
</f>
        <v>#N/A</v>
      </c>
      <c r="Q1703" s="147" t="s">
        <v>6103</v>
      </c>
      <c r="R1703" s="147" t="s">
        <v>6104</v>
      </c>
      <c r="S1703" s="60"/>
      <c r="T1703" s="144">
        <v>1.0</v>
      </c>
      <c r="U1703" s="145" t="s">
        <v>6105</v>
      </c>
      <c r="V1703" s="147" t="s">
        <v>9072</v>
      </c>
      <c r="W1703" s="1455" t="str">
        <f> hyperlink(vlookup(lower(R1703),'File Links'!F:G, 2, FALSE), "LINK")</f>
        <v>LINK</v>
      </c>
      <c r="X1703" s="60"/>
      <c r="Y1703" s="147" t="s">
        <v>1820</v>
      </c>
      <c r="Z1703" s="147" t="s">
        <v>10663</v>
      </c>
      <c r="AA1703" s="147" t="s">
        <v>10664</v>
      </c>
      <c r="AB1703" s="147" t="s">
        <v>10701</v>
      </c>
      <c r="AC1703" s="147" t="s">
        <v>10702</v>
      </c>
      <c r="AD1703" s="144">
        <v>8.0</v>
      </c>
      <c r="AE1703" s="144">
        <v>540.0</v>
      </c>
      <c r="AF1703" s="144">
        <v>0.989</v>
      </c>
      <c r="AG1703" s="144" t="s">
        <v>722</v>
      </c>
      <c r="AH1703" s="144" t="s">
        <v>610</v>
      </c>
      <c r="AI1703" s="144">
        <v>0.05</v>
      </c>
      <c r="AJ1703" s="147" t="s">
        <v>329</v>
      </c>
      <c r="AK1703" s="147" t="s">
        <v>179</v>
      </c>
      <c r="AL1703" s="147" t="s">
        <v>132</v>
      </c>
      <c r="AM1703" s="60"/>
      <c r="AN1703" s="144">
        <v>250.0</v>
      </c>
      <c r="AO1703" s="1495">
        <v>0.997</v>
      </c>
      <c r="AP1703" s="144" t="s">
        <v>722</v>
      </c>
      <c r="AQ1703" s="144" t="s">
        <v>624</v>
      </c>
      <c r="AR1703" s="144">
        <v>0.05</v>
      </c>
      <c r="AS1703" s="147" t="s">
        <v>329</v>
      </c>
      <c r="AT1703" s="147" t="s">
        <v>179</v>
      </c>
      <c r="AU1703" s="147" t="s">
        <v>132</v>
      </c>
      <c r="AV1703" s="60"/>
      <c r="AW1703" s="1354" t="s">
        <v>142</v>
      </c>
      <c r="AY1703" s="60" t="s">
        <v>144</v>
      </c>
    </row>
    <row r="1704">
      <c r="A1704" s="60" t="s">
        <v>106</v>
      </c>
      <c r="B1704" s="41" t="s">
        <v>107</v>
      </c>
      <c r="C1704" s="41" t="s">
        <v>243</v>
      </c>
      <c r="E1704" s="147" t="s">
        <v>10707</v>
      </c>
      <c r="F1704" s="147" t="s">
        <v>10708</v>
      </c>
      <c r="G1704" s="147" t="s">
        <v>244</v>
      </c>
      <c r="H1704" s="140">
        <v>45673.0</v>
      </c>
      <c r="I1704" s="140">
        <v>45692.0</v>
      </c>
      <c r="J1704" s="60"/>
      <c r="K1704" s="60"/>
      <c r="L1704" s="147" t="s">
        <v>10709</v>
      </c>
      <c r="M1704" s="147" t="s">
        <v>10710</v>
      </c>
      <c r="N1704" s="60"/>
      <c r="O1704" s="145" t="str">
        <f> SUBSTITUTE(lower(M1704), "/", "--") &amp;  ".pdf"</f>
        <v>10.1177--0956797614561266.pdf</v>
      </c>
      <c r="P1704" s="48" t="str">
        <f t="array" ref="P1704">HYPERLINK(INDEX('File Links'!B:B, MATCH(O1704, 'File Links'!C:C, 0)))
</f>
        <v>https://drive.google.com/file/d/1J0gXacFjwTY8lqoRS7-Ly_0MayhAFMtY/view?usp=drivesdk</v>
      </c>
      <c r="Q1704" s="147" t="s">
        <v>10711</v>
      </c>
      <c r="R1704" s="147" t="s">
        <v>10712</v>
      </c>
      <c r="S1704" s="60"/>
      <c r="T1704" s="60"/>
      <c r="U1704" s="145" t="s">
        <v>6105</v>
      </c>
      <c r="V1704" s="147" t="s">
        <v>318</v>
      </c>
      <c r="W1704" s="1455" t="str">
        <f> hyperlink(vlookup(lower(R1704),'File Links'!E:F, 2, FALSE), "LINK")</f>
        <v>LINK</v>
      </c>
      <c r="X1704" s="60"/>
      <c r="Y1704" s="147" t="s">
        <v>220</v>
      </c>
      <c r="Z1704" s="147" t="s">
        <v>6247</v>
      </c>
      <c r="AA1704" s="60"/>
      <c r="AB1704" s="147" t="s">
        <v>6249</v>
      </c>
      <c r="AC1704" s="147" t="s">
        <v>10713</v>
      </c>
      <c r="AD1704" s="144">
        <v>4.0</v>
      </c>
      <c r="AE1704" s="144">
        <v>312.0</v>
      </c>
      <c r="AF1704" s="1486">
        <v>0.36</v>
      </c>
      <c r="AG1704" s="147" t="s">
        <v>166</v>
      </c>
      <c r="AH1704" s="147" t="s">
        <v>494</v>
      </c>
      <c r="AI1704" s="144">
        <v>0.002</v>
      </c>
      <c r="AJ1704" s="147" t="s">
        <v>164</v>
      </c>
      <c r="AK1704" s="147" t="s">
        <v>179</v>
      </c>
      <c r="AL1704" s="147" t="s">
        <v>129</v>
      </c>
      <c r="AM1704" s="147" t="s">
        <v>129</v>
      </c>
      <c r="AN1704" s="144">
        <v>321.0</v>
      </c>
      <c r="AO1704" s="1486">
        <v>0.196909487739417</v>
      </c>
      <c r="AP1704" s="147" t="s">
        <v>166</v>
      </c>
      <c r="AQ1704" s="60"/>
      <c r="AR1704" s="1486">
        <v>0.0791635471444569</v>
      </c>
      <c r="AS1704" s="147" t="s">
        <v>164</v>
      </c>
      <c r="AT1704" s="147" t="s">
        <v>179</v>
      </c>
      <c r="AU1704" s="147" t="s">
        <v>129</v>
      </c>
      <c r="AV1704" s="60"/>
      <c r="AW1704" s="147" t="s">
        <v>134</v>
      </c>
      <c r="AY1704" s="60" t="s">
        <v>144</v>
      </c>
    </row>
    <row r="1705">
      <c r="A1705" s="115" t="s">
        <v>5350</v>
      </c>
      <c r="B1705" s="41" t="s">
        <v>107</v>
      </c>
      <c r="C1705" s="41" t="s">
        <v>144</v>
      </c>
      <c r="E1705" s="60" t="s">
        <v>10708</v>
      </c>
      <c r="F1705" s="147" t="s">
        <v>10714</v>
      </c>
      <c r="G1705" s="147" t="s">
        <v>144</v>
      </c>
      <c r="H1705" s="140">
        <v>45687.0</v>
      </c>
      <c r="I1705" s="140">
        <v>45692.0</v>
      </c>
      <c r="J1705" s="454" t="s">
        <v>10715</v>
      </c>
      <c r="K1705" s="60"/>
      <c r="L1705" s="147" t="s">
        <v>10709</v>
      </c>
      <c r="M1705" s="147" t="s">
        <v>10710</v>
      </c>
      <c r="N1705" s="144">
        <v>1.0</v>
      </c>
      <c r="O1705" s="145" t="s">
        <v>10716</v>
      </c>
      <c r="P1705" s="48" t="str">
        <f t="array" ref="P1705">HYPERLINK(INDEX('File Links'!B:B, MATCH(O1705, 'File Links'!C:C, 0)))
</f>
        <v>https://drive.google.com/file/d/1J0gXacFjwTY8lqoRS7-Ly_0MayhAFMtY/view?usp=drivesdk</v>
      </c>
      <c r="Q1705" s="147" t="s">
        <v>6103</v>
      </c>
      <c r="R1705" s="147" t="s">
        <v>6104</v>
      </c>
      <c r="S1705" s="60"/>
      <c r="T1705" s="144">
        <v>1.0</v>
      </c>
      <c r="U1705" s="145" t="s">
        <v>6105</v>
      </c>
      <c r="V1705" s="147" t="s">
        <v>9109</v>
      </c>
      <c r="W1705" s="1455" t="str">
        <f> hyperlink(vlookup(lower(R1705),'File Links'!F:G, 2, FALSE), "LINK")</f>
        <v>LINK</v>
      </c>
      <c r="X1705" s="60"/>
      <c r="Y1705" s="147" t="s">
        <v>220</v>
      </c>
      <c r="Z1705" s="147" t="s">
        <v>7920</v>
      </c>
      <c r="AA1705" s="147" t="s">
        <v>10717</v>
      </c>
      <c r="AB1705" s="147" t="s">
        <v>10718</v>
      </c>
      <c r="AC1705" s="147" t="s">
        <v>10719</v>
      </c>
      <c r="AD1705" s="144">
        <v>4.0</v>
      </c>
      <c r="AE1705" s="144">
        <v>312.0</v>
      </c>
      <c r="AF1705" s="144">
        <v>0.36</v>
      </c>
      <c r="AG1705" s="144" t="s">
        <v>166</v>
      </c>
      <c r="AH1705" s="144" t="s">
        <v>861</v>
      </c>
      <c r="AI1705" s="144">
        <v>0.002</v>
      </c>
      <c r="AJ1705" s="147" t="s">
        <v>164</v>
      </c>
      <c r="AK1705" s="147" t="s">
        <v>179</v>
      </c>
      <c r="AL1705" s="147" t="s">
        <v>129</v>
      </c>
      <c r="AM1705" s="60"/>
      <c r="AN1705" s="144">
        <v>321.0</v>
      </c>
      <c r="AO1705" s="1487">
        <v>0.1761949</v>
      </c>
      <c r="AP1705" s="144" t="s">
        <v>1006</v>
      </c>
      <c r="AQ1705" s="144" t="s">
        <v>2232</v>
      </c>
      <c r="AR1705" s="327">
        <v>0.0791605</v>
      </c>
      <c r="AS1705" s="147" t="s">
        <v>164</v>
      </c>
      <c r="AT1705" s="147" t="s">
        <v>179</v>
      </c>
      <c r="AU1705" s="147" t="s">
        <v>129</v>
      </c>
      <c r="AV1705" s="60"/>
      <c r="AW1705" s="60" t="s">
        <v>134</v>
      </c>
      <c r="AY1705" s="60" t="s">
        <v>144</v>
      </c>
    </row>
    <row r="1706">
      <c r="A1706" s="115" t="s">
        <v>5350</v>
      </c>
      <c r="B1706" s="41" t="s">
        <v>107</v>
      </c>
      <c r="C1706" s="41" t="s">
        <v>144</v>
      </c>
      <c r="E1706" s="60" t="s">
        <v>10708</v>
      </c>
      <c r="F1706" s="147" t="s">
        <v>10720</v>
      </c>
      <c r="G1706" s="147" t="s">
        <v>144</v>
      </c>
      <c r="H1706" s="140">
        <v>45687.0</v>
      </c>
      <c r="I1706" s="140">
        <v>45692.0</v>
      </c>
      <c r="J1706" s="454" t="s">
        <v>10721</v>
      </c>
      <c r="K1706" s="60"/>
      <c r="L1706" s="147" t="s">
        <v>10709</v>
      </c>
      <c r="M1706" s="147" t="s">
        <v>10710</v>
      </c>
      <c r="N1706" s="144">
        <v>1.0</v>
      </c>
      <c r="O1706" s="145" t="s">
        <v>10716</v>
      </c>
      <c r="P1706" s="48" t="str">
        <f t="array" ref="P1706">HYPERLINK(INDEX('File Links'!B:B, MATCH(O1706, 'File Links'!C:C, 0)))
</f>
        <v>https://drive.google.com/file/d/1J0gXacFjwTY8lqoRS7-Ly_0MayhAFMtY/view?usp=drivesdk</v>
      </c>
      <c r="Q1706" s="147" t="s">
        <v>6103</v>
      </c>
      <c r="R1706" s="147" t="s">
        <v>6104</v>
      </c>
      <c r="S1706" s="60"/>
      <c r="T1706" s="144">
        <v>1.0</v>
      </c>
      <c r="U1706" s="145" t="s">
        <v>6105</v>
      </c>
      <c r="V1706" s="147" t="s">
        <v>9109</v>
      </c>
      <c r="W1706" s="1455" t="str">
        <f> hyperlink(vlookup(lower(R1706),'File Links'!F:G, 2, FALSE), "LINK")</f>
        <v>LINK</v>
      </c>
      <c r="X1706" s="60"/>
      <c r="Y1706" s="147" t="s">
        <v>220</v>
      </c>
      <c r="Z1706" s="147" t="s">
        <v>7920</v>
      </c>
      <c r="AA1706" s="147" t="s">
        <v>10717</v>
      </c>
      <c r="AB1706" s="147" t="s">
        <v>10722</v>
      </c>
      <c r="AC1706" s="147" t="s">
        <v>10723</v>
      </c>
      <c r="AD1706" s="144">
        <v>4.0</v>
      </c>
      <c r="AE1706" s="144">
        <v>312.0</v>
      </c>
      <c r="AF1706" s="144">
        <v>0.27</v>
      </c>
      <c r="AG1706" s="144" t="s">
        <v>166</v>
      </c>
      <c r="AH1706" s="144" t="s">
        <v>861</v>
      </c>
      <c r="AI1706" s="144">
        <v>0.018</v>
      </c>
      <c r="AJ1706" s="147" t="s">
        <v>164</v>
      </c>
      <c r="AK1706" s="147" t="s">
        <v>179</v>
      </c>
      <c r="AL1706" s="147" t="s">
        <v>129</v>
      </c>
      <c r="AM1706" s="60"/>
      <c r="AN1706" s="144">
        <v>321.0</v>
      </c>
      <c r="AO1706" s="1482">
        <v>0.3183289</v>
      </c>
      <c r="AP1706" s="144" t="s">
        <v>1006</v>
      </c>
      <c r="AQ1706" s="144" t="s">
        <v>432</v>
      </c>
      <c r="AR1706" s="327">
        <v>0.0218658</v>
      </c>
      <c r="AS1706" s="147" t="s">
        <v>164</v>
      </c>
      <c r="AT1706" s="147" t="s">
        <v>179</v>
      </c>
      <c r="AU1706" s="147" t="s">
        <v>129</v>
      </c>
      <c r="AV1706" s="60"/>
      <c r="AW1706" s="60" t="s">
        <v>134</v>
      </c>
      <c r="AY1706" s="60" t="s">
        <v>144</v>
      </c>
    </row>
    <row r="1707">
      <c r="A1707" s="115" t="s">
        <v>5350</v>
      </c>
      <c r="B1707" s="41" t="s">
        <v>107</v>
      </c>
      <c r="C1707" s="41" t="s">
        <v>144</v>
      </c>
      <c r="E1707" s="60" t="s">
        <v>10708</v>
      </c>
      <c r="F1707" s="147" t="s">
        <v>10724</v>
      </c>
      <c r="G1707" s="147" t="s">
        <v>144</v>
      </c>
      <c r="H1707" s="140">
        <v>45687.0</v>
      </c>
      <c r="I1707" s="140">
        <v>45692.0</v>
      </c>
      <c r="J1707" s="454" t="s">
        <v>10725</v>
      </c>
      <c r="K1707" s="60"/>
      <c r="L1707" s="147" t="s">
        <v>10709</v>
      </c>
      <c r="M1707" s="147" t="s">
        <v>10710</v>
      </c>
      <c r="N1707" s="144">
        <v>1.0</v>
      </c>
      <c r="O1707" s="145" t="s">
        <v>10716</v>
      </c>
      <c r="P1707" s="48" t="str">
        <f t="array" ref="P1707">HYPERLINK(INDEX('File Links'!B:B, MATCH(O1707, 'File Links'!C:C, 0)))
</f>
        <v>https://drive.google.com/file/d/1J0gXacFjwTY8lqoRS7-Ly_0MayhAFMtY/view?usp=drivesdk</v>
      </c>
      <c r="Q1707" s="147" t="s">
        <v>6103</v>
      </c>
      <c r="R1707" s="147" t="s">
        <v>6104</v>
      </c>
      <c r="S1707" s="60"/>
      <c r="T1707" s="144">
        <v>1.0</v>
      </c>
      <c r="U1707" s="145" t="s">
        <v>6105</v>
      </c>
      <c r="V1707" s="147" t="s">
        <v>9109</v>
      </c>
      <c r="W1707" s="1455" t="str">
        <f> hyperlink(vlookup(lower(R1707),'File Links'!F:G, 2, FALSE), "LINK")</f>
        <v>LINK</v>
      </c>
      <c r="X1707" s="60"/>
      <c r="Y1707" s="147" t="s">
        <v>220</v>
      </c>
      <c r="Z1707" s="147" t="s">
        <v>7920</v>
      </c>
      <c r="AA1707" s="147" t="s">
        <v>10717</v>
      </c>
      <c r="AB1707" s="147" t="s">
        <v>10726</v>
      </c>
      <c r="AC1707" s="147" t="s">
        <v>10727</v>
      </c>
      <c r="AD1707" s="144">
        <v>4.0</v>
      </c>
      <c r="AE1707" s="144">
        <v>312.0</v>
      </c>
      <c r="AF1707" s="144">
        <v>0.23</v>
      </c>
      <c r="AG1707" s="144" t="s">
        <v>166</v>
      </c>
      <c r="AH1707" s="144" t="s">
        <v>861</v>
      </c>
      <c r="AI1707" s="144">
        <v>0.04</v>
      </c>
      <c r="AJ1707" s="147" t="s">
        <v>164</v>
      </c>
      <c r="AK1707" s="147" t="s">
        <v>179</v>
      </c>
      <c r="AL1707" s="147" t="s">
        <v>129</v>
      </c>
      <c r="AM1707" s="60"/>
      <c r="AN1707" s="144">
        <v>321.0</v>
      </c>
      <c r="AO1707" s="1487">
        <v>-0.0425567</v>
      </c>
      <c r="AP1707" s="144" t="s">
        <v>1006</v>
      </c>
      <c r="AQ1707" s="144" t="s">
        <v>2232</v>
      </c>
      <c r="AR1707" s="327">
        <v>0.5663768</v>
      </c>
      <c r="AS1707" s="147" t="s">
        <v>164</v>
      </c>
      <c r="AT1707" s="147" t="s">
        <v>179</v>
      </c>
      <c r="AU1707" s="147" t="s">
        <v>129</v>
      </c>
      <c r="AV1707" s="60"/>
      <c r="AW1707" s="60" t="s">
        <v>134</v>
      </c>
      <c r="AY1707" s="60" t="s">
        <v>144</v>
      </c>
    </row>
    <row r="1708">
      <c r="A1708" s="115" t="s">
        <v>5350</v>
      </c>
      <c r="B1708" s="41" t="s">
        <v>107</v>
      </c>
      <c r="C1708" s="41" t="s">
        <v>144</v>
      </c>
      <c r="E1708" s="60" t="s">
        <v>10708</v>
      </c>
      <c r="F1708" s="147" t="s">
        <v>10728</v>
      </c>
      <c r="G1708" s="147" t="s">
        <v>144</v>
      </c>
      <c r="H1708" s="140">
        <v>45687.0</v>
      </c>
      <c r="I1708" s="140">
        <v>45692.0</v>
      </c>
      <c r="J1708" s="454" t="s">
        <v>10729</v>
      </c>
      <c r="K1708" s="60"/>
      <c r="L1708" s="147" t="s">
        <v>10709</v>
      </c>
      <c r="M1708" s="147" t="s">
        <v>10710</v>
      </c>
      <c r="N1708" s="144">
        <v>1.0</v>
      </c>
      <c r="O1708" s="145" t="s">
        <v>10716</v>
      </c>
      <c r="P1708" s="48" t="str">
        <f t="array" ref="P1708">HYPERLINK(INDEX('File Links'!B:B, MATCH(O1708, 'File Links'!C:C, 0)))
</f>
        <v>https://drive.google.com/file/d/1J0gXacFjwTY8lqoRS7-Ly_0MayhAFMtY/view?usp=drivesdk</v>
      </c>
      <c r="Q1708" s="147" t="s">
        <v>6103</v>
      </c>
      <c r="R1708" s="147" t="s">
        <v>6104</v>
      </c>
      <c r="S1708" s="60"/>
      <c r="T1708" s="144">
        <v>1.0</v>
      </c>
      <c r="U1708" s="145" t="s">
        <v>6105</v>
      </c>
      <c r="V1708" s="147" t="s">
        <v>9109</v>
      </c>
      <c r="W1708" s="1455" t="str">
        <f> hyperlink(vlookup(lower(R1708),'File Links'!F:G, 2, FALSE), "LINK")</f>
        <v>LINK</v>
      </c>
      <c r="X1708" s="60"/>
      <c r="Y1708" s="147" t="s">
        <v>220</v>
      </c>
      <c r="Z1708" s="147" t="s">
        <v>7920</v>
      </c>
      <c r="AA1708" s="147" t="s">
        <v>10717</v>
      </c>
      <c r="AB1708" s="147" t="s">
        <v>10730</v>
      </c>
      <c r="AC1708" s="147" t="s">
        <v>10731</v>
      </c>
      <c r="AD1708" s="144">
        <v>4.0</v>
      </c>
      <c r="AE1708" s="144">
        <v>312.0</v>
      </c>
      <c r="AF1708" s="144">
        <v>0.04</v>
      </c>
      <c r="AG1708" s="144" t="s">
        <v>1006</v>
      </c>
      <c r="AH1708" s="144" t="s">
        <v>861</v>
      </c>
      <c r="AI1708" s="144">
        <v>0.029</v>
      </c>
      <c r="AJ1708" s="147" t="s">
        <v>164</v>
      </c>
      <c r="AK1708" s="147" t="s">
        <v>179</v>
      </c>
      <c r="AL1708" s="147" t="s">
        <v>129</v>
      </c>
      <c r="AM1708" s="60"/>
      <c r="AN1708" s="144">
        <v>321.0</v>
      </c>
      <c r="AO1708" s="144">
        <v>0.0688052</v>
      </c>
      <c r="AP1708" s="144" t="s">
        <v>1006</v>
      </c>
      <c r="AQ1708" s="144" t="s">
        <v>624</v>
      </c>
      <c r="AR1708" s="60"/>
      <c r="AS1708" s="60"/>
      <c r="AT1708" s="147" t="s">
        <v>179</v>
      </c>
      <c r="AU1708" s="147" t="s">
        <v>129</v>
      </c>
      <c r="AV1708" s="60"/>
      <c r="AW1708" s="60" t="s">
        <v>134</v>
      </c>
      <c r="AY1708" s="60" t="s">
        <v>144</v>
      </c>
    </row>
    <row r="1709">
      <c r="A1709" s="115" t="s">
        <v>5350</v>
      </c>
      <c r="B1709" s="41" t="s">
        <v>107</v>
      </c>
      <c r="C1709" s="41" t="s">
        <v>144</v>
      </c>
      <c r="E1709" s="60" t="s">
        <v>10708</v>
      </c>
      <c r="F1709" s="147" t="s">
        <v>10732</v>
      </c>
      <c r="G1709" s="147" t="s">
        <v>144</v>
      </c>
      <c r="H1709" s="140">
        <v>45687.0</v>
      </c>
      <c r="I1709" s="140">
        <v>45692.0</v>
      </c>
      <c r="J1709" s="454" t="s">
        <v>10733</v>
      </c>
      <c r="K1709" s="60"/>
      <c r="L1709" s="147" t="s">
        <v>10709</v>
      </c>
      <c r="M1709" s="147" t="s">
        <v>10710</v>
      </c>
      <c r="N1709" s="144">
        <v>1.0</v>
      </c>
      <c r="O1709" s="145" t="s">
        <v>10716</v>
      </c>
      <c r="P1709" s="48" t="str">
        <f t="array" ref="P1709">HYPERLINK(INDEX('File Links'!B:B, MATCH(O1709, 'File Links'!C:C, 0)))
</f>
        <v>https://drive.google.com/file/d/1J0gXacFjwTY8lqoRS7-Ly_0MayhAFMtY/view?usp=drivesdk</v>
      </c>
      <c r="Q1709" s="147" t="s">
        <v>6103</v>
      </c>
      <c r="R1709" s="147" t="s">
        <v>6104</v>
      </c>
      <c r="S1709" s="60"/>
      <c r="T1709" s="144">
        <v>1.0</v>
      </c>
      <c r="U1709" s="145" t="s">
        <v>6105</v>
      </c>
      <c r="V1709" s="147" t="s">
        <v>9109</v>
      </c>
      <c r="W1709" s="1455" t="str">
        <f> hyperlink(vlookup(lower(R1709),'File Links'!F:G, 2, FALSE), "LINK")</f>
        <v>LINK</v>
      </c>
      <c r="X1709" s="60"/>
      <c r="Y1709" s="147" t="s">
        <v>220</v>
      </c>
      <c r="Z1709" s="147" t="s">
        <v>7920</v>
      </c>
      <c r="AA1709" s="147" t="s">
        <v>10717</v>
      </c>
      <c r="AB1709" s="147" t="s">
        <v>10734</v>
      </c>
      <c r="AC1709" s="147" t="s">
        <v>10735</v>
      </c>
      <c r="AD1709" s="144">
        <v>4.0</v>
      </c>
      <c r="AE1709" s="144">
        <v>312.0</v>
      </c>
      <c r="AF1709" s="327">
        <v>0.034</v>
      </c>
      <c r="AG1709" s="144" t="s">
        <v>1006</v>
      </c>
      <c r="AH1709" s="144" t="s">
        <v>861</v>
      </c>
      <c r="AI1709" s="327">
        <v>0.035</v>
      </c>
      <c r="AJ1709" s="147" t="s">
        <v>164</v>
      </c>
      <c r="AK1709" s="147" t="s">
        <v>179</v>
      </c>
      <c r="AL1709" s="147" t="s">
        <v>129</v>
      </c>
      <c r="AM1709" s="60"/>
      <c r="AN1709" s="144">
        <v>321.0</v>
      </c>
      <c r="AO1709" s="144">
        <v>0.076633</v>
      </c>
      <c r="AP1709" s="144" t="s">
        <v>1006</v>
      </c>
      <c r="AQ1709" s="327" t="s">
        <v>1574</v>
      </c>
      <c r="AR1709" s="60"/>
      <c r="AS1709" s="60"/>
      <c r="AT1709" s="147" t="s">
        <v>179</v>
      </c>
      <c r="AU1709" s="147" t="s">
        <v>129</v>
      </c>
      <c r="AV1709" s="60"/>
      <c r="AW1709" s="60" t="s">
        <v>134</v>
      </c>
      <c r="AY1709" s="60" t="s">
        <v>144</v>
      </c>
    </row>
    <row r="1710">
      <c r="A1710" s="60" t="s">
        <v>106</v>
      </c>
      <c r="B1710" s="41" t="s">
        <v>107</v>
      </c>
      <c r="C1710" s="41" t="s">
        <v>243</v>
      </c>
      <c r="E1710" s="147" t="s">
        <v>10736</v>
      </c>
      <c r="F1710" s="147" t="s">
        <v>10737</v>
      </c>
      <c r="G1710" s="147" t="s">
        <v>244</v>
      </c>
      <c r="H1710" s="140">
        <v>45673.0</v>
      </c>
      <c r="I1710" s="140">
        <v>45692.0</v>
      </c>
      <c r="J1710" s="60"/>
      <c r="K1710" s="60" t="s">
        <v>9078</v>
      </c>
      <c r="L1710" s="147" t="s">
        <v>10738</v>
      </c>
      <c r="M1710" s="147" t="s">
        <v>10739</v>
      </c>
      <c r="N1710" s="60"/>
      <c r="O1710" s="145" t="str">
        <f> SUBSTITUTE(lower(M1710), "/", "--") &amp;  ".pdf"</f>
        <v>10.1177--0956797615617779.pdf</v>
      </c>
      <c r="P1710" s="48" t="str">
        <f t="array" ref="P1710">HYPERLINK(INDEX('File Links'!B:B, MATCH(O1710, 'File Links'!C:C, 0)))
</f>
        <v>https://drive.google.com/file/d/1X5Fe2As7h--ByO5qoa79Jna-iqMIag53/view?usp=drivesdk</v>
      </c>
      <c r="Q1710" s="147" t="s">
        <v>10740</v>
      </c>
      <c r="R1710" s="147" t="s">
        <v>10741</v>
      </c>
      <c r="S1710" s="60"/>
      <c r="T1710" s="60"/>
      <c r="U1710" s="145" t="s">
        <v>6105</v>
      </c>
      <c r="V1710" s="147" t="s">
        <v>318</v>
      </c>
      <c r="W1710" s="1455" t="str">
        <f> hyperlink(vlookup(lower(R1710),'File Links'!E:F, 2, FALSE), "LINK")</f>
        <v>LINK</v>
      </c>
      <c r="X1710" s="60"/>
      <c r="Y1710" s="147" t="s">
        <v>139</v>
      </c>
      <c r="Z1710" s="60"/>
      <c r="AA1710" s="147" t="s">
        <v>9842</v>
      </c>
      <c r="AB1710" s="60"/>
      <c r="AC1710" s="147" t="s">
        <v>10742</v>
      </c>
      <c r="AD1710" s="1265">
        <v>216.0</v>
      </c>
      <c r="AE1710" s="144">
        <v>22.0</v>
      </c>
      <c r="AF1710" s="1486">
        <v>22.8</v>
      </c>
      <c r="AG1710" s="147" t="s">
        <v>1051</v>
      </c>
      <c r="AH1710" s="1268" t="s">
        <v>10743</v>
      </c>
      <c r="AI1710" s="144">
        <v>0.001</v>
      </c>
      <c r="AJ1710" s="147" t="s">
        <v>127</v>
      </c>
      <c r="AK1710" s="147" t="s">
        <v>179</v>
      </c>
      <c r="AL1710" s="147" t="s">
        <v>132</v>
      </c>
      <c r="AM1710" s="147" t="s">
        <v>129</v>
      </c>
      <c r="AN1710" s="144">
        <v>14.0</v>
      </c>
      <c r="AO1710" s="144">
        <v>1.51479879344267</v>
      </c>
      <c r="AP1710" s="147" t="s">
        <v>166</v>
      </c>
      <c r="AQ1710" s="60"/>
      <c r="AR1710" s="1488">
        <v>1.09027208418848E-4</v>
      </c>
      <c r="AS1710" s="147" t="s">
        <v>164</v>
      </c>
      <c r="AT1710" s="147" t="s">
        <v>179</v>
      </c>
      <c r="AU1710" s="147" t="s">
        <v>132</v>
      </c>
      <c r="AV1710" s="60"/>
      <c r="AW1710" s="1268" t="s">
        <v>134</v>
      </c>
      <c r="AY1710" s="60" t="s">
        <v>144</v>
      </c>
    </row>
    <row r="1711">
      <c r="A1711" s="115" t="s">
        <v>5350</v>
      </c>
      <c r="B1711" s="41" t="s">
        <v>107</v>
      </c>
      <c r="C1711" s="41" t="s">
        <v>144</v>
      </c>
      <c r="E1711" s="60" t="s">
        <v>10737</v>
      </c>
      <c r="F1711" s="147" t="s">
        <v>10744</v>
      </c>
      <c r="G1711" s="147" t="s">
        <v>144</v>
      </c>
      <c r="H1711" s="140">
        <v>45687.0</v>
      </c>
      <c r="I1711" s="140">
        <v>45692.0</v>
      </c>
      <c r="J1711" s="412" t="s">
        <v>10745</v>
      </c>
      <c r="K1711" s="60"/>
      <c r="L1711" s="147" t="s">
        <v>10738</v>
      </c>
      <c r="M1711" s="147" t="s">
        <v>10739</v>
      </c>
      <c r="N1711" s="144" t="s">
        <v>3771</v>
      </c>
      <c r="O1711" s="145" t="s">
        <v>10746</v>
      </c>
      <c r="P1711" s="48" t="str">
        <f t="array" ref="P1711">HYPERLINK(INDEX('File Links'!B:B, MATCH(O1711, 'File Links'!C:C, 0)))
</f>
        <v>https://drive.google.com/file/d/1X5Fe2As7h--ByO5qoa79Jna-iqMIag53/view?usp=drivesdk</v>
      </c>
      <c r="Q1711" s="147" t="s">
        <v>6103</v>
      </c>
      <c r="R1711" s="147" t="s">
        <v>6104</v>
      </c>
      <c r="S1711" s="60"/>
      <c r="T1711" s="144">
        <v>1.0</v>
      </c>
      <c r="U1711" s="145" t="s">
        <v>6105</v>
      </c>
      <c r="V1711" s="147" t="s">
        <v>9109</v>
      </c>
      <c r="W1711" s="1455" t="str">
        <f> hyperlink(vlookup(lower(R1711),'File Links'!F:G, 2, FALSE), "LINK")</f>
        <v>LINK</v>
      </c>
      <c r="X1711" s="60"/>
      <c r="Y1711" s="147" t="s">
        <v>139</v>
      </c>
      <c r="Z1711" s="147" t="s">
        <v>10747</v>
      </c>
      <c r="AA1711" s="147" t="s">
        <v>10748</v>
      </c>
      <c r="AB1711" s="147" t="s">
        <v>10749</v>
      </c>
      <c r="AC1711" s="147" t="s">
        <v>10750</v>
      </c>
      <c r="AD1711" s="144">
        <v>3.0</v>
      </c>
      <c r="AE1711" s="144">
        <v>22.0</v>
      </c>
      <c r="AF1711" s="144">
        <v>0.67</v>
      </c>
      <c r="AG1711" s="144" t="s">
        <v>1785</v>
      </c>
      <c r="AH1711" s="144" t="s">
        <v>210</v>
      </c>
      <c r="AI1711" s="144">
        <v>0.001</v>
      </c>
      <c r="AJ1711" s="147" t="s">
        <v>127</v>
      </c>
      <c r="AK1711" s="147" t="s">
        <v>179</v>
      </c>
      <c r="AL1711" s="147" t="s">
        <v>132</v>
      </c>
      <c r="AM1711" s="60"/>
      <c r="AN1711" s="144">
        <v>14.0</v>
      </c>
      <c r="AO1711" s="144" t="s">
        <v>10751</v>
      </c>
      <c r="AP1711" s="144" t="s">
        <v>162</v>
      </c>
      <c r="AQ1711" s="144" t="s">
        <v>610</v>
      </c>
      <c r="AR1711" s="144">
        <v>0.0</v>
      </c>
      <c r="AS1711" s="147" t="s">
        <v>164</v>
      </c>
      <c r="AT1711" s="147" t="s">
        <v>179</v>
      </c>
      <c r="AU1711" s="147" t="s">
        <v>132</v>
      </c>
      <c r="AV1711" s="60"/>
      <c r="AW1711" s="60" t="s">
        <v>142</v>
      </c>
      <c r="AY1711" s="60" t="s">
        <v>144</v>
      </c>
    </row>
    <row r="1712">
      <c r="A1712" s="115" t="s">
        <v>5350</v>
      </c>
      <c r="B1712" s="41" t="s">
        <v>107</v>
      </c>
      <c r="C1712" s="41" t="s">
        <v>144</v>
      </c>
      <c r="E1712" s="60" t="s">
        <v>10737</v>
      </c>
      <c r="F1712" s="147" t="s">
        <v>10752</v>
      </c>
      <c r="G1712" s="147" t="s">
        <v>144</v>
      </c>
      <c r="H1712" s="140">
        <v>45687.0</v>
      </c>
      <c r="I1712" s="140">
        <v>45692.0</v>
      </c>
      <c r="J1712" s="412" t="s">
        <v>10745</v>
      </c>
      <c r="K1712" s="60"/>
      <c r="L1712" s="147" t="s">
        <v>10738</v>
      </c>
      <c r="M1712" s="147" t="s">
        <v>10739</v>
      </c>
      <c r="N1712" s="144" t="s">
        <v>3771</v>
      </c>
      <c r="O1712" s="145" t="s">
        <v>10746</v>
      </c>
      <c r="P1712" s="48" t="str">
        <f t="array" ref="P1712">HYPERLINK(INDEX('File Links'!B:B, MATCH(O1712, 'File Links'!C:C, 0)))
</f>
        <v>https://drive.google.com/file/d/1X5Fe2As7h--ByO5qoa79Jna-iqMIag53/view?usp=drivesdk</v>
      </c>
      <c r="Q1712" s="147" t="s">
        <v>6103</v>
      </c>
      <c r="R1712" s="147" t="s">
        <v>6104</v>
      </c>
      <c r="S1712" s="60"/>
      <c r="T1712" s="144">
        <v>1.0</v>
      </c>
      <c r="U1712" s="145" t="s">
        <v>6105</v>
      </c>
      <c r="V1712" s="147" t="s">
        <v>9109</v>
      </c>
      <c r="W1712" s="1455" t="str">
        <f> hyperlink(vlookup(lower(R1712),'File Links'!F:G, 2, FALSE), "LINK")</f>
        <v>LINK</v>
      </c>
      <c r="X1712" s="60"/>
      <c r="Y1712" s="147" t="s">
        <v>139</v>
      </c>
      <c r="Z1712" s="147" t="s">
        <v>10747</v>
      </c>
      <c r="AA1712" s="147" t="s">
        <v>10748</v>
      </c>
      <c r="AB1712" s="147" t="s">
        <v>10753</v>
      </c>
      <c r="AC1712" s="147" t="s">
        <v>10754</v>
      </c>
      <c r="AD1712" s="327">
        <v>3.0</v>
      </c>
      <c r="AE1712" s="144">
        <v>22.0</v>
      </c>
      <c r="AF1712" s="327">
        <v>0.55</v>
      </c>
      <c r="AG1712" s="144" t="s">
        <v>1785</v>
      </c>
      <c r="AH1712" s="327" t="s">
        <v>210</v>
      </c>
      <c r="AI1712" s="327">
        <v>0.001</v>
      </c>
      <c r="AJ1712" s="147" t="s">
        <v>127</v>
      </c>
      <c r="AK1712" s="147" t="s">
        <v>179</v>
      </c>
      <c r="AL1712" s="147" t="s">
        <v>132</v>
      </c>
      <c r="AM1712" s="60"/>
      <c r="AN1712" s="144">
        <v>14.0</v>
      </c>
      <c r="AO1712" s="144" t="s">
        <v>10755</v>
      </c>
      <c r="AP1712" s="144" t="s">
        <v>162</v>
      </c>
      <c r="AQ1712" s="327" t="s">
        <v>610</v>
      </c>
      <c r="AR1712" s="1487">
        <v>0.002</v>
      </c>
      <c r="AS1712" s="147" t="s">
        <v>164</v>
      </c>
      <c r="AT1712" s="147" t="s">
        <v>179</v>
      </c>
      <c r="AU1712" s="147" t="s">
        <v>132</v>
      </c>
      <c r="AV1712" s="60"/>
      <c r="AW1712" s="60" t="s">
        <v>142</v>
      </c>
      <c r="AY1712" s="60" t="s">
        <v>144</v>
      </c>
    </row>
    <row r="1713">
      <c r="A1713" s="115" t="s">
        <v>5350</v>
      </c>
      <c r="B1713" s="41" t="s">
        <v>107</v>
      </c>
      <c r="C1713" s="41" t="s">
        <v>144</v>
      </c>
      <c r="E1713" s="60" t="s">
        <v>10737</v>
      </c>
      <c r="F1713" s="147" t="s">
        <v>10756</v>
      </c>
      <c r="G1713" s="147" t="s">
        <v>144</v>
      </c>
      <c r="H1713" s="140">
        <v>45687.0</v>
      </c>
      <c r="I1713" s="140">
        <v>45692.0</v>
      </c>
      <c r="J1713" s="412" t="s">
        <v>10745</v>
      </c>
      <c r="K1713" s="60"/>
      <c r="L1713" s="147" t="s">
        <v>10738</v>
      </c>
      <c r="M1713" s="147" t="s">
        <v>10739</v>
      </c>
      <c r="N1713" s="144" t="s">
        <v>3771</v>
      </c>
      <c r="O1713" s="145" t="s">
        <v>10746</v>
      </c>
      <c r="P1713" s="48" t="str">
        <f t="array" ref="P1713">HYPERLINK(INDEX('File Links'!B:B, MATCH(O1713, 'File Links'!C:C, 0)))
</f>
        <v>https://drive.google.com/file/d/1X5Fe2As7h--ByO5qoa79Jna-iqMIag53/view?usp=drivesdk</v>
      </c>
      <c r="Q1713" s="147" t="s">
        <v>6103</v>
      </c>
      <c r="R1713" s="147" t="s">
        <v>6104</v>
      </c>
      <c r="S1713" s="60"/>
      <c r="T1713" s="144">
        <v>1.0</v>
      </c>
      <c r="U1713" s="145" t="s">
        <v>6105</v>
      </c>
      <c r="V1713" s="147" t="s">
        <v>9109</v>
      </c>
      <c r="W1713" s="1455" t="str">
        <f> hyperlink(vlookup(lower(R1713),'File Links'!F:G, 2, FALSE), "LINK")</f>
        <v>LINK</v>
      </c>
      <c r="X1713" s="60"/>
      <c r="Y1713" s="147" t="s">
        <v>139</v>
      </c>
      <c r="Z1713" s="147" t="s">
        <v>10747</v>
      </c>
      <c r="AA1713" s="147" t="s">
        <v>10748</v>
      </c>
      <c r="AB1713" s="147" t="s">
        <v>10757</v>
      </c>
      <c r="AC1713" s="147" t="s">
        <v>10758</v>
      </c>
      <c r="AD1713" s="1370">
        <v>45750.0</v>
      </c>
      <c r="AE1713" s="144">
        <v>22.0</v>
      </c>
      <c r="AF1713" s="144">
        <v>0.15</v>
      </c>
      <c r="AG1713" s="144" t="s">
        <v>1785</v>
      </c>
      <c r="AH1713" s="144" t="s">
        <v>861</v>
      </c>
      <c r="AI1713" s="144">
        <v>0.065</v>
      </c>
      <c r="AJ1713" s="147" t="s">
        <v>164</v>
      </c>
      <c r="AK1713" s="147" t="s">
        <v>179</v>
      </c>
      <c r="AL1713" s="147" t="s">
        <v>132</v>
      </c>
      <c r="AM1713" s="60"/>
      <c r="AN1713" s="144">
        <v>14.0</v>
      </c>
      <c r="AO1713" s="144" t="s">
        <v>10759</v>
      </c>
      <c r="AP1713" s="144" t="s">
        <v>162</v>
      </c>
      <c r="AQ1713" s="144" t="s">
        <v>610</v>
      </c>
      <c r="AR1713" s="1487">
        <v>0.002</v>
      </c>
      <c r="AS1713" s="147" t="s">
        <v>164</v>
      </c>
      <c r="AT1713" s="147" t="s">
        <v>179</v>
      </c>
      <c r="AU1713" s="147" t="s">
        <v>132</v>
      </c>
      <c r="AV1713" s="60"/>
      <c r="AW1713" s="60" t="s">
        <v>142</v>
      </c>
      <c r="AY1713" s="60" t="s">
        <v>144</v>
      </c>
    </row>
    <row r="1714">
      <c r="A1714" s="115" t="s">
        <v>5350</v>
      </c>
      <c r="B1714" s="41" t="s">
        <v>107</v>
      </c>
      <c r="C1714" s="41" t="s">
        <v>144</v>
      </c>
      <c r="E1714" s="60" t="s">
        <v>10737</v>
      </c>
      <c r="F1714" s="147" t="s">
        <v>10760</v>
      </c>
      <c r="G1714" s="147" t="s">
        <v>144</v>
      </c>
      <c r="H1714" s="140">
        <v>45687.0</v>
      </c>
      <c r="I1714" s="140">
        <v>45692.0</v>
      </c>
      <c r="J1714" s="412" t="s">
        <v>10745</v>
      </c>
      <c r="K1714" s="60"/>
      <c r="L1714" s="147" t="s">
        <v>10738</v>
      </c>
      <c r="M1714" s="147" t="s">
        <v>10739</v>
      </c>
      <c r="N1714" s="144" t="s">
        <v>3771</v>
      </c>
      <c r="O1714" s="145" t="s">
        <v>10746</v>
      </c>
      <c r="P1714" s="48" t="str">
        <f t="array" ref="P1714">HYPERLINK(INDEX('File Links'!B:B, MATCH(O1714, 'File Links'!C:C, 0)))
</f>
        <v>https://drive.google.com/file/d/1X5Fe2As7h--ByO5qoa79Jna-iqMIag53/view?usp=drivesdk</v>
      </c>
      <c r="Q1714" s="147" t="s">
        <v>6103</v>
      </c>
      <c r="R1714" s="147" t="s">
        <v>6104</v>
      </c>
      <c r="S1714" s="60"/>
      <c r="T1714" s="144">
        <v>1.0</v>
      </c>
      <c r="U1714" s="145" t="s">
        <v>6105</v>
      </c>
      <c r="V1714" s="147" t="s">
        <v>9109</v>
      </c>
      <c r="W1714" s="1455" t="str">
        <f> hyperlink(vlookup(lower(R1714),'File Links'!F:G, 2, FALSE), "LINK")</f>
        <v>LINK</v>
      </c>
      <c r="X1714" s="60"/>
      <c r="Y1714" s="147" t="s">
        <v>139</v>
      </c>
      <c r="Z1714" s="147" t="s">
        <v>10747</v>
      </c>
      <c r="AA1714" s="147" t="s">
        <v>10748</v>
      </c>
      <c r="AB1714" s="147" t="s">
        <v>10761</v>
      </c>
      <c r="AC1714" s="147" t="s">
        <v>10762</v>
      </c>
      <c r="AD1714" s="327">
        <v>4.0</v>
      </c>
      <c r="AE1714" s="144">
        <v>22.0</v>
      </c>
      <c r="AF1714" s="327">
        <v>0.56</v>
      </c>
      <c r="AG1714" s="144" t="s">
        <v>1785</v>
      </c>
      <c r="AH1714" s="144" t="s">
        <v>861</v>
      </c>
      <c r="AI1714" s="327">
        <v>0.001</v>
      </c>
      <c r="AJ1714" s="147" t="s">
        <v>127</v>
      </c>
      <c r="AK1714" s="147" t="s">
        <v>179</v>
      </c>
      <c r="AL1714" s="147" t="s">
        <v>132</v>
      </c>
      <c r="AM1714" s="60"/>
      <c r="AN1714" s="144">
        <v>14.0</v>
      </c>
      <c r="AO1714" s="144" t="s">
        <v>10763</v>
      </c>
      <c r="AP1714" s="144" t="s">
        <v>162</v>
      </c>
      <c r="AQ1714" s="327" t="s">
        <v>609</v>
      </c>
      <c r="AR1714" s="1487">
        <v>0.002</v>
      </c>
      <c r="AS1714" s="147" t="s">
        <v>164</v>
      </c>
      <c r="AT1714" s="147" t="s">
        <v>179</v>
      </c>
      <c r="AU1714" s="147" t="s">
        <v>132</v>
      </c>
      <c r="AV1714" s="60"/>
      <c r="AW1714" s="60" t="s">
        <v>142</v>
      </c>
      <c r="AY1714" s="60" t="s">
        <v>144</v>
      </c>
    </row>
    <row r="1715">
      <c r="A1715" s="115" t="s">
        <v>5350</v>
      </c>
      <c r="B1715" s="41" t="s">
        <v>107</v>
      </c>
      <c r="C1715" s="41" t="s">
        <v>144</v>
      </c>
      <c r="E1715" s="60" t="s">
        <v>10737</v>
      </c>
      <c r="F1715" s="147" t="s">
        <v>10764</v>
      </c>
      <c r="G1715" s="147" t="s">
        <v>144</v>
      </c>
      <c r="H1715" s="140">
        <v>45687.0</v>
      </c>
      <c r="I1715" s="140">
        <v>45692.0</v>
      </c>
      <c r="J1715" s="412" t="s">
        <v>10745</v>
      </c>
      <c r="K1715" s="60"/>
      <c r="L1715" s="147" t="s">
        <v>10738</v>
      </c>
      <c r="M1715" s="147" t="s">
        <v>10739</v>
      </c>
      <c r="N1715" s="144" t="s">
        <v>3771</v>
      </c>
      <c r="O1715" s="145" t="s">
        <v>10746</v>
      </c>
      <c r="P1715" s="48" t="str">
        <f t="array" ref="P1715">HYPERLINK(INDEX('File Links'!B:B, MATCH(O1715, 'File Links'!C:C, 0)))
</f>
        <v>https://drive.google.com/file/d/1X5Fe2As7h--ByO5qoa79Jna-iqMIag53/view?usp=drivesdk</v>
      </c>
      <c r="Q1715" s="147" t="s">
        <v>6103</v>
      </c>
      <c r="R1715" s="147" t="s">
        <v>6104</v>
      </c>
      <c r="S1715" s="60"/>
      <c r="T1715" s="144">
        <v>1.0</v>
      </c>
      <c r="U1715" s="145" t="s">
        <v>6105</v>
      </c>
      <c r="V1715" s="147" t="s">
        <v>9109</v>
      </c>
      <c r="W1715" s="1455" t="str">
        <f> hyperlink(vlookup(lower(R1715),'File Links'!F:G, 2, FALSE), "LINK")</f>
        <v>LINK</v>
      </c>
      <c r="X1715" s="60"/>
      <c r="Y1715" s="147" t="s">
        <v>139</v>
      </c>
      <c r="Z1715" s="147" t="s">
        <v>10747</v>
      </c>
      <c r="AA1715" s="147" t="s">
        <v>10748</v>
      </c>
      <c r="AB1715" s="147" t="s">
        <v>10765</v>
      </c>
      <c r="AC1715" s="147" t="s">
        <v>10766</v>
      </c>
      <c r="AD1715" s="327">
        <v>4.0</v>
      </c>
      <c r="AE1715" s="144">
        <v>22.0</v>
      </c>
      <c r="AF1715" s="327">
        <v>0.28</v>
      </c>
      <c r="AG1715" s="144" t="s">
        <v>1785</v>
      </c>
      <c r="AH1715" s="144" t="s">
        <v>861</v>
      </c>
      <c r="AI1715" s="327">
        <v>0.01</v>
      </c>
      <c r="AJ1715" s="147" t="s">
        <v>164</v>
      </c>
      <c r="AK1715" s="147" t="s">
        <v>179</v>
      </c>
      <c r="AL1715" s="147" t="s">
        <v>132</v>
      </c>
      <c r="AM1715" s="60"/>
      <c r="AN1715" s="144">
        <v>14.0</v>
      </c>
      <c r="AO1715" s="144" t="s">
        <v>10767</v>
      </c>
      <c r="AP1715" s="144" t="s">
        <v>162</v>
      </c>
      <c r="AQ1715" s="327" t="s">
        <v>609</v>
      </c>
      <c r="AR1715" s="327">
        <v>0.908</v>
      </c>
      <c r="AS1715" s="147" t="s">
        <v>164</v>
      </c>
      <c r="AT1715" s="147" t="s">
        <v>179</v>
      </c>
      <c r="AU1715" s="147" t="s">
        <v>132</v>
      </c>
      <c r="AV1715" s="60"/>
      <c r="AW1715" s="60" t="s">
        <v>142</v>
      </c>
      <c r="AY1715" s="60" t="s">
        <v>144</v>
      </c>
    </row>
    <row r="1716">
      <c r="A1716" s="115" t="s">
        <v>5350</v>
      </c>
      <c r="B1716" s="41" t="s">
        <v>107</v>
      </c>
      <c r="C1716" s="41" t="s">
        <v>144</v>
      </c>
      <c r="E1716" s="60" t="s">
        <v>10737</v>
      </c>
      <c r="F1716" s="147" t="s">
        <v>10768</v>
      </c>
      <c r="G1716" s="147" t="s">
        <v>144</v>
      </c>
      <c r="H1716" s="140">
        <v>45687.0</v>
      </c>
      <c r="I1716" s="140">
        <v>45692.0</v>
      </c>
      <c r="J1716" s="412" t="s">
        <v>10745</v>
      </c>
      <c r="K1716" s="60"/>
      <c r="L1716" s="147" t="s">
        <v>10738</v>
      </c>
      <c r="M1716" s="147" t="s">
        <v>10739</v>
      </c>
      <c r="N1716" s="144" t="s">
        <v>3771</v>
      </c>
      <c r="O1716" s="145" t="s">
        <v>10746</v>
      </c>
      <c r="P1716" s="48" t="str">
        <f t="array" ref="P1716">HYPERLINK(INDEX('File Links'!B:B, MATCH(O1716, 'File Links'!C:C, 0)))
</f>
        <v>https://drive.google.com/file/d/1X5Fe2As7h--ByO5qoa79Jna-iqMIag53/view?usp=drivesdk</v>
      </c>
      <c r="Q1716" s="147" t="s">
        <v>6103</v>
      </c>
      <c r="R1716" s="147" t="s">
        <v>6104</v>
      </c>
      <c r="S1716" s="60"/>
      <c r="T1716" s="144">
        <v>1.0</v>
      </c>
      <c r="U1716" s="145" t="s">
        <v>6105</v>
      </c>
      <c r="V1716" s="147" t="s">
        <v>9109</v>
      </c>
      <c r="W1716" s="1455" t="str">
        <f> hyperlink(vlookup(lower(R1716),'File Links'!F:G, 2, FALSE), "LINK")</f>
        <v>LINK</v>
      </c>
      <c r="X1716" s="60"/>
      <c r="Y1716" s="147" t="s">
        <v>139</v>
      </c>
      <c r="Z1716" s="147" t="s">
        <v>10747</v>
      </c>
      <c r="AA1716" s="147" t="s">
        <v>10748</v>
      </c>
      <c r="AB1716" s="147" t="s">
        <v>10769</v>
      </c>
      <c r="AC1716" s="147" t="s">
        <v>10770</v>
      </c>
      <c r="AD1716" s="327">
        <v>4.0</v>
      </c>
      <c r="AE1716" s="144">
        <v>22.0</v>
      </c>
      <c r="AF1716" s="327">
        <v>1.15</v>
      </c>
      <c r="AG1716" s="144" t="s">
        <v>166</v>
      </c>
      <c r="AH1716" s="144" t="s">
        <v>861</v>
      </c>
      <c r="AI1716" s="327">
        <v>0.001</v>
      </c>
      <c r="AJ1716" s="147" t="s">
        <v>127</v>
      </c>
      <c r="AK1716" s="147" t="s">
        <v>179</v>
      </c>
      <c r="AL1716" s="147" t="s">
        <v>132</v>
      </c>
      <c r="AM1716" s="60"/>
      <c r="AN1716" s="144">
        <v>14.0</v>
      </c>
      <c r="AO1716" s="144" t="s">
        <v>10771</v>
      </c>
      <c r="AP1716" s="144" t="s">
        <v>162</v>
      </c>
      <c r="AQ1716" s="327" t="s">
        <v>432</v>
      </c>
      <c r="AR1716" s="1487">
        <v>0.036</v>
      </c>
      <c r="AS1716" s="147" t="s">
        <v>164</v>
      </c>
      <c r="AT1716" s="147" t="s">
        <v>179</v>
      </c>
      <c r="AU1716" s="147" t="s">
        <v>132</v>
      </c>
      <c r="AV1716" s="60"/>
      <c r="AW1716" s="60" t="s">
        <v>142</v>
      </c>
      <c r="AY1716" s="60" t="s">
        <v>144</v>
      </c>
    </row>
    <row r="1717">
      <c r="A1717" s="115" t="s">
        <v>5350</v>
      </c>
      <c r="B1717" s="41" t="s">
        <v>107</v>
      </c>
      <c r="C1717" s="41" t="s">
        <v>144</v>
      </c>
      <c r="E1717" s="60" t="s">
        <v>10737</v>
      </c>
      <c r="F1717" s="147" t="s">
        <v>10772</v>
      </c>
      <c r="G1717" s="147" t="s">
        <v>144</v>
      </c>
      <c r="H1717" s="140">
        <v>45687.0</v>
      </c>
      <c r="I1717" s="140">
        <v>45692.0</v>
      </c>
      <c r="J1717" s="412" t="s">
        <v>10745</v>
      </c>
      <c r="K1717" s="60"/>
      <c r="L1717" s="147" t="s">
        <v>10738</v>
      </c>
      <c r="M1717" s="147" t="s">
        <v>10739</v>
      </c>
      <c r="N1717" s="144" t="s">
        <v>3771</v>
      </c>
      <c r="O1717" s="145" t="s">
        <v>10746</v>
      </c>
      <c r="P1717" s="48" t="str">
        <f t="array" ref="P1717">HYPERLINK(INDEX('File Links'!B:B, MATCH(O1717, 'File Links'!C:C, 0)))
</f>
        <v>https://drive.google.com/file/d/1X5Fe2As7h--ByO5qoa79Jna-iqMIag53/view?usp=drivesdk</v>
      </c>
      <c r="Q1717" s="147" t="s">
        <v>6103</v>
      </c>
      <c r="R1717" s="147" t="s">
        <v>6104</v>
      </c>
      <c r="S1717" s="60"/>
      <c r="T1717" s="144">
        <v>1.0</v>
      </c>
      <c r="U1717" s="145" t="s">
        <v>6105</v>
      </c>
      <c r="V1717" s="147" t="s">
        <v>9109</v>
      </c>
      <c r="W1717" s="1455" t="str">
        <f> hyperlink(vlookup(lower(R1717),'File Links'!F:G, 2, FALSE), "LINK")</f>
        <v>LINK</v>
      </c>
      <c r="X1717" s="60"/>
      <c r="Y1717" s="147" t="s">
        <v>139</v>
      </c>
      <c r="Z1717" s="147" t="s">
        <v>10747</v>
      </c>
      <c r="AA1717" s="147" t="s">
        <v>10748</v>
      </c>
      <c r="AB1717" s="147" t="s">
        <v>10769</v>
      </c>
      <c r="AC1717" s="147" t="s">
        <v>10773</v>
      </c>
      <c r="AD1717" s="327">
        <v>4.0</v>
      </c>
      <c r="AE1717" s="144">
        <v>22.0</v>
      </c>
      <c r="AF1717" s="327">
        <v>0.43</v>
      </c>
      <c r="AG1717" s="144" t="s">
        <v>166</v>
      </c>
      <c r="AH1717" s="144" t="s">
        <v>861</v>
      </c>
      <c r="AI1717" s="327">
        <v>0.059</v>
      </c>
      <c r="AJ1717" s="147" t="s">
        <v>164</v>
      </c>
      <c r="AK1717" s="147" t="s">
        <v>179</v>
      </c>
      <c r="AL1717" s="147" t="s">
        <v>132</v>
      </c>
      <c r="AM1717" s="60"/>
      <c r="AN1717" s="144">
        <v>14.0</v>
      </c>
      <c r="AO1717" s="144" t="s">
        <v>10774</v>
      </c>
      <c r="AP1717" s="144" t="s">
        <v>162</v>
      </c>
      <c r="AQ1717" s="327" t="s">
        <v>432</v>
      </c>
      <c r="AR1717" s="1487">
        <v>0.007</v>
      </c>
      <c r="AS1717" s="147" t="s">
        <v>164</v>
      </c>
      <c r="AT1717" s="147" t="s">
        <v>179</v>
      </c>
      <c r="AU1717" s="147" t="s">
        <v>132</v>
      </c>
      <c r="AV1717" s="60"/>
      <c r="AW1717" s="60" t="s">
        <v>142</v>
      </c>
      <c r="AY1717" s="60" t="s">
        <v>144</v>
      </c>
    </row>
    <row r="1718">
      <c r="A1718" s="115" t="s">
        <v>5350</v>
      </c>
      <c r="B1718" s="41" t="s">
        <v>107</v>
      </c>
      <c r="C1718" s="41" t="s">
        <v>144</v>
      </c>
      <c r="E1718" s="60" t="s">
        <v>10737</v>
      </c>
      <c r="F1718" s="147" t="s">
        <v>10775</v>
      </c>
      <c r="G1718" s="147" t="s">
        <v>144</v>
      </c>
      <c r="H1718" s="140">
        <v>45687.0</v>
      </c>
      <c r="I1718" s="140">
        <v>45692.0</v>
      </c>
      <c r="J1718" s="412" t="s">
        <v>10745</v>
      </c>
      <c r="K1718" s="60"/>
      <c r="L1718" s="147" t="s">
        <v>10738</v>
      </c>
      <c r="M1718" s="147" t="s">
        <v>10739</v>
      </c>
      <c r="N1718" s="144" t="s">
        <v>3771</v>
      </c>
      <c r="O1718" s="145" t="s">
        <v>10746</v>
      </c>
      <c r="P1718" s="48" t="str">
        <f t="array" ref="P1718">HYPERLINK(INDEX('File Links'!B:B, MATCH(O1718, 'File Links'!C:C, 0)))
</f>
        <v>https://drive.google.com/file/d/1X5Fe2As7h--ByO5qoa79Jna-iqMIag53/view?usp=drivesdk</v>
      </c>
      <c r="Q1718" s="147" t="s">
        <v>6103</v>
      </c>
      <c r="R1718" s="147" t="s">
        <v>6104</v>
      </c>
      <c r="S1718" s="60"/>
      <c r="T1718" s="144">
        <v>1.0</v>
      </c>
      <c r="U1718" s="145" t="s">
        <v>6105</v>
      </c>
      <c r="V1718" s="147" t="s">
        <v>9109</v>
      </c>
      <c r="W1718" s="1455" t="str">
        <f> hyperlink(vlookup(lower(R1718),'File Links'!F:G, 2, FALSE), "LINK")</f>
        <v>LINK</v>
      </c>
      <c r="X1718" s="60"/>
      <c r="Y1718" s="147" t="s">
        <v>139</v>
      </c>
      <c r="Z1718" s="147" t="s">
        <v>10747</v>
      </c>
      <c r="AA1718" s="147" t="s">
        <v>10748</v>
      </c>
      <c r="AB1718" s="147" t="s">
        <v>10776</v>
      </c>
      <c r="AC1718" s="147" t="s">
        <v>10777</v>
      </c>
      <c r="AD1718" s="327">
        <v>4.0</v>
      </c>
      <c r="AE1718" s="144">
        <v>22.0</v>
      </c>
      <c r="AF1718" s="327">
        <v>0.56</v>
      </c>
      <c r="AG1718" s="144" t="s">
        <v>1785</v>
      </c>
      <c r="AH1718" s="144" t="s">
        <v>861</v>
      </c>
      <c r="AI1718" s="327">
        <v>0.001</v>
      </c>
      <c r="AJ1718" s="147" t="s">
        <v>127</v>
      </c>
      <c r="AK1718" s="147" t="s">
        <v>179</v>
      </c>
      <c r="AL1718" s="147" t="s">
        <v>132</v>
      </c>
      <c r="AM1718" s="60"/>
      <c r="AN1718" s="144">
        <v>14.0</v>
      </c>
      <c r="AO1718" s="144" t="s">
        <v>10778</v>
      </c>
      <c r="AP1718" s="144" t="s">
        <v>162</v>
      </c>
      <c r="AQ1718" s="327" t="s">
        <v>629</v>
      </c>
      <c r="AR1718" s="327">
        <v>0.009</v>
      </c>
      <c r="AS1718" s="147" t="s">
        <v>164</v>
      </c>
      <c r="AT1718" s="147" t="s">
        <v>179</v>
      </c>
      <c r="AU1718" s="147" t="s">
        <v>132</v>
      </c>
      <c r="AV1718" s="60"/>
      <c r="AW1718" s="60" t="s">
        <v>142</v>
      </c>
      <c r="AY1718" s="60" t="s">
        <v>144</v>
      </c>
    </row>
    <row r="1719">
      <c r="A1719" s="115" t="s">
        <v>5350</v>
      </c>
      <c r="B1719" s="41" t="s">
        <v>107</v>
      </c>
      <c r="C1719" s="41" t="s">
        <v>144</v>
      </c>
      <c r="E1719" s="60" t="s">
        <v>10737</v>
      </c>
      <c r="F1719" s="147" t="s">
        <v>10779</v>
      </c>
      <c r="G1719" s="147" t="s">
        <v>144</v>
      </c>
      <c r="H1719" s="140">
        <v>45687.0</v>
      </c>
      <c r="I1719" s="140">
        <v>45692.0</v>
      </c>
      <c r="J1719" s="412" t="s">
        <v>10745</v>
      </c>
      <c r="K1719" s="60"/>
      <c r="L1719" s="147" t="s">
        <v>10738</v>
      </c>
      <c r="M1719" s="147" t="s">
        <v>10739</v>
      </c>
      <c r="N1719" s="144" t="s">
        <v>3771</v>
      </c>
      <c r="O1719" s="145" t="s">
        <v>10746</v>
      </c>
      <c r="P1719" s="48" t="str">
        <f t="array" ref="P1719">HYPERLINK(INDEX('File Links'!B:B, MATCH(O1719, 'File Links'!C:C, 0)))
</f>
        <v>https://drive.google.com/file/d/1X5Fe2As7h--ByO5qoa79Jna-iqMIag53/view?usp=drivesdk</v>
      </c>
      <c r="Q1719" s="147" t="s">
        <v>6103</v>
      </c>
      <c r="R1719" s="147" t="s">
        <v>6104</v>
      </c>
      <c r="S1719" s="60"/>
      <c r="T1719" s="144">
        <v>1.0</v>
      </c>
      <c r="U1719" s="145" t="s">
        <v>6105</v>
      </c>
      <c r="V1719" s="147" t="s">
        <v>9109</v>
      </c>
      <c r="W1719" s="1455" t="str">
        <f> hyperlink(vlookup(lower(R1719),'File Links'!F:G, 2, FALSE), "LINK")</f>
        <v>LINK</v>
      </c>
      <c r="X1719" s="60"/>
      <c r="Y1719" s="147" t="s">
        <v>139</v>
      </c>
      <c r="Z1719" s="147" t="s">
        <v>10747</v>
      </c>
      <c r="AA1719" s="147" t="s">
        <v>10748</v>
      </c>
      <c r="AB1719" s="147" t="s">
        <v>10780</v>
      </c>
      <c r="AC1719" s="147" t="s">
        <v>10781</v>
      </c>
      <c r="AD1719" s="327">
        <v>4.0</v>
      </c>
      <c r="AE1719" s="144">
        <v>22.0</v>
      </c>
      <c r="AF1719" s="327">
        <v>0.52</v>
      </c>
      <c r="AG1719" s="144" t="s">
        <v>1785</v>
      </c>
      <c r="AH1719" s="144" t="s">
        <v>861</v>
      </c>
      <c r="AI1719" s="327">
        <v>0.001</v>
      </c>
      <c r="AJ1719" s="147" t="s">
        <v>127</v>
      </c>
      <c r="AK1719" s="147" t="s">
        <v>179</v>
      </c>
      <c r="AL1719" s="147" t="s">
        <v>132</v>
      </c>
      <c r="AM1719" s="60"/>
      <c r="AN1719" s="144">
        <v>14.0</v>
      </c>
      <c r="AO1719" s="144">
        <v>0.7</v>
      </c>
      <c r="AP1719" s="144" t="s">
        <v>1785</v>
      </c>
      <c r="AQ1719" s="327" t="s">
        <v>629</v>
      </c>
      <c r="AR1719" s="327">
        <v>0.001</v>
      </c>
      <c r="AS1719" s="147" t="s">
        <v>127</v>
      </c>
      <c r="AT1719" s="147" t="s">
        <v>179</v>
      </c>
      <c r="AU1719" s="147" t="s">
        <v>132</v>
      </c>
      <c r="AV1719" s="60"/>
      <c r="AW1719" s="60" t="s">
        <v>142</v>
      </c>
      <c r="AY1719" s="60" t="s">
        <v>144</v>
      </c>
    </row>
    <row r="1720">
      <c r="A1720" s="115" t="s">
        <v>5350</v>
      </c>
      <c r="B1720" s="41" t="s">
        <v>107</v>
      </c>
      <c r="C1720" s="41" t="s">
        <v>144</v>
      </c>
      <c r="E1720" s="60" t="s">
        <v>10737</v>
      </c>
      <c r="F1720" s="147" t="s">
        <v>10782</v>
      </c>
      <c r="G1720" s="147" t="s">
        <v>144</v>
      </c>
      <c r="H1720" s="140">
        <v>45687.0</v>
      </c>
      <c r="I1720" s="140">
        <v>45692.0</v>
      </c>
      <c r="J1720" s="412" t="s">
        <v>10745</v>
      </c>
      <c r="K1720" s="60"/>
      <c r="L1720" s="147" t="s">
        <v>10738</v>
      </c>
      <c r="M1720" s="147" t="s">
        <v>10739</v>
      </c>
      <c r="N1720" s="144" t="s">
        <v>3771</v>
      </c>
      <c r="O1720" s="145" t="s">
        <v>10746</v>
      </c>
      <c r="P1720" s="48" t="str">
        <f t="array" ref="P1720">HYPERLINK(INDEX('File Links'!B:B, MATCH(O1720, 'File Links'!C:C, 0)))
</f>
        <v>https://drive.google.com/file/d/1X5Fe2As7h--ByO5qoa79Jna-iqMIag53/view?usp=drivesdk</v>
      </c>
      <c r="Q1720" s="147" t="s">
        <v>6103</v>
      </c>
      <c r="R1720" s="147" t="s">
        <v>6104</v>
      </c>
      <c r="S1720" s="60"/>
      <c r="T1720" s="144">
        <v>1.0</v>
      </c>
      <c r="U1720" s="145" t="s">
        <v>6105</v>
      </c>
      <c r="V1720" s="147" t="s">
        <v>9109</v>
      </c>
      <c r="W1720" s="1455" t="str">
        <f> hyperlink(vlookup(lower(R1720),'File Links'!F:G, 2, FALSE), "LINK")</f>
        <v>LINK</v>
      </c>
      <c r="X1720" s="60"/>
      <c r="Y1720" s="147" t="s">
        <v>139</v>
      </c>
      <c r="Z1720" s="147" t="s">
        <v>10747</v>
      </c>
      <c r="AA1720" s="147" t="s">
        <v>10748</v>
      </c>
      <c r="AB1720" s="147" t="s">
        <v>10783</v>
      </c>
      <c r="AC1720" s="147" t="s">
        <v>10784</v>
      </c>
      <c r="AD1720" s="327">
        <v>4.0</v>
      </c>
      <c r="AE1720" s="144">
        <v>22.0</v>
      </c>
      <c r="AF1720" s="327">
        <v>1.27</v>
      </c>
      <c r="AG1720" s="144" t="s">
        <v>166</v>
      </c>
      <c r="AH1720" s="144" t="s">
        <v>861</v>
      </c>
      <c r="AI1720" s="327">
        <v>0.001</v>
      </c>
      <c r="AJ1720" s="147" t="s">
        <v>127</v>
      </c>
      <c r="AK1720" s="147" t="s">
        <v>179</v>
      </c>
      <c r="AL1720" s="147" t="s">
        <v>132</v>
      </c>
      <c r="AM1720" s="60"/>
      <c r="AN1720" s="144">
        <v>14.0</v>
      </c>
      <c r="AO1720" s="144" t="s">
        <v>10785</v>
      </c>
      <c r="AP1720" s="144" t="s">
        <v>162</v>
      </c>
      <c r="AQ1720" s="327" t="s">
        <v>299</v>
      </c>
      <c r="AR1720" s="1487">
        <v>0.001</v>
      </c>
      <c r="AS1720" s="147" t="s">
        <v>164</v>
      </c>
      <c r="AT1720" s="147" t="s">
        <v>179</v>
      </c>
      <c r="AU1720" s="147" t="s">
        <v>132</v>
      </c>
      <c r="AV1720" s="60"/>
      <c r="AW1720" s="60" t="s">
        <v>142</v>
      </c>
      <c r="AY1720" s="60" t="s">
        <v>144</v>
      </c>
    </row>
    <row r="1721">
      <c r="A1721" s="115" t="s">
        <v>5350</v>
      </c>
      <c r="B1721" s="41" t="s">
        <v>107</v>
      </c>
      <c r="C1721" s="41" t="s">
        <v>144</v>
      </c>
      <c r="E1721" s="60" t="s">
        <v>10737</v>
      </c>
      <c r="F1721" s="147" t="s">
        <v>10786</v>
      </c>
      <c r="G1721" s="147" t="s">
        <v>144</v>
      </c>
      <c r="H1721" s="140">
        <v>45687.0</v>
      </c>
      <c r="I1721" s="140">
        <v>45692.0</v>
      </c>
      <c r="J1721" s="412" t="s">
        <v>10745</v>
      </c>
      <c r="K1721" s="60"/>
      <c r="L1721" s="147" t="s">
        <v>10738</v>
      </c>
      <c r="M1721" s="147" t="s">
        <v>10739</v>
      </c>
      <c r="N1721" s="144" t="s">
        <v>3771</v>
      </c>
      <c r="O1721" s="145" t="s">
        <v>10746</v>
      </c>
      <c r="P1721" s="48" t="str">
        <f t="array" ref="P1721">HYPERLINK(INDEX('File Links'!B:B, MATCH(O1721, 'File Links'!C:C, 0)))
</f>
        <v>https://drive.google.com/file/d/1X5Fe2As7h--ByO5qoa79Jna-iqMIag53/view?usp=drivesdk</v>
      </c>
      <c r="Q1721" s="147" t="s">
        <v>6103</v>
      </c>
      <c r="R1721" s="147" t="s">
        <v>6104</v>
      </c>
      <c r="S1721" s="60"/>
      <c r="T1721" s="144">
        <v>1.0</v>
      </c>
      <c r="U1721" s="145" t="s">
        <v>6105</v>
      </c>
      <c r="V1721" s="147" t="s">
        <v>9109</v>
      </c>
      <c r="W1721" s="1455" t="str">
        <f> hyperlink(vlookup(lower(R1721),'File Links'!F:G, 2, FALSE), "LINK")</f>
        <v>LINK</v>
      </c>
      <c r="X1721" s="60"/>
      <c r="Y1721" s="147" t="s">
        <v>139</v>
      </c>
      <c r="Z1721" s="147" t="s">
        <v>10747</v>
      </c>
      <c r="AA1721" s="147" t="s">
        <v>10748</v>
      </c>
      <c r="AB1721" s="147" t="s">
        <v>10787</v>
      </c>
      <c r="AC1721" s="147" t="s">
        <v>10788</v>
      </c>
      <c r="AD1721" s="327">
        <v>4.0</v>
      </c>
      <c r="AE1721" s="144">
        <v>22.0</v>
      </c>
      <c r="AF1721" s="327">
        <v>0.2</v>
      </c>
      <c r="AG1721" s="144" t="s">
        <v>166</v>
      </c>
      <c r="AH1721" s="144" t="s">
        <v>861</v>
      </c>
      <c r="AI1721" s="327">
        <v>0.348</v>
      </c>
      <c r="AJ1721" s="147" t="s">
        <v>164</v>
      </c>
      <c r="AK1721" s="147" t="s">
        <v>179</v>
      </c>
      <c r="AL1721" s="147" t="s">
        <v>132</v>
      </c>
      <c r="AM1721" s="60"/>
      <c r="AN1721" s="144">
        <v>14.0</v>
      </c>
      <c r="AO1721" s="144" t="s">
        <v>10789</v>
      </c>
      <c r="AP1721" s="144" t="s">
        <v>162</v>
      </c>
      <c r="AQ1721" s="327" t="s">
        <v>299</v>
      </c>
      <c r="AR1721" s="327">
        <v>0.348</v>
      </c>
      <c r="AS1721" s="147" t="s">
        <v>164</v>
      </c>
      <c r="AT1721" s="147" t="s">
        <v>179</v>
      </c>
      <c r="AU1721" s="147" t="s">
        <v>132</v>
      </c>
      <c r="AV1721" s="60"/>
      <c r="AW1721" s="60" t="s">
        <v>142</v>
      </c>
      <c r="AY1721" s="60" t="s">
        <v>144</v>
      </c>
    </row>
    <row r="1722">
      <c r="A1722" s="60" t="s">
        <v>586</v>
      </c>
      <c r="B1722" s="41" t="s">
        <v>107</v>
      </c>
      <c r="C1722" s="41" t="s">
        <v>144</v>
      </c>
      <c r="E1722" s="60" t="s">
        <v>10790</v>
      </c>
      <c r="F1722" s="147" t="s">
        <v>10791</v>
      </c>
      <c r="G1722" s="147" t="s">
        <v>144</v>
      </c>
      <c r="H1722" s="140">
        <v>45687.0</v>
      </c>
      <c r="I1722" s="140">
        <v>45692.0</v>
      </c>
      <c r="J1722" s="412" t="s">
        <v>5272</v>
      </c>
      <c r="K1722" s="147" t="s">
        <v>9863</v>
      </c>
      <c r="L1722" s="147" t="s">
        <v>1550</v>
      </c>
      <c r="M1722" s="147" t="s">
        <v>1551</v>
      </c>
      <c r="N1722" s="144">
        <v>1.0</v>
      </c>
      <c r="O1722" s="145" t="s">
        <v>10792</v>
      </c>
      <c r="P1722" s="48" t="str">
        <f t="array" ref="P1722">HYPERLINK(INDEX('File Links'!B:B, MATCH(O1722, 'File Links'!C:C, 0)))
</f>
        <v>https://drive.google.com/file/d/1Dm7RxWVN3iiT5GipgY8Gq3dl65EkIYDu/view?usp=drivesdk</v>
      </c>
      <c r="Q1722" s="147" t="s">
        <v>6103</v>
      </c>
      <c r="R1722" s="147" t="s">
        <v>6104</v>
      </c>
      <c r="S1722" s="60"/>
      <c r="T1722" s="144">
        <v>1.0</v>
      </c>
      <c r="U1722" s="145" t="s">
        <v>6105</v>
      </c>
      <c r="V1722" s="147" t="s">
        <v>155</v>
      </c>
      <c r="W1722" s="1455" t="str">
        <f> hyperlink(vlookup(lower(R1722),'File Links'!F:G, 2, FALSE), "LINK")</f>
        <v>LINK</v>
      </c>
      <c r="X1722" s="60"/>
      <c r="Y1722" s="147" t="s">
        <v>220</v>
      </c>
      <c r="Z1722" s="147" t="s">
        <v>10793</v>
      </c>
      <c r="AA1722" s="147" t="s">
        <v>10794</v>
      </c>
      <c r="AB1722" s="147" t="s">
        <v>10795</v>
      </c>
      <c r="AC1722" s="147" t="s">
        <v>10796</v>
      </c>
      <c r="AD1722" s="144">
        <v>5.0</v>
      </c>
      <c r="AE1722" s="144">
        <v>94.0</v>
      </c>
      <c r="AF1722" s="327" t="s">
        <v>10797</v>
      </c>
      <c r="AG1722" s="144" t="s">
        <v>166</v>
      </c>
      <c r="AH1722" s="144" t="s">
        <v>892</v>
      </c>
      <c r="AI1722" s="144">
        <f>0.829773477380528</f>
        <v>0.8297734774</v>
      </c>
      <c r="AJ1722" s="147" t="s">
        <v>164</v>
      </c>
      <c r="AK1722" s="147" t="s">
        <v>128</v>
      </c>
      <c r="AL1722" s="60" t="s">
        <v>129</v>
      </c>
      <c r="AM1722" s="60"/>
      <c r="AN1722" s="144">
        <v>243.0</v>
      </c>
      <c r="AO1722" s="1348">
        <f>2.78502426771112*10^-4</f>
        <v>0.0002785024268</v>
      </c>
      <c r="AP1722" s="144" t="s">
        <v>166</v>
      </c>
      <c r="AQ1722" s="327" t="s">
        <v>861</v>
      </c>
      <c r="AR1722" s="327" t="s">
        <v>10798</v>
      </c>
      <c r="AS1722" s="147" t="s">
        <v>164</v>
      </c>
      <c r="AT1722" s="147" t="s">
        <v>128</v>
      </c>
      <c r="AU1722" s="60" t="s">
        <v>129</v>
      </c>
      <c r="AV1722" s="60"/>
      <c r="AW1722" s="60" t="s">
        <v>142</v>
      </c>
      <c r="AY1722" s="60" t="s">
        <v>144</v>
      </c>
    </row>
    <row r="1723">
      <c r="A1723" s="60" t="s">
        <v>106</v>
      </c>
      <c r="B1723" s="41" t="s">
        <v>107</v>
      </c>
      <c r="C1723" s="41" t="s">
        <v>243</v>
      </c>
      <c r="E1723" s="147" t="s">
        <v>10799</v>
      </c>
      <c r="F1723" s="147" t="s">
        <v>10800</v>
      </c>
      <c r="G1723" s="147" t="s">
        <v>244</v>
      </c>
      <c r="H1723" s="140">
        <v>45664.0</v>
      </c>
      <c r="I1723" s="140">
        <v>45692.0</v>
      </c>
      <c r="J1723" s="60"/>
      <c r="K1723" s="60" t="s">
        <v>9078</v>
      </c>
      <c r="L1723" s="147" t="s">
        <v>10801</v>
      </c>
      <c r="M1723" s="147" t="s">
        <v>10802</v>
      </c>
      <c r="N1723" s="60"/>
      <c r="O1723" s="145" t="str">
        <f> SUBSTITUTE(lower(M1723), "/", "--") &amp;  ".pdf"</f>
        <v>10.1177--0956797618805750.pdf</v>
      </c>
      <c r="P1723" s="48" t="str">
        <f t="array" ref="P1723">HYPERLINK(INDEX('File Links'!B:B, MATCH(O1723, 'File Links'!C:C, 0)))
</f>
        <v>https://drive.google.com/file/d/1Z9cXGn_9cINuuX5drvoG0YLH4tFIjcZ7/view?usp=drivesdk</v>
      </c>
      <c r="Q1723" s="147" t="s">
        <v>10803</v>
      </c>
      <c r="R1723" s="147" t="s">
        <v>10804</v>
      </c>
      <c r="S1723" s="638" t="s">
        <v>10805</v>
      </c>
      <c r="T1723" s="60"/>
      <c r="U1723" s="145" t="s">
        <v>6105</v>
      </c>
      <c r="V1723" s="147" t="s">
        <v>6117</v>
      </c>
      <c r="W1723" s="1455" t="str">
        <f> hyperlink(vlookup(lower(R1723),'File Links'!E:F, 2, FALSE), "LINK")</f>
        <v>LINK</v>
      </c>
      <c r="X1723" s="60"/>
      <c r="Y1723" s="147" t="s">
        <v>220</v>
      </c>
      <c r="Z1723" s="60"/>
      <c r="AA1723" s="147" t="s">
        <v>10806</v>
      </c>
      <c r="AB1723" s="60"/>
      <c r="AC1723" s="147" t="s">
        <v>10807</v>
      </c>
      <c r="AD1723" s="144">
        <v>9.0</v>
      </c>
      <c r="AE1723" s="144">
        <v>348.0</v>
      </c>
      <c r="AF1723" s="144">
        <v>84.58</v>
      </c>
      <c r="AG1723" s="147" t="s">
        <v>1051</v>
      </c>
      <c r="AH1723" s="1268" t="s">
        <v>10808</v>
      </c>
      <c r="AI1723" s="144">
        <v>1.0E-4</v>
      </c>
      <c r="AJ1723" s="147" t="s">
        <v>127</v>
      </c>
      <c r="AK1723" s="147" t="s">
        <v>179</v>
      </c>
      <c r="AL1723" s="147" t="s">
        <v>132</v>
      </c>
      <c r="AM1723" s="147" t="s">
        <v>129</v>
      </c>
      <c r="AN1723" s="144">
        <v>36.0</v>
      </c>
      <c r="AO1723" s="144">
        <v>7.4</v>
      </c>
      <c r="AP1723" s="147" t="s">
        <v>1051</v>
      </c>
      <c r="AQ1723" s="60"/>
      <c r="AR1723" s="144">
        <v>0.0104556436019021</v>
      </c>
      <c r="AS1723" s="147" t="s">
        <v>164</v>
      </c>
      <c r="AT1723" s="147" t="s">
        <v>179</v>
      </c>
      <c r="AU1723" s="147" t="s">
        <v>132</v>
      </c>
      <c r="AV1723" s="60"/>
      <c r="AW1723" s="147" t="s">
        <v>134</v>
      </c>
      <c r="AY1723" s="60" t="s">
        <v>144</v>
      </c>
    </row>
    <row r="1724">
      <c r="A1724" s="115" t="s">
        <v>5350</v>
      </c>
      <c r="B1724" s="41" t="s">
        <v>107</v>
      </c>
      <c r="C1724" s="41" t="s">
        <v>144</v>
      </c>
      <c r="E1724" s="60" t="s">
        <v>10800</v>
      </c>
      <c r="F1724" s="147" t="s">
        <v>10799</v>
      </c>
      <c r="G1724" s="147" t="s">
        <v>144</v>
      </c>
      <c r="H1724" s="140">
        <v>45687.0</v>
      </c>
      <c r="I1724" s="140">
        <v>45692.0</v>
      </c>
      <c r="J1724" s="412" t="s">
        <v>10809</v>
      </c>
      <c r="K1724" s="60"/>
      <c r="L1724" s="147" t="s">
        <v>10801</v>
      </c>
      <c r="M1724" s="147" t="s">
        <v>10802</v>
      </c>
      <c r="N1724" s="144">
        <v>5.0</v>
      </c>
      <c r="O1724" s="145" t="s">
        <v>10810</v>
      </c>
      <c r="P1724" s="48" t="str">
        <f t="array" ref="P1724">HYPERLINK(INDEX('File Links'!B:B, MATCH(O1724, 'File Links'!C:C, 0)))
</f>
        <v>https://drive.google.com/file/d/1Z9cXGn_9cINuuX5drvoG0YLH4tFIjcZ7/view?usp=drivesdk</v>
      </c>
      <c r="Q1724" s="147" t="s">
        <v>6103</v>
      </c>
      <c r="R1724" s="147" t="s">
        <v>6104</v>
      </c>
      <c r="S1724" s="638" t="s">
        <v>10805</v>
      </c>
      <c r="T1724" s="144">
        <v>1.0</v>
      </c>
      <c r="U1724" s="145" t="s">
        <v>6105</v>
      </c>
      <c r="V1724" s="147" t="s">
        <v>9044</v>
      </c>
      <c r="W1724" s="1455" t="str">
        <f> hyperlink(vlookup(lower(R1724),'File Links'!F:G, 2, FALSE), "LINK")</f>
        <v>LINK</v>
      </c>
      <c r="X1724" s="60"/>
      <c r="Y1724" s="147" t="s">
        <v>220</v>
      </c>
      <c r="Z1724" s="147" t="s">
        <v>10315</v>
      </c>
      <c r="AA1724" s="147" t="s">
        <v>10811</v>
      </c>
      <c r="AB1724" s="147" t="s">
        <v>10812</v>
      </c>
      <c r="AC1724" s="147" t="s">
        <v>10813</v>
      </c>
      <c r="AD1724" s="144">
        <v>9.0</v>
      </c>
      <c r="AE1724" s="144">
        <v>348.0</v>
      </c>
      <c r="AF1724" s="144">
        <v>0.19</v>
      </c>
      <c r="AG1724" s="144" t="s">
        <v>130</v>
      </c>
      <c r="AH1724" s="144" t="s">
        <v>625</v>
      </c>
      <c r="AI1724" s="144">
        <v>1.0E-4</v>
      </c>
      <c r="AJ1724" s="147" t="s">
        <v>127</v>
      </c>
      <c r="AK1724" s="147" t="s">
        <v>179</v>
      </c>
      <c r="AL1724" s="147" t="s">
        <v>132</v>
      </c>
      <c r="AM1724" s="303" t="s">
        <v>10814</v>
      </c>
      <c r="AN1724" s="144">
        <v>36.0</v>
      </c>
      <c r="AO1724" s="1496">
        <v>0.26</v>
      </c>
      <c r="AP1724" s="1459" t="s">
        <v>1785</v>
      </c>
      <c r="AQ1724" s="60"/>
      <c r="AR1724" s="144">
        <v>0.009</v>
      </c>
      <c r="AS1724" s="147" t="s">
        <v>164</v>
      </c>
      <c r="AT1724" s="147" t="s">
        <v>179</v>
      </c>
      <c r="AU1724" s="147" t="s">
        <v>132</v>
      </c>
      <c r="AV1724" s="410" t="s">
        <v>10815</v>
      </c>
      <c r="AW1724" s="60" t="s">
        <v>134</v>
      </c>
      <c r="AY1724" s="60" t="s">
        <v>144</v>
      </c>
    </row>
    <row r="1725">
      <c r="A1725" s="115" t="s">
        <v>5350</v>
      </c>
      <c r="B1725" s="41" t="s">
        <v>107</v>
      </c>
      <c r="C1725" s="41" t="s">
        <v>144</v>
      </c>
      <c r="E1725" s="60" t="s">
        <v>10800</v>
      </c>
      <c r="F1725" s="147" t="s">
        <v>10816</v>
      </c>
      <c r="G1725" s="147" t="s">
        <v>144</v>
      </c>
      <c r="H1725" s="140">
        <v>45687.0</v>
      </c>
      <c r="I1725" s="140">
        <v>45692.0</v>
      </c>
      <c r="J1725" s="412" t="s">
        <v>10809</v>
      </c>
      <c r="K1725" s="60"/>
      <c r="L1725" s="147" t="s">
        <v>10801</v>
      </c>
      <c r="M1725" s="147" t="s">
        <v>10802</v>
      </c>
      <c r="N1725" s="144">
        <v>5.0</v>
      </c>
      <c r="O1725" s="145" t="s">
        <v>10810</v>
      </c>
      <c r="P1725" s="48" t="str">
        <f t="array" ref="P1725">HYPERLINK(INDEX('File Links'!B:B, MATCH(O1725, 'File Links'!C:C, 0)))
</f>
        <v>https://drive.google.com/file/d/1Z9cXGn_9cINuuX5drvoG0YLH4tFIjcZ7/view?usp=drivesdk</v>
      </c>
      <c r="Q1725" s="147" t="s">
        <v>6103</v>
      </c>
      <c r="R1725" s="147" t="s">
        <v>6104</v>
      </c>
      <c r="S1725" s="638" t="s">
        <v>10805</v>
      </c>
      <c r="T1725" s="144">
        <v>1.0</v>
      </c>
      <c r="U1725" s="145" t="s">
        <v>6105</v>
      </c>
      <c r="V1725" s="147" t="s">
        <v>9044</v>
      </c>
      <c r="W1725" s="1455" t="str">
        <f> hyperlink(vlookup(lower(R1725),'File Links'!F:G, 2, FALSE), "LINK")</f>
        <v>LINK</v>
      </c>
      <c r="X1725" s="60"/>
      <c r="Y1725" s="147" t="s">
        <v>220</v>
      </c>
      <c r="Z1725" s="147" t="s">
        <v>10315</v>
      </c>
      <c r="AA1725" s="147" t="s">
        <v>10811</v>
      </c>
      <c r="AB1725" s="147" t="s">
        <v>10817</v>
      </c>
      <c r="AC1725" s="147" t="s">
        <v>10818</v>
      </c>
      <c r="AD1725" s="144">
        <v>9.0</v>
      </c>
      <c r="AE1725" s="60"/>
      <c r="AF1725" s="327">
        <v>0.48</v>
      </c>
      <c r="AG1725" s="144" t="s">
        <v>166</v>
      </c>
      <c r="AH1725" s="144" t="s">
        <v>625</v>
      </c>
      <c r="AI1725" s="327">
        <v>1.0E-4</v>
      </c>
      <c r="AJ1725" s="147" t="s">
        <v>127</v>
      </c>
      <c r="AK1725" s="147" t="s">
        <v>179</v>
      </c>
      <c r="AL1725" s="147" t="s">
        <v>132</v>
      </c>
      <c r="AM1725" s="303" t="s">
        <v>10814</v>
      </c>
      <c r="AN1725" s="327">
        <v>36.0</v>
      </c>
      <c r="AO1725" s="1467" t="s">
        <v>10819</v>
      </c>
      <c r="AP1725" s="144" t="s">
        <v>162</v>
      </c>
      <c r="AQ1725" s="60"/>
      <c r="AR1725" s="1475">
        <v>4.189E-4</v>
      </c>
      <c r="AS1725" s="147" t="s">
        <v>164</v>
      </c>
      <c r="AT1725" s="147" t="s">
        <v>179</v>
      </c>
      <c r="AU1725" s="147" t="s">
        <v>132</v>
      </c>
      <c r="AV1725" s="410" t="s">
        <v>10815</v>
      </c>
      <c r="AW1725" s="60" t="s">
        <v>134</v>
      </c>
      <c r="AY1725" s="60" t="s">
        <v>144</v>
      </c>
    </row>
    <row r="1726">
      <c r="A1726" s="115" t="s">
        <v>5350</v>
      </c>
      <c r="B1726" s="41" t="s">
        <v>107</v>
      </c>
      <c r="C1726" s="41" t="s">
        <v>243</v>
      </c>
      <c r="E1726" s="147" t="s">
        <v>10820</v>
      </c>
      <c r="F1726" s="147" t="s">
        <v>10821</v>
      </c>
      <c r="G1726" s="147" t="s">
        <v>244</v>
      </c>
      <c r="H1726" s="140">
        <v>45664.0</v>
      </c>
      <c r="I1726" s="140">
        <v>45692.0</v>
      </c>
      <c r="J1726" s="60"/>
      <c r="K1726" s="60"/>
      <c r="L1726" s="147" t="s">
        <v>10822</v>
      </c>
      <c r="M1726" s="147" t="s">
        <v>10823</v>
      </c>
      <c r="N1726" s="60"/>
      <c r="O1726" s="145" t="str">
        <f> SUBSTITUTE(lower(M1726), "/", "--") &amp;  ".pdf"</f>
        <v>10.1177--0956797615569889.pdf</v>
      </c>
      <c r="P1726" s="48" t="str">
        <f t="array" ref="P1726">HYPERLINK(INDEX('File Links'!B:B, MATCH(O1726, 'File Links'!C:C, 0)))
</f>
        <v>https://drive.google.com/file/d/15btD8-1-iJ6kKY4YOnmEB99Ty5jn30uV/view?usp=drivesdk</v>
      </c>
      <c r="Q1726" s="147" t="s">
        <v>10824</v>
      </c>
      <c r="R1726" s="147" t="s">
        <v>10825</v>
      </c>
      <c r="S1726" s="638" t="s">
        <v>10826</v>
      </c>
      <c r="T1726" s="60"/>
      <c r="U1726" s="145" t="s">
        <v>6105</v>
      </c>
      <c r="V1726" s="147" t="s">
        <v>318</v>
      </c>
      <c r="W1726" s="1455" t="str">
        <f> hyperlink(vlookup(lower(R1726),'File Links'!E:F, 2, FALSE), "LINK")</f>
        <v>LINK</v>
      </c>
      <c r="X1726" s="60"/>
      <c r="Y1726" s="147" t="s">
        <v>139</v>
      </c>
      <c r="Z1726" s="1460" t="s">
        <v>10827</v>
      </c>
      <c r="AA1726" s="1460" t="s">
        <v>10828</v>
      </c>
      <c r="AB1726" s="1460" t="s">
        <v>10829</v>
      </c>
      <c r="AC1726" s="147" t="s">
        <v>10830</v>
      </c>
      <c r="AD1726" s="1459">
        <v>6.0</v>
      </c>
      <c r="AE1726" s="144">
        <v>18.0</v>
      </c>
      <c r="AF1726" s="144">
        <v>0.691</v>
      </c>
      <c r="AG1726" s="147" t="s">
        <v>130</v>
      </c>
      <c r="AH1726" s="1460" t="s">
        <v>131</v>
      </c>
      <c r="AI1726" s="144">
        <v>0.001</v>
      </c>
      <c r="AJ1726" s="147" t="s">
        <v>127</v>
      </c>
      <c r="AK1726" s="147" t="s">
        <v>128</v>
      </c>
      <c r="AL1726" s="147" t="s">
        <v>132</v>
      </c>
      <c r="AM1726" s="60"/>
      <c r="AN1726" s="144">
        <v>11.0</v>
      </c>
      <c r="AO1726" s="144">
        <v>0.218240494886478</v>
      </c>
      <c r="AP1726" s="147" t="s">
        <v>166</v>
      </c>
      <c r="AQ1726" s="60"/>
      <c r="AR1726" s="144">
        <v>0.505808759221724</v>
      </c>
      <c r="AS1726" s="147" t="s">
        <v>164</v>
      </c>
      <c r="AT1726" s="147" t="s">
        <v>128</v>
      </c>
      <c r="AU1726" s="147" t="s">
        <v>132</v>
      </c>
      <c r="AV1726" s="60"/>
      <c r="AW1726" s="147" t="s">
        <v>134</v>
      </c>
      <c r="AY1726" s="60" t="s">
        <v>144</v>
      </c>
    </row>
    <row r="1727">
      <c r="A1727" s="115" t="s">
        <v>5350</v>
      </c>
      <c r="B1727" s="41" t="s">
        <v>107</v>
      </c>
      <c r="C1727" s="41" t="s">
        <v>144</v>
      </c>
      <c r="E1727" s="60" t="s">
        <v>10821</v>
      </c>
      <c r="F1727" s="147" t="s">
        <v>10820</v>
      </c>
      <c r="G1727" s="147" t="s">
        <v>144</v>
      </c>
      <c r="H1727" s="140">
        <v>45687.0</v>
      </c>
      <c r="I1727" s="140">
        <v>45692.0</v>
      </c>
      <c r="J1727" s="454" t="s">
        <v>10831</v>
      </c>
      <c r="K1727" s="60"/>
      <c r="L1727" s="147" t="s">
        <v>10822</v>
      </c>
      <c r="M1727" s="147" t="s">
        <v>10823</v>
      </c>
      <c r="N1727" s="147" t="s">
        <v>10832</v>
      </c>
      <c r="O1727" s="145" t="s">
        <v>10833</v>
      </c>
      <c r="P1727" s="48" t="str">
        <f t="array" ref="P1727">HYPERLINK(INDEX('File Links'!B:B, MATCH(O1727, 'File Links'!C:C, 0)))
</f>
        <v>https://drive.google.com/file/d/15btD8-1-iJ6kKY4YOnmEB99Ty5jn30uV/view?usp=drivesdk</v>
      </c>
      <c r="Q1727" s="147" t="s">
        <v>6103</v>
      </c>
      <c r="R1727" s="147" t="s">
        <v>6104</v>
      </c>
      <c r="S1727" s="638" t="s">
        <v>10826</v>
      </c>
      <c r="T1727" s="144">
        <v>1.0</v>
      </c>
      <c r="U1727" s="145" t="s">
        <v>6105</v>
      </c>
      <c r="V1727" s="147" t="s">
        <v>10034</v>
      </c>
      <c r="W1727" s="1455" t="str">
        <f> hyperlink(vlookup(lower(R1727),'File Links'!F:G, 2, FALSE), "LINK")</f>
        <v>LINK</v>
      </c>
      <c r="X1727" s="42"/>
      <c r="Y1727" s="147" t="s">
        <v>139</v>
      </c>
      <c r="Z1727" s="147" t="s">
        <v>10827</v>
      </c>
      <c r="AA1727" s="147" t="s">
        <v>10828</v>
      </c>
      <c r="AB1727" s="147" t="s">
        <v>10834</v>
      </c>
      <c r="AC1727" s="147" t="s">
        <v>10835</v>
      </c>
      <c r="AD1727" s="144">
        <v>6.0</v>
      </c>
      <c r="AE1727" s="144">
        <v>18.0</v>
      </c>
      <c r="AF1727" s="144">
        <v>0.132</v>
      </c>
      <c r="AG1727" s="144" t="s">
        <v>1785</v>
      </c>
      <c r="AH1727" s="144" t="s">
        <v>131</v>
      </c>
      <c r="AI1727" s="144">
        <v>0.041</v>
      </c>
      <c r="AJ1727" s="147" t="s">
        <v>164</v>
      </c>
      <c r="AK1727" s="147" t="s">
        <v>128</v>
      </c>
      <c r="AL1727" s="147" t="s">
        <v>132</v>
      </c>
      <c r="AM1727" s="60"/>
      <c r="AN1727" s="144">
        <v>11.0</v>
      </c>
      <c r="AO1727" s="327" t="s">
        <v>10836</v>
      </c>
      <c r="AP1727" s="144" t="s">
        <v>162</v>
      </c>
      <c r="AQ1727" s="60"/>
      <c r="AR1727" s="327">
        <v>0.0216</v>
      </c>
      <c r="AS1727" s="147" t="s">
        <v>164</v>
      </c>
      <c r="AT1727" s="147" t="s">
        <v>128</v>
      </c>
      <c r="AU1727" s="147" t="s">
        <v>132</v>
      </c>
      <c r="AV1727" s="410" t="s">
        <v>10837</v>
      </c>
      <c r="AW1727" s="60" t="s">
        <v>134</v>
      </c>
      <c r="AY1727" s="60" t="s">
        <v>144</v>
      </c>
    </row>
    <row r="1728">
      <c r="A1728" s="115" t="s">
        <v>5350</v>
      </c>
      <c r="B1728" s="41" t="s">
        <v>107</v>
      </c>
      <c r="C1728" s="41" t="s">
        <v>144</v>
      </c>
      <c r="E1728" s="60" t="s">
        <v>10821</v>
      </c>
      <c r="F1728" s="147" t="s">
        <v>10838</v>
      </c>
      <c r="G1728" s="147" t="s">
        <v>144</v>
      </c>
      <c r="H1728" s="140">
        <v>45687.0</v>
      </c>
      <c r="I1728" s="140">
        <v>45692.0</v>
      </c>
      <c r="J1728" s="454" t="s">
        <v>10839</v>
      </c>
      <c r="K1728" s="60"/>
      <c r="L1728" s="147" t="s">
        <v>10822</v>
      </c>
      <c r="M1728" s="147" t="s">
        <v>10823</v>
      </c>
      <c r="N1728" s="147" t="s">
        <v>10832</v>
      </c>
      <c r="O1728" s="145" t="s">
        <v>10833</v>
      </c>
      <c r="P1728" s="48" t="str">
        <f t="array" ref="P1728">HYPERLINK(INDEX('File Links'!B:B, MATCH(O1728, 'File Links'!C:C, 0)))
</f>
        <v>https://drive.google.com/file/d/15btD8-1-iJ6kKY4YOnmEB99Ty5jn30uV/view?usp=drivesdk</v>
      </c>
      <c r="Q1728" s="147" t="s">
        <v>6103</v>
      </c>
      <c r="R1728" s="147" t="s">
        <v>6104</v>
      </c>
      <c r="S1728" s="638" t="s">
        <v>10826</v>
      </c>
      <c r="T1728" s="144">
        <v>1.0</v>
      </c>
      <c r="U1728" s="145" t="s">
        <v>6105</v>
      </c>
      <c r="V1728" s="147" t="s">
        <v>10034</v>
      </c>
      <c r="W1728" s="1455" t="str">
        <f> hyperlink(vlookup(lower(R1728),'File Links'!F:G, 2, FALSE), "LINK")</f>
        <v>LINK</v>
      </c>
      <c r="X1728" s="60"/>
      <c r="Y1728" s="147" t="s">
        <v>139</v>
      </c>
      <c r="Z1728" s="147" t="s">
        <v>10827</v>
      </c>
      <c r="AA1728" s="147" t="s">
        <v>10828</v>
      </c>
      <c r="AB1728" s="147" t="s">
        <v>10829</v>
      </c>
      <c r="AC1728" s="147" t="s">
        <v>10840</v>
      </c>
      <c r="AD1728" s="327">
        <v>6.0</v>
      </c>
      <c r="AE1728" s="144">
        <v>18.0</v>
      </c>
      <c r="AF1728" s="327">
        <v>0.322</v>
      </c>
      <c r="AG1728" s="144" t="s">
        <v>1785</v>
      </c>
      <c r="AH1728" s="327" t="s">
        <v>131</v>
      </c>
      <c r="AI1728" s="327">
        <v>0.001</v>
      </c>
      <c r="AJ1728" s="147" t="s">
        <v>164</v>
      </c>
      <c r="AK1728" s="147" t="s">
        <v>128</v>
      </c>
      <c r="AL1728" s="147" t="s">
        <v>132</v>
      </c>
      <c r="AM1728" s="60"/>
      <c r="AN1728" s="144">
        <v>11.0</v>
      </c>
      <c r="AO1728" s="327" t="s">
        <v>10841</v>
      </c>
      <c r="AP1728" s="144" t="s">
        <v>162</v>
      </c>
      <c r="AQ1728" s="60"/>
      <c r="AR1728" s="144">
        <v>0.3334461</v>
      </c>
      <c r="AS1728" s="147" t="s">
        <v>164</v>
      </c>
      <c r="AT1728" s="147" t="s">
        <v>128</v>
      </c>
      <c r="AU1728" s="147" t="s">
        <v>132</v>
      </c>
      <c r="AV1728" s="60"/>
      <c r="AW1728" s="60" t="s">
        <v>134</v>
      </c>
      <c r="AY1728" s="60" t="s">
        <v>144</v>
      </c>
    </row>
    <row r="1729">
      <c r="A1729" s="60" t="s">
        <v>106</v>
      </c>
      <c r="B1729" s="41" t="s">
        <v>107</v>
      </c>
      <c r="C1729" s="41" t="s">
        <v>243</v>
      </c>
      <c r="E1729" s="147" t="s">
        <v>10842</v>
      </c>
      <c r="F1729" s="147" t="s">
        <v>10843</v>
      </c>
      <c r="G1729" s="147" t="s">
        <v>244</v>
      </c>
      <c r="H1729" s="140">
        <v>45663.0</v>
      </c>
      <c r="I1729" s="140">
        <v>45692.0</v>
      </c>
      <c r="J1729" s="60"/>
      <c r="K1729" s="60" t="s">
        <v>9078</v>
      </c>
      <c r="L1729" s="147" t="s">
        <v>10844</v>
      </c>
      <c r="M1729" s="147" t="s">
        <v>7738</v>
      </c>
      <c r="N1729" s="60"/>
      <c r="O1729" s="145" t="str">
        <f> SUBSTITUTE(lower(M1729), "/", "--") &amp;  ".pdf"</f>
        <v>10.1037--a0012833.pdf</v>
      </c>
      <c r="P1729" s="48" t="str">
        <f t="array" ref="P1729">HYPERLINK(INDEX('File Links'!B:B, MATCH(O1729, 'File Links'!C:C, 0)))
</f>
        <v>https://drive.google.com/file/d/1HpcHlK2DyzZieaRbX6Fr0ov7Mf_R671v/view?usp=drivesdk</v>
      </c>
      <c r="Q1729" s="147" t="s">
        <v>10845</v>
      </c>
      <c r="R1729" s="147" t="s">
        <v>10846</v>
      </c>
      <c r="S1729" s="60"/>
      <c r="T1729" s="60"/>
      <c r="U1729" s="145" t="s">
        <v>6105</v>
      </c>
      <c r="V1729" s="147" t="s">
        <v>6117</v>
      </c>
      <c r="W1729" s="1455" t="str">
        <f> hyperlink(vlookup(lower(R1729),'File Links'!E:F, 2, FALSE), "LINK")</f>
        <v>LINK</v>
      </c>
      <c r="X1729" s="60"/>
      <c r="Y1729" s="147" t="s">
        <v>139</v>
      </c>
      <c r="Z1729" s="60"/>
      <c r="AA1729" s="60"/>
      <c r="AB1729" s="60"/>
      <c r="AC1729" s="147" t="s">
        <v>10847</v>
      </c>
      <c r="AD1729" s="1265">
        <v>517.0</v>
      </c>
      <c r="AE1729" s="144">
        <v>36.0</v>
      </c>
      <c r="AF1729" s="144">
        <v>5.68</v>
      </c>
      <c r="AG1729" s="147" t="s">
        <v>1051</v>
      </c>
      <c r="AH1729" s="1268" t="s">
        <v>10848</v>
      </c>
      <c r="AI1729" s="144">
        <v>0.02</v>
      </c>
      <c r="AJ1729" s="147" t="s">
        <v>164</v>
      </c>
      <c r="AK1729" s="147" t="s">
        <v>179</v>
      </c>
      <c r="AL1729" s="147" t="s">
        <v>821</v>
      </c>
      <c r="AM1729" s="147" t="s">
        <v>129</v>
      </c>
      <c r="AN1729" s="144">
        <v>88.0</v>
      </c>
      <c r="AO1729" s="144">
        <v>-0.062337452058199</v>
      </c>
      <c r="AP1729" s="147" t="s">
        <v>166</v>
      </c>
      <c r="AQ1729" s="60"/>
      <c r="AR1729" s="1497">
        <v>0.562461465954232</v>
      </c>
      <c r="AS1729" s="147" t="s">
        <v>164</v>
      </c>
      <c r="AT1729" s="147" t="s">
        <v>179</v>
      </c>
      <c r="AU1729" s="147" t="s">
        <v>821</v>
      </c>
      <c r="AV1729" s="60"/>
      <c r="AW1729" s="147" t="s">
        <v>134</v>
      </c>
      <c r="AY1729" s="60" t="s">
        <v>144</v>
      </c>
    </row>
    <row r="1730">
      <c r="A1730" s="115" t="s">
        <v>5350</v>
      </c>
      <c r="B1730" s="41" t="s">
        <v>107</v>
      </c>
      <c r="C1730" s="41" t="s">
        <v>144</v>
      </c>
      <c r="E1730" s="60" t="s">
        <v>10843</v>
      </c>
      <c r="F1730" s="147" t="s">
        <v>10842</v>
      </c>
      <c r="G1730" s="147" t="s">
        <v>144</v>
      </c>
      <c r="H1730" s="140">
        <v>45687.0</v>
      </c>
      <c r="I1730" s="140">
        <v>45692.0</v>
      </c>
      <c r="J1730" s="454" t="s">
        <v>10849</v>
      </c>
      <c r="K1730" s="60"/>
      <c r="L1730" s="147" t="s">
        <v>10844</v>
      </c>
      <c r="M1730" s="147" t="s">
        <v>7738</v>
      </c>
      <c r="N1730" s="144">
        <v>5.0</v>
      </c>
      <c r="O1730" s="145" t="s">
        <v>7739</v>
      </c>
      <c r="P1730" s="48" t="str">
        <f t="array" ref="P1730">HYPERLINK(INDEX('File Links'!B:B, MATCH(O1730, 'File Links'!C:C, 0)))
</f>
        <v>https://drive.google.com/file/d/1HpcHlK2DyzZieaRbX6Fr0ov7Mf_R671v/view?usp=drivesdk</v>
      </c>
      <c r="Q1730" s="147" t="s">
        <v>6103</v>
      </c>
      <c r="R1730" s="147" t="s">
        <v>6104</v>
      </c>
      <c r="S1730" s="60"/>
      <c r="T1730" s="144">
        <v>1.0</v>
      </c>
      <c r="U1730" s="145" t="s">
        <v>6105</v>
      </c>
      <c r="V1730" s="147" t="s">
        <v>9044</v>
      </c>
      <c r="W1730" s="1455" t="str">
        <f> hyperlink(vlookup(lower(R1730),'File Links'!F:G, 2, FALSE), "LINK")</f>
        <v>LINK</v>
      </c>
      <c r="X1730" s="60"/>
      <c r="Y1730" s="147" t="s">
        <v>139</v>
      </c>
      <c r="Z1730" s="147" t="s">
        <v>7752</v>
      </c>
      <c r="AA1730" s="147" t="s">
        <v>7753</v>
      </c>
      <c r="AB1730" s="147" t="s">
        <v>10850</v>
      </c>
      <c r="AC1730" s="147" t="s">
        <v>10851</v>
      </c>
      <c r="AD1730" s="144">
        <v>8.0</v>
      </c>
      <c r="AE1730" s="144">
        <v>36.0</v>
      </c>
      <c r="AF1730" s="144" t="s">
        <v>7747</v>
      </c>
      <c r="AG1730" s="144" t="s">
        <v>162</v>
      </c>
      <c r="AH1730" s="144" t="s">
        <v>610</v>
      </c>
      <c r="AI1730" s="144">
        <v>0.02</v>
      </c>
      <c r="AJ1730" s="147" t="s">
        <v>164</v>
      </c>
      <c r="AK1730" s="147" t="s">
        <v>179</v>
      </c>
      <c r="AL1730" s="147" t="s">
        <v>821</v>
      </c>
      <c r="AM1730" s="60"/>
      <c r="AN1730" s="144">
        <v>88.0</v>
      </c>
      <c r="AO1730" s="144" t="s">
        <v>10852</v>
      </c>
      <c r="AP1730" s="144" t="s">
        <v>162</v>
      </c>
      <c r="AQ1730" s="144" t="s">
        <v>861</v>
      </c>
      <c r="AR1730" s="144">
        <v>0.77</v>
      </c>
      <c r="AS1730" s="147" t="s">
        <v>164</v>
      </c>
      <c r="AT1730" s="147" t="s">
        <v>179</v>
      </c>
      <c r="AU1730" s="147" t="s">
        <v>821</v>
      </c>
      <c r="AV1730" s="410" t="s">
        <v>10853</v>
      </c>
      <c r="AW1730" s="60" t="s">
        <v>134</v>
      </c>
      <c r="AY1730" s="60" t="s">
        <v>144</v>
      </c>
    </row>
    <row r="1731" hidden="1">
      <c r="A1731" s="115" t="s">
        <v>5350</v>
      </c>
      <c r="B1731" s="41" t="s">
        <v>107</v>
      </c>
      <c r="C1731" s="41" t="s">
        <v>144</v>
      </c>
      <c r="E1731" s="60" t="s">
        <v>10854</v>
      </c>
      <c r="F1731" s="147" t="s">
        <v>10855</v>
      </c>
      <c r="G1731" s="147" t="s">
        <v>144</v>
      </c>
      <c r="H1731" s="140">
        <v>45687.0</v>
      </c>
      <c r="I1731" s="140">
        <v>45692.0</v>
      </c>
      <c r="J1731" s="60"/>
      <c r="K1731" s="60"/>
      <c r="L1731" s="147" t="s">
        <v>10856</v>
      </c>
      <c r="M1731" s="147" t="s">
        <v>10857</v>
      </c>
      <c r="N1731" s="144">
        <v>1.0</v>
      </c>
      <c r="O1731" s="145" t="s">
        <v>10858</v>
      </c>
      <c r="P1731" s="48" t="str">
        <f t="array" ref="P1731">HYPERLINK(INDEX('File Links'!B:B, MATCH(O1731, 'File Links'!C:C, 0)))
</f>
        <v>https://drive.google.com/file/d/16TKGD5uIhjmxtnz9GYQUl5frMKkhZ7vE/view?usp=drivesdk</v>
      </c>
      <c r="Q1731" s="147" t="s">
        <v>6103</v>
      </c>
      <c r="R1731" s="147" t="s">
        <v>6104</v>
      </c>
      <c r="S1731" s="60"/>
      <c r="T1731" s="144">
        <v>1.0</v>
      </c>
      <c r="U1731" s="145" t="s">
        <v>6105</v>
      </c>
      <c r="V1731" s="60"/>
      <c r="W1731" s="1455" t="str">
        <f> hyperlink(vlookup(lower(R1731),'File Links'!F:G, 2, FALSE), "LINK")</f>
        <v>LINK</v>
      </c>
      <c r="X1731" s="147" t="s">
        <v>10859</v>
      </c>
      <c r="Y1731" s="60"/>
      <c r="Z1731" s="60"/>
      <c r="AA1731" s="60"/>
      <c r="AB1731" s="60"/>
      <c r="AC1731" s="60"/>
      <c r="AD1731" s="60"/>
      <c r="AE1731" s="60"/>
      <c r="AF1731" s="60"/>
      <c r="AG1731" s="60"/>
      <c r="AH1731" s="60"/>
      <c r="AI1731" s="60"/>
      <c r="AJ1731" s="60"/>
      <c r="AK1731" s="60"/>
      <c r="AL1731" s="60"/>
      <c r="AM1731" s="60"/>
      <c r="AN1731" s="60"/>
      <c r="AO1731" s="60"/>
      <c r="AP1731" s="60"/>
      <c r="AQ1731" s="60"/>
      <c r="AR1731" s="60"/>
      <c r="AS1731" s="60"/>
      <c r="AT1731" s="60"/>
      <c r="AU1731" s="60"/>
      <c r="AV1731" s="60"/>
      <c r="AW1731" s="60"/>
      <c r="AY1731" s="60" t="s">
        <v>144</v>
      </c>
    </row>
    <row r="1732">
      <c r="A1732" s="60" t="s">
        <v>106</v>
      </c>
      <c r="B1732" s="41" t="s">
        <v>107</v>
      </c>
      <c r="C1732" s="41" t="s">
        <v>243</v>
      </c>
      <c r="E1732" s="147" t="s">
        <v>10855</v>
      </c>
      <c r="F1732" s="147" t="s">
        <v>10854</v>
      </c>
      <c r="G1732" s="147" t="s">
        <v>244</v>
      </c>
      <c r="H1732" s="140">
        <v>45664.0</v>
      </c>
      <c r="I1732" s="140">
        <v>45692.0</v>
      </c>
      <c r="J1732" s="412" t="s">
        <v>6190</v>
      </c>
      <c r="K1732" s="60"/>
      <c r="L1732" s="147" t="s">
        <v>10856</v>
      </c>
      <c r="M1732" s="147" t="s">
        <v>10857</v>
      </c>
      <c r="N1732" s="60"/>
      <c r="O1732" s="145" t="str">
        <f t="shared" ref="O1732:O1733" si="87"> SUBSTITUTE(lower(M1732), "/", "--") &amp;  ".pdf"</f>
        <v>10.1177--0956797616634654.pdf</v>
      </c>
      <c r="P1732" s="48" t="str">
        <f t="array" ref="P1732">HYPERLINK(INDEX('File Links'!B:B, MATCH(O1732, 'File Links'!C:C, 0)))
</f>
        <v>https://drive.google.com/file/d/16TKGD5uIhjmxtnz9GYQUl5frMKkhZ7vE/view?usp=drivesdk</v>
      </c>
      <c r="Q1732" s="147" t="s">
        <v>10860</v>
      </c>
      <c r="R1732" s="147" t="s">
        <v>10861</v>
      </c>
      <c r="S1732" s="60"/>
      <c r="T1732" s="60"/>
      <c r="U1732" s="145" t="s">
        <v>6105</v>
      </c>
      <c r="V1732" s="147" t="s">
        <v>318</v>
      </c>
      <c r="W1732" s="1455" t="str">
        <f> hyperlink(vlookup(lower(R1732),'File Links'!E:F, 2, FALSE), "LINK")</f>
        <v>LINK</v>
      </c>
      <c r="X1732" s="60"/>
      <c r="Y1732" s="147" t="s">
        <v>203</v>
      </c>
      <c r="Z1732" s="60"/>
      <c r="AA1732" s="60"/>
      <c r="AB1732" s="60"/>
      <c r="AC1732" s="147" t="s">
        <v>165</v>
      </c>
      <c r="AD1732" s="147" t="s">
        <v>165</v>
      </c>
      <c r="AE1732" s="144">
        <v>56.0</v>
      </c>
      <c r="AF1732" s="147" t="s">
        <v>165</v>
      </c>
      <c r="AG1732" s="60"/>
      <c r="AH1732" s="147" t="s">
        <v>165</v>
      </c>
      <c r="AI1732" s="147" t="s">
        <v>165</v>
      </c>
      <c r="AJ1732" s="60"/>
      <c r="AK1732" s="147" t="s">
        <v>179</v>
      </c>
      <c r="AL1732" s="147" t="s">
        <v>821</v>
      </c>
      <c r="AM1732" s="147" t="s">
        <v>129</v>
      </c>
      <c r="AN1732" s="144">
        <v>30.0</v>
      </c>
      <c r="AO1732" s="147" t="s">
        <v>165</v>
      </c>
      <c r="AP1732" s="60"/>
      <c r="AQ1732" s="60"/>
      <c r="AR1732" s="147" t="s">
        <v>165</v>
      </c>
      <c r="AS1732" s="60"/>
      <c r="AT1732" s="147" t="s">
        <v>179</v>
      </c>
      <c r="AU1732" s="147" t="s">
        <v>821</v>
      </c>
      <c r="AV1732" s="60"/>
      <c r="AW1732" s="147" t="s">
        <v>134</v>
      </c>
      <c r="AY1732" s="60" t="s">
        <v>144</v>
      </c>
    </row>
    <row r="1733">
      <c r="A1733" s="60" t="s">
        <v>106</v>
      </c>
      <c r="B1733" s="41" t="s">
        <v>107</v>
      </c>
      <c r="C1733" s="41" t="s">
        <v>243</v>
      </c>
      <c r="E1733" s="147" t="s">
        <v>10862</v>
      </c>
      <c r="F1733" s="147" t="s">
        <v>10863</v>
      </c>
      <c r="G1733" s="147" t="s">
        <v>244</v>
      </c>
      <c r="H1733" s="140">
        <v>45664.0</v>
      </c>
      <c r="I1733" s="140">
        <v>45692.0</v>
      </c>
      <c r="J1733" s="412" t="s">
        <v>10864</v>
      </c>
      <c r="K1733" s="60" t="s">
        <v>9078</v>
      </c>
      <c r="L1733" s="147" t="s">
        <v>10865</v>
      </c>
      <c r="M1733" s="147" t="s">
        <v>10866</v>
      </c>
      <c r="N1733" s="60"/>
      <c r="O1733" s="145" t="str">
        <f t="shared" si="87"/>
        <v>10.1080--23273798.2018.1431397.pdf</v>
      </c>
      <c r="P1733" s="48" t="str">
        <f t="array" ref="P1733">HYPERLINK(INDEX('File Links'!B:B, MATCH(O1733, 'File Links'!C:C, 0)))
</f>
        <v>https://drive.google.com/file/d/1quS4MAYvEPtehwNPw-pIZVscM1NFoUOj/view?usp=drivesdk</v>
      </c>
      <c r="Q1733" s="147" t="s">
        <v>10867</v>
      </c>
      <c r="R1733" s="147" t="s">
        <v>10868</v>
      </c>
      <c r="S1733" s="638" t="s">
        <v>10869</v>
      </c>
      <c r="T1733" s="60"/>
      <c r="U1733" s="145" t="s">
        <v>6105</v>
      </c>
      <c r="V1733" s="147" t="s">
        <v>6117</v>
      </c>
      <c r="W1733" s="1455" t="str">
        <f> hyperlink(vlookup(lower(R1733),'File Links'!E:F, 2, FALSE), "LINK")</f>
        <v>LINK</v>
      </c>
      <c r="X1733" s="60"/>
      <c r="Y1733" s="147" t="s">
        <v>139</v>
      </c>
      <c r="Z1733" s="147" t="s">
        <v>10870</v>
      </c>
      <c r="AA1733" s="60"/>
      <c r="AB1733" s="147" t="s">
        <v>10871</v>
      </c>
      <c r="AC1733" s="147" t="s">
        <v>10872</v>
      </c>
      <c r="AD1733" s="1265">
        <v>6.0</v>
      </c>
      <c r="AE1733" s="144">
        <v>35.0</v>
      </c>
      <c r="AF1733" s="144">
        <v>0.113056437869578</v>
      </c>
      <c r="AG1733" s="147" t="s">
        <v>166</v>
      </c>
      <c r="AH1733" s="1268" t="s">
        <v>131</v>
      </c>
      <c r="AI1733" s="144">
        <v>0.001</v>
      </c>
      <c r="AJ1733" s="147" t="s">
        <v>127</v>
      </c>
      <c r="AK1733" s="147" t="s">
        <v>179</v>
      </c>
      <c r="AL1733" s="147" t="s">
        <v>132</v>
      </c>
      <c r="AM1733" s="147" t="s">
        <v>129</v>
      </c>
      <c r="AN1733" s="144">
        <v>40.0</v>
      </c>
      <c r="AO1733" s="144">
        <v>1.74017489282979</v>
      </c>
      <c r="AP1733" s="147" t="s">
        <v>166</v>
      </c>
      <c r="AQ1733" s="60"/>
      <c r="AR1733" s="1351">
        <v>2.3039353399823E-13</v>
      </c>
      <c r="AS1733" s="147" t="s">
        <v>164</v>
      </c>
      <c r="AT1733" s="147" t="s">
        <v>179</v>
      </c>
      <c r="AU1733" s="147" t="s">
        <v>132</v>
      </c>
      <c r="AV1733" s="60"/>
      <c r="AW1733" s="147" t="s">
        <v>134</v>
      </c>
      <c r="AY1733" s="60" t="s">
        <v>144</v>
      </c>
    </row>
    <row r="1734">
      <c r="A1734" s="115" t="s">
        <v>5350</v>
      </c>
      <c r="B1734" s="41" t="s">
        <v>107</v>
      </c>
      <c r="C1734" s="41" t="s">
        <v>144</v>
      </c>
      <c r="E1734" s="60" t="s">
        <v>10863</v>
      </c>
      <c r="F1734" s="147" t="s">
        <v>10873</v>
      </c>
      <c r="G1734" s="147" t="s">
        <v>144</v>
      </c>
      <c r="H1734" s="140">
        <v>45687.0</v>
      </c>
      <c r="I1734" s="140">
        <v>45692.0</v>
      </c>
      <c r="J1734" s="60"/>
      <c r="K1734" s="60"/>
      <c r="L1734" s="147" t="s">
        <v>10865</v>
      </c>
      <c r="M1734" s="147" t="s">
        <v>10866</v>
      </c>
      <c r="N1734" s="144">
        <v>1.0</v>
      </c>
      <c r="O1734" s="145" t="s">
        <v>10874</v>
      </c>
      <c r="P1734" s="48" t="str">
        <f t="array" ref="P1734">HYPERLINK(INDEX('File Links'!B:B, MATCH(O1734, 'File Links'!C:C, 0)))
</f>
        <v>https://drive.google.com/file/d/1quS4MAYvEPtehwNPw-pIZVscM1NFoUOj/view?usp=drivesdk</v>
      </c>
      <c r="Q1734" s="147" t="s">
        <v>6103</v>
      </c>
      <c r="R1734" s="147" t="s">
        <v>6104</v>
      </c>
      <c r="S1734" s="638" t="s">
        <v>10869</v>
      </c>
      <c r="T1734" s="144">
        <v>1.0</v>
      </c>
      <c r="U1734" s="145" t="s">
        <v>6105</v>
      </c>
      <c r="V1734" s="147" t="s">
        <v>9044</v>
      </c>
      <c r="W1734" s="1455" t="str">
        <f> hyperlink(vlookup(lower(R1734),'File Links'!F:G, 2, FALSE), "LINK")</f>
        <v>LINK</v>
      </c>
      <c r="X1734" s="60"/>
      <c r="Y1734" s="147" t="s">
        <v>139</v>
      </c>
      <c r="Z1734" s="147" t="s">
        <v>10875</v>
      </c>
      <c r="AA1734" s="147" t="s">
        <v>10876</v>
      </c>
      <c r="AB1734" s="147" t="s">
        <v>10877</v>
      </c>
      <c r="AC1734" s="147" t="s">
        <v>10878</v>
      </c>
      <c r="AD1734" s="144">
        <v>7.0</v>
      </c>
      <c r="AE1734" s="144">
        <v>35.0</v>
      </c>
      <c r="AF1734" s="144" t="s">
        <v>10879</v>
      </c>
      <c r="AG1734" s="144" t="s">
        <v>162</v>
      </c>
      <c r="AH1734" s="144" t="s">
        <v>125</v>
      </c>
      <c r="AI1734" s="144">
        <v>0.001</v>
      </c>
      <c r="AJ1734" s="147" t="s">
        <v>127</v>
      </c>
      <c r="AK1734" s="147" t="s">
        <v>179</v>
      </c>
      <c r="AL1734" s="147" t="s">
        <v>132</v>
      </c>
      <c r="AM1734" s="60"/>
      <c r="AN1734" s="144">
        <v>40.0</v>
      </c>
      <c r="AO1734" s="144" t="s">
        <v>10880</v>
      </c>
      <c r="AP1734" s="144" t="s">
        <v>162</v>
      </c>
      <c r="AQ1734" s="144" t="s">
        <v>610</v>
      </c>
      <c r="AR1734" s="144">
        <v>0.323</v>
      </c>
      <c r="AS1734" s="147" t="s">
        <v>164</v>
      </c>
      <c r="AT1734" s="147" t="s">
        <v>179</v>
      </c>
      <c r="AU1734" s="147" t="s">
        <v>132</v>
      </c>
      <c r="AV1734" s="410" t="s">
        <v>10881</v>
      </c>
      <c r="AW1734" s="60" t="s">
        <v>142</v>
      </c>
      <c r="AY1734" s="60" t="s">
        <v>144</v>
      </c>
    </row>
    <row r="1735">
      <c r="A1735" s="115" t="s">
        <v>5350</v>
      </c>
      <c r="B1735" s="41" t="s">
        <v>107</v>
      </c>
      <c r="C1735" s="41" t="s">
        <v>144</v>
      </c>
      <c r="E1735" s="60" t="s">
        <v>10863</v>
      </c>
      <c r="F1735" s="147" t="s">
        <v>10882</v>
      </c>
      <c r="G1735" s="147" t="s">
        <v>144</v>
      </c>
      <c r="H1735" s="140">
        <v>45687.0</v>
      </c>
      <c r="I1735" s="140">
        <v>45692.0</v>
      </c>
      <c r="J1735" s="60"/>
      <c r="K1735" s="60"/>
      <c r="L1735" s="147" t="s">
        <v>10865</v>
      </c>
      <c r="M1735" s="147" t="s">
        <v>10866</v>
      </c>
      <c r="N1735" s="144">
        <v>1.0</v>
      </c>
      <c r="O1735" s="145" t="s">
        <v>10874</v>
      </c>
      <c r="P1735" s="48" t="str">
        <f t="array" ref="P1735">HYPERLINK(INDEX('File Links'!B:B, MATCH(O1735, 'File Links'!C:C, 0)))
</f>
        <v>https://drive.google.com/file/d/1quS4MAYvEPtehwNPw-pIZVscM1NFoUOj/view?usp=drivesdk</v>
      </c>
      <c r="Q1735" s="147" t="s">
        <v>6103</v>
      </c>
      <c r="R1735" s="147" t="s">
        <v>6104</v>
      </c>
      <c r="S1735" s="638" t="s">
        <v>10869</v>
      </c>
      <c r="T1735" s="144">
        <v>1.0</v>
      </c>
      <c r="U1735" s="145" t="s">
        <v>6105</v>
      </c>
      <c r="V1735" s="147" t="s">
        <v>9044</v>
      </c>
      <c r="W1735" s="1455" t="str">
        <f> hyperlink(vlookup(lower(R1735),'File Links'!F:G, 2, FALSE), "LINK")</f>
        <v>LINK</v>
      </c>
      <c r="X1735" s="60"/>
      <c r="Y1735" s="147" t="s">
        <v>139</v>
      </c>
      <c r="Z1735" s="147" t="s">
        <v>10875</v>
      </c>
      <c r="AA1735" s="147" t="s">
        <v>10876</v>
      </c>
      <c r="AB1735" s="147" t="s">
        <v>10883</v>
      </c>
      <c r="AC1735" s="147" t="s">
        <v>10884</v>
      </c>
      <c r="AD1735" s="144">
        <v>7.0</v>
      </c>
      <c r="AE1735" s="144">
        <v>35.0</v>
      </c>
      <c r="AF1735" s="327">
        <v>0.01</v>
      </c>
      <c r="AG1735" s="144" t="s">
        <v>1006</v>
      </c>
      <c r="AH1735" s="327" t="s">
        <v>125</v>
      </c>
      <c r="AI1735" s="327">
        <v>0.019</v>
      </c>
      <c r="AJ1735" s="147" t="s">
        <v>164</v>
      </c>
      <c r="AK1735" s="147" t="s">
        <v>179</v>
      </c>
      <c r="AL1735" s="147" t="s">
        <v>132</v>
      </c>
      <c r="AM1735" s="60"/>
      <c r="AN1735" s="144">
        <v>40.0</v>
      </c>
      <c r="AO1735" s="327">
        <v>-0.02</v>
      </c>
      <c r="AP1735" s="144" t="s">
        <v>1006</v>
      </c>
      <c r="AQ1735" s="327" t="s">
        <v>625</v>
      </c>
      <c r="AR1735" s="144">
        <v>0.533</v>
      </c>
      <c r="AS1735" s="147" t="s">
        <v>164</v>
      </c>
      <c r="AT1735" s="147" t="s">
        <v>179</v>
      </c>
      <c r="AU1735" s="147" t="s">
        <v>132</v>
      </c>
      <c r="AV1735" s="410" t="s">
        <v>10881</v>
      </c>
      <c r="AW1735" s="60" t="s">
        <v>142</v>
      </c>
      <c r="AY1735" s="60" t="s">
        <v>144</v>
      </c>
    </row>
    <row r="1736">
      <c r="A1736" s="115" t="s">
        <v>5350</v>
      </c>
      <c r="B1736" s="41" t="s">
        <v>107</v>
      </c>
      <c r="C1736" s="41" t="s">
        <v>144</v>
      </c>
      <c r="E1736" s="60" t="s">
        <v>10863</v>
      </c>
      <c r="F1736" s="147" t="s">
        <v>10885</v>
      </c>
      <c r="G1736" s="147" t="s">
        <v>144</v>
      </c>
      <c r="H1736" s="140">
        <v>45687.0</v>
      </c>
      <c r="I1736" s="140">
        <v>45692.0</v>
      </c>
      <c r="J1736" s="60"/>
      <c r="K1736" s="60"/>
      <c r="L1736" s="147" t="s">
        <v>10865</v>
      </c>
      <c r="M1736" s="147" t="s">
        <v>10866</v>
      </c>
      <c r="N1736" s="144">
        <v>1.0</v>
      </c>
      <c r="O1736" s="145" t="s">
        <v>10874</v>
      </c>
      <c r="P1736" s="48" t="str">
        <f t="array" ref="P1736">HYPERLINK(INDEX('File Links'!B:B, MATCH(O1736, 'File Links'!C:C, 0)))
</f>
        <v>https://drive.google.com/file/d/1quS4MAYvEPtehwNPw-pIZVscM1NFoUOj/view?usp=drivesdk</v>
      </c>
      <c r="Q1736" s="147" t="s">
        <v>6103</v>
      </c>
      <c r="R1736" s="147" t="s">
        <v>6104</v>
      </c>
      <c r="S1736" s="638" t="s">
        <v>10869</v>
      </c>
      <c r="T1736" s="144">
        <v>1.0</v>
      </c>
      <c r="U1736" s="145" t="s">
        <v>6105</v>
      </c>
      <c r="V1736" s="147" t="s">
        <v>9044</v>
      </c>
      <c r="W1736" s="1455" t="str">
        <f> hyperlink(vlookup(lower(R1736),'File Links'!F:G, 2, FALSE), "LINK")</f>
        <v>LINK</v>
      </c>
      <c r="X1736" s="60"/>
      <c r="Y1736" s="147" t="s">
        <v>139</v>
      </c>
      <c r="Z1736" s="147" t="s">
        <v>10875</v>
      </c>
      <c r="AA1736" s="147" t="s">
        <v>10876</v>
      </c>
      <c r="AB1736" s="147" t="s">
        <v>10886</v>
      </c>
      <c r="AC1736" s="147" t="s">
        <v>10887</v>
      </c>
      <c r="AD1736" s="144">
        <v>7.0</v>
      </c>
      <c r="AE1736" s="144">
        <v>35.0</v>
      </c>
      <c r="AF1736" s="327">
        <v>-0.01</v>
      </c>
      <c r="AG1736" s="144" t="s">
        <v>1006</v>
      </c>
      <c r="AH1736" s="327" t="s">
        <v>125</v>
      </c>
      <c r="AI1736" s="327">
        <v>0.547</v>
      </c>
      <c r="AJ1736" s="147" t="s">
        <v>164</v>
      </c>
      <c r="AK1736" s="147" t="s">
        <v>179</v>
      </c>
      <c r="AL1736" s="147" t="s">
        <v>132</v>
      </c>
      <c r="AM1736" s="60"/>
      <c r="AN1736" s="144">
        <v>40.0</v>
      </c>
      <c r="AO1736" s="327">
        <v>0.04</v>
      </c>
      <c r="AP1736" s="144" t="s">
        <v>1006</v>
      </c>
      <c r="AQ1736" s="327" t="s">
        <v>625</v>
      </c>
      <c r="AR1736" s="144">
        <v>0.162</v>
      </c>
      <c r="AS1736" s="147" t="s">
        <v>164</v>
      </c>
      <c r="AT1736" s="147" t="s">
        <v>179</v>
      </c>
      <c r="AU1736" s="147" t="s">
        <v>132</v>
      </c>
      <c r="AV1736" s="410" t="s">
        <v>10881</v>
      </c>
      <c r="AW1736" s="60" t="s">
        <v>142</v>
      </c>
      <c r="AY1736" s="60" t="s">
        <v>144</v>
      </c>
    </row>
    <row r="1737">
      <c r="A1737" s="115" t="s">
        <v>5350</v>
      </c>
      <c r="B1737" s="41" t="s">
        <v>107</v>
      </c>
      <c r="C1737" s="41" t="s">
        <v>144</v>
      </c>
      <c r="E1737" s="60" t="s">
        <v>10863</v>
      </c>
      <c r="F1737" s="147" t="s">
        <v>10888</v>
      </c>
      <c r="G1737" s="147" t="s">
        <v>144</v>
      </c>
      <c r="H1737" s="140">
        <v>45687.0</v>
      </c>
      <c r="I1737" s="140">
        <v>45692.0</v>
      </c>
      <c r="J1737" s="60"/>
      <c r="K1737" s="60"/>
      <c r="L1737" s="147" t="s">
        <v>10865</v>
      </c>
      <c r="M1737" s="147" t="s">
        <v>10866</v>
      </c>
      <c r="N1737" s="144">
        <v>1.0</v>
      </c>
      <c r="O1737" s="145" t="s">
        <v>10874</v>
      </c>
      <c r="P1737" s="48" t="str">
        <f t="array" ref="P1737">HYPERLINK(INDEX('File Links'!B:B, MATCH(O1737, 'File Links'!C:C, 0)))
</f>
        <v>https://drive.google.com/file/d/1quS4MAYvEPtehwNPw-pIZVscM1NFoUOj/view?usp=drivesdk</v>
      </c>
      <c r="Q1737" s="147" t="s">
        <v>6103</v>
      </c>
      <c r="R1737" s="147" t="s">
        <v>6104</v>
      </c>
      <c r="S1737" s="638" t="s">
        <v>10869</v>
      </c>
      <c r="T1737" s="144">
        <v>1.0</v>
      </c>
      <c r="U1737" s="145" t="s">
        <v>6105</v>
      </c>
      <c r="V1737" s="147" t="s">
        <v>9044</v>
      </c>
      <c r="W1737" s="1455" t="str">
        <f> hyperlink(vlookup(lower(R1737),'File Links'!F:G, 2, FALSE), "LINK")</f>
        <v>LINK</v>
      </c>
      <c r="X1737" s="60"/>
      <c r="Y1737" s="147" t="s">
        <v>139</v>
      </c>
      <c r="Z1737" s="147" t="s">
        <v>10875</v>
      </c>
      <c r="AA1737" s="147" t="s">
        <v>10876</v>
      </c>
      <c r="AB1737" s="147" t="s">
        <v>10889</v>
      </c>
      <c r="AC1737" s="147" t="s">
        <v>10890</v>
      </c>
      <c r="AD1737" s="144">
        <v>7.0</v>
      </c>
      <c r="AE1737" s="144">
        <v>35.0</v>
      </c>
      <c r="AF1737" s="327">
        <v>-0.02</v>
      </c>
      <c r="AG1737" s="144" t="s">
        <v>1006</v>
      </c>
      <c r="AH1737" s="327" t="s">
        <v>125</v>
      </c>
      <c r="AI1737" s="327">
        <v>0.005</v>
      </c>
      <c r="AJ1737" s="147" t="s">
        <v>164</v>
      </c>
      <c r="AK1737" s="147" t="s">
        <v>179</v>
      </c>
      <c r="AL1737" s="147" t="s">
        <v>132</v>
      </c>
      <c r="AM1737" s="60"/>
      <c r="AN1737" s="144">
        <v>40.0</v>
      </c>
      <c r="AO1737" s="327">
        <v>-0.03</v>
      </c>
      <c r="AP1737" s="144" t="s">
        <v>1006</v>
      </c>
      <c r="AQ1737" s="327" t="s">
        <v>625</v>
      </c>
      <c r="AR1737" s="144">
        <v>0.361</v>
      </c>
      <c r="AS1737" s="147" t="s">
        <v>164</v>
      </c>
      <c r="AT1737" s="147" t="s">
        <v>179</v>
      </c>
      <c r="AU1737" s="147" t="s">
        <v>132</v>
      </c>
      <c r="AV1737" s="410" t="s">
        <v>10881</v>
      </c>
      <c r="AW1737" s="60" t="s">
        <v>142</v>
      </c>
      <c r="AY1737" s="60" t="s">
        <v>144</v>
      </c>
    </row>
    <row r="1738">
      <c r="A1738" s="115" t="s">
        <v>5350</v>
      </c>
      <c r="B1738" s="41" t="s">
        <v>107</v>
      </c>
      <c r="C1738" s="41" t="s">
        <v>144</v>
      </c>
      <c r="E1738" s="60" t="s">
        <v>10863</v>
      </c>
      <c r="F1738" s="147" t="s">
        <v>10891</v>
      </c>
      <c r="G1738" s="147" t="s">
        <v>144</v>
      </c>
      <c r="H1738" s="140">
        <v>45687.0</v>
      </c>
      <c r="I1738" s="140">
        <v>45692.0</v>
      </c>
      <c r="J1738" s="60"/>
      <c r="K1738" s="60"/>
      <c r="L1738" s="147" t="s">
        <v>10865</v>
      </c>
      <c r="M1738" s="147" t="s">
        <v>10866</v>
      </c>
      <c r="N1738" s="144">
        <v>1.0</v>
      </c>
      <c r="O1738" s="145" t="s">
        <v>10874</v>
      </c>
      <c r="P1738" s="48" t="str">
        <f t="array" ref="P1738">HYPERLINK(INDEX('File Links'!B:B, MATCH(O1738, 'File Links'!C:C, 0)))
</f>
        <v>https://drive.google.com/file/d/1quS4MAYvEPtehwNPw-pIZVscM1NFoUOj/view?usp=drivesdk</v>
      </c>
      <c r="Q1738" s="147" t="s">
        <v>6103</v>
      </c>
      <c r="R1738" s="147" t="s">
        <v>6104</v>
      </c>
      <c r="S1738" s="638" t="s">
        <v>10869</v>
      </c>
      <c r="T1738" s="144">
        <v>1.0</v>
      </c>
      <c r="U1738" s="145" t="s">
        <v>6105</v>
      </c>
      <c r="V1738" s="147" t="s">
        <v>9044</v>
      </c>
      <c r="W1738" s="1455" t="str">
        <f> hyperlink(vlookup(lower(R1738),'File Links'!F:G, 2, FALSE), "LINK")</f>
        <v>LINK</v>
      </c>
      <c r="X1738" s="60"/>
      <c r="Y1738" s="147" t="s">
        <v>139</v>
      </c>
      <c r="Z1738" s="147" t="s">
        <v>10875</v>
      </c>
      <c r="AA1738" s="147" t="s">
        <v>10876</v>
      </c>
      <c r="AB1738" s="147" t="s">
        <v>10892</v>
      </c>
      <c r="AC1738" s="147" t="s">
        <v>10893</v>
      </c>
      <c r="AD1738" s="144">
        <v>7.0</v>
      </c>
      <c r="AE1738" s="144">
        <v>35.0</v>
      </c>
      <c r="AF1738" s="327">
        <v>-0.04</v>
      </c>
      <c r="AG1738" s="144" t="s">
        <v>1006</v>
      </c>
      <c r="AH1738" s="327" t="s">
        <v>125</v>
      </c>
      <c r="AI1738" s="327">
        <v>0.078</v>
      </c>
      <c r="AJ1738" s="147" t="s">
        <v>164</v>
      </c>
      <c r="AK1738" s="147" t="s">
        <v>179</v>
      </c>
      <c r="AL1738" s="147" t="s">
        <v>132</v>
      </c>
      <c r="AM1738" s="60"/>
      <c r="AN1738" s="144">
        <v>40.0</v>
      </c>
      <c r="AO1738" s="327">
        <v>-0.21</v>
      </c>
      <c r="AP1738" s="144" t="s">
        <v>1006</v>
      </c>
      <c r="AQ1738" s="327" t="s">
        <v>625</v>
      </c>
      <c r="AR1738" s="144">
        <v>0.157</v>
      </c>
      <c r="AS1738" s="147" t="s">
        <v>164</v>
      </c>
      <c r="AT1738" s="147" t="s">
        <v>179</v>
      </c>
      <c r="AU1738" s="147" t="s">
        <v>132</v>
      </c>
      <c r="AV1738" s="410" t="s">
        <v>10881</v>
      </c>
      <c r="AW1738" s="60" t="s">
        <v>142</v>
      </c>
      <c r="AY1738" s="60" t="s">
        <v>144</v>
      </c>
    </row>
    <row r="1739">
      <c r="A1739" s="115" t="s">
        <v>5350</v>
      </c>
      <c r="B1739" s="41" t="s">
        <v>107</v>
      </c>
      <c r="C1739" s="41" t="s">
        <v>144</v>
      </c>
      <c r="E1739" s="60" t="s">
        <v>10863</v>
      </c>
      <c r="F1739" s="147" t="s">
        <v>10894</v>
      </c>
      <c r="G1739" s="147" t="s">
        <v>144</v>
      </c>
      <c r="H1739" s="140">
        <v>45687.0</v>
      </c>
      <c r="I1739" s="140">
        <v>45692.0</v>
      </c>
      <c r="J1739" s="60"/>
      <c r="K1739" s="60"/>
      <c r="L1739" s="147" t="s">
        <v>10865</v>
      </c>
      <c r="M1739" s="147" t="s">
        <v>10866</v>
      </c>
      <c r="N1739" s="144">
        <v>1.0</v>
      </c>
      <c r="O1739" s="145" t="s">
        <v>10874</v>
      </c>
      <c r="P1739" s="48" t="str">
        <f t="array" ref="P1739">HYPERLINK(INDEX('File Links'!B:B, MATCH(O1739, 'File Links'!C:C, 0)))
</f>
        <v>https://drive.google.com/file/d/1quS4MAYvEPtehwNPw-pIZVscM1NFoUOj/view?usp=drivesdk</v>
      </c>
      <c r="Q1739" s="147" t="s">
        <v>6103</v>
      </c>
      <c r="R1739" s="147" t="s">
        <v>6104</v>
      </c>
      <c r="S1739" s="638" t="s">
        <v>10869</v>
      </c>
      <c r="T1739" s="144">
        <v>1.0</v>
      </c>
      <c r="U1739" s="145" t="s">
        <v>6105</v>
      </c>
      <c r="V1739" s="147" t="s">
        <v>9044</v>
      </c>
      <c r="W1739" s="1455" t="str">
        <f> hyperlink(vlookup(lower(R1739),'File Links'!F:G, 2, FALSE), "LINK")</f>
        <v>LINK</v>
      </c>
      <c r="X1739" s="60"/>
      <c r="Y1739" s="147" t="s">
        <v>139</v>
      </c>
      <c r="Z1739" s="147" t="s">
        <v>10875</v>
      </c>
      <c r="AA1739" s="147" t="s">
        <v>10876</v>
      </c>
      <c r="AB1739" s="147" t="s">
        <v>10895</v>
      </c>
      <c r="AC1739" s="147" t="s">
        <v>10896</v>
      </c>
      <c r="AD1739" s="144">
        <v>7.0</v>
      </c>
      <c r="AE1739" s="144">
        <v>35.0</v>
      </c>
      <c r="AF1739" s="327">
        <v>-1.79</v>
      </c>
      <c r="AG1739" s="144" t="s">
        <v>1006</v>
      </c>
      <c r="AH1739" s="327" t="s">
        <v>125</v>
      </c>
      <c r="AI1739" s="327">
        <v>0.001</v>
      </c>
      <c r="AJ1739" s="147" t="s">
        <v>127</v>
      </c>
      <c r="AK1739" s="147" t="s">
        <v>179</v>
      </c>
      <c r="AL1739" s="147" t="s">
        <v>132</v>
      </c>
      <c r="AM1739" s="60"/>
      <c r="AN1739" s="144">
        <v>40.0</v>
      </c>
      <c r="AO1739" s="327">
        <v>3.45</v>
      </c>
      <c r="AP1739" s="144" t="s">
        <v>1006</v>
      </c>
      <c r="AQ1739" s="327" t="s">
        <v>625</v>
      </c>
      <c r="AR1739" s="144">
        <v>0.001</v>
      </c>
      <c r="AS1739" s="147" t="s">
        <v>127</v>
      </c>
      <c r="AT1739" s="147" t="s">
        <v>179</v>
      </c>
      <c r="AU1739" s="147" t="s">
        <v>132</v>
      </c>
      <c r="AV1739" s="410" t="s">
        <v>10881</v>
      </c>
      <c r="AW1739" s="60" t="s">
        <v>142</v>
      </c>
      <c r="AY1739" s="60" t="s">
        <v>144</v>
      </c>
    </row>
    <row r="1740">
      <c r="A1740" s="115" t="s">
        <v>5350</v>
      </c>
      <c r="B1740" s="41" t="s">
        <v>107</v>
      </c>
      <c r="C1740" s="41" t="s">
        <v>144</v>
      </c>
      <c r="E1740" s="60" t="s">
        <v>10863</v>
      </c>
      <c r="F1740" s="147" t="s">
        <v>10897</v>
      </c>
      <c r="G1740" s="147" t="s">
        <v>144</v>
      </c>
      <c r="H1740" s="140">
        <v>45687.0</v>
      </c>
      <c r="I1740" s="140">
        <v>45692.0</v>
      </c>
      <c r="J1740" s="60"/>
      <c r="K1740" s="60"/>
      <c r="L1740" s="147" t="s">
        <v>10865</v>
      </c>
      <c r="M1740" s="147" t="s">
        <v>10866</v>
      </c>
      <c r="N1740" s="144">
        <v>1.0</v>
      </c>
      <c r="O1740" s="145" t="s">
        <v>10874</v>
      </c>
      <c r="P1740" s="48" t="str">
        <f t="array" ref="P1740">HYPERLINK(INDEX('File Links'!B:B, MATCH(O1740, 'File Links'!C:C, 0)))
</f>
        <v>https://drive.google.com/file/d/1quS4MAYvEPtehwNPw-pIZVscM1NFoUOj/view?usp=drivesdk</v>
      </c>
      <c r="Q1740" s="147" t="s">
        <v>6103</v>
      </c>
      <c r="R1740" s="147" t="s">
        <v>6104</v>
      </c>
      <c r="S1740" s="638" t="s">
        <v>10869</v>
      </c>
      <c r="T1740" s="144">
        <v>1.0</v>
      </c>
      <c r="U1740" s="145" t="s">
        <v>6105</v>
      </c>
      <c r="V1740" s="147" t="s">
        <v>9044</v>
      </c>
      <c r="W1740" s="1455" t="str">
        <f> hyperlink(vlookup(lower(R1740),'File Links'!F:G, 2, FALSE), "LINK")</f>
        <v>LINK</v>
      </c>
      <c r="X1740" s="60"/>
      <c r="Y1740" s="147" t="s">
        <v>139</v>
      </c>
      <c r="Z1740" s="147" t="s">
        <v>10875</v>
      </c>
      <c r="AA1740" s="147" t="s">
        <v>10876</v>
      </c>
      <c r="AB1740" s="147" t="s">
        <v>10898</v>
      </c>
      <c r="AC1740" s="147" t="s">
        <v>10899</v>
      </c>
      <c r="AD1740" s="144">
        <v>7.0</v>
      </c>
      <c r="AE1740" s="144">
        <v>35.0</v>
      </c>
      <c r="AF1740" s="327">
        <v>0.07</v>
      </c>
      <c r="AG1740" s="144" t="s">
        <v>1006</v>
      </c>
      <c r="AH1740" s="327" t="s">
        <v>125</v>
      </c>
      <c r="AI1740" s="327">
        <v>0.001</v>
      </c>
      <c r="AJ1740" s="147" t="s">
        <v>127</v>
      </c>
      <c r="AK1740" s="147" t="s">
        <v>179</v>
      </c>
      <c r="AL1740" s="147" t="s">
        <v>132</v>
      </c>
      <c r="AM1740" s="60"/>
      <c r="AN1740" s="144">
        <v>40.0</v>
      </c>
      <c r="AO1740" s="327">
        <v>0.76</v>
      </c>
      <c r="AP1740" s="144" t="s">
        <v>1006</v>
      </c>
      <c r="AQ1740" s="327" t="s">
        <v>625</v>
      </c>
      <c r="AR1740" s="144">
        <v>0.001</v>
      </c>
      <c r="AS1740" s="147" t="s">
        <v>127</v>
      </c>
      <c r="AT1740" s="147" t="s">
        <v>179</v>
      </c>
      <c r="AU1740" s="147" t="s">
        <v>132</v>
      </c>
      <c r="AV1740" s="410" t="s">
        <v>10881</v>
      </c>
      <c r="AW1740" s="60" t="s">
        <v>142</v>
      </c>
      <c r="AY1740" s="60" t="s">
        <v>144</v>
      </c>
    </row>
    <row r="1741" hidden="1">
      <c r="A1741" s="60" t="s">
        <v>106</v>
      </c>
      <c r="B1741" s="41" t="s">
        <v>107</v>
      </c>
      <c r="C1741" s="41" t="s">
        <v>144</v>
      </c>
      <c r="E1741" s="60" t="s">
        <v>10900</v>
      </c>
      <c r="F1741" s="147" t="s">
        <v>10901</v>
      </c>
      <c r="G1741" s="147" t="s">
        <v>144</v>
      </c>
      <c r="H1741" s="140">
        <v>45687.0</v>
      </c>
      <c r="I1741" s="140">
        <v>45692.0</v>
      </c>
      <c r="J1741" s="412" t="s">
        <v>10902</v>
      </c>
      <c r="K1741" s="60"/>
      <c r="L1741" s="147" t="s">
        <v>10903</v>
      </c>
      <c r="M1741" s="60"/>
      <c r="N1741" s="144">
        <v>1.0</v>
      </c>
      <c r="O1741" s="145" t="s">
        <v>351</v>
      </c>
      <c r="P1741" s="544" t="str">
        <f t="array" ref="P1741">HYPERLINK(INDEX('File Links'!B:B, MATCH(O1741, 'File Links'!C:C, 0)))
</f>
        <v>#N/A</v>
      </c>
      <c r="Q1741" s="147" t="s">
        <v>6103</v>
      </c>
      <c r="R1741" s="147" t="s">
        <v>6104</v>
      </c>
      <c r="S1741" s="638" t="s">
        <v>10904</v>
      </c>
      <c r="T1741" s="144">
        <v>1.0</v>
      </c>
      <c r="U1741" s="145" t="s">
        <v>6105</v>
      </c>
      <c r="V1741" s="60"/>
      <c r="W1741" s="1455" t="str">
        <f> hyperlink(vlookup(lower(R1741),'File Links'!F:G, 2, FALSE), "LINK")</f>
        <v>LINK</v>
      </c>
      <c r="X1741" s="147" t="s">
        <v>10905</v>
      </c>
      <c r="Y1741" s="60"/>
      <c r="Z1741" s="60"/>
      <c r="AA1741" s="60"/>
      <c r="AB1741" s="60"/>
      <c r="AC1741" s="60"/>
      <c r="AD1741" s="60"/>
      <c r="AE1741" s="60"/>
      <c r="AF1741" s="60"/>
      <c r="AG1741" s="60"/>
      <c r="AH1741" s="60"/>
      <c r="AI1741" s="60"/>
      <c r="AJ1741" s="60"/>
      <c r="AK1741" s="60"/>
      <c r="AL1741" s="60"/>
      <c r="AM1741" s="60"/>
      <c r="AN1741" s="60"/>
      <c r="AO1741" s="60"/>
      <c r="AP1741" s="60"/>
      <c r="AQ1741" s="60"/>
      <c r="AR1741" s="60"/>
      <c r="AS1741" s="60"/>
      <c r="AT1741" s="60"/>
      <c r="AU1741" s="60"/>
      <c r="AV1741" s="60"/>
      <c r="AW1741" s="60"/>
      <c r="AY1741" s="60" t="s">
        <v>144</v>
      </c>
    </row>
    <row r="1742">
      <c r="A1742" s="115" t="s">
        <v>5350</v>
      </c>
      <c r="B1742" s="41" t="s">
        <v>107</v>
      </c>
      <c r="C1742" s="41" t="s">
        <v>243</v>
      </c>
      <c r="E1742" s="147" t="s">
        <v>10901</v>
      </c>
      <c r="F1742" s="147" t="s">
        <v>10900</v>
      </c>
      <c r="G1742" s="147" t="s">
        <v>244</v>
      </c>
      <c r="H1742" s="140">
        <v>45664.0</v>
      </c>
      <c r="I1742" s="140">
        <v>45692.0</v>
      </c>
      <c r="J1742" s="60"/>
      <c r="K1742" s="60" t="s">
        <v>10906</v>
      </c>
      <c r="L1742" s="147" t="s">
        <v>10903</v>
      </c>
      <c r="M1742" s="60"/>
      <c r="N1742" s="60"/>
      <c r="O1742" s="145" t="str">
        <f t="shared" ref="O1742:O1743" si="88"> SUBSTITUTE(lower(M1742), "/", "--") &amp;  ".pdf"</f>
        <v>.pdf</v>
      </c>
      <c r="P1742" s="544" t="str">
        <f t="array" ref="P1742">HYPERLINK(INDEX('File Links'!B:B, MATCH(O1742, 'File Links'!C:C, 0)))
</f>
        <v>#N/A</v>
      </c>
      <c r="Q1742" s="147" t="s">
        <v>10907</v>
      </c>
      <c r="R1742" s="147" t="s">
        <v>10908</v>
      </c>
      <c r="S1742" s="638" t="s">
        <v>10904</v>
      </c>
      <c r="T1742" s="60"/>
      <c r="U1742" s="145" t="s">
        <v>6105</v>
      </c>
      <c r="V1742" s="147" t="s">
        <v>6291</v>
      </c>
      <c r="W1742" s="1455" t="str">
        <f> hyperlink(vlookup(lower(R1742),'File Links'!E:F, 2, FALSE), "LINK")</f>
        <v>LINK</v>
      </c>
      <c r="X1742" s="60"/>
      <c r="Y1742" s="147" t="s">
        <v>139</v>
      </c>
      <c r="Z1742" s="60" t="s">
        <v>10909</v>
      </c>
      <c r="AA1742" s="60" t="s">
        <v>10910</v>
      </c>
      <c r="AB1742" s="60" t="s">
        <v>10911</v>
      </c>
      <c r="AC1742" s="147" t="s">
        <v>10912</v>
      </c>
      <c r="AD1742" s="1459">
        <v>4.0</v>
      </c>
      <c r="AE1742" s="144">
        <v>202.0</v>
      </c>
      <c r="AF1742" s="144">
        <v>-0.75</v>
      </c>
      <c r="AG1742" s="147" t="s">
        <v>208</v>
      </c>
      <c r="AH1742" s="1460" t="s">
        <v>861</v>
      </c>
      <c r="AI1742" s="144">
        <v>0.001</v>
      </c>
      <c r="AJ1742" s="147" t="s">
        <v>127</v>
      </c>
      <c r="AK1742" s="147" t="s">
        <v>179</v>
      </c>
      <c r="AL1742" s="147" t="s">
        <v>821</v>
      </c>
      <c r="AM1742" s="147" t="s">
        <v>129</v>
      </c>
      <c r="AN1742" s="144">
        <v>20.0</v>
      </c>
      <c r="AO1742" s="1459">
        <v>-0.5293166</v>
      </c>
      <c r="AP1742" s="147" t="s">
        <v>208</v>
      </c>
      <c r="AQ1742" s="60"/>
      <c r="AR1742" s="1493">
        <v>5.306E-4</v>
      </c>
      <c r="AS1742" s="147" t="s">
        <v>164</v>
      </c>
      <c r="AT1742" s="147" t="s">
        <v>179</v>
      </c>
      <c r="AU1742" s="147" t="s">
        <v>821</v>
      </c>
      <c r="AV1742" s="60"/>
      <c r="AW1742" s="147" t="s">
        <v>134</v>
      </c>
      <c r="AY1742" s="60" t="s">
        <v>144</v>
      </c>
    </row>
    <row r="1743">
      <c r="A1743" s="60" t="s">
        <v>106</v>
      </c>
      <c r="B1743" s="41" t="s">
        <v>107</v>
      </c>
      <c r="C1743" s="41" t="s">
        <v>243</v>
      </c>
      <c r="E1743" s="147" t="s">
        <v>10913</v>
      </c>
      <c r="F1743" s="147" t="s">
        <v>10914</v>
      </c>
      <c r="G1743" s="147" t="s">
        <v>244</v>
      </c>
      <c r="H1743" s="140">
        <v>45671.0</v>
      </c>
      <c r="I1743" s="140">
        <v>45692.0</v>
      </c>
      <c r="J1743" s="60"/>
      <c r="K1743" s="60" t="s">
        <v>9078</v>
      </c>
      <c r="L1743" s="147" t="s">
        <v>10915</v>
      </c>
      <c r="M1743" s="147" t="s">
        <v>10916</v>
      </c>
      <c r="N1743" s="60"/>
      <c r="O1743" s="145" t="str">
        <f t="shared" si="88"/>
        <v>10.1177--0956797615625640.pdf</v>
      </c>
      <c r="P1743" s="48" t="str">
        <f t="array" ref="P1743">HYPERLINK(INDEX('File Links'!B:B, MATCH(O1743, 'File Links'!C:C, 0)))
</f>
        <v>https://drive.google.com/file/d/1ufFlEetCWZtYqMqTTptc07s2XdkD4E4c/view?usp=drivesdk</v>
      </c>
      <c r="Q1743" s="147" t="s">
        <v>10917</v>
      </c>
      <c r="R1743" s="147" t="s">
        <v>10918</v>
      </c>
      <c r="S1743" s="638" t="s">
        <v>10919</v>
      </c>
      <c r="T1743" s="60"/>
      <c r="U1743" s="145" t="s">
        <v>6105</v>
      </c>
      <c r="V1743" s="147" t="s">
        <v>318</v>
      </c>
      <c r="W1743" s="1455" t="str">
        <f> hyperlink(vlookup(lower(R1743),'File Links'!E:F, 2, FALSE), "LINK")</f>
        <v>LINK</v>
      </c>
      <c r="X1743" s="60"/>
      <c r="Y1743" s="147" t="s">
        <v>139</v>
      </c>
      <c r="Z1743" s="60"/>
      <c r="AA1743" s="147" t="s">
        <v>10806</v>
      </c>
      <c r="AB1743" s="60"/>
      <c r="AC1743" s="147" t="s">
        <v>10920</v>
      </c>
      <c r="AD1743" s="1265">
        <v>6.0</v>
      </c>
      <c r="AE1743" s="144">
        <v>100.0</v>
      </c>
      <c r="AF1743" s="144">
        <v>0.41</v>
      </c>
      <c r="AG1743" s="147" t="s">
        <v>166</v>
      </c>
      <c r="AH1743" s="1268" t="s">
        <v>131</v>
      </c>
      <c r="AI1743" s="144">
        <v>0.04</v>
      </c>
      <c r="AJ1743" s="147" t="s">
        <v>164</v>
      </c>
      <c r="AK1743" s="147" t="s">
        <v>179</v>
      </c>
      <c r="AL1743" s="147" t="s">
        <v>129</v>
      </c>
      <c r="AM1743" s="147" t="s">
        <v>129</v>
      </c>
      <c r="AN1743" s="144">
        <v>158.0</v>
      </c>
      <c r="AO1743" s="144">
        <v>-0.19040863130135</v>
      </c>
      <c r="AP1743" s="147" t="s">
        <v>166</v>
      </c>
      <c r="AQ1743" s="60"/>
      <c r="AR1743" s="144">
        <v>0.0182407236142778</v>
      </c>
      <c r="AS1743" s="147" t="s">
        <v>164</v>
      </c>
      <c r="AT1743" s="147" t="s">
        <v>179</v>
      </c>
      <c r="AU1743" s="147" t="s">
        <v>129</v>
      </c>
      <c r="AV1743" s="60"/>
      <c r="AW1743" s="147" t="s">
        <v>134</v>
      </c>
      <c r="AY1743" s="60" t="s">
        <v>144</v>
      </c>
    </row>
    <row r="1744">
      <c r="A1744" s="115" t="s">
        <v>143</v>
      </c>
      <c r="B1744" s="41" t="s">
        <v>107</v>
      </c>
      <c r="C1744" s="41" t="s">
        <v>144</v>
      </c>
      <c r="E1744" s="60" t="s">
        <v>10914</v>
      </c>
      <c r="F1744" s="147" t="s">
        <v>10913</v>
      </c>
      <c r="G1744" s="147" t="s">
        <v>144</v>
      </c>
      <c r="H1744" s="140">
        <v>45687.0</v>
      </c>
      <c r="I1744" s="140">
        <v>45692.0</v>
      </c>
      <c r="J1744" s="60"/>
      <c r="K1744" s="60" t="s">
        <v>10906</v>
      </c>
      <c r="L1744" s="147" t="s">
        <v>10915</v>
      </c>
      <c r="M1744" s="147" t="s">
        <v>10916</v>
      </c>
      <c r="N1744" s="144">
        <v>5.0</v>
      </c>
      <c r="O1744" s="145" t="s">
        <v>10921</v>
      </c>
      <c r="P1744" s="48" t="str">
        <f t="array" ref="P1744">HYPERLINK(INDEX('File Links'!B:B, MATCH(O1744, 'File Links'!C:C, 0)))
</f>
        <v>https://drive.google.com/file/d/1ufFlEetCWZtYqMqTTptc07s2XdkD4E4c/view?usp=drivesdk</v>
      </c>
      <c r="Q1744" s="147" t="s">
        <v>6103</v>
      </c>
      <c r="R1744" s="147" t="s">
        <v>6104</v>
      </c>
      <c r="S1744" s="638" t="s">
        <v>10919</v>
      </c>
      <c r="T1744" s="144">
        <v>1.0</v>
      </c>
      <c r="U1744" s="145" t="s">
        <v>6105</v>
      </c>
      <c r="V1744" s="147" t="s">
        <v>9109</v>
      </c>
      <c r="W1744" s="638" t="s">
        <v>10919</v>
      </c>
      <c r="X1744" s="60"/>
      <c r="Y1744" s="147" t="s">
        <v>139</v>
      </c>
      <c r="Z1744" s="147" t="s">
        <v>10922</v>
      </c>
      <c r="AA1744" s="147" t="s">
        <v>10923</v>
      </c>
      <c r="AB1744" s="147" t="s">
        <v>10924</v>
      </c>
      <c r="AC1744" s="147" t="s">
        <v>10925</v>
      </c>
      <c r="AD1744" s="149" t="s">
        <v>10926</v>
      </c>
      <c r="AE1744" s="144">
        <v>100.0</v>
      </c>
      <c r="AF1744" s="144">
        <v>0.41</v>
      </c>
      <c r="AG1744" s="147" t="s">
        <v>166</v>
      </c>
      <c r="AH1744" s="149" t="s">
        <v>10926</v>
      </c>
      <c r="AI1744" s="144">
        <v>0.04</v>
      </c>
      <c r="AJ1744" s="147" t="s">
        <v>164</v>
      </c>
      <c r="AK1744" s="147" t="s">
        <v>179</v>
      </c>
      <c r="AL1744" s="147" t="s">
        <v>129</v>
      </c>
      <c r="AM1744" s="60"/>
      <c r="AN1744" s="144">
        <v>158.0</v>
      </c>
      <c r="AO1744" s="1459">
        <v>-0.19040863130135</v>
      </c>
      <c r="AP1744" s="1460" t="s">
        <v>166</v>
      </c>
      <c r="AQ1744" s="60"/>
      <c r="AR1744" s="1459">
        <v>0.0182407236142778</v>
      </c>
      <c r="AS1744" s="1460" t="s">
        <v>164</v>
      </c>
      <c r="AT1744" s="147" t="s">
        <v>179</v>
      </c>
      <c r="AU1744" s="147" t="s">
        <v>129</v>
      </c>
      <c r="AV1744" s="410" t="s">
        <v>10927</v>
      </c>
      <c r="AW1744" s="60" t="s">
        <v>134</v>
      </c>
      <c r="AX1744" s="41" t="s">
        <v>10928</v>
      </c>
      <c r="AY1744" s="60" t="s">
        <v>144</v>
      </c>
    </row>
    <row r="1745" hidden="1">
      <c r="A1745" s="115" t="s">
        <v>5350</v>
      </c>
      <c r="B1745" s="41" t="s">
        <v>107</v>
      </c>
      <c r="C1745" s="41" t="s">
        <v>144</v>
      </c>
      <c r="E1745" s="60" t="s">
        <v>10929</v>
      </c>
      <c r="F1745" s="147" t="s">
        <v>10930</v>
      </c>
      <c r="G1745" s="147" t="s">
        <v>144</v>
      </c>
      <c r="H1745" s="140">
        <v>45687.0</v>
      </c>
      <c r="I1745" s="140">
        <v>45692.0</v>
      </c>
      <c r="J1745" s="412" t="s">
        <v>10931</v>
      </c>
      <c r="K1745" s="60"/>
      <c r="L1745" s="147" t="s">
        <v>10932</v>
      </c>
      <c r="M1745" s="147" t="s">
        <v>10933</v>
      </c>
      <c r="N1745" s="144" t="s">
        <v>3787</v>
      </c>
      <c r="O1745" s="145" t="s">
        <v>10934</v>
      </c>
      <c r="P1745" s="48" t="str">
        <f t="array" ref="P1745">HYPERLINK(INDEX('File Links'!B:B, MATCH(O1745, 'File Links'!C:C, 0)))
</f>
        <v>https://drive.google.com/file/d/1nanNymgjGLBTTIftwQHD0CPkPgFLXjko/view?usp=drivesdk</v>
      </c>
      <c r="Q1745" s="147" t="s">
        <v>6103</v>
      </c>
      <c r="R1745" s="147" t="s">
        <v>6104</v>
      </c>
      <c r="S1745" s="638" t="s">
        <v>10935</v>
      </c>
      <c r="T1745" s="144">
        <v>1.0</v>
      </c>
      <c r="U1745" s="145" t="s">
        <v>6105</v>
      </c>
      <c r="V1745" s="147" t="s">
        <v>9044</v>
      </c>
      <c r="W1745" s="638" t="s">
        <v>10935</v>
      </c>
      <c r="X1745" s="147" t="s">
        <v>10936</v>
      </c>
      <c r="Y1745" s="60"/>
      <c r="Z1745" s="60"/>
      <c r="AA1745" s="60"/>
      <c r="AB1745" s="60"/>
      <c r="AC1745" s="60"/>
      <c r="AD1745" s="60"/>
      <c r="AE1745" s="60"/>
      <c r="AF1745" s="60"/>
      <c r="AG1745" s="60"/>
      <c r="AH1745" s="60"/>
      <c r="AI1745" s="60"/>
      <c r="AJ1745" s="60"/>
      <c r="AK1745" s="60"/>
      <c r="AL1745" s="60"/>
      <c r="AM1745" s="60"/>
      <c r="AN1745" s="60"/>
      <c r="AO1745" s="60"/>
      <c r="AP1745" s="60"/>
      <c r="AQ1745" s="60"/>
      <c r="AR1745" s="60"/>
      <c r="AS1745" s="60"/>
      <c r="AT1745" s="60"/>
      <c r="AU1745" s="60"/>
      <c r="AV1745" s="60"/>
      <c r="AW1745" s="60"/>
      <c r="AY1745" s="60" t="s">
        <v>144</v>
      </c>
    </row>
    <row r="1746">
      <c r="A1746" s="60" t="s">
        <v>106</v>
      </c>
      <c r="B1746" s="41" t="s">
        <v>107</v>
      </c>
      <c r="C1746" s="41" t="s">
        <v>243</v>
      </c>
      <c r="E1746" s="147" t="s">
        <v>10930</v>
      </c>
      <c r="F1746" s="147" t="s">
        <v>10929</v>
      </c>
      <c r="G1746" s="147" t="s">
        <v>244</v>
      </c>
      <c r="H1746" s="140">
        <v>45664.0</v>
      </c>
      <c r="I1746" s="140">
        <v>45692.0</v>
      </c>
      <c r="J1746" s="412" t="s">
        <v>10937</v>
      </c>
      <c r="K1746" s="60"/>
      <c r="L1746" s="147" t="s">
        <v>10932</v>
      </c>
      <c r="M1746" s="147" t="s">
        <v>10933</v>
      </c>
      <c r="N1746" s="60"/>
      <c r="O1746" s="145" t="str">
        <f t="shared" ref="O1746:O1747" si="89"> SUBSTITUTE(lower(M1746), "/", "--") &amp;  ".pdf"</f>
        <v>10.1177--0956797611419168.pdf</v>
      </c>
      <c r="P1746" s="48" t="str">
        <f t="array" ref="P1746">HYPERLINK(INDEX('File Links'!B:B, MATCH(O1746, 'File Links'!C:C, 0)))
</f>
        <v>https://drive.google.com/file/d/1nanNymgjGLBTTIftwQHD0CPkPgFLXjko/view?usp=drivesdk</v>
      </c>
      <c r="Q1746" s="147" t="s">
        <v>10938</v>
      </c>
      <c r="R1746" s="147" t="s">
        <v>10939</v>
      </c>
      <c r="S1746" s="638" t="s">
        <v>10935</v>
      </c>
      <c r="T1746" s="60"/>
      <c r="U1746" s="145" t="s">
        <v>6105</v>
      </c>
      <c r="V1746" s="147" t="s">
        <v>6117</v>
      </c>
      <c r="W1746" s="1455" t="str">
        <f> hyperlink(vlookup(lower(R1746),'File Links'!E:F, 2, FALSE), "LINK")</f>
        <v>LINK</v>
      </c>
      <c r="X1746" s="60"/>
      <c r="Y1746" s="147" t="s">
        <v>139</v>
      </c>
      <c r="Z1746" s="60"/>
      <c r="AA1746" s="147" t="s">
        <v>10940</v>
      </c>
      <c r="AB1746" s="60"/>
      <c r="AC1746" s="147" t="s">
        <v>10941</v>
      </c>
      <c r="AD1746" s="144">
        <v>1168.0</v>
      </c>
      <c r="AE1746" s="144">
        <v>30.0</v>
      </c>
      <c r="AF1746" s="147" t="s">
        <v>165</v>
      </c>
      <c r="AG1746" s="147" t="s">
        <v>165</v>
      </c>
      <c r="AH1746" s="147" t="s">
        <v>165</v>
      </c>
      <c r="AI1746" s="147" t="s">
        <v>165</v>
      </c>
      <c r="AJ1746" s="60"/>
      <c r="AK1746" s="147" t="s">
        <v>179</v>
      </c>
      <c r="AL1746" s="147" t="s">
        <v>821</v>
      </c>
      <c r="AM1746" s="147" t="s">
        <v>129</v>
      </c>
      <c r="AN1746" s="144">
        <v>29.0</v>
      </c>
      <c r="AO1746" s="147" t="s">
        <v>165</v>
      </c>
      <c r="AP1746" s="60"/>
      <c r="AQ1746" s="60"/>
      <c r="AR1746" s="147" t="s">
        <v>165</v>
      </c>
      <c r="AS1746" s="60"/>
      <c r="AT1746" s="147" t="s">
        <v>179</v>
      </c>
      <c r="AU1746" s="147" t="s">
        <v>821</v>
      </c>
      <c r="AV1746" s="60"/>
      <c r="AW1746" s="147" t="s">
        <v>134</v>
      </c>
      <c r="AY1746" s="60" t="s">
        <v>144</v>
      </c>
    </row>
    <row r="1747">
      <c r="A1747" s="115" t="s">
        <v>5350</v>
      </c>
      <c r="B1747" s="41" t="s">
        <v>107</v>
      </c>
      <c r="C1747" s="41" t="s">
        <v>243</v>
      </c>
      <c r="E1747" s="147" t="s">
        <v>10942</v>
      </c>
      <c r="F1747" s="147" t="s">
        <v>10943</v>
      </c>
      <c r="G1747" s="147" t="s">
        <v>244</v>
      </c>
      <c r="H1747" s="140">
        <v>45664.0</v>
      </c>
      <c r="I1747" s="140">
        <v>45692.0</v>
      </c>
      <c r="J1747" s="412" t="s">
        <v>10944</v>
      </c>
      <c r="K1747" s="60" t="s">
        <v>9078</v>
      </c>
      <c r="L1747" s="147" t="s">
        <v>10945</v>
      </c>
      <c r="M1747" s="147" t="s">
        <v>10946</v>
      </c>
      <c r="N1747" s="60"/>
      <c r="O1747" s="145" t="str">
        <f t="shared" si="89"/>
        <v>10.1086--511799.pdf</v>
      </c>
      <c r="P1747" s="48" t="str">
        <f t="array" ref="P1747">HYPERLINK(INDEX('File Links'!B:B, MATCH(O1747, 'File Links'!C:C, 0)))
</f>
        <v>https://drive.google.com/file/d/1kVWNkPYWfpPoaNfzdmDoKO9zV0jbI67W/view?usp=drivesdk</v>
      </c>
      <c r="Q1747" s="147" t="s">
        <v>10947</v>
      </c>
      <c r="R1747" s="147" t="s">
        <v>10948</v>
      </c>
      <c r="S1747" s="60"/>
      <c r="T1747" s="60"/>
      <c r="U1747" s="145" t="s">
        <v>6105</v>
      </c>
      <c r="V1747" s="147" t="s">
        <v>318</v>
      </c>
      <c r="W1747" s="1455" t="str">
        <f> hyperlink(vlookup(lower(R1747),'File Links'!E:F, 2, FALSE), "LINK")</f>
        <v>LINK</v>
      </c>
      <c r="X1747" s="60"/>
      <c r="Y1747" s="147" t="s">
        <v>203</v>
      </c>
      <c r="Z1747" s="60"/>
      <c r="AA1747" s="60"/>
      <c r="AB1747" s="60"/>
      <c r="AC1747" s="147" t="s">
        <v>10949</v>
      </c>
      <c r="AD1747" s="1265">
        <v>1316.0</v>
      </c>
      <c r="AE1747" s="144">
        <v>94.0</v>
      </c>
      <c r="AF1747" s="144">
        <v>0.849411594880563</v>
      </c>
      <c r="AG1747" s="147" t="s">
        <v>166</v>
      </c>
      <c r="AH1747" s="1268" t="s">
        <v>10950</v>
      </c>
      <c r="AI1747" s="144">
        <v>0.05</v>
      </c>
      <c r="AJ1747" s="147" t="s">
        <v>127</v>
      </c>
      <c r="AK1747" s="147" t="s">
        <v>179</v>
      </c>
      <c r="AL1747" s="147" t="s">
        <v>821</v>
      </c>
      <c r="AM1747" s="147" t="s">
        <v>129</v>
      </c>
      <c r="AN1747" s="144">
        <v>198.0</v>
      </c>
      <c r="AO1747" s="144">
        <v>0.0709264758253591</v>
      </c>
      <c r="AP1747" s="147" t="s">
        <v>166</v>
      </c>
      <c r="AQ1747" s="60"/>
      <c r="AR1747" s="144">
        <v>0.31949202403835</v>
      </c>
      <c r="AS1747" s="147" t="s">
        <v>164</v>
      </c>
      <c r="AT1747" s="147" t="s">
        <v>179</v>
      </c>
      <c r="AU1747" s="147" t="s">
        <v>821</v>
      </c>
      <c r="AV1747" s="60"/>
      <c r="AW1747" s="147" t="s">
        <v>134</v>
      </c>
      <c r="AY1747" s="60" t="s">
        <v>144</v>
      </c>
    </row>
    <row r="1748">
      <c r="A1748" s="60" t="s">
        <v>106</v>
      </c>
      <c r="B1748" s="41" t="s">
        <v>107</v>
      </c>
      <c r="C1748" s="41" t="s">
        <v>144</v>
      </c>
      <c r="E1748" s="60" t="s">
        <v>10943</v>
      </c>
      <c r="F1748" s="147" t="s">
        <v>10942</v>
      </c>
      <c r="G1748" s="147" t="s">
        <v>144</v>
      </c>
      <c r="H1748" s="140">
        <v>45687.0</v>
      </c>
      <c r="I1748" s="140">
        <v>45692.0</v>
      </c>
      <c r="J1748" s="454" t="s">
        <v>10951</v>
      </c>
      <c r="K1748" s="60"/>
      <c r="L1748" s="147" t="s">
        <v>10945</v>
      </c>
      <c r="M1748" s="147" t="s">
        <v>10946</v>
      </c>
      <c r="N1748" s="147" t="s">
        <v>10952</v>
      </c>
      <c r="O1748" s="145" t="s">
        <v>10953</v>
      </c>
      <c r="P1748" s="48" t="str">
        <f t="array" ref="P1748">HYPERLINK(INDEX('File Links'!B:B, MATCH(O1748, 'File Links'!C:C, 0)))
</f>
        <v>https://drive.google.com/file/d/1kVWNkPYWfpPoaNfzdmDoKO9zV0jbI67W/view?usp=drivesdk</v>
      </c>
      <c r="Q1748" s="147" t="s">
        <v>6103</v>
      </c>
      <c r="R1748" s="147" t="s">
        <v>6104</v>
      </c>
      <c r="S1748" s="60"/>
      <c r="T1748" s="144">
        <v>1.0</v>
      </c>
      <c r="U1748" s="145" t="s">
        <v>6105</v>
      </c>
      <c r="V1748" s="147" t="s">
        <v>9109</v>
      </c>
      <c r="W1748" s="1455" t="str">
        <f> hyperlink(vlookup(lower(R1748),'File Links'!F:G, 2, FALSE), "LINK")</f>
        <v>LINK</v>
      </c>
      <c r="X1748" s="60"/>
      <c r="Y1748" s="147" t="s">
        <v>960</v>
      </c>
      <c r="Z1748" s="147" t="s">
        <v>10954</v>
      </c>
      <c r="AA1748" s="147" t="s">
        <v>10955</v>
      </c>
      <c r="AB1748" s="147" t="s">
        <v>10956</v>
      </c>
      <c r="AC1748" s="147" t="s">
        <v>10957</v>
      </c>
      <c r="AD1748" s="144">
        <v>20.0</v>
      </c>
      <c r="AE1748" s="1459">
        <v>94.0</v>
      </c>
      <c r="AF1748" s="144">
        <v>0.849411594880563</v>
      </c>
      <c r="AG1748" s="144" t="s">
        <v>166</v>
      </c>
      <c r="AH1748" s="144" t="s">
        <v>1276</v>
      </c>
      <c r="AI1748" s="144">
        <f>7.83134738554709*10^-24</f>
        <v>0</v>
      </c>
      <c r="AJ1748" s="147" t="s">
        <v>164</v>
      </c>
      <c r="AK1748" s="147" t="s">
        <v>179</v>
      </c>
      <c r="AL1748" s="147" t="s">
        <v>821</v>
      </c>
      <c r="AM1748" s="60"/>
      <c r="AN1748" s="144">
        <v>198.0</v>
      </c>
      <c r="AO1748" s="144">
        <v>-0.07071</v>
      </c>
      <c r="AP1748" s="144" t="s">
        <v>1006</v>
      </c>
      <c r="AQ1748" s="60"/>
      <c r="AR1748" s="144">
        <v>0.0593</v>
      </c>
      <c r="AS1748" s="147" t="s">
        <v>164</v>
      </c>
      <c r="AT1748" s="60"/>
      <c r="AU1748" s="60"/>
      <c r="AV1748" s="60"/>
      <c r="AW1748" s="60" t="s">
        <v>142</v>
      </c>
      <c r="AY1748" s="60" t="s">
        <v>144</v>
      </c>
    </row>
    <row r="1749">
      <c r="A1749" s="115" t="s">
        <v>5350</v>
      </c>
      <c r="B1749" s="41" t="s">
        <v>107</v>
      </c>
      <c r="C1749" s="41" t="s">
        <v>144</v>
      </c>
      <c r="E1749" s="60" t="s">
        <v>10943</v>
      </c>
      <c r="F1749" s="147" t="s">
        <v>10958</v>
      </c>
      <c r="G1749" s="147" t="s">
        <v>144</v>
      </c>
      <c r="H1749" s="140">
        <v>45687.0</v>
      </c>
      <c r="I1749" s="140">
        <v>45692.0</v>
      </c>
      <c r="J1749" s="454" t="s">
        <v>10959</v>
      </c>
      <c r="K1749" s="60"/>
      <c r="L1749" s="147" t="s">
        <v>10945</v>
      </c>
      <c r="M1749" s="147" t="s">
        <v>10946</v>
      </c>
      <c r="N1749" s="147" t="s">
        <v>10952</v>
      </c>
      <c r="O1749" s="145" t="s">
        <v>10953</v>
      </c>
      <c r="P1749" s="48" t="str">
        <f t="array" ref="P1749">HYPERLINK(INDEX('File Links'!B:B, MATCH(O1749, 'File Links'!C:C, 0)))
</f>
        <v>https://drive.google.com/file/d/1kVWNkPYWfpPoaNfzdmDoKO9zV0jbI67W/view?usp=drivesdk</v>
      </c>
      <c r="Q1749" s="147" t="s">
        <v>6103</v>
      </c>
      <c r="R1749" s="147" t="s">
        <v>6104</v>
      </c>
      <c r="S1749" s="60"/>
      <c r="T1749" s="144">
        <v>1.0</v>
      </c>
      <c r="U1749" s="145" t="s">
        <v>6105</v>
      </c>
      <c r="V1749" s="147" t="s">
        <v>9109</v>
      </c>
      <c r="W1749" s="1455" t="str">
        <f> hyperlink(vlookup(lower(R1749),'File Links'!F:G, 2, FALSE), "LINK")</f>
        <v>LINK</v>
      </c>
      <c r="X1749" s="60"/>
      <c r="Y1749" s="147" t="s">
        <v>960</v>
      </c>
      <c r="Z1749" s="147" t="s">
        <v>10954</v>
      </c>
      <c r="AA1749" s="147" t="s">
        <v>10955</v>
      </c>
      <c r="AB1749" s="147" t="s">
        <v>10960</v>
      </c>
      <c r="AC1749" s="147" t="s">
        <v>10961</v>
      </c>
      <c r="AD1749" s="327">
        <v>24.0</v>
      </c>
      <c r="AE1749" s="327">
        <v>188.0</v>
      </c>
      <c r="AF1749" s="327">
        <v>0.57</v>
      </c>
      <c r="AG1749" s="144" t="s">
        <v>1006</v>
      </c>
      <c r="AH1749" s="327" t="s">
        <v>2303</v>
      </c>
      <c r="AI1749" s="327">
        <v>0.1</v>
      </c>
      <c r="AJ1749" s="147" t="s">
        <v>127</v>
      </c>
      <c r="AK1749" s="147" t="s">
        <v>128</v>
      </c>
      <c r="AL1749" s="60" t="s">
        <v>129</v>
      </c>
      <c r="AM1749" s="60"/>
      <c r="AN1749" s="144">
        <v>198.0</v>
      </c>
      <c r="AO1749" s="1475">
        <v>-0.03677</v>
      </c>
      <c r="AP1749" s="144" t="s">
        <v>1006</v>
      </c>
      <c r="AQ1749" s="60"/>
      <c r="AR1749" s="144">
        <v>0.41435</v>
      </c>
      <c r="AS1749" s="147" t="s">
        <v>164</v>
      </c>
      <c r="AT1749" s="147" t="s">
        <v>179</v>
      </c>
      <c r="AU1749" s="147" t="s">
        <v>821</v>
      </c>
      <c r="AV1749" s="60"/>
      <c r="AW1749" s="60" t="s">
        <v>142</v>
      </c>
      <c r="AY1749" s="60" t="s">
        <v>144</v>
      </c>
    </row>
    <row r="1750">
      <c r="A1750" s="115" t="s">
        <v>5350</v>
      </c>
      <c r="B1750" s="41" t="s">
        <v>107</v>
      </c>
      <c r="C1750" s="41" t="s">
        <v>144</v>
      </c>
      <c r="E1750" s="60" t="s">
        <v>10943</v>
      </c>
      <c r="F1750" s="147" t="s">
        <v>10962</v>
      </c>
      <c r="G1750" s="147" t="s">
        <v>144</v>
      </c>
      <c r="H1750" s="140">
        <v>45687.0</v>
      </c>
      <c r="I1750" s="140">
        <v>45692.0</v>
      </c>
      <c r="J1750" s="454" t="s">
        <v>10963</v>
      </c>
      <c r="K1750" s="60"/>
      <c r="L1750" s="147" t="s">
        <v>10945</v>
      </c>
      <c r="M1750" s="147" t="s">
        <v>10946</v>
      </c>
      <c r="N1750" s="147" t="s">
        <v>10952</v>
      </c>
      <c r="O1750" s="145" t="s">
        <v>10953</v>
      </c>
      <c r="P1750" s="48" t="str">
        <f t="array" ref="P1750">HYPERLINK(INDEX('File Links'!B:B, MATCH(O1750, 'File Links'!C:C, 0)))
</f>
        <v>https://drive.google.com/file/d/1kVWNkPYWfpPoaNfzdmDoKO9zV0jbI67W/view?usp=drivesdk</v>
      </c>
      <c r="Q1750" s="147" t="s">
        <v>6103</v>
      </c>
      <c r="R1750" s="147" t="s">
        <v>6104</v>
      </c>
      <c r="S1750" s="60"/>
      <c r="T1750" s="144">
        <v>1.0</v>
      </c>
      <c r="U1750" s="145" t="s">
        <v>6105</v>
      </c>
      <c r="V1750" s="147" t="s">
        <v>9109</v>
      </c>
      <c r="W1750" s="1455" t="str">
        <f> hyperlink(vlookup(lower(R1750),'File Links'!F:G, 2, FALSE), "LINK")</f>
        <v>LINK</v>
      </c>
      <c r="X1750" s="60"/>
      <c r="Y1750" s="147" t="s">
        <v>960</v>
      </c>
      <c r="Z1750" s="147" t="s">
        <v>10954</v>
      </c>
      <c r="AA1750" s="147" t="s">
        <v>10955</v>
      </c>
      <c r="AB1750" s="147" t="s">
        <v>10964</v>
      </c>
      <c r="AC1750" s="147" t="s">
        <v>10961</v>
      </c>
      <c r="AD1750" s="327">
        <v>24.0</v>
      </c>
      <c r="AE1750" s="327">
        <v>188.0</v>
      </c>
      <c r="AF1750" s="327">
        <v>1.21</v>
      </c>
      <c r="AG1750" s="144" t="s">
        <v>1006</v>
      </c>
      <c r="AH1750" s="327" t="s">
        <v>2303</v>
      </c>
      <c r="AI1750" s="327">
        <v>0.001</v>
      </c>
      <c r="AJ1750" s="147" t="s">
        <v>127</v>
      </c>
      <c r="AK1750" s="147" t="s">
        <v>128</v>
      </c>
      <c r="AL1750" s="60" t="s">
        <v>129</v>
      </c>
      <c r="AM1750" s="60"/>
      <c r="AN1750" s="144">
        <v>198.0</v>
      </c>
      <c r="AO1750" s="1475">
        <v>-0.1356</v>
      </c>
      <c r="AP1750" s="144" t="s">
        <v>1006</v>
      </c>
      <c r="AQ1750" s="60"/>
      <c r="AR1750" s="144">
        <v>0.00205</v>
      </c>
      <c r="AS1750" s="147" t="s">
        <v>164</v>
      </c>
      <c r="AT1750" s="147" t="s">
        <v>179</v>
      </c>
      <c r="AU1750" s="147" t="s">
        <v>821</v>
      </c>
      <c r="AV1750" s="60"/>
      <c r="AW1750" s="60" t="s">
        <v>142</v>
      </c>
      <c r="AY1750" s="60" t="s">
        <v>144</v>
      </c>
    </row>
    <row r="1751">
      <c r="A1751" s="115" t="s">
        <v>5350</v>
      </c>
      <c r="B1751" s="41" t="s">
        <v>107</v>
      </c>
      <c r="C1751" s="41" t="s">
        <v>243</v>
      </c>
      <c r="E1751" s="147" t="s">
        <v>10965</v>
      </c>
      <c r="F1751" s="147" t="s">
        <v>10966</v>
      </c>
      <c r="G1751" s="147" t="s">
        <v>244</v>
      </c>
      <c r="H1751" s="140">
        <v>45664.0</v>
      </c>
      <c r="I1751" s="140">
        <v>45692.0</v>
      </c>
      <c r="J1751" s="60"/>
      <c r="K1751" s="60"/>
      <c r="L1751" s="147" t="s">
        <v>10967</v>
      </c>
      <c r="M1751" s="147" t="s">
        <v>10968</v>
      </c>
      <c r="N1751" s="60"/>
      <c r="O1751" s="145" t="str">
        <f> SUBSTITUTE(lower(M1751), "/", "--") &amp;  ".pdf"</f>
        <v>10.1177--0956797614527113.pdf</v>
      </c>
      <c r="P1751" s="48" t="str">
        <f t="array" ref="P1751">HYPERLINK(INDEX('File Links'!B:B, MATCH(O1751, 'File Links'!C:C, 0)))
</f>
        <v>https://drive.google.com/file/d/1eY8ustezkGTBEFCvn47T4iFMNEc9SoCR/view?usp=drivesdk</v>
      </c>
      <c r="Q1751" s="147" t="s">
        <v>10969</v>
      </c>
      <c r="R1751" s="147" t="s">
        <v>10970</v>
      </c>
      <c r="S1751" s="60"/>
      <c r="T1751" s="60"/>
      <c r="U1751" s="145" t="s">
        <v>6105</v>
      </c>
      <c r="V1751" s="147" t="s">
        <v>6291</v>
      </c>
      <c r="W1751" s="1455" t="str">
        <f> hyperlink(vlookup(lower(R1751),'File Links'!E:F, 2, FALSE), "LINK")</f>
        <v>LINK</v>
      </c>
      <c r="X1751" s="60"/>
      <c r="Y1751" s="147" t="s">
        <v>220</v>
      </c>
      <c r="Z1751" s="60"/>
      <c r="AA1751" s="60"/>
      <c r="AB1751" s="60"/>
      <c r="AC1751" s="147" t="s">
        <v>10971</v>
      </c>
      <c r="AD1751" s="1459">
        <v>5.0</v>
      </c>
      <c r="AE1751" s="144">
        <v>170.0</v>
      </c>
      <c r="AF1751" s="144">
        <v>0.08</v>
      </c>
      <c r="AG1751" s="147" t="s">
        <v>130</v>
      </c>
      <c r="AH1751" s="1460" t="s">
        <v>892</v>
      </c>
      <c r="AI1751" s="144">
        <v>0.001</v>
      </c>
      <c r="AJ1751" s="147" t="s">
        <v>127</v>
      </c>
      <c r="AK1751" s="147" t="s">
        <v>179</v>
      </c>
      <c r="AL1751" s="147" t="s">
        <v>132</v>
      </c>
      <c r="AM1751" s="147" t="s">
        <v>129</v>
      </c>
      <c r="AN1751" s="144">
        <v>114.0</v>
      </c>
      <c r="AO1751" s="144">
        <v>0.270426749845588</v>
      </c>
      <c r="AP1751" s="147" t="s">
        <v>166</v>
      </c>
      <c r="AQ1751" s="60"/>
      <c r="AR1751" s="144">
        <v>0.00484125243751612</v>
      </c>
      <c r="AS1751" s="147" t="s">
        <v>164</v>
      </c>
      <c r="AT1751" s="147" t="s">
        <v>179</v>
      </c>
      <c r="AU1751" s="147" t="s">
        <v>132</v>
      </c>
      <c r="AV1751" s="60"/>
      <c r="AW1751" s="1460" t="s">
        <v>142</v>
      </c>
      <c r="AY1751" s="60" t="s">
        <v>144</v>
      </c>
    </row>
    <row r="1752">
      <c r="A1752" s="60" t="s">
        <v>586</v>
      </c>
      <c r="B1752" s="41" t="s">
        <v>107</v>
      </c>
      <c r="C1752" s="41" t="s">
        <v>144</v>
      </c>
      <c r="E1752" s="60" t="s">
        <v>10966</v>
      </c>
      <c r="F1752" s="147" t="s">
        <v>10965</v>
      </c>
      <c r="G1752" s="147" t="s">
        <v>144</v>
      </c>
      <c r="H1752" s="140">
        <v>45687.0</v>
      </c>
      <c r="I1752" s="140">
        <v>45692.0</v>
      </c>
      <c r="J1752" s="454" t="s">
        <v>10972</v>
      </c>
      <c r="K1752" s="147" t="s">
        <v>10973</v>
      </c>
      <c r="L1752" s="147" t="s">
        <v>10967</v>
      </c>
      <c r="M1752" s="147" t="s">
        <v>10968</v>
      </c>
      <c r="N1752" s="144" t="s">
        <v>6347</v>
      </c>
      <c r="O1752" s="145" t="s">
        <v>10974</v>
      </c>
      <c r="P1752" s="48" t="str">
        <f t="array" ref="P1752">HYPERLINK(INDEX('File Links'!B:B, MATCH(O1752, 'File Links'!C:C, 0)))
</f>
        <v>https://drive.google.com/file/d/1eY8ustezkGTBEFCvn47T4iFMNEc9SoCR/view?usp=drivesdk</v>
      </c>
      <c r="Q1752" s="147" t="s">
        <v>6103</v>
      </c>
      <c r="R1752" s="147" t="s">
        <v>6104</v>
      </c>
      <c r="S1752" s="60"/>
      <c r="T1752" s="144">
        <v>1.0</v>
      </c>
      <c r="U1752" s="145" t="s">
        <v>6105</v>
      </c>
      <c r="V1752" s="147" t="s">
        <v>7707</v>
      </c>
      <c r="W1752" s="1455" t="str">
        <f> hyperlink(vlookup(lower(R1752),'File Links'!F:G, 2, FALSE), "LINK")</f>
        <v>LINK</v>
      </c>
      <c r="X1752" s="60"/>
      <c r="Y1752" s="147" t="s">
        <v>220</v>
      </c>
      <c r="Z1752" s="147" t="s">
        <v>10975</v>
      </c>
      <c r="AA1752" s="147" t="s">
        <v>10976</v>
      </c>
      <c r="AB1752" s="147" t="s">
        <v>10977</v>
      </c>
      <c r="AC1752" s="147" t="s">
        <v>10978</v>
      </c>
      <c r="AD1752" s="144">
        <v>6.0</v>
      </c>
      <c r="AE1752" s="144">
        <v>170.0</v>
      </c>
      <c r="AF1752" s="144">
        <v>0.06</v>
      </c>
      <c r="AG1752" s="144" t="s">
        <v>1785</v>
      </c>
      <c r="AH1752" s="144" t="s">
        <v>131</v>
      </c>
      <c r="AI1752" s="144">
        <v>0.008</v>
      </c>
      <c r="AJ1752" s="147" t="s">
        <v>164</v>
      </c>
      <c r="AK1752" s="147" t="s">
        <v>179</v>
      </c>
      <c r="AL1752" s="147" t="s">
        <v>132</v>
      </c>
      <c r="AM1752" s="60"/>
      <c r="AN1752" s="144">
        <v>114.0</v>
      </c>
      <c r="AO1752" s="1475">
        <v>0.01074317</v>
      </c>
      <c r="AP1752" s="144" t="s">
        <v>1785</v>
      </c>
      <c r="AQ1752" s="144" t="s">
        <v>610</v>
      </c>
      <c r="AR1752" s="1475">
        <v>0.5491</v>
      </c>
      <c r="AS1752" s="147" t="s">
        <v>164</v>
      </c>
      <c r="AT1752" s="147" t="s">
        <v>179</v>
      </c>
      <c r="AU1752" s="147" t="s">
        <v>132</v>
      </c>
      <c r="AV1752" s="60"/>
      <c r="AW1752" s="60" t="s">
        <v>142</v>
      </c>
      <c r="AY1752" s="60" t="s">
        <v>144</v>
      </c>
    </row>
    <row r="1753">
      <c r="A1753" s="60" t="s">
        <v>106</v>
      </c>
      <c r="B1753" s="41" t="s">
        <v>107</v>
      </c>
      <c r="C1753" s="41" t="s">
        <v>243</v>
      </c>
      <c r="E1753" s="147" t="s">
        <v>10979</v>
      </c>
      <c r="F1753" s="147" t="s">
        <v>10980</v>
      </c>
      <c r="G1753" s="147" t="s">
        <v>244</v>
      </c>
      <c r="H1753" s="140">
        <v>45664.0</v>
      </c>
      <c r="I1753" s="140">
        <v>45692.0</v>
      </c>
      <c r="J1753" s="60"/>
      <c r="K1753" s="60" t="s">
        <v>9078</v>
      </c>
      <c r="L1753" s="147" t="s">
        <v>10981</v>
      </c>
      <c r="M1753" s="147" t="s">
        <v>10982</v>
      </c>
      <c r="N1753" s="60"/>
      <c r="O1753" s="145" t="str">
        <f> SUBSTITUTE(lower(M1753), "/", "--") &amp;  ".pdf"</f>
        <v>10.1177--1948550612457688.pdf</v>
      </c>
      <c r="P1753" s="1498" t="str">
        <f> hyperlink(vlookup(lower(M1753),'File Links'!D:E, 2, FALSE), "LINK")</f>
        <v>LINK</v>
      </c>
      <c r="Q1753" s="147" t="s">
        <v>10983</v>
      </c>
      <c r="R1753" s="147" t="s">
        <v>10984</v>
      </c>
      <c r="S1753" s="60"/>
      <c r="T1753" s="60"/>
      <c r="U1753" s="145" t="s">
        <v>6105</v>
      </c>
      <c r="V1753" s="147" t="s">
        <v>6117</v>
      </c>
      <c r="W1753" s="1455" t="str">
        <f> hyperlink(vlookup(lower(R1753),'File Links'!E:F, 2, FALSE), "LINK")</f>
        <v>LINK</v>
      </c>
      <c r="X1753" s="60"/>
      <c r="Y1753" s="147" t="s">
        <v>220</v>
      </c>
      <c r="Z1753" s="60"/>
      <c r="AA1753" s="60"/>
      <c r="AB1753" s="60"/>
      <c r="AC1753" s="147" t="s">
        <v>10985</v>
      </c>
      <c r="AD1753" s="1265">
        <v>309.0</v>
      </c>
      <c r="AE1753" s="144">
        <v>119.0</v>
      </c>
      <c r="AF1753" s="144">
        <v>127.07</v>
      </c>
      <c r="AG1753" s="147" t="s">
        <v>1051</v>
      </c>
      <c r="AH1753" s="1268" t="s">
        <v>10986</v>
      </c>
      <c r="AI1753" s="144">
        <v>0.001</v>
      </c>
      <c r="AJ1753" s="147" t="s">
        <v>127</v>
      </c>
      <c r="AK1753" s="147" t="s">
        <v>128</v>
      </c>
      <c r="AL1753" s="147" t="s">
        <v>132</v>
      </c>
      <c r="AM1753" s="147" t="s">
        <v>129</v>
      </c>
      <c r="AN1753" s="144">
        <v>115.0</v>
      </c>
      <c r="AO1753" s="144">
        <v>2.25666163594155</v>
      </c>
      <c r="AP1753" s="147" t="s">
        <v>166</v>
      </c>
      <c r="AQ1753" s="60"/>
      <c r="AR1753" s="1351">
        <v>4.02218906166799E-22</v>
      </c>
      <c r="AS1753" s="147" t="s">
        <v>164</v>
      </c>
      <c r="AT1753" s="147" t="s">
        <v>179</v>
      </c>
      <c r="AU1753" s="147" t="s">
        <v>132</v>
      </c>
      <c r="AV1753" s="60"/>
      <c r="AW1753" s="147" t="s">
        <v>134</v>
      </c>
      <c r="AY1753" s="60" t="s">
        <v>144</v>
      </c>
    </row>
    <row r="1754">
      <c r="A1754" s="115" t="s">
        <v>143</v>
      </c>
      <c r="B1754" s="41" t="s">
        <v>107</v>
      </c>
      <c r="C1754" s="41" t="s">
        <v>144</v>
      </c>
      <c r="E1754" s="60" t="s">
        <v>10980</v>
      </c>
      <c r="F1754" s="147" t="s">
        <v>10979</v>
      </c>
      <c r="G1754" s="147" t="s">
        <v>144</v>
      </c>
      <c r="H1754" s="140">
        <v>45687.0</v>
      </c>
      <c r="I1754" s="140">
        <v>45692.0</v>
      </c>
      <c r="J1754" s="1456" t="s">
        <v>10987</v>
      </c>
      <c r="K1754" s="60" t="s">
        <v>10906</v>
      </c>
      <c r="L1754" s="147" t="s">
        <v>10981</v>
      </c>
      <c r="M1754" s="147" t="s">
        <v>10982</v>
      </c>
      <c r="N1754" s="144">
        <v>1.0</v>
      </c>
      <c r="O1754" s="145" t="s">
        <v>10988</v>
      </c>
      <c r="P1754" s="48" t="str">
        <f t="array" ref="P1754">HYPERLINK(INDEX('File Links'!B:B, MATCH(O1754, 'File Links'!C:C, 0)))
</f>
        <v>https://drive.google.com/file/d/1Mvv6lSbYDT3w1CNkuj_yKZJZyGVo8_wu/view?usp=drivesdk</v>
      </c>
      <c r="Q1754" s="147" t="s">
        <v>6103</v>
      </c>
      <c r="R1754" s="147" t="s">
        <v>6104</v>
      </c>
      <c r="S1754" s="60"/>
      <c r="T1754" s="144">
        <v>1.0</v>
      </c>
      <c r="U1754" s="145" t="s">
        <v>6105</v>
      </c>
      <c r="V1754" s="147" t="s">
        <v>9044</v>
      </c>
      <c r="W1754" s="1499" t="s">
        <v>10989</v>
      </c>
      <c r="X1754" s="60"/>
      <c r="Y1754" s="147" t="s">
        <v>220</v>
      </c>
      <c r="Z1754" s="147" t="s">
        <v>7165</v>
      </c>
      <c r="AA1754" s="147" t="s">
        <v>10990</v>
      </c>
      <c r="AB1754" s="147" t="s">
        <v>10991</v>
      </c>
      <c r="AC1754" s="139" t="s">
        <v>10992</v>
      </c>
      <c r="AD1754" s="144">
        <v>2.0</v>
      </c>
      <c r="AE1754" s="144">
        <v>119.0</v>
      </c>
      <c r="AF1754" s="144" t="s">
        <v>10993</v>
      </c>
      <c r="AG1754" s="144" t="s">
        <v>162</v>
      </c>
      <c r="AH1754" s="144" t="s">
        <v>886</v>
      </c>
      <c r="AI1754" s="144">
        <v>0.001</v>
      </c>
      <c r="AJ1754" s="147" t="s">
        <v>127</v>
      </c>
      <c r="AK1754" s="147" t="s">
        <v>128</v>
      </c>
      <c r="AL1754" s="147" t="s">
        <v>132</v>
      </c>
      <c r="AM1754" s="60"/>
      <c r="AN1754" s="144">
        <v>115.0</v>
      </c>
      <c r="AO1754" s="1352" t="s">
        <v>10994</v>
      </c>
      <c r="AP1754" s="1468" t="s">
        <v>162</v>
      </c>
      <c r="AQ1754" s="60"/>
      <c r="AR1754" s="1480">
        <v>4.02218906166799E-22</v>
      </c>
      <c r="AS1754" s="1460" t="s">
        <v>164</v>
      </c>
      <c r="AT1754" s="147" t="s">
        <v>179</v>
      </c>
      <c r="AU1754" s="147" t="s">
        <v>132</v>
      </c>
      <c r="AV1754" s="60"/>
      <c r="AW1754" s="60" t="s">
        <v>134</v>
      </c>
      <c r="AY1754" s="115" t="s">
        <v>9053</v>
      </c>
    </row>
    <row r="1755" hidden="1">
      <c r="A1755" s="115" t="s">
        <v>5350</v>
      </c>
      <c r="B1755" s="41" t="s">
        <v>107</v>
      </c>
      <c r="C1755" s="41" t="s">
        <v>144</v>
      </c>
      <c r="E1755" s="60" t="s">
        <v>10995</v>
      </c>
      <c r="F1755" s="147" t="s">
        <v>10996</v>
      </c>
      <c r="G1755" s="147" t="s">
        <v>144</v>
      </c>
      <c r="H1755" s="140">
        <v>45687.0</v>
      </c>
      <c r="I1755" s="140">
        <v>45692.0</v>
      </c>
      <c r="J1755" s="412" t="s">
        <v>10997</v>
      </c>
      <c r="K1755" s="60"/>
      <c r="L1755" s="147" t="s">
        <v>10998</v>
      </c>
      <c r="M1755" s="147" t="s">
        <v>10999</v>
      </c>
      <c r="N1755" s="144">
        <v>1.0</v>
      </c>
      <c r="O1755" s="145" t="s">
        <v>11000</v>
      </c>
      <c r="P1755" s="48" t="str">
        <f t="array" ref="P1755">HYPERLINK(INDEX('File Links'!B:B, MATCH(O1755, 'File Links'!C:C, 0)))
</f>
        <v>https://drive.google.com/file/d/1ExZ7juOSUgumoSt5vCuDEvgISB_mT9vX/view?usp=drivesdk</v>
      </c>
      <c r="Q1755" s="147" t="s">
        <v>6103</v>
      </c>
      <c r="R1755" s="147" t="s">
        <v>6104</v>
      </c>
      <c r="S1755" s="60"/>
      <c r="T1755" s="144">
        <v>1.0</v>
      </c>
      <c r="U1755" s="145" t="s">
        <v>6105</v>
      </c>
      <c r="V1755" s="147" t="s">
        <v>9109</v>
      </c>
      <c r="W1755" s="1455" t="str">
        <f> hyperlink(vlookup(lower(R1755),'File Links'!F:G, 2, FALSE), "LINK")</f>
        <v>LINK</v>
      </c>
      <c r="X1755" s="147" t="s">
        <v>9871</v>
      </c>
      <c r="Y1755" s="60"/>
      <c r="Z1755" s="60"/>
      <c r="AA1755" s="60"/>
      <c r="AB1755" s="60"/>
      <c r="AC1755" s="60"/>
      <c r="AD1755" s="60"/>
      <c r="AE1755" s="60"/>
      <c r="AF1755" s="60"/>
      <c r="AG1755" s="60"/>
      <c r="AH1755" s="60"/>
      <c r="AI1755" s="60"/>
      <c r="AJ1755" s="60"/>
      <c r="AK1755" s="60"/>
      <c r="AL1755" s="60"/>
      <c r="AM1755" s="60"/>
      <c r="AN1755" s="60"/>
      <c r="AO1755" s="60"/>
      <c r="AP1755" s="60"/>
      <c r="AQ1755" s="60"/>
      <c r="AR1755" s="60"/>
      <c r="AS1755" s="60"/>
      <c r="AT1755" s="147" t="s">
        <v>179</v>
      </c>
      <c r="AU1755" s="147" t="s">
        <v>821</v>
      </c>
      <c r="AV1755" s="60"/>
      <c r="AW1755" s="60"/>
      <c r="AY1755" s="60" t="s">
        <v>144</v>
      </c>
    </row>
    <row r="1756">
      <c r="A1756" s="60" t="s">
        <v>106</v>
      </c>
      <c r="B1756" s="41" t="s">
        <v>107</v>
      </c>
      <c r="C1756" s="41" t="s">
        <v>243</v>
      </c>
      <c r="E1756" s="147" t="s">
        <v>10996</v>
      </c>
      <c r="F1756" s="147" t="s">
        <v>10995</v>
      </c>
      <c r="G1756" s="147" t="s">
        <v>244</v>
      </c>
      <c r="H1756" s="140">
        <v>45664.0</v>
      </c>
      <c r="I1756" s="140">
        <v>45692.0</v>
      </c>
      <c r="J1756" s="412" t="s">
        <v>6190</v>
      </c>
      <c r="K1756" s="60"/>
      <c r="L1756" s="147" t="s">
        <v>10998</v>
      </c>
      <c r="M1756" s="147" t="s">
        <v>10999</v>
      </c>
      <c r="N1756" s="60"/>
      <c r="O1756" s="145" t="str">
        <f> SUBSTITUTE(lower(M1756), "/", "--") &amp;  ".pdf"</f>
        <v>10.1162--089892900562219.pdf</v>
      </c>
      <c r="P1756" s="1498" t="str">
        <f> hyperlink(vlookup(lower(M1756),'File Links'!D:E, 2, FALSE), "LINK")</f>
        <v>LINK</v>
      </c>
      <c r="Q1756" s="147" t="s">
        <v>11001</v>
      </c>
      <c r="R1756" s="147" t="s">
        <v>11002</v>
      </c>
      <c r="S1756" s="60"/>
      <c r="T1756" s="60"/>
      <c r="U1756" s="145" t="s">
        <v>6105</v>
      </c>
      <c r="V1756" s="147" t="s">
        <v>318</v>
      </c>
      <c r="W1756" s="1455" t="str">
        <f> hyperlink(vlookup(lower(R1756),'File Links'!E:F, 2, FALSE), "LINK")</f>
        <v>LINK</v>
      </c>
      <c r="X1756" s="60"/>
      <c r="Y1756" s="147" t="s">
        <v>139</v>
      </c>
      <c r="Z1756" s="60"/>
      <c r="AA1756" s="60"/>
      <c r="AB1756" s="60"/>
      <c r="AC1756" s="147" t="s">
        <v>165</v>
      </c>
      <c r="AD1756" s="147" t="s">
        <v>165</v>
      </c>
      <c r="AE1756" s="144">
        <v>24.0</v>
      </c>
      <c r="AF1756" s="147" t="s">
        <v>165</v>
      </c>
      <c r="AG1756" s="147" t="s">
        <v>165</v>
      </c>
      <c r="AH1756" s="147" t="s">
        <v>165</v>
      </c>
      <c r="AI1756" s="147" t="s">
        <v>165</v>
      </c>
      <c r="AJ1756" s="60"/>
      <c r="AK1756" s="147" t="s">
        <v>179</v>
      </c>
      <c r="AL1756" s="147" t="s">
        <v>821</v>
      </c>
      <c r="AM1756" s="147" t="s">
        <v>129</v>
      </c>
      <c r="AN1756" s="144">
        <v>42.0</v>
      </c>
      <c r="AO1756" s="147" t="s">
        <v>165</v>
      </c>
      <c r="AP1756" s="60"/>
      <c r="AQ1756" s="60"/>
      <c r="AR1756" s="147" t="s">
        <v>165</v>
      </c>
      <c r="AS1756" s="60"/>
      <c r="AT1756" s="147" t="s">
        <v>179</v>
      </c>
      <c r="AU1756" s="147" t="s">
        <v>821</v>
      </c>
      <c r="AV1756" s="60"/>
      <c r="AW1756" s="147" t="s">
        <v>134</v>
      </c>
      <c r="AY1756" s="60" t="s">
        <v>144</v>
      </c>
    </row>
    <row r="1757" ht="15.75" customHeight="1">
      <c r="A1757" s="115" t="s">
        <v>143</v>
      </c>
      <c r="B1757" s="41" t="s">
        <v>107</v>
      </c>
      <c r="C1757" s="41" t="s">
        <v>226</v>
      </c>
      <c r="E1757" s="142" t="s">
        <v>11003</v>
      </c>
      <c r="F1757" s="60" t="s">
        <v>11004</v>
      </c>
      <c r="G1757" s="147" t="s">
        <v>11005</v>
      </c>
      <c r="H1757" s="140">
        <v>45682.0</v>
      </c>
      <c r="I1757" s="140">
        <v>45692.0</v>
      </c>
      <c r="J1757" s="525" t="s">
        <v>11006</v>
      </c>
      <c r="K1757" s="139" t="s">
        <v>11007</v>
      </c>
      <c r="L1757" s="147" t="s">
        <v>11008</v>
      </c>
      <c r="M1757" s="147" t="s">
        <v>11009</v>
      </c>
      <c r="N1757" s="144">
        <v>8.0</v>
      </c>
      <c r="O1757" s="147" t="s">
        <v>11010</v>
      </c>
      <c r="P1757" s="48" t="str">
        <f t="array" ref="P1757">HYPERLINK(INDEX('File Links'!B:B, MATCH(O1757, 'File Links'!C:C, 0)))
</f>
        <v>https://drive.google.com/file/d/1FElRRlWoVi2usxTFNme1Bwz9RgmJPLKp/view?usp=drivesdk</v>
      </c>
      <c r="Q1757" s="147" t="s">
        <v>11011</v>
      </c>
      <c r="R1757" s="147" t="s">
        <v>11012</v>
      </c>
      <c r="S1757" s="1500" t="s">
        <v>11013</v>
      </c>
      <c r="T1757" s="144">
        <v>18.0</v>
      </c>
      <c r="U1757" s="147" t="s">
        <v>11014</v>
      </c>
      <c r="V1757" s="147" t="s">
        <v>202</v>
      </c>
      <c r="W1757" s="303" t="s">
        <v>11013</v>
      </c>
      <c r="X1757" s="60"/>
      <c r="Y1757" s="1460" t="s">
        <v>203</v>
      </c>
      <c r="Z1757" s="115" t="s">
        <v>165</v>
      </c>
      <c r="AA1757" s="147" t="s">
        <v>11015</v>
      </c>
      <c r="AB1757" s="147" t="s">
        <v>11016</v>
      </c>
      <c r="AC1757" s="147" t="s">
        <v>11017</v>
      </c>
      <c r="AD1757" s="147" t="s">
        <v>757</v>
      </c>
      <c r="AE1757" s="144">
        <v>343.0</v>
      </c>
      <c r="AF1757" s="144">
        <v>10.95</v>
      </c>
      <c r="AG1757" s="147" t="s">
        <v>356</v>
      </c>
      <c r="AH1757" s="147" t="s">
        <v>11018</v>
      </c>
      <c r="AI1757" s="144">
        <v>0.01</v>
      </c>
      <c r="AJ1757" s="147" t="s">
        <v>127</v>
      </c>
      <c r="AK1757" s="147" t="s">
        <v>179</v>
      </c>
      <c r="AL1757" s="60" t="s">
        <v>129</v>
      </c>
      <c r="AM1757" s="147" t="s">
        <v>165</v>
      </c>
      <c r="AN1757" s="144">
        <v>2136.0</v>
      </c>
      <c r="AO1757" s="327">
        <v>0.026</v>
      </c>
      <c r="AP1757" s="147" t="s">
        <v>208</v>
      </c>
      <c r="AQ1757" s="147" t="s">
        <v>11019</v>
      </c>
      <c r="AR1757" s="144">
        <v>0.234</v>
      </c>
      <c r="AS1757" s="147" t="s">
        <v>164</v>
      </c>
      <c r="AT1757" s="1460" t="s">
        <v>128</v>
      </c>
      <c r="AU1757" s="60" t="s">
        <v>129</v>
      </c>
      <c r="AV1757" s="410" t="s">
        <v>11020</v>
      </c>
      <c r="AW1757" s="1354" t="s">
        <v>134</v>
      </c>
      <c r="AX1757" s="60"/>
      <c r="AY1757" s="115" t="s">
        <v>11021</v>
      </c>
    </row>
    <row r="1758" ht="15.75" customHeight="1">
      <c r="A1758" s="60" t="s">
        <v>106</v>
      </c>
      <c r="B1758" s="41" t="s">
        <v>107</v>
      </c>
      <c r="C1758" s="41" t="s">
        <v>1251</v>
      </c>
      <c r="E1758" s="142" t="s">
        <v>11003</v>
      </c>
      <c r="F1758" s="60" t="s">
        <v>11004</v>
      </c>
      <c r="G1758" s="147" t="s">
        <v>3758</v>
      </c>
      <c r="H1758" s="140">
        <v>45663.0</v>
      </c>
      <c r="I1758" s="140">
        <v>45687.0</v>
      </c>
      <c r="J1758" s="60"/>
      <c r="K1758" s="60"/>
      <c r="L1758" s="142" t="s">
        <v>11008</v>
      </c>
      <c r="M1758" s="142" t="s">
        <v>11009</v>
      </c>
      <c r="N1758" s="144">
        <v>8.0</v>
      </c>
      <c r="O1758" s="147" t="str">
        <f> SUBSTITUTE(lower(M1758), "/", "--") &amp;  ".pdf"</f>
        <v>10.1038--nature11467.pdf</v>
      </c>
      <c r="P1758" s="48" t="str">
        <f t="array" ref="P1758">HYPERLINK(INDEX('File Links'!B:B, MATCH(O1758, 'File Links'!C:C, 0)))
</f>
        <v>https://drive.google.com/file/d/1FElRRlWoVi2usxTFNme1Bwz9RgmJPLKp/view?usp=drivesdk</v>
      </c>
      <c r="Q1758" s="60"/>
      <c r="R1758" s="60"/>
      <c r="S1758" s="60"/>
      <c r="T1758" s="144">
        <v>2.0</v>
      </c>
      <c r="U1758" s="147" t="s">
        <v>11022</v>
      </c>
      <c r="V1758" s="60"/>
      <c r="W1758" s="303" t="s">
        <v>11013</v>
      </c>
      <c r="X1758" s="60"/>
      <c r="Y1758" s="147" t="s">
        <v>203</v>
      </c>
      <c r="Z1758" s="60"/>
      <c r="AA1758" s="60"/>
      <c r="AB1758" s="60"/>
      <c r="AC1758" s="1501" t="s">
        <v>11023</v>
      </c>
      <c r="AD1758" s="144">
        <v>428.0</v>
      </c>
      <c r="AE1758" s="144">
        <v>343.0</v>
      </c>
      <c r="AF1758" s="1265">
        <v>0.141</v>
      </c>
      <c r="AG1758" s="1268" t="s">
        <v>208</v>
      </c>
      <c r="AH1758" s="60"/>
      <c r="AI1758" s="144">
        <v>0.0089</v>
      </c>
      <c r="AJ1758" s="147" t="s">
        <v>164</v>
      </c>
      <c r="AK1758" s="147" t="s">
        <v>179</v>
      </c>
      <c r="AL1758" s="60" t="s">
        <v>129</v>
      </c>
      <c r="AM1758" s="60"/>
      <c r="AN1758" s="144">
        <v>2136.0</v>
      </c>
      <c r="AO1758" s="1502">
        <v>0.04352736305001212</v>
      </c>
      <c r="AP1758" s="1268" t="s">
        <v>166</v>
      </c>
      <c r="AQ1758" s="1268" t="s">
        <v>11024</v>
      </c>
      <c r="AR1758" s="144">
        <v>0.2336</v>
      </c>
      <c r="AS1758" s="147" t="s">
        <v>164</v>
      </c>
      <c r="AT1758" s="147" t="s">
        <v>128</v>
      </c>
      <c r="AU1758" s="60" t="s">
        <v>129</v>
      </c>
      <c r="AV1758" s="1503" t="s">
        <v>11013</v>
      </c>
      <c r="AW1758" s="60" t="s">
        <v>134</v>
      </c>
      <c r="AX1758" s="60"/>
      <c r="AY1758" s="60" t="s">
        <v>11025</v>
      </c>
    </row>
    <row r="1759" ht="15.75" customHeight="1">
      <c r="A1759" s="115" t="s">
        <v>143</v>
      </c>
      <c r="B1759" s="41" t="s">
        <v>107</v>
      </c>
      <c r="C1759" s="41" t="s">
        <v>226</v>
      </c>
      <c r="E1759" s="142" t="s">
        <v>11026</v>
      </c>
      <c r="F1759" s="60" t="s">
        <v>11027</v>
      </c>
      <c r="G1759" s="147" t="s">
        <v>11005</v>
      </c>
      <c r="H1759" s="140">
        <v>45687.0</v>
      </c>
      <c r="I1759" s="140">
        <v>45692.0</v>
      </c>
      <c r="J1759" s="60"/>
      <c r="K1759" s="147" t="s">
        <v>11028</v>
      </c>
      <c r="L1759" s="147" t="s">
        <v>11029</v>
      </c>
      <c r="M1759" s="147" t="s">
        <v>11030</v>
      </c>
      <c r="N1759" s="144">
        <v>1.0</v>
      </c>
      <c r="O1759" s="147" t="s">
        <v>11031</v>
      </c>
      <c r="P1759" s="48" t="str">
        <f t="array" ref="P1759">HYPERLINK(INDEX('File Links'!B:B, MATCH(O1759, 'File Links'!C:C, 0)))
</f>
        <v>https://drive.google.com/file/d/1J8NYov-XHHaVlQCOR0yx9UGTvAN_EjiG/view?usp=drivesdk</v>
      </c>
      <c r="Q1759" s="147" t="s">
        <v>11011</v>
      </c>
      <c r="R1759" s="147" t="s">
        <v>11012</v>
      </c>
      <c r="S1759" s="1500" t="s">
        <v>11032</v>
      </c>
      <c r="T1759" s="144">
        <v>4.0</v>
      </c>
      <c r="U1759" s="147" t="s">
        <v>11014</v>
      </c>
      <c r="V1759" s="147" t="s">
        <v>202</v>
      </c>
      <c r="W1759" s="147" t="s">
        <v>11033</v>
      </c>
      <c r="X1759" s="60"/>
      <c r="Y1759" s="147" t="s">
        <v>220</v>
      </c>
      <c r="Z1759" s="115" t="s">
        <v>165</v>
      </c>
      <c r="AA1759" s="147" t="s">
        <v>11015</v>
      </c>
      <c r="AB1759" s="147" t="s">
        <v>11034</v>
      </c>
      <c r="AC1759" s="147" t="s">
        <v>11035</v>
      </c>
      <c r="AD1759" s="1460" t="s">
        <v>11036</v>
      </c>
      <c r="AE1759" s="1459">
        <v>366.0</v>
      </c>
      <c r="AF1759" s="147" t="s">
        <v>11037</v>
      </c>
      <c r="AG1759" s="147" t="s">
        <v>162</v>
      </c>
      <c r="AH1759" s="147" t="s">
        <v>11036</v>
      </c>
      <c r="AI1759" s="144">
        <v>1.0E-4</v>
      </c>
      <c r="AJ1759" s="147" t="s">
        <v>127</v>
      </c>
      <c r="AK1759" s="147" t="s">
        <v>211</v>
      </c>
      <c r="AL1759" s="60" t="s">
        <v>129</v>
      </c>
      <c r="AM1759" s="147" t="s">
        <v>165</v>
      </c>
      <c r="AN1759" s="1459">
        <v>482.0</v>
      </c>
      <c r="AO1759" s="327">
        <v>0.361</v>
      </c>
      <c r="AP1759" s="147" t="s">
        <v>208</v>
      </c>
      <c r="AQ1759" s="147" t="s">
        <v>11038</v>
      </c>
      <c r="AR1759" s="144">
        <v>0.003</v>
      </c>
      <c r="AS1759" s="147" t="s">
        <v>164</v>
      </c>
      <c r="AT1759" s="147" t="s">
        <v>211</v>
      </c>
      <c r="AU1759" s="60" t="s">
        <v>129</v>
      </c>
      <c r="AV1759" s="410" t="s">
        <v>11039</v>
      </c>
      <c r="AW1759" s="1354" t="s">
        <v>134</v>
      </c>
      <c r="AX1759" s="60"/>
      <c r="AY1759" s="60" t="s">
        <v>11025</v>
      </c>
    </row>
    <row r="1760" ht="15.75" customHeight="1">
      <c r="A1760" s="60" t="s">
        <v>106</v>
      </c>
      <c r="B1760" s="41" t="s">
        <v>107</v>
      </c>
      <c r="C1760" s="41" t="s">
        <v>1251</v>
      </c>
      <c r="E1760" s="142" t="s">
        <v>11026</v>
      </c>
      <c r="F1760" s="60" t="s">
        <v>11027</v>
      </c>
      <c r="G1760" s="147" t="s">
        <v>3758</v>
      </c>
      <c r="H1760" s="140">
        <v>45663.0</v>
      </c>
      <c r="I1760" s="140">
        <v>45692.0</v>
      </c>
      <c r="J1760" s="60"/>
      <c r="K1760" s="60"/>
      <c r="L1760" s="142" t="s">
        <v>11029</v>
      </c>
      <c r="M1760" s="142" t="s">
        <v>11030</v>
      </c>
      <c r="N1760" s="144">
        <v>1.0</v>
      </c>
      <c r="O1760" s="147" t="str">
        <f> SUBSTITUTE(lower(M1760), "/", "--") &amp;  ".pdf"</f>
        <v>10.1038--nature12774.pdf</v>
      </c>
      <c r="P1760" s="48" t="str">
        <f t="array" ref="P1760">HYPERLINK(INDEX('File Links'!B:B, MATCH(O1760, 'File Links'!C:C, 0)))
</f>
        <v>https://drive.google.com/file/d/1J8NYov-XHHaVlQCOR0yx9UGTvAN_EjiG/view?usp=drivesdk</v>
      </c>
      <c r="Q1760" s="60"/>
      <c r="R1760" s="60"/>
      <c r="S1760" s="60"/>
      <c r="T1760" s="144">
        <v>1.0</v>
      </c>
      <c r="U1760" s="60" t="s">
        <v>11040</v>
      </c>
      <c r="V1760" s="60"/>
      <c r="W1760" s="147" t="s">
        <v>11033</v>
      </c>
      <c r="X1760" s="60"/>
      <c r="Y1760" s="147" t="s">
        <v>220</v>
      </c>
      <c r="Z1760" s="60"/>
      <c r="AA1760" s="60"/>
      <c r="AB1760" s="60"/>
      <c r="AC1760" s="60" t="s">
        <v>11041</v>
      </c>
      <c r="AD1760" s="144">
        <v>389.0</v>
      </c>
      <c r="AE1760" s="144">
        <v>366.0</v>
      </c>
      <c r="AF1760" s="1265">
        <v>0.525</v>
      </c>
      <c r="AG1760" s="1268" t="s">
        <v>208</v>
      </c>
      <c r="AH1760" s="60"/>
      <c r="AI1760" s="150">
        <v>5.4E-5</v>
      </c>
      <c r="AJ1760" s="147" t="s">
        <v>164</v>
      </c>
      <c r="AK1760" s="60"/>
      <c r="AL1760" s="60"/>
      <c r="AM1760" s="60"/>
      <c r="AN1760" s="150">
        <v>482.0</v>
      </c>
      <c r="AO1760" s="150">
        <v>0.361</v>
      </c>
      <c r="AP1760" s="147" t="s">
        <v>208</v>
      </c>
      <c r="AQ1760" s="60"/>
      <c r="AR1760" s="150">
        <v>0.003</v>
      </c>
      <c r="AS1760" s="147" t="s">
        <v>164</v>
      </c>
      <c r="AT1760" s="60"/>
      <c r="AU1760" s="60"/>
      <c r="AV1760" s="1504" t="s">
        <v>11033</v>
      </c>
      <c r="AW1760" s="60" t="s">
        <v>134</v>
      </c>
      <c r="AX1760" s="60"/>
      <c r="AY1760" s="60" t="s">
        <v>11025</v>
      </c>
    </row>
    <row r="1761" ht="15.75" customHeight="1">
      <c r="A1761" s="115" t="s">
        <v>143</v>
      </c>
      <c r="B1761" s="41" t="s">
        <v>107</v>
      </c>
      <c r="C1761" s="41" t="s">
        <v>226</v>
      </c>
      <c r="E1761" s="142" t="s">
        <v>11042</v>
      </c>
      <c r="F1761" s="147" t="str">
        <f>E1761&amp;"_"&amp;COUNTIF($B$3:E1761, E1761)</f>
        <v>Camereretal2018_8_1</v>
      </c>
      <c r="G1761" s="147" t="s">
        <v>11005</v>
      </c>
      <c r="H1761" s="140">
        <v>45687.0</v>
      </c>
      <c r="I1761" s="140">
        <v>45692.0</v>
      </c>
      <c r="J1761" s="60"/>
      <c r="K1761" s="147" t="s">
        <v>11043</v>
      </c>
      <c r="L1761" s="147" t="s">
        <v>11044</v>
      </c>
      <c r="M1761" s="147" t="s">
        <v>11045</v>
      </c>
      <c r="N1761" s="144">
        <v>1.0</v>
      </c>
      <c r="O1761" s="147" t="s">
        <v>11046</v>
      </c>
      <c r="P1761" s="48" t="str">
        <f t="array" ref="P1761">HYPERLINK(INDEX('File Links'!B:B, MATCH(O1761, 'File Links'!C:C, 0)))
</f>
        <v>https://drive.google.com/file/d/1-E1dAlVOdBXhL1-Ucgrt44k9SzyhPTJ-/view?usp=drivesdk</v>
      </c>
      <c r="Q1761" s="147" t="s">
        <v>11011</v>
      </c>
      <c r="R1761" s="147" t="s">
        <v>11012</v>
      </c>
      <c r="S1761" s="1500" t="s">
        <v>11047</v>
      </c>
      <c r="T1761" s="144">
        <v>8.0</v>
      </c>
      <c r="U1761" s="147" t="s">
        <v>11014</v>
      </c>
      <c r="V1761" s="147" t="s">
        <v>202</v>
      </c>
      <c r="W1761" s="1253" t="str">
        <f> hyperlink(vlookup(lower(R1761),'File Links'!F:G, 2, FALSE), "LINK")</f>
        <v>LINK</v>
      </c>
      <c r="X1761" s="60"/>
      <c r="Y1761" s="147" t="s">
        <v>220</v>
      </c>
      <c r="Z1761" s="350" t="s">
        <v>165</v>
      </c>
      <c r="AA1761" s="147" t="s">
        <v>11015</v>
      </c>
      <c r="AB1761" s="147" t="s">
        <v>11048</v>
      </c>
      <c r="AC1761" s="147" t="s">
        <v>11049</v>
      </c>
      <c r="AD1761" s="60" t="s">
        <v>2401</v>
      </c>
      <c r="AE1761" s="144">
        <v>40.0</v>
      </c>
      <c r="AF1761" s="144">
        <v>0.8</v>
      </c>
      <c r="AG1761" s="147" t="s">
        <v>356</v>
      </c>
      <c r="AH1761" s="147" t="s">
        <v>11050</v>
      </c>
      <c r="AI1761" s="144">
        <v>0.001</v>
      </c>
      <c r="AJ1761" s="147" t="s">
        <v>127</v>
      </c>
      <c r="AK1761" s="147" t="s">
        <v>179</v>
      </c>
      <c r="AL1761" s="60" t="s">
        <v>129</v>
      </c>
      <c r="AM1761" s="147" t="s">
        <v>165</v>
      </c>
      <c r="AN1761" s="144">
        <v>22.0</v>
      </c>
      <c r="AO1761" s="327">
        <v>0.832</v>
      </c>
      <c r="AP1761" s="147" t="s">
        <v>208</v>
      </c>
      <c r="AQ1761" s="147" t="s">
        <v>11038</v>
      </c>
      <c r="AR1761" s="144">
        <v>0.001</v>
      </c>
      <c r="AS1761" s="147" t="s">
        <v>127</v>
      </c>
      <c r="AT1761" s="147" t="s">
        <v>128</v>
      </c>
      <c r="AU1761" s="60" t="s">
        <v>129</v>
      </c>
      <c r="AV1761" s="410" t="s">
        <v>11051</v>
      </c>
      <c r="AW1761" s="1354" t="s">
        <v>134</v>
      </c>
      <c r="AX1761" s="60"/>
      <c r="AY1761" s="60" t="s">
        <v>11025</v>
      </c>
    </row>
    <row r="1762" ht="15.75" customHeight="1">
      <c r="A1762" s="60" t="s">
        <v>106</v>
      </c>
      <c r="B1762" s="41" t="s">
        <v>107</v>
      </c>
      <c r="C1762" s="41" t="s">
        <v>1251</v>
      </c>
      <c r="E1762" s="142" t="s">
        <v>11042</v>
      </c>
      <c r="F1762" s="147" t="s">
        <v>11052</v>
      </c>
      <c r="G1762" s="147" t="s">
        <v>3758</v>
      </c>
      <c r="H1762" s="140">
        <v>45663.0</v>
      </c>
      <c r="I1762" s="140">
        <v>45692.0</v>
      </c>
      <c r="J1762" s="60"/>
      <c r="K1762" s="60"/>
      <c r="L1762" s="142" t="s">
        <v>11044</v>
      </c>
      <c r="M1762" s="142" t="s">
        <v>11045</v>
      </c>
      <c r="N1762" s="144">
        <v>1.0</v>
      </c>
      <c r="O1762" s="147" t="str">
        <f> SUBSTITUTE(lower(M1762), "/", "--") &amp;  ".pdf"</f>
        <v>10.1038--nature13530.pdf</v>
      </c>
      <c r="P1762" s="48" t="str">
        <f t="array" ref="P1762">HYPERLINK(INDEX('File Links'!B:B, MATCH(O1762, 'File Links'!C:C, 0)))
</f>
        <v>https://drive.google.com/file/d/1-E1dAlVOdBXhL1-Ucgrt44k9SzyhPTJ-/view?usp=drivesdk</v>
      </c>
      <c r="Q1762" s="60"/>
      <c r="R1762" s="60"/>
      <c r="S1762" s="60"/>
      <c r="T1762" s="144">
        <v>1.0</v>
      </c>
      <c r="U1762" s="60" t="s">
        <v>11053</v>
      </c>
      <c r="V1762" s="60"/>
      <c r="W1762" s="1268" t="s">
        <v>11054</v>
      </c>
      <c r="X1762" s="60"/>
      <c r="Y1762" s="147" t="s">
        <v>2900</v>
      </c>
      <c r="Z1762" s="60"/>
      <c r="AA1762" s="60"/>
      <c r="AB1762" s="60"/>
      <c r="AC1762" s="147" t="s">
        <v>11055</v>
      </c>
      <c r="AD1762" s="144">
        <v>2.0</v>
      </c>
      <c r="AE1762" s="144">
        <v>40.0</v>
      </c>
      <c r="AF1762" s="1265">
        <v>0.816</v>
      </c>
      <c r="AG1762" s="1268" t="s">
        <v>208</v>
      </c>
      <c r="AH1762" s="60"/>
      <c r="AI1762" s="144">
        <v>0.001</v>
      </c>
      <c r="AJ1762" s="147" t="s">
        <v>127</v>
      </c>
      <c r="AK1762" s="60"/>
      <c r="AL1762" s="60" t="s">
        <v>129</v>
      </c>
      <c r="AM1762" s="60"/>
      <c r="AN1762" s="144">
        <v>22.0</v>
      </c>
      <c r="AO1762" s="144">
        <v>0.8320501</v>
      </c>
      <c r="AP1762" s="147" t="s">
        <v>208</v>
      </c>
      <c r="AQ1762" s="1268" t="s">
        <v>11056</v>
      </c>
      <c r="AR1762" s="144">
        <v>1.58E-6</v>
      </c>
      <c r="AS1762" s="147" t="s">
        <v>164</v>
      </c>
      <c r="AT1762" s="147" t="s">
        <v>128</v>
      </c>
      <c r="AU1762" s="60" t="s">
        <v>129</v>
      </c>
      <c r="AV1762" s="1504" t="s">
        <v>11054</v>
      </c>
      <c r="AW1762" s="60" t="s">
        <v>134</v>
      </c>
      <c r="AX1762" s="60"/>
      <c r="AY1762" s="60" t="s">
        <v>11025</v>
      </c>
    </row>
    <row r="1763" ht="15.75" customHeight="1">
      <c r="A1763" s="115" t="s">
        <v>143</v>
      </c>
      <c r="B1763" s="41" t="s">
        <v>107</v>
      </c>
      <c r="C1763" s="41" t="s">
        <v>226</v>
      </c>
      <c r="E1763" s="142" t="s">
        <v>11057</v>
      </c>
      <c r="F1763" s="60" t="s">
        <v>11058</v>
      </c>
      <c r="G1763" s="147" t="s">
        <v>11005</v>
      </c>
      <c r="H1763" s="140">
        <v>45682.0</v>
      </c>
      <c r="I1763" s="140">
        <v>45692.0</v>
      </c>
      <c r="J1763" s="525" t="s">
        <v>11059</v>
      </c>
      <c r="K1763" s="147" t="s">
        <v>11060</v>
      </c>
      <c r="L1763" s="147" t="s">
        <v>11061</v>
      </c>
      <c r="M1763" s="147" t="s">
        <v>11062</v>
      </c>
      <c r="N1763" s="144">
        <v>1.0</v>
      </c>
      <c r="O1763" s="147" t="s">
        <v>11063</v>
      </c>
      <c r="P1763" s="48" t="str">
        <f t="array" ref="P1763">HYPERLINK(INDEX('File Links'!B:B, MATCH(O1763, 'File Links'!C:C, 0)))
</f>
        <v>https://drive.google.com/file/d/1yPKBulDUT2sA_EL4XHrVvgND1nEVQNHI/view?usp=drivesdk</v>
      </c>
      <c r="Q1763" s="147" t="s">
        <v>11011</v>
      </c>
      <c r="R1763" s="147" t="s">
        <v>11012</v>
      </c>
      <c r="S1763" s="1500" t="s">
        <v>11064</v>
      </c>
      <c r="T1763" s="144">
        <v>15.0</v>
      </c>
      <c r="U1763" s="147" t="s">
        <v>11014</v>
      </c>
      <c r="V1763" s="147" t="s">
        <v>202</v>
      </c>
      <c r="W1763" s="303" t="s">
        <v>11064</v>
      </c>
      <c r="X1763" s="60"/>
      <c r="Y1763" s="147" t="s">
        <v>220</v>
      </c>
      <c r="Z1763" s="350" t="s">
        <v>165</v>
      </c>
      <c r="AA1763" s="139" t="s">
        <v>11065</v>
      </c>
      <c r="AB1763" s="147" t="s">
        <v>11066</v>
      </c>
      <c r="AC1763" s="147" t="s">
        <v>11067</v>
      </c>
      <c r="AD1763" s="147" t="s">
        <v>886</v>
      </c>
      <c r="AE1763" s="144">
        <v>200.0</v>
      </c>
      <c r="AF1763" s="144">
        <v>0.104</v>
      </c>
      <c r="AG1763" s="147" t="s">
        <v>356</v>
      </c>
      <c r="AH1763" s="147" t="s">
        <v>11068</v>
      </c>
      <c r="AI1763" s="144">
        <v>0.004</v>
      </c>
      <c r="AJ1763" s="147" t="s">
        <v>164</v>
      </c>
      <c r="AK1763" s="147" t="s">
        <v>179</v>
      </c>
      <c r="AL1763" s="60" t="s">
        <v>132</v>
      </c>
      <c r="AM1763" s="147" t="s">
        <v>165</v>
      </c>
      <c r="AN1763" s="144">
        <v>480.0</v>
      </c>
      <c r="AO1763" s="327">
        <v>0.116</v>
      </c>
      <c r="AP1763" s="147" t="s">
        <v>208</v>
      </c>
      <c r="AQ1763" s="147" t="s">
        <v>11038</v>
      </c>
      <c r="AR1763" s="144">
        <v>0.011</v>
      </c>
      <c r="AS1763" s="147" t="s">
        <v>164</v>
      </c>
      <c r="AT1763" s="1460" t="s">
        <v>128</v>
      </c>
      <c r="AU1763" s="60" t="s">
        <v>132</v>
      </c>
      <c r="AV1763" s="410" t="s">
        <v>11069</v>
      </c>
      <c r="AW1763" s="1354" t="s">
        <v>134</v>
      </c>
      <c r="AX1763" s="60"/>
      <c r="AY1763" s="115" t="s">
        <v>11070</v>
      </c>
    </row>
    <row r="1764" ht="15.75" customHeight="1">
      <c r="A1764" s="60" t="s">
        <v>106</v>
      </c>
      <c r="B1764" s="41" t="s">
        <v>107</v>
      </c>
      <c r="C1764" s="41" t="s">
        <v>1251</v>
      </c>
      <c r="E1764" s="142" t="s">
        <v>11057</v>
      </c>
      <c r="F1764" s="60" t="s">
        <v>11058</v>
      </c>
      <c r="G1764" s="147" t="s">
        <v>3758</v>
      </c>
      <c r="H1764" s="140">
        <v>45663.0</v>
      </c>
      <c r="I1764" s="140">
        <v>45692.0</v>
      </c>
      <c r="J1764" s="60"/>
      <c r="K1764" s="60"/>
      <c r="L1764" s="142" t="s">
        <v>11061</v>
      </c>
      <c r="M1764" s="142" t="s">
        <v>11062</v>
      </c>
      <c r="N1764" s="144">
        <v>1.0</v>
      </c>
      <c r="O1764" s="147" t="str">
        <f> SUBSTITUTE(lower(M1764), "/", "--") &amp;  ".pdf"</f>
        <v>10.1038--nature15392.pdf</v>
      </c>
      <c r="P1764" s="48" t="str">
        <f t="array" ref="P1764">HYPERLINK(INDEX('File Links'!B:B, MATCH(O1764, 'File Links'!C:C, 0)))
</f>
        <v>https://drive.google.com/file/d/1yPKBulDUT2sA_EL4XHrVvgND1nEVQNHI/view?usp=drivesdk</v>
      </c>
      <c r="Q1764" s="60"/>
      <c r="R1764" s="60"/>
      <c r="S1764" s="60"/>
      <c r="T1764" s="144">
        <v>1.0</v>
      </c>
      <c r="U1764" s="147" t="s">
        <v>11071</v>
      </c>
      <c r="V1764" s="60"/>
      <c r="W1764" s="303" t="s">
        <v>11064</v>
      </c>
      <c r="X1764" s="60"/>
      <c r="Y1764" s="1268" t="s">
        <v>1820</v>
      </c>
      <c r="Z1764" s="60"/>
      <c r="AA1764" s="60"/>
      <c r="AB1764" s="60"/>
      <c r="AC1764" s="147" t="s">
        <v>11072</v>
      </c>
      <c r="AD1764" s="144">
        <v>2.0</v>
      </c>
      <c r="AE1764" s="144">
        <v>200.0</v>
      </c>
      <c r="AF1764" s="1505">
        <v>0.201</v>
      </c>
      <c r="AG1764" s="1268" t="s">
        <v>208</v>
      </c>
      <c r="AH1764" s="60"/>
      <c r="AI1764" s="144">
        <v>0.0044</v>
      </c>
      <c r="AJ1764" s="147" t="s">
        <v>164</v>
      </c>
      <c r="AK1764" s="147" t="s">
        <v>179</v>
      </c>
      <c r="AL1764" s="60" t="s">
        <v>132</v>
      </c>
      <c r="AM1764" s="60"/>
      <c r="AN1764" s="144">
        <v>480.0</v>
      </c>
      <c r="AO1764" s="144">
        <v>0.1160417</v>
      </c>
      <c r="AP1764" s="147" t="s">
        <v>208</v>
      </c>
      <c r="AQ1764" s="1268" t="s">
        <v>11073</v>
      </c>
      <c r="AR1764" s="144">
        <v>0.0109</v>
      </c>
      <c r="AS1764" s="147" t="s">
        <v>164</v>
      </c>
      <c r="AT1764" s="147" t="s">
        <v>128</v>
      </c>
      <c r="AU1764" s="60" t="s">
        <v>132</v>
      </c>
      <c r="AV1764" s="1503" t="s">
        <v>11064</v>
      </c>
      <c r="AW1764" s="60" t="s">
        <v>134</v>
      </c>
      <c r="AX1764" s="60"/>
      <c r="AY1764" s="60" t="s">
        <v>11025</v>
      </c>
    </row>
    <row r="1765" ht="15.75" customHeight="1">
      <c r="A1765" s="60" t="s">
        <v>586</v>
      </c>
      <c r="B1765" s="41" t="s">
        <v>107</v>
      </c>
      <c r="C1765" s="41" t="s">
        <v>226</v>
      </c>
      <c r="E1765" s="142" t="s">
        <v>11074</v>
      </c>
      <c r="F1765" s="147" t="str">
        <f>E1765&amp;"_"&amp;COUNTIF($B$3:E1765, E1765)</f>
        <v>Camereretal2018_9_1</v>
      </c>
      <c r="G1765" s="147" t="s">
        <v>11005</v>
      </c>
      <c r="H1765" s="140">
        <v>45687.0</v>
      </c>
      <c r="I1765" s="140">
        <v>45692.0</v>
      </c>
      <c r="J1765" s="147" t="s">
        <v>11075</v>
      </c>
      <c r="K1765" s="147" t="s">
        <v>11076</v>
      </c>
      <c r="L1765" s="147" t="s">
        <v>11077</v>
      </c>
      <c r="M1765" s="147" t="s">
        <v>11078</v>
      </c>
      <c r="N1765" s="144">
        <v>1.0</v>
      </c>
      <c r="O1765" s="147" t="s">
        <v>11079</v>
      </c>
      <c r="P1765" s="48" t="str">
        <f t="array" ref="P1765">HYPERLINK(INDEX('File Links'!B:B, MATCH(O1765, 'File Links'!C:C, 0)))
</f>
        <v>https://drive.google.com/file/d/1evQDXWr9N4KV0RMwcCRfMKAkbspCGUUG/view?usp=drivesdk</v>
      </c>
      <c r="Q1765" s="147" t="s">
        <v>11011</v>
      </c>
      <c r="R1765" s="147" t="s">
        <v>11012</v>
      </c>
      <c r="S1765" s="1500" t="s">
        <v>11080</v>
      </c>
      <c r="T1765" s="144">
        <v>9.0</v>
      </c>
      <c r="U1765" s="147" t="s">
        <v>11014</v>
      </c>
      <c r="V1765" s="147" t="s">
        <v>202</v>
      </c>
      <c r="W1765" s="1253" t="str">
        <f> hyperlink(vlookup(lower(R1765),'File Links'!F:G, 2, FALSE), "LINK")</f>
        <v>LINK</v>
      </c>
      <c r="X1765" s="60"/>
      <c r="Y1765" s="147" t="s">
        <v>220</v>
      </c>
      <c r="Z1765" s="147" t="s">
        <v>11081</v>
      </c>
      <c r="AA1765" s="147" t="s">
        <v>11015</v>
      </c>
      <c r="AB1765" s="147" t="s">
        <v>11082</v>
      </c>
      <c r="AC1765" s="147" t="s">
        <v>11083</v>
      </c>
      <c r="AD1765" s="147" t="s">
        <v>11084</v>
      </c>
      <c r="AE1765" s="144">
        <v>63.0</v>
      </c>
      <c r="AF1765" s="147" t="s">
        <v>11085</v>
      </c>
      <c r="AG1765" s="147" t="s">
        <v>162</v>
      </c>
      <c r="AH1765" s="147" t="s">
        <v>11086</v>
      </c>
      <c r="AI1765" s="144">
        <v>0.0</v>
      </c>
      <c r="AJ1765" s="147" t="s">
        <v>164</v>
      </c>
      <c r="AK1765" s="147" t="s">
        <v>128</v>
      </c>
      <c r="AL1765" s="60" t="s">
        <v>129</v>
      </c>
      <c r="AM1765" s="147" t="s">
        <v>165</v>
      </c>
      <c r="AN1765" s="144">
        <v>42.0</v>
      </c>
      <c r="AO1765" s="327">
        <v>0.344</v>
      </c>
      <c r="AP1765" s="147" t="s">
        <v>208</v>
      </c>
      <c r="AQ1765" s="147" t="s">
        <v>11038</v>
      </c>
      <c r="AR1765" s="144">
        <v>0.025</v>
      </c>
      <c r="AS1765" s="147" t="s">
        <v>164</v>
      </c>
      <c r="AT1765" s="147" t="s">
        <v>128</v>
      </c>
      <c r="AU1765" s="60" t="s">
        <v>129</v>
      </c>
      <c r="AV1765" s="410" t="s">
        <v>11087</v>
      </c>
      <c r="AW1765" s="1354" t="s">
        <v>134</v>
      </c>
      <c r="AX1765" s="60"/>
      <c r="AY1765" s="60" t="s">
        <v>11025</v>
      </c>
    </row>
    <row r="1766" ht="15.75" customHeight="1">
      <c r="A1766" s="60" t="s">
        <v>106</v>
      </c>
      <c r="B1766" s="41" t="s">
        <v>107</v>
      </c>
      <c r="C1766" s="41" t="s">
        <v>1251</v>
      </c>
      <c r="E1766" s="142" t="s">
        <v>11074</v>
      </c>
      <c r="F1766" s="147" t="s">
        <v>11088</v>
      </c>
      <c r="G1766" s="147" t="s">
        <v>3758</v>
      </c>
      <c r="H1766" s="140">
        <v>45663.0</v>
      </c>
      <c r="I1766" s="140">
        <v>45692.0</v>
      </c>
      <c r="J1766" s="60"/>
      <c r="K1766" s="60"/>
      <c r="L1766" s="142" t="s">
        <v>11077</v>
      </c>
      <c r="M1766" s="142" t="s">
        <v>11078</v>
      </c>
      <c r="N1766" s="144">
        <v>1.0</v>
      </c>
      <c r="O1766" s="147" t="str">
        <f> SUBSTITUTE(lower(M1766), "/", "--") &amp;  ".pdf"</f>
        <v>10.1126--science.1183532.pdf</v>
      </c>
      <c r="P1766" s="48" t="str">
        <f t="array" ref="P1766">HYPERLINK(INDEX('File Links'!B:B, MATCH(O1766, 'File Links'!C:C, 0)))
</f>
        <v>https://drive.google.com/file/d/1evQDXWr9N4KV0RMwcCRfMKAkbspCGUUG/view?usp=drivesdk</v>
      </c>
      <c r="Q1766" s="60"/>
      <c r="R1766" s="60"/>
      <c r="S1766" s="60"/>
      <c r="T1766" s="144">
        <v>1.0</v>
      </c>
      <c r="U1766" s="60" t="s">
        <v>11089</v>
      </c>
      <c r="V1766" s="60"/>
      <c r="W1766" s="147" t="s">
        <v>11090</v>
      </c>
      <c r="X1766" s="60"/>
      <c r="Y1766" s="147" t="s">
        <v>220</v>
      </c>
      <c r="Z1766" s="60"/>
      <c r="AA1766" s="60"/>
      <c r="AB1766" s="60"/>
      <c r="AC1766" s="1506" t="s">
        <v>11091</v>
      </c>
      <c r="AD1766" s="144">
        <v>615.0</v>
      </c>
      <c r="AE1766" s="1265">
        <v>105.0</v>
      </c>
      <c r="AF1766" s="1265">
        <v>0.631</v>
      </c>
      <c r="AG1766" s="1268" t="s">
        <v>208</v>
      </c>
      <c r="AH1766" s="60"/>
      <c r="AI1766" s="144">
        <v>8.362E-9</v>
      </c>
      <c r="AJ1766" s="147" t="s">
        <v>164</v>
      </c>
      <c r="AK1766" s="60"/>
      <c r="AL1766" s="60" t="s">
        <v>129</v>
      </c>
      <c r="AM1766" s="60"/>
      <c r="AN1766" s="144">
        <v>70.0</v>
      </c>
      <c r="AO1766" s="144">
        <v>0.344</v>
      </c>
      <c r="AP1766" s="147" t="s">
        <v>208</v>
      </c>
      <c r="AQ1766" s="60"/>
      <c r="AR1766" s="144">
        <v>0.0252</v>
      </c>
      <c r="AS1766" s="147" t="s">
        <v>164</v>
      </c>
      <c r="AT1766" s="60"/>
      <c r="AU1766" s="60" t="s">
        <v>129</v>
      </c>
      <c r="AV1766" s="1504" t="s">
        <v>11090</v>
      </c>
      <c r="AW1766" s="60" t="s">
        <v>134</v>
      </c>
      <c r="AX1766" s="60"/>
      <c r="AY1766" s="60" t="s">
        <v>11025</v>
      </c>
    </row>
    <row r="1767" ht="15.75" customHeight="1">
      <c r="A1767" s="115" t="s">
        <v>143</v>
      </c>
      <c r="B1767" s="41" t="s">
        <v>107</v>
      </c>
      <c r="C1767" s="41" t="s">
        <v>226</v>
      </c>
      <c r="E1767" s="147" t="s">
        <v>11092</v>
      </c>
      <c r="F1767" s="147" t="s">
        <v>11093</v>
      </c>
      <c r="G1767" s="147" t="s">
        <v>11005</v>
      </c>
      <c r="H1767" s="140">
        <v>45682.0</v>
      </c>
      <c r="I1767" s="140">
        <v>45692.0</v>
      </c>
      <c r="J1767" s="60"/>
      <c r="K1767" s="147" t="s">
        <v>11094</v>
      </c>
      <c r="L1767" s="147" t="s">
        <v>11095</v>
      </c>
      <c r="M1767" s="147" t="s">
        <v>11096</v>
      </c>
      <c r="N1767" s="144">
        <v>1.0</v>
      </c>
      <c r="O1767" s="147" t="s">
        <v>11097</v>
      </c>
      <c r="P1767" s="48" t="str">
        <f t="array" ref="P1767">HYPERLINK(INDEX('File Links'!B:B, MATCH(O1767, 'File Links'!C:C, 0)))
</f>
        <v>https://drive.google.com/file/d/1E31uybgDVJiRN0FEcJfVIX_of85BuGEz/view?usp=drivesdk</v>
      </c>
      <c r="Q1767" s="147" t="s">
        <v>11011</v>
      </c>
      <c r="R1767" s="147" t="s">
        <v>11012</v>
      </c>
      <c r="S1767" s="1460" t="s">
        <v>11098</v>
      </c>
      <c r="T1767" s="144">
        <v>13.0</v>
      </c>
      <c r="U1767" s="147" t="s">
        <v>11014</v>
      </c>
      <c r="V1767" s="147" t="s">
        <v>202</v>
      </c>
      <c r="W1767" s="1253" t="str">
        <f> hyperlink(vlookup(lower(R1767),'File Links'!F:G, 2, FALSE), "LINK")</f>
        <v>LINK</v>
      </c>
      <c r="X1767" s="60"/>
      <c r="Y1767" s="147" t="s">
        <v>220</v>
      </c>
      <c r="Z1767" s="147" t="s">
        <v>11099</v>
      </c>
      <c r="AA1767" s="147" t="s">
        <v>11015</v>
      </c>
      <c r="AB1767" s="147" t="s">
        <v>11100</v>
      </c>
      <c r="AC1767" s="147" t="s">
        <v>11101</v>
      </c>
      <c r="AD1767" s="147" t="s">
        <v>11102</v>
      </c>
      <c r="AE1767" s="144">
        <v>40.0</v>
      </c>
      <c r="AF1767" s="1470">
        <v>0.8705228793740944</v>
      </c>
      <c r="AG1767" s="147" t="s">
        <v>166</v>
      </c>
      <c r="AH1767" s="147" t="s">
        <v>11103</v>
      </c>
      <c r="AI1767" s="144">
        <v>0.01</v>
      </c>
      <c r="AJ1767" s="147" t="s">
        <v>164</v>
      </c>
      <c r="AK1767" s="147" t="s">
        <v>211</v>
      </c>
      <c r="AL1767" s="60" t="s">
        <v>129</v>
      </c>
      <c r="AM1767" s="147" t="s">
        <v>165</v>
      </c>
      <c r="AN1767" s="144">
        <v>286.0</v>
      </c>
      <c r="AO1767" s="144">
        <v>-0.046</v>
      </c>
      <c r="AP1767" s="147" t="s">
        <v>208</v>
      </c>
      <c r="AQ1767" s="147" t="s">
        <v>11019</v>
      </c>
      <c r="AR1767" s="144">
        <v>0.436</v>
      </c>
      <c r="AS1767" s="147" t="s">
        <v>164</v>
      </c>
      <c r="AT1767" s="147" t="s">
        <v>211</v>
      </c>
      <c r="AU1767" s="60" t="s">
        <v>129</v>
      </c>
      <c r="AV1767" s="410" t="s">
        <v>11104</v>
      </c>
      <c r="AW1767" s="1354" t="s">
        <v>134</v>
      </c>
      <c r="AX1767" s="60"/>
      <c r="AY1767" s="60" t="s">
        <v>11025</v>
      </c>
    </row>
    <row r="1768" ht="15.75" customHeight="1">
      <c r="A1768" s="60" t="s">
        <v>106</v>
      </c>
      <c r="B1768" s="41" t="s">
        <v>107</v>
      </c>
      <c r="C1768" s="41" t="s">
        <v>1251</v>
      </c>
      <c r="E1768" s="142" t="s">
        <v>11092</v>
      </c>
      <c r="F1768" s="147" t="s">
        <v>11093</v>
      </c>
      <c r="G1768" s="147" t="s">
        <v>3758</v>
      </c>
      <c r="H1768" s="140">
        <v>45663.0</v>
      </c>
      <c r="I1768" s="140">
        <v>45692.0</v>
      </c>
      <c r="J1768" s="60"/>
      <c r="K1768" s="60"/>
      <c r="L1768" s="142" t="s">
        <v>11095</v>
      </c>
      <c r="M1768" s="142" t="s">
        <v>11096</v>
      </c>
      <c r="N1768" s="144">
        <v>1.0</v>
      </c>
      <c r="O1768" s="147" t="str">
        <f> SUBSTITUTE(lower(M1768), "/", "--") &amp;  ".pdf"</f>
        <v>10.1126--science.1186799.pdf</v>
      </c>
      <c r="P1768" s="48" t="str">
        <f t="array" ref="P1768">HYPERLINK(INDEX('File Links'!B:B, MATCH(O1768, 'File Links'!C:C, 0)))
</f>
        <v>https://drive.google.com/file/d/1E31uybgDVJiRN0FEcJfVIX_of85BuGEz/view?usp=drivesdk</v>
      </c>
      <c r="Q1768" s="60"/>
      <c r="R1768" s="60"/>
      <c r="S1768" s="60"/>
      <c r="T1768" s="144">
        <v>1.0</v>
      </c>
      <c r="U1768" s="60" t="s">
        <v>11105</v>
      </c>
      <c r="V1768" s="60"/>
      <c r="W1768" s="147" t="s">
        <v>11098</v>
      </c>
      <c r="X1768" s="60"/>
      <c r="Y1768" s="1268" t="s">
        <v>1820</v>
      </c>
      <c r="Z1768" s="60"/>
      <c r="AA1768" s="60"/>
      <c r="AB1768" s="60"/>
      <c r="AC1768" s="1506" t="s">
        <v>11106</v>
      </c>
      <c r="AD1768" s="144">
        <v>709.0</v>
      </c>
      <c r="AE1768" s="144">
        <v>40.0</v>
      </c>
      <c r="AF1768" s="1265">
        <v>0.388</v>
      </c>
      <c r="AG1768" s="1268" t="s">
        <v>208</v>
      </c>
      <c r="AH1768" s="60"/>
      <c r="AI1768" s="144">
        <v>0.01</v>
      </c>
      <c r="AJ1768" s="147" t="s">
        <v>164</v>
      </c>
      <c r="AK1768" s="147" t="s">
        <v>179</v>
      </c>
      <c r="AL1768" s="60" t="s">
        <v>129</v>
      </c>
      <c r="AM1768" s="60"/>
      <c r="AN1768" s="144">
        <v>286.0</v>
      </c>
      <c r="AO1768" s="1502">
        <v>0.09145300219901326</v>
      </c>
      <c r="AP1768" s="1268" t="s">
        <v>208</v>
      </c>
      <c r="AQ1768" s="1268" t="s">
        <v>11107</v>
      </c>
      <c r="AR1768" s="144">
        <v>0.4362</v>
      </c>
      <c r="AS1768" s="147" t="s">
        <v>164</v>
      </c>
      <c r="AT1768" s="1268" t="s">
        <v>128</v>
      </c>
      <c r="AU1768" s="60" t="s">
        <v>129</v>
      </c>
      <c r="AV1768" s="1504" t="s">
        <v>11098</v>
      </c>
      <c r="AW1768" s="60" t="s">
        <v>134</v>
      </c>
      <c r="AX1768" s="60"/>
      <c r="AY1768" s="60" t="s">
        <v>11025</v>
      </c>
    </row>
    <row r="1769" ht="15.75" customHeight="1">
      <c r="A1769" s="115" t="s">
        <v>143</v>
      </c>
      <c r="B1769" s="41" t="s">
        <v>107</v>
      </c>
      <c r="C1769" s="41" t="s">
        <v>226</v>
      </c>
      <c r="E1769" s="60" t="s">
        <v>11108</v>
      </c>
      <c r="F1769" s="147" t="s">
        <v>11109</v>
      </c>
      <c r="G1769" s="147" t="s">
        <v>11005</v>
      </c>
      <c r="H1769" s="140">
        <v>45682.0</v>
      </c>
      <c r="I1769" s="140">
        <v>45687.0</v>
      </c>
      <c r="J1769" s="60"/>
      <c r="K1769" s="147" t="s">
        <v>11110</v>
      </c>
      <c r="L1769" s="147" t="s">
        <v>11111</v>
      </c>
      <c r="M1769" s="147" t="s">
        <v>11112</v>
      </c>
      <c r="N1769" s="144">
        <v>1.0</v>
      </c>
      <c r="O1769" s="147" t="s">
        <v>11113</v>
      </c>
      <c r="P1769" s="48" t="str">
        <f t="array" ref="P1769">HYPERLINK(INDEX('File Links'!B:B, MATCH(O1769, 'File Links'!C:C, 0)))
</f>
        <v>https://drive.google.com/file/d/1AKsdj68dbJXeSGboPcfZ2uD3ua_fvFPP/view?usp=drivesdk</v>
      </c>
      <c r="Q1769" s="147" t="s">
        <v>11011</v>
      </c>
      <c r="R1769" s="147" t="s">
        <v>11012</v>
      </c>
      <c r="S1769" s="1460" t="s">
        <v>11114</v>
      </c>
      <c r="T1769" s="144">
        <v>1.0</v>
      </c>
      <c r="U1769" s="147" t="s">
        <v>11014</v>
      </c>
      <c r="V1769" s="147" t="s">
        <v>202</v>
      </c>
      <c r="W1769" s="1253" t="str">
        <f> hyperlink(vlookup(lower(R1769),'File Links'!F:G, 2, FALSE), "LINK")</f>
        <v>LINK</v>
      </c>
      <c r="X1769" s="60"/>
      <c r="Y1769" s="147" t="s">
        <v>220</v>
      </c>
      <c r="Z1769" s="147" t="s">
        <v>11115</v>
      </c>
      <c r="AA1769" s="147" t="s">
        <v>11015</v>
      </c>
      <c r="AB1769" s="147" t="s">
        <v>11116</v>
      </c>
      <c r="AC1769" s="147" t="s">
        <v>11117</v>
      </c>
      <c r="AD1769" s="147" t="s">
        <v>11118</v>
      </c>
      <c r="AE1769" s="144">
        <v>54.0</v>
      </c>
      <c r="AF1769" s="1470">
        <v>0.5414312553775226</v>
      </c>
      <c r="AG1769" s="147" t="s">
        <v>166</v>
      </c>
      <c r="AH1769" s="147" t="s">
        <v>11119</v>
      </c>
      <c r="AI1769" s="144">
        <v>0.049</v>
      </c>
      <c r="AJ1769" s="147" t="s">
        <v>164</v>
      </c>
      <c r="AK1769" s="1460" t="s">
        <v>211</v>
      </c>
      <c r="AL1769" s="60" t="s">
        <v>129</v>
      </c>
      <c r="AM1769" s="147" t="s">
        <v>165</v>
      </c>
      <c r="AN1769" s="144">
        <v>599.0</v>
      </c>
      <c r="AO1769" s="327">
        <v>0.063</v>
      </c>
      <c r="AP1769" s="147" t="s">
        <v>208</v>
      </c>
      <c r="AQ1769" s="147" t="s">
        <v>11019</v>
      </c>
      <c r="AR1769" s="144">
        <v>0.125</v>
      </c>
      <c r="AS1769" s="147" t="s">
        <v>164</v>
      </c>
      <c r="AT1769" s="1460" t="s">
        <v>128</v>
      </c>
      <c r="AU1769" s="60" t="s">
        <v>129</v>
      </c>
      <c r="AV1769" s="410" t="s">
        <v>11120</v>
      </c>
      <c r="AW1769" s="1354" t="s">
        <v>134</v>
      </c>
      <c r="AX1769" s="60"/>
      <c r="AY1769" s="60" t="s">
        <v>11025</v>
      </c>
    </row>
    <row r="1770" ht="15.75" customHeight="1">
      <c r="A1770" s="60" t="s">
        <v>106</v>
      </c>
      <c r="B1770" s="41" t="s">
        <v>107</v>
      </c>
      <c r="C1770" s="41" t="s">
        <v>1251</v>
      </c>
      <c r="E1770" s="142" t="s">
        <v>11108</v>
      </c>
      <c r="F1770" s="147" t="s">
        <v>11109</v>
      </c>
      <c r="G1770" s="147" t="s">
        <v>3758</v>
      </c>
      <c r="H1770" s="140">
        <v>45663.0</v>
      </c>
      <c r="I1770" s="140">
        <v>45687.0</v>
      </c>
      <c r="J1770" s="60"/>
      <c r="K1770" s="60"/>
      <c r="L1770" s="142" t="s">
        <v>11111</v>
      </c>
      <c r="M1770" s="142" t="s">
        <v>11112</v>
      </c>
      <c r="N1770" s="144">
        <v>1.0</v>
      </c>
      <c r="O1770" s="147" t="str">
        <f> SUBSTITUTE(lower(M1770), "/", "--") &amp;  ".pdf"</f>
        <v>10.1126--science.1189993.pdf</v>
      </c>
      <c r="P1770" s="48" t="str">
        <f t="array" ref="P1770">HYPERLINK(INDEX('File Links'!B:B, MATCH(O1770, 'File Links'!C:C, 0)))
</f>
        <v>https://drive.google.com/file/d/1AKsdj68dbJXeSGboPcfZ2uD3ua_fvFPP/view?usp=drivesdk</v>
      </c>
      <c r="Q1770" s="60"/>
      <c r="R1770" s="60"/>
      <c r="S1770" s="60"/>
      <c r="T1770" s="144">
        <v>2.0</v>
      </c>
      <c r="U1770" s="60" t="s">
        <v>11121</v>
      </c>
      <c r="V1770" s="60"/>
      <c r="W1770" s="147" t="s">
        <v>11114</v>
      </c>
      <c r="X1770" s="60"/>
      <c r="Y1770" s="147" t="s">
        <v>220</v>
      </c>
      <c r="Z1770" s="60"/>
      <c r="AA1770" s="60"/>
      <c r="AB1770" s="60"/>
      <c r="AC1770" s="1507" t="s">
        <v>11122</v>
      </c>
      <c r="AD1770" s="144">
        <v>1713.0</v>
      </c>
      <c r="AE1770" s="144">
        <v>54.0</v>
      </c>
      <c r="AF1770" s="1265">
        <v>0.27</v>
      </c>
      <c r="AG1770" s="1268" t="s">
        <v>208</v>
      </c>
      <c r="AH1770" s="1268" t="s">
        <v>11123</v>
      </c>
      <c r="AI1770" s="144">
        <v>0.049</v>
      </c>
      <c r="AJ1770" s="147" t="s">
        <v>164</v>
      </c>
      <c r="AK1770" s="147" t="s">
        <v>211</v>
      </c>
      <c r="AL1770" s="60" t="s">
        <v>129</v>
      </c>
      <c r="AM1770" s="60"/>
      <c r="AN1770" s="144">
        <v>599.0</v>
      </c>
      <c r="AO1770" s="144">
        <v>0.0627</v>
      </c>
      <c r="AP1770" s="147" t="s">
        <v>208</v>
      </c>
      <c r="AQ1770" s="60"/>
      <c r="AR1770" s="144">
        <v>0.125</v>
      </c>
      <c r="AS1770" s="147" t="s">
        <v>164</v>
      </c>
      <c r="AT1770" s="147" t="s">
        <v>128</v>
      </c>
      <c r="AU1770" s="60" t="s">
        <v>129</v>
      </c>
      <c r="AV1770" s="1504" t="s">
        <v>11114</v>
      </c>
      <c r="AW1770" s="60" t="s">
        <v>134</v>
      </c>
      <c r="AX1770" s="60"/>
      <c r="AY1770" s="60" t="s">
        <v>11025</v>
      </c>
    </row>
    <row r="1771" ht="15.75" customHeight="1">
      <c r="A1771" s="115" t="s">
        <v>143</v>
      </c>
      <c r="B1771" s="41" t="s">
        <v>107</v>
      </c>
      <c r="C1771" s="41" t="s">
        <v>226</v>
      </c>
      <c r="E1771" s="142" t="s">
        <v>11124</v>
      </c>
      <c r="F1771" s="147" t="s">
        <v>11125</v>
      </c>
      <c r="G1771" s="147" t="s">
        <v>11005</v>
      </c>
      <c r="H1771" s="140">
        <v>45682.0</v>
      </c>
      <c r="I1771" s="140">
        <v>45692.0</v>
      </c>
      <c r="J1771" s="60"/>
      <c r="K1771" s="147" t="s">
        <v>11126</v>
      </c>
      <c r="L1771" s="147" t="s">
        <v>6818</v>
      </c>
      <c r="M1771" s="147" t="s">
        <v>6819</v>
      </c>
      <c r="N1771" s="144">
        <v>1.0</v>
      </c>
      <c r="O1771" s="147" t="s">
        <v>6820</v>
      </c>
      <c r="P1771" s="48" t="str">
        <f t="array" ref="P1771">HYPERLINK(INDEX('File Links'!B:B, MATCH(O1771, 'File Links'!C:C, 0)))
</f>
        <v>https://drive.google.com/file/d/1Chyql9h2DEg41XAYeRupg6Etz-OFp0us/view?usp=drivesdk</v>
      </c>
      <c r="Q1771" s="147" t="s">
        <v>11011</v>
      </c>
      <c r="R1771" s="147" t="s">
        <v>11012</v>
      </c>
      <c r="S1771" s="1460" t="s">
        <v>11127</v>
      </c>
      <c r="T1771" s="144">
        <v>12.0</v>
      </c>
      <c r="U1771" s="147" t="s">
        <v>11014</v>
      </c>
      <c r="V1771" s="147" t="s">
        <v>202</v>
      </c>
      <c r="W1771" s="1253" t="str">
        <f> hyperlink(vlookup(lower(R1771),'File Links'!F:G, 2, FALSE), "LINK")</f>
        <v>LINK</v>
      </c>
      <c r="X1771" s="60"/>
      <c r="Y1771" s="147" t="s">
        <v>220</v>
      </c>
      <c r="Z1771" s="350" t="s">
        <v>165</v>
      </c>
      <c r="AA1771" s="147" t="s">
        <v>11015</v>
      </c>
      <c r="AB1771" s="147" t="s">
        <v>11128</v>
      </c>
      <c r="AC1771" s="147" t="s">
        <v>11129</v>
      </c>
      <c r="AD1771" s="147" t="s">
        <v>11130</v>
      </c>
      <c r="AE1771" s="144">
        <v>24.0</v>
      </c>
      <c r="AF1771" s="147" t="s">
        <v>11131</v>
      </c>
      <c r="AG1771" s="147" t="s">
        <v>162</v>
      </c>
      <c r="AH1771" s="147" t="s">
        <v>11130</v>
      </c>
      <c r="AI1771" s="144">
        <v>0.02</v>
      </c>
      <c r="AJ1771" s="147" t="s">
        <v>164</v>
      </c>
      <c r="AK1771" s="147" t="s">
        <v>179</v>
      </c>
      <c r="AL1771" s="60" t="s">
        <v>129</v>
      </c>
      <c r="AM1771" s="147" t="s">
        <v>165</v>
      </c>
      <c r="AN1771" s="144">
        <v>95.0</v>
      </c>
      <c r="AO1771" s="1459">
        <v>0.586204</v>
      </c>
      <c r="AP1771" s="147" t="s">
        <v>208</v>
      </c>
      <c r="AQ1771" s="147" t="s">
        <v>11038</v>
      </c>
      <c r="AR1771" s="1459">
        <v>3.497E-10</v>
      </c>
      <c r="AS1771" s="1460" t="s">
        <v>164</v>
      </c>
      <c r="AT1771" s="1460" t="s">
        <v>128</v>
      </c>
      <c r="AU1771" s="60" t="s">
        <v>129</v>
      </c>
      <c r="AV1771" s="410" t="s">
        <v>11132</v>
      </c>
      <c r="AW1771" s="1354" t="s">
        <v>134</v>
      </c>
      <c r="AX1771" s="60"/>
      <c r="AY1771" s="60" t="s">
        <v>11025</v>
      </c>
    </row>
    <row r="1772" ht="15.75" customHeight="1">
      <c r="A1772" s="60" t="s">
        <v>106</v>
      </c>
      <c r="B1772" s="41" t="s">
        <v>107</v>
      </c>
      <c r="C1772" s="41" t="s">
        <v>1251</v>
      </c>
      <c r="E1772" s="142" t="s">
        <v>11124</v>
      </c>
      <c r="F1772" s="147" t="s">
        <v>11125</v>
      </c>
      <c r="G1772" s="147" t="s">
        <v>3758</v>
      </c>
      <c r="H1772" s="140">
        <v>45663.0</v>
      </c>
      <c r="I1772" s="140">
        <v>45692.0</v>
      </c>
      <c r="J1772" s="60"/>
      <c r="K1772" s="60"/>
      <c r="L1772" s="142" t="s">
        <v>6818</v>
      </c>
      <c r="M1772" s="142" t="s">
        <v>6819</v>
      </c>
      <c r="N1772" s="144">
        <v>1.0</v>
      </c>
      <c r="O1772" s="147" t="str">
        <f> SUBSTITUTE(lower(M1772), "/", "--") &amp;  ".pdf"</f>
        <v>10.1126--science.1190792.pdf</v>
      </c>
      <c r="P1772" s="48" t="str">
        <f t="array" ref="P1772">HYPERLINK(INDEX('File Links'!B:B, MATCH(O1772, 'File Links'!C:C, 0)))
</f>
        <v>https://drive.google.com/file/d/1Chyql9h2DEg41XAYeRupg6Etz-OFp0us/view?usp=drivesdk</v>
      </c>
      <c r="Q1772" s="60"/>
      <c r="R1772" s="60"/>
      <c r="S1772" s="60"/>
      <c r="T1772" s="144">
        <v>1.0</v>
      </c>
      <c r="U1772" s="60" t="s">
        <v>11133</v>
      </c>
      <c r="V1772" s="60"/>
      <c r="W1772" s="147" t="s">
        <v>11127</v>
      </c>
      <c r="X1772" s="60"/>
      <c r="Y1772" s="1268" t="s">
        <v>139</v>
      </c>
      <c r="Z1772" s="60"/>
      <c r="AA1772" s="60"/>
      <c r="AB1772" s="60"/>
      <c r="AC1772" s="1506" t="s">
        <v>11134</v>
      </c>
      <c r="AD1772" s="144">
        <v>1832.0</v>
      </c>
      <c r="AE1772" s="144">
        <v>24.0</v>
      </c>
      <c r="AF1772" s="1265">
        <v>0.45</v>
      </c>
      <c r="AG1772" s="1268" t="s">
        <v>208</v>
      </c>
      <c r="AH1772" s="60"/>
      <c r="AI1772" s="150">
        <v>0.0238</v>
      </c>
      <c r="AJ1772" s="147" t="s">
        <v>164</v>
      </c>
      <c r="AK1772" s="60"/>
      <c r="AL1772" s="60"/>
      <c r="AM1772" s="60"/>
      <c r="AN1772" s="144">
        <v>95.0</v>
      </c>
      <c r="AO1772" s="144">
        <v>0.586204</v>
      </c>
      <c r="AP1772" s="147" t="s">
        <v>208</v>
      </c>
      <c r="AQ1772" s="147" t="s">
        <v>11135</v>
      </c>
      <c r="AR1772" s="144">
        <v>3.497E-10</v>
      </c>
      <c r="AS1772" s="147" t="s">
        <v>164</v>
      </c>
      <c r="AT1772" s="147" t="s">
        <v>128</v>
      </c>
      <c r="AU1772" s="60"/>
      <c r="AV1772" s="1504" t="s">
        <v>11127</v>
      </c>
      <c r="AW1772" s="60" t="s">
        <v>134</v>
      </c>
      <c r="AX1772" s="60"/>
      <c r="AY1772" s="60" t="s">
        <v>11025</v>
      </c>
    </row>
    <row r="1773" ht="15.75" customHeight="1">
      <c r="A1773" s="115" t="s">
        <v>143</v>
      </c>
      <c r="B1773" s="41" t="s">
        <v>107</v>
      </c>
      <c r="C1773" s="41" t="s">
        <v>226</v>
      </c>
      <c r="E1773" s="142" t="s">
        <v>11136</v>
      </c>
      <c r="F1773" s="60" t="s">
        <v>11137</v>
      </c>
      <c r="G1773" s="147" t="s">
        <v>11005</v>
      </c>
      <c r="H1773" s="140">
        <v>45682.0</v>
      </c>
      <c r="I1773" s="140">
        <v>45692.0</v>
      </c>
      <c r="J1773" s="147" t="s">
        <v>11138</v>
      </c>
      <c r="K1773" s="147" t="s">
        <v>11139</v>
      </c>
      <c r="L1773" s="147" t="s">
        <v>11140</v>
      </c>
      <c r="M1773" s="147" t="s">
        <v>11141</v>
      </c>
      <c r="N1773" s="144">
        <v>1.0</v>
      </c>
      <c r="O1773" s="147" t="s">
        <v>11142</v>
      </c>
      <c r="P1773" s="48" t="str">
        <f t="array" ref="P1773">HYPERLINK(INDEX('File Links'!B:B, MATCH(O1773, 'File Links'!C:C, 0)))
</f>
        <v>https://drive.google.com/file/d/14xOP8LLETNXBDDadvwleV2pKnaxwaGBi/view?usp=drivesdk</v>
      </c>
      <c r="Q1773" s="147" t="s">
        <v>11011</v>
      </c>
      <c r="R1773" s="147" t="s">
        <v>11012</v>
      </c>
      <c r="S1773" s="1500" t="s">
        <v>11143</v>
      </c>
      <c r="T1773" s="144">
        <v>16.0</v>
      </c>
      <c r="U1773" s="147" t="s">
        <v>11014</v>
      </c>
      <c r="V1773" s="147" t="s">
        <v>202</v>
      </c>
      <c r="W1773" s="1253" t="str">
        <f> hyperlink(vlookup(lower(R1773),'File Links'!F:G, 2, FALSE), "LINK")</f>
        <v>LINK</v>
      </c>
      <c r="X1773" s="60"/>
      <c r="Y1773" s="1460" t="s">
        <v>139</v>
      </c>
      <c r="Z1773" s="147" t="s">
        <v>11144</v>
      </c>
      <c r="AA1773" s="147" t="s">
        <v>11015</v>
      </c>
      <c r="AB1773" s="147" t="s">
        <v>11145</v>
      </c>
      <c r="AC1773" s="147" t="s">
        <v>11146</v>
      </c>
      <c r="AD1773" s="147" t="s">
        <v>11147</v>
      </c>
      <c r="AE1773" s="144">
        <v>36.0</v>
      </c>
      <c r="AF1773" s="1508" t="s">
        <v>11148</v>
      </c>
      <c r="AG1773" s="147" t="s">
        <v>162</v>
      </c>
      <c r="AH1773" s="147" t="s">
        <v>11149</v>
      </c>
      <c r="AI1773" s="144">
        <v>0.02</v>
      </c>
      <c r="AJ1773" s="147" t="s">
        <v>164</v>
      </c>
      <c r="AK1773" s="147" t="s">
        <v>128</v>
      </c>
      <c r="AL1773" s="60" t="s">
        <v>129</v>
      </c>
      <c r="AM1773" s="147" t="s">
        <v>165</v>
      </c>
      <c r="AN1773" s="144">
        <v>306.0</v>
      </c>
      <c r="AO1773" s="327">
        <v>0.15</v>
      </c>
      <c r="AP1773" s="147" t="s">
        <v>208</v>
      </c>
      <c r="AQ1773" s="147" t="s">
        <v>11019</v>
      </c>
      <c r="AR1773" s="144">
        <v>0.009</v>
      </c>
      <c r="AS1773" s="147" t="s">
        <v>164</v>
      </c>
      <c r="AT1773" s="1460" t="s">
        <v>128</v>
      </c>
      <c r="AU1773" s="60" t="s">
        <v>129</v>
      </c>
      <c r="AV1773" s="410" t="s">
        <v>11150</v>
      </c>
      <c r="AW1773" s="1354" t="s">
        <v>134</v>
      </c>
      <c r="AX1773" s="60"/>
      <c r="AY1773" s="60" t="s">
        <v>11025</v>
      </c>
    </row>
    <row r="1774" ht="15.75" customHeight="1">
      <c r="A1774" s="60" t="s">
        <v>106</v>
      </c>
      <c r="B1774" s="41" t="s">
        <v>107</v>
      </c>
      <c r="C1774" s="41" t="s">
        <v>1251</v>
      </c>
      <c r="E1774" s="142" t="s">
        <v>11136</v>
      </c>
      <c r="F1774" s="60" t="s">
        <v>11137</v>
      </c>
      <c r="G1774" s="147" t="s">
        <v>3758</v>
      </c>
      <c r="H1774" s="140">
        <v>45663.0</v>
      </c>
      <c r="I1774" s="140">
        <v>45692.0</v>
      </c>
      <c r="J1774" s="60"/>
      <c r="K1774" s="60"/>
      <c r="L1774" s="142" t="s">
        <v>11140</v>
      </c>
      <c r="M1774" s="142" t="s">
        <v>11141</v>
      </c>
      <c r="N1774" s="144">
        <v>1.0</v>
      </c>
      <c r="O1774" s="147" t="str">
        <f> SUBSTITUTE(lower(M1774), "/", "--") &amp;  ".pdf"</f>
        <v>10.1126--science.1191465.pdf</v>
      </c>
      <c r="P1774" s="48" t="str">
        <f t="array" ref="P1774">HYPERLINK(INDEX('File Links'!B:B, MATCH(O1774, 'File Links'!C:C, 0)))
</f>
        <v>https://drive.google.com/file/d/14xOP8LLETNXBDDadvwleV2pKnaxwaGBi/view?usp=drivesdk</v>
      </c>
      <c r="Q1774" s="60"/>
      <c r="R1774" s="60"/>
      <c r="S1774" s="60"/>
      <c r="T1774" s="144">
        <v>2.0</v>
      </c>
      <c r="U1774" s="147" t="s">
        <v>11151</v>
      </c>
      <c r="V1774" s="60"/>
      <c r="W1774" s="303" t="s">
        <v>11143</v>
      </c>
      <c r="X1774" s="60"/>
      <c r="Y1774" s="147" t="s">
        <v>139</v>
      </c>
      <c r="Z1774" s="60"/>
      <c r="AA1774" s="60"/>
      <c r="AB1774" s="60"/>
      <c r="AC1774" s="1506" t="s">
        <v>11152</v>
      </c>
      <c r="AD1774" s="144">
        <v>335.0</v>
      </c>
      <c r="AE1774" s="144">
        <v>36.0</v>
      </c>
      <c r="AF1774" s="1265">
        <v>0.377</v>
      </c>
      <c r="AG1774" s="1268" t="s">
        <v>208</v>
      </c>
      <c r="AH1774" s="60"/>
      <c r="AI1774" s="144">
        <v>0.02</v>
      </c>
      <c r="AJ1774" s="147" t="s">
        <v>164</v>
      </c>
      <c r="AK1774" s="60"/>
      <c r="AL1774" s="60"/>
      <c r="AM1774" s="60"/>
      <c r="AN1774" s="144">
        <v>306.0</v>
      </c>
      <c r="AO1774" s="1265">
        <v>0.1192779</v>
      </c>
      <c r="AP1774" s="60"/>
      <c r="AQ1774" s="1268" t="s">
        <v>11153</v>
      </c>
      <c r="AR1774" s="144">
        <v>0.0087</v>
      </c>
      <c r="AS1774" s="147" t="s">
        <v>164</v>
      </c>
      <c r="AT1774" s="147" t="s">
        <v>128</v>
      </c>
      <c r="AU1774" s="60" t="s">
        <v>132</v>
      </c>
      <c r="AV1774" s="1503" t="s">
        <v>11143</v>
      </c>
      <c r="AW1774" s="60" t="s">
        <v>134</v>
      </c>
      <c r="AX1774" s="60"/>
      <c r="AY1774" s="60" t="s">
        <v>11025</v>
      </c>
    </row>
    <row r="1775" ht="15.75" customHeight="1">
      <c r="A1775" s="60" t="s">
        <v>5350</v>
      </c>
      <c r="B1775" s="41" t="s">
        <v>107</v>
      </c>
      <c r="C1775" s="41" t="s">
        <v>226</v>
      </c>
      <c r="E1775" s="142" t="s">
        <v>11154</v>
      </c>
      <c r="F1775" s="60" t="s">
        <v>11155</v>
      </c>
      <c r="G1775" s="147" t="s">
        <v>11005</v>
      </c>
      <c r="H1775" s="140">
        <v>45682.0</v>
      </c>
      <c r="I1775" s="140">
        <v>45692.0</v>
      </c>
      <c r="J1775" s="525" t="s">
        <v>11156</v>
      </c>
      <c r="K1775" s="147" t="s">
        <v>11157</v>
      </c>
      <c r="L1775" s="147" t="s">
        <v>11158</v>
      </c>
      <c r="M1775" s="147" t="s">
        <v>11159</v>
      </c>
      <c r="N1775" s="144">
        <v>1.0</v>
      </c>
      <c r="O1775" s="147" t="s">
        <v>11160</v>
      </c>
      <c r="P1775" s="48" t="str">
        <f t="array" ref="P1775">HYPERLINK(INDEX('File Links'!B:B, MATCH(O1775, 'File Links'!C:C, 0)))
</f>
        <v>https://drive.google.com/file/d/19X5spXSqhBiEOOUR62_YtANpegjkcJ1f/view?usp=drivesdk</v>
      </c>
      <c r="Q1775" s="147" t="s">
        <v>11011</v>
      </c>
      <c r="R1775" s="147" t="s">
        <v>11012</v>
      </c>
      <c r="S1775" s="1500" t="s">
        <v>11161</v>
      </c>
      <c r="T1775" s="144">
        <v>14.0</v>
      </c>
      <c r="U1775" s="147" t="s">
        <v>11014</v>
      </c>
      <c r="V1775" s="147" t="s">
        <v>202</v>
      </c>
      <c r="W1775" s="1253" t="str">
        <f> hyperlink(vlookup(lower(R1775),'File Links'!F:G, 2, FALSE), "LINK")</f>
        <v>LINK</v>
      </c>
      <c r="X1775" s="60"/>
      <c r="Y1775" s="147" t="s">
        <v>220</v>
      </c>
      <c r="Z1775" s="60"/>
      <c r="AA1775" s="147" t="s">
        <v>11015</v>
      </c>
      <c r="AB1775" s="147" t="s">
        <v>11162</v>
      </c>
      <c r="AC1775" s="147" t="s">
        <v>11163</v>
      </c>
      <c r="AD1775" s="147" t="s">
        <v>11164</v>
      </c>
      <c r="AE1775" s="144">
        <v>32.0</v>
      </c>
      <c r="AF1775" s="147" t="s">
        <v>11165</v>
      </c>
      <c r="AG1775" s="147" t="s">
        <v>162</v>
      </c>
      <c r="AH1775" s="147" t="s">
        <v>11164</v>
      </c>
      <c r="AI1775" s="144">
        <v>0.05</v>
      </c>
      <c r="AJ1775" s="147" t="s">
        <v>127</v>
      </c>
      <c r="AK1775" s="147" t="s">
        <v>179</v>
      </c>
      <c r="AL1775" s="60" t="s">
        <v>129</v>
      </c>
      <c r="AM1775" s="147" t="s">
        <v>165</v>
      </c>
      <c r="AN1775" s="144">
        <v>89.0</v>
      </c>
      <c r="AO1775" s="327">
        <v>0.355</v>
      </c>
      <c r="AP1775" s="147" t="s">
        <v>208</v>
      </c>
      <c r="AQ1775" s="147" t="s">
        <v>11038</v>
      </c>
      <c r="AR1775" s="144">
        <v>0.001</v>
      </c>
      <c r="AS1775" s="147" t="s">
        <v>127</v>
      </c>
      <c r="AT1775" s="1460" t="s">
        <v>128</v>
      </c>
      <c r="AU1775" s="60" t="s">
        <v>129</v>
      </c>
      <c r="AV1775" s="410" t="s">
        <v>11166</v>
      </c>
      <c r="AW1775" s="1354" t="s">
        <v>134</v>
      </c>
      <c r="AX1775" s="60"/>
      <c r="AY1775" s="60" t="s">
        <v>11025</v>
      </c>
    </row>
    <row r="1776" ht="15.75" customHeight="1">
      <c r="A1776" s="60" t="s">
        <v>106</v>
      </c>
      <c r="B1776" s="41" t="s">
        <v>107</v>
      </c>
      <c r="C1776" s="41" t="s">
        <v>1251</v>
      </c>
      <c r="E1776" s="142" t="s">
        <v>11154</v>
      </c>
      <c r="F1776" s="60" t="s">
        <v>11155</v>
      </c>
      <c r="G1776" s="147" t="s">
        <v>3758</v>
      </c>
      <c r="H1776" s="140">
        <v>45663.0</v>
      </c>
      <c r="I1776" s="140">
        <v>45692.0</v>
      </c>
      <c r="J1776" s="60"/>
      <c r="K1776" s="60"/>
      <c r="L1776" s="142" t="s">
        <v>11158</v>
      </c>
      <c r="M1776" s="142" t="s">
        <v>11159</v>
      </c>
      <c r="N1776" s="144">
        <v>1.0</v>
      </c>
      <c r="O1776" s="147" t="str">
        <f> SUBSTITUTE(lower(M1776), "/", "--") &amp;  ".pdf"</f>
        <v>10.1126--science.1195701.pdf</v>
      </c>
      <c r="P1776" s="48" t="str">
        <f t="array" ref="P1776">HYPERLINK(INDEX('File Links'!B:B, MATCH(O1776, 'File Links'!C:C, 0)))
</f>
        <v>https://drive.google.com/file/d/19X5spXSqhBiEOOUR62_YtANpegjkcJ1f/view?usp=drivesdk</v>
      </c>
      <c r="Q1776" s="60"/>
      <c r="R1776" s="60"/>
      <c r="S1776" s="60"/>
      <c r="T1776" s="144">
        <v>1.0</v>
      </c>
      <c r="U1776" s="147" t="s">
        <v>11167</v>
      </c>
      <c r="V1776" s="60"/>
      <c r="W1776" s="303" t="s">
        <v>11161</v>
      </c>
      <c r="X1776" s="60"/>
      <c r="Y1776" s="1268" t="s">
        <v>1820</v>
      </c>
      <c r="Z1776" s="60"/>
      <c r="AA1776" s="60"/>
      <c r="AB1776" s="60"/>
      <c r="AC1776" s="1506" t="s">
        <v>11168</v>
      </c>
      <c r="AD1776" s="144">
        <v>1531.0</v>
      </c>
      <c r="AE1776" s="144">
        <v>32.0</v>
      </c>
      <c r="AF1776" s="1265">
        <v>0.453</v>
      </c>
      <c r="AG1776" s="1268" t="s">
        <v>208</v>
      </c>
      <c r="AH1776" s="60"/>
      <c r="AI1776" s="1265">
        <v>0.0092</v>
      </c>
      <c r="AJ1776" s="147" t="s">
        <v>164</v>
      </c>
      <c r="AK1776" s="60"/>
      <c r="AL1776" s="60" t="s">
        <v>129</v>
      </c>
      <c r="AM1776" s="60"/>
      <c r="AN1776" s="144">
        <v>89.0</v>
      </c>
      <c r="AO1776" s="1502">
        <v>0.750614756155934</v>
      </c>
      <c r="AP1776" s="1268" t="s">
        <v>166</v>
      </c>
      <c r="AQ1776" s="1268" t="s">
        <v>11169</v>
      </c>
      <c r="AR1776" s="1265">
        <v>6.0E-4</v>
      </c>
      <c r="AS1776" s="147" t="s">
        <v>164</v>
      </c>
      <c r="AT1776" s="147" t="s">
        <v>128</v>
      </c>
      <c r="AU1776" s="60" t="s">
        <v>129</v>
      </c>
      <c r="AV1776" s="1503" t="s">
        <v>11161</v>
      </c>
      <c r="AW1776" s="60" t="s">
        <v>134</v>
      </c>
      <c r="AX1776" s="60"/>
      <c r="AY1776" s="60" t="s">
        <v>11025</v>
      </c>
    </row>
    <row r="1777" ht="15.75" customHeight="1">
      <c r="A1777" s="115" t="s">
        <v>143</v>
      </c>
      <c r="B1777" s="41" t="s">
        <v>107</v>
      </c>
      <c r="C1777" s="41" t="s">
        <v>226</v>
      </c>
      <c r="E1777" s="142" t="s">
        <v>11170</v>
      </c>
      <c r="F1777" s="147" t="s">
        <v>11171</v>
      </c>
      <c r="G1777" s="147" t="s">
        <v>11005</v>
      </c>
      <c r="H1777" s="140">
        <v>45682.0</v>
      </c>
      <c r="I1777" s="140">
        <v>45687.0</v>
      </c>
      <c r="J1777" s="147" t="s">
        <v>11172</v>
      </c>
      <c r="K1777" s="147" t="s">
        <v>11173</v>
      </c>
      <c r="L1777" s="147" t="s">
        <v>11174</v>
      </c>
      <c r="M1777" s="147" t="s">
        <v>11175</v>
      </c>
      <c r="N1777" s="144">
        <v>1.0</v>
      </c>
      <c r="O1777" s="147" t="s">
        <v>11176</v>
      </c>
      <c r="P1777" s="48" t="str">
        <f t="array" ref="P1777">HYPERLINK(INDEX('File Links'!B:B, MATCH(O1777, 'File Links'!C:C, 0)))
</f>
        <v>https://drive.google.com/file/d/1nLprzUcZjsicDG7JT3icjAuAK7g2gLY1/view?usp=drivesdk</v>
      </c>
      <c r="Q1777" s="147" t="s">
        <v>11011</v>
      </c>
      <c r="R1777" s="147" t="s">
        <v>11012</v>
      </c>
      <c r="S1777" s="1460" t="s">
        <v>11054</v>
      </c>
      <c r="T1777" s="144">
        <v>10.0</v>
      </c>
      <c r="U1777" s="147" t="s">
        <v>11014</v>
      </c>
      <c r="V1777" s="147" t="s">
        <v>202</v>
      </c>
      <c r="W1777" s="1253" t="str">
        <f> hyperlink(vlookup(lower(R1777),'File Links'!F:G, 2, FALSE), "LINK")</f>
        <v>LINK</v>
      </c>
      <c r="X1777" s="60"/>
      <c r="Y1777" s="1460" t="s">
        <v>139</v>
      </c>
      <c r="Z1777" s="147" t="s">
        <v>11177</v>
      </c>
      <c r="AA1777" s="147" t="s">
        <v>11015</v>
      </c>
      <c r="AB1777" s="147" t="s">
        <v>11178</v>
      </c>
      <c r="AC1777" s="147" t="s">
        <v>11179</v>
      </c>
      <c r="AD1777" s="147" t="s">
        <v>11180</v>
      </c>
      <c r="AE1777" s="144">
        <v>40.0</v>
      </c>
      <c r="AF1777" s="144">
        <v>1.5</v>
      </c>
      <c r="AG1777" s="147" t="s">
        <v>166</v>
      </c>
      <c r="AH1777" s="147" t="s">
        <v>11181</v>
      </c>
      <c r="AI1777" s="144">
        <v>0.05</v>
      </c>
      <c r="AJ1777" s="147" t="s">
        <v>127</v>
      </c>
      <c r="AK1777" s="1460" t="s">
        <v>211</v>
      </c>
      <c r="AL1777" s="60" t="s">
        <v>129</v>
      </c>
      <c r="AM1777" s="147" t="s">
        <v>165</v>
      </c>
      <c r="AN1777" s="144">
        <v>49.0</v>
      </c>
      <c r="AO1777" s="327">
        <v>0.384</v>
      </c>
      <c r="AP1777" s="147" t="s">
        <v>208</v>
      </c>
      <c r="AQ1777" s="147" t="s">
        <v>11038</v>
      </c>
      <c r="AR1777" s="144">
        <v>0.006</v>
      </c>
      <c r="AS1777" s="147" t="s">
        <v>164</v>
      </c>
      <c r="AT1777" s="1460" t="s">
        <v>128</v>
      </c>
      <c r="AU1777" s="60" t="s">
        <v>129</v>
      </c>
      <c r="AV1777" s="410" t="s">
        <v>11182</v>
      </c>
      <c r="AW1777" s="1354" t="s">
        <v>134</v>
      </c>
      <c r="AX1777" s="60"/>
      <c r="AY1777" s="60" t="s">
        <v>11025</v>
      </c>
    </row>
    <row r="1778" ht="15.75" customHeight="1">
      <c r="A1778" s="60" t="s">
        <v>106</v>
      </c>
      <c r="B1778" s="41" t="s">
        <v>107</v>
      </c>
      <c r="C1778" s="41" t="s">
        <v>1251</v>
      </c>
      <c r="E1778" s="142" t="s">
        <v>11170</v>
      </c>
      <c r="F1778" s="147" t="s">
        <v>11171</v>
      </c>
      <c r="G1778" s="147" t="s">
        <v>3758</v>
      </c>
      <c r="H1778" s="140">
        <v>45663.0</v>
      </c>
      <c r="I1778" s="140">
        <v>45687.0</v>
      </c>
      <c r="J1778" s="60"/>
      <c r="K1778" s="60"/>
      <c r="L1778" s="142" t="s">
        <v>11174</v>
      </c>
      <c r="M1778" s="142" t="s">
        <v>11175</v>
      </c>
      <c r="N1778" s="144">
        <v>1.0</v>
      </c>
      <c r="O1778" s="147" t="str">
        <f> SUBSTITUTE(lower(M1778), "/", "--") &amp;  ".pdf"</f>
        <v>10.1126--science.1199327.pdf</v>
      </c>
      <c r="P1778" s="48" t="str">
        <f t="array" ref="P1778">HYPERLINK(INDEX('File Links'!B:B, MATCH(O1778, 'File Links'!C:C, 0)))
</f>
        <v>https://drive.google.com/file/d/1nLprzUcZjsicDG7JT3icjAuAK7g2gLY1/view?usp=drivesdk</v>
      </c>
      <c r="Q1778" s="60"/>
      <c r="R1778" s="60"/>
      <c r="S1778" s="60"/>
      <c r="T1778" s="144">
        <v>1.0</v>
      </c>
      <c r="U1778" s="60" t="s">
        <v>11183</v>
      </c>
      <c r="V1778" s="60"/>
      <c r="W1778" s="147" t="s">
        <v>11054</v>
      </c>
      <c r="X1778" s="60"/>
      <c r="Y1778" s="147" t="s">
        <v>139</v>
      </c>
      <c r="Z1778" s="60"/>
      <c r="AA1778" s="60"/>
      <c r="AB1778" s="60"/>
      <c r="AC1778" s="1507" t="s">
        <v>11184</v>
      </c>
      <c r="AD1778" s="144">
        <v>773.0</v>
      </c>
      <c r="AE1778" s="144">
        <v>40.0</v>
      </c>
      <c r="AF1778" s="1505">
        <v>0.602</v>
      </c>
      <c r="AG1778" s="1268" t="s">
        <v>208</v>
      </c>
      <c r="AH1778" s="60"/>
      <c r="AI1778" s="150">
        <v>3.9E-5</v>
      </c>
      <c r="AJ1778" s="147" t="s">
        <v>164</v>
      </c>
      <c r="AK1778" s="60"/>
      <c r="AL1778" s="60" t="s">
        <v>129</v>
      </c>
      <c r="AM1778" s="60"/>
      <c r="AN1778" s="144">
        <v>49.0</v>
      </c>
      <c r="AO1778" s="144">
        <v>0.38</v>
      </c>
      <c r="AP1778" s="147" t="s">
        <v>208</v>
      </c>
      <c r="AQ1778" s="60"/>
      <c r="AR1778" s="144">
        <v>0.006</v>
      </c>
      <c r="AS1778" s="147" t="s">
        <v>164</v>
      </c>
      <c r="AT1778" s="147" t="s">
        <v>128</v>
      </c>
      <c r="AU1778" s="60" t="s">
        <v>129</v>
      </c>
      <c r="AV1778" s="1504" t="s">
        <v>11054</v>
      </c>
      <c r="AW1778" s="60" t="s">
        <v>134</v>
      </c>
      <c r="AX1778" s="60"/>
      <c r="AY1778" s="60" t="s">
        <v>11025</v>
      </c>
    </row>
    <row r="1779" ht="15.75" customHeight="1">
      <c r="A1779" s="115" t="s">
        <v>143</v>
      </c>
      <c r="B1779" s="41" t="s">
        <v>107</v>
      </c>
      <c r="C1779" s="41" t="s">
        <v>226</v>
      </c>
      <c r="E1779" s="142" t="s">
        <v>11185</v>
      </c>
      <c r="F1779" s="60" t="s">
        <v>11186</v>
      </c>
      <c r="G1779" s="147" t="s">
        <v>11005</v>
      </c>
      <c r="H1779" s="140">
        <v>45682.0</v>
      </c>
      <c r="I1779" s="140">
        <v>45692.0</v>
      </c>
      <c r="J1779" s="60"/>
      <c r="K1779" s="147" t="s">
        <v>11187</v>
      </c>
      <c r="L1779" s="147" t="s">
        <v>11188</v>
      </c>
      <c r="M1779" s="147" t="s">
        <v>11189</v>
      </c>
      <c r="N1779" s="144">
        <v>1.0</v>
      </c>
      <c r="O1779" s="147" t="s">
        <v>11190</v>
      </c>
      <c r="P1779" s="48" t="str">
        <f t="array" ref="P1779">HYPERLINK(INDEX('File Links'!B:B, MATCH(O1779, 'File Links'!C:C, 0)))
</f>
        <v>https://drive.google.com/file/d/1VlyFF2XH_n9dzHKe2EMaqBWsh-0cgYrJ/view?usp=drivesdk</v>
      </c>
      <c r="Q1779" s="147" t="s">
        <v>11011</v>
      </c>
      <c r="R1779" s="147" t="s">
        <v>11012</v>
      </c>
      <c r="S1779" s="1500" t="s">
        <v>11191</v>
      </c>
      <c r="T1779" s="144">
        <v>17.0</v>
      </c>
      <c r="U1779" s="147" t="s">
        <v>11014</v>
      </c>
      <c r="V1779" s="147" t="s">
        <v>202</v>
      </c>
      <c r="W1779" s="1253" t="str">
        <f> hyperlink(vlookup(lower(R1779),'File Links'!F:G, 2, FALSE), "LINK")</f>
        <v>LINK</v>
      </c>
      <c r="X1779" s="60"/>
      <c r="Y1779" s="1460" t="s">
        <v>235</v>
      </c>
      <c r="Z1779" s="115" t="s">
        <v>165</v>
      </c>
      <c r="AA1779" s="147" t="s">
        <v>11015</v>
      </c>
      <c r="AB1779" s="147" t="s">
        <v>11192</v>
      </c>
      <c r="AC1779" s="147" t="s">
        <v>11193</v>
      </c>
      <c r="AD1779" s="147" t="s">
        <v>11194</v>
      </c>
      <c r="AE1779" s="144">
        <v>20.0</v>
      </c>
      <c r="AF1779" s="60" t="s">
        <v>11195</v>
      </c>
      <c r="AG1779" s="147" t="s">
        <v>162</v>
      </c>
      <c r="AH1779" s="147" t="s">
        <v>11196</v>
      </c>
      <c r="AI1779" s="144">
        <v>0.01</v>
      </c>
      <c r="AJ1779" s="147" t="s">
        <v>127</v>
      </c>
      <c r="AK1779" s="147" t="s">
        <v>211</v>
      </c>
      <c r="AL1779" s="60" t="s">
        <v>129</v>
      </c>
      <c r="AM1779" s="147" t="s">
        <v>165</v>
      </c>
      <c r="AN1779" s="144">
        <v>79.0</v>
      </c>
      <c r="AO1779" s="327">
        <v>-0.098</v>
      </c>
      <c r="AP1779" s="147" t="s">
        <v>208</v>
      </c>
      <c r="AQ1779" s="147" t="s">
        <v>11019</v>
      </c>
      <c r="AR1779" s="144">
        <v>0.394</v>
      </c>
      <c r="AS1779" s="147" t="s">
        <v>164</v>
      </c>
      <c r="AT1779" s="1460" t="s">
        <v>128</v>
      </c>
      <c r="AU1779" s="60" t="s">
        <v>129</v>
      </c>
      <c r="AV1779" s="410" t="s">
        <v>11197</v>
      </c>
      <c r="AW1779" s="1354" t="s">
        <v>134</v>
      </c>
      <c r="AX1779" s="60"/>
      <c r="AY1779" s="60" t="s">
        <v>11025</v>
      </c>
    </row>
    <row r="1780" ht="15.75" customHeight="1">
      <c r="A1780" s="60" t="s">
        <v>106</v>
      </c>
      <c r="B1780" s="41" t="s">
        <v>107</v>
      </c>
      <c r="C1780" s="41" t="s">
        <v>1251</v>
      </c>
      <c r="E1780" s="142" t="s">
        <v>11185</v>
      </c>
      <c r="F1780" s="60" t="s">
        <v>11186</v>
      </c>
      <c r="G1780" s="147" t="s">
        <v>3758</v>
      </c>
      <c r="H1780" s="140">
        <v>45663.0</v>
      </c>
      <c r="I1780" s="140">
        <v>45692.0</v>
      </c>
      <c r="J1780" s="60"/>
      <c r="K1780" s="60"/>
      <c r="L1780" s="142" t="s">
        <v>11188</v>
      </c>
      <c r="M1780" s="142" t="s">
        <v>11189</v>
      </c>
      <c r="N1780" s="144">
        <v>1.0</v>
      </c>
      <c r="O1780" s="147" t="str">
        <f> SUBSTITUTE(lower(M1780), "/", "--") &amp;  ".pdf"</f>
        <v>10.1126--science.1199427.pdf</v>
      </c>
      <c r="P1780" s="48" t="str">
        <f t="array" ref="P1780">HYPERLINK(INDEX('File Links'!B:B, MATCH(O1780, 'File Links'!C:C, 0)))
</f>
        <v>https://drive.google.com/file/d/1VlyFF2XH_n9dzHKe2EMaqBWsh-0cgYrJ/view?usp=drivesdk</v>
      </c>
      <c r="Q1780" s="60"/>
      <c r="R1780" s="60"/>
      <c r="S1780" s="60"/>
      <c r="T1780" s="144">
        <v>2.0</v>
      </c>
      <c r="U1780" s="147" t="s">
        <v>11198</v>
      </c>
      <c r="V1780" s="60"/>
      <c r="W1780" s="303" t="s">
        <v>11191</v>
      </c>
      <c r="X1780" s="60"/>
      <c r="Y1780" s="147" t="s">
        <v>235</v>
      </c>
      <c r="Z1780" s="60"/>
      <c r="AA1780" s="60"/>
      <c r="AB1780" s="60"/>
      <c r="AC1780" s="142" t="s">
        <v>11199</v>
      </c>
      <c r="AD1780" s="144">
        <v>212.0</v>
      </c>
      <c r="AE1780" s="144">
        <v>20.0</v>
      </c>
      <c r="AF1780" s="1505">
        <v>0.793</v>
      </c>
      <c r="AG1780" s="1268" t="s">
        <v>208</v>
      </c>
      <c r="AH1780" s="60"/>
      <c r="AI1780" s="150">
        <v>0.01</v>
      </c>
      <c r="AJ1780" s="147" t="s">
        <v>127</v>
      </c>
      <c r="AK1780" s="147" t="s">
        <v>179</v>
      </c>
      <c r="AL1780" s="1509" t="s">
        <v>132</v>
      </c>
      <c r="AM1780" s="60"/>
      <c r="AN1780" s="144">
        <v>79.0</v>
      </c>
      <c r="AO1780" s="1265">
        <v>-0.06</v>
      </c>
      <c r="AP1780" s="1268" t="s">
        <v>166</v>
      </c>
      <c r="AQ1780" s="60"/>
      <c r="AR1780" s="144">
        <v>0.39</v>
      </c>
      <c r="AS1780" s="147" t="s">
        <v>164</v>
      </c>
      <c r="AT1780" s="147" t="s">
        <v>128</v>
      </c>
      <c r="AU1780" s="60" t="s">
        <v>132</v>
      </c>
      <c r="AV1780" s="1503" t="s">
        <v>11191</v>
      </c>
      <c r="AW1780" s="60" t="s">
        <v>134</v>
      </c>
      <c r="AX1780" s="60"/>
      <c r="AY1780" s="60" t="s">
        <v>11025</v>
      </c>
    </row>
    <row r="1781" ht="15.75" customHeight="1">
      <c r="A1781" s="60" t="s">
        <v>5350</v>
      </c>
      <c r="B1781" s="41" t="s">
        <v>107</v>
      </c>
      <c r="C1781" s="41" t="s">
        <v>226</v>
      </c>
      <c r="E1781" s="142" t="s">
        <v>11200</v>
      </c>
      <c r="F1781" s="60" t="s">
        <v>11201</v>
      </c>
      <c r="G1781" s="147" t="s">
        <v>11005</v>
      </c>
      <c r="H1781" s="140">
        <v>45687.0</v>
      </c>
      <c r="I1781" s="140">
        <v>45692.0</v>
      </c>
      <c r="J1781" s="525" t="s">
        <v>11202</v>
      </c>
      <c r="K1781" s="147" t="s">
        <v>11203</v>
      </c>
      <c r="L1781" s="147" t="s">
        <v>11204</v>
      </c>
      <c r="M1781" s="147" t="s">
        <v>11205</v>
      </c>
      <c r="N1781" s="144">
        <v>1.0</v>
      </c>
      <c r="O1781" s="147" t="s">
        <v>11206</v>
      </c>
      <c r="P1781" s="48" t="str">
        <f t="array" ref="P1781">HYPERLINK(INDEX('File Links'!B:B, MATCH(O1781, 'File Links'!C:C, 0)))
</f>
        <v>https://drive.google.com/file/d/1Ea_lj0SN0yiXoEUsbmTc67SPDOrQH-yU/view?usp=drivesdk</v>
      </c>
      <c r="Q1781" s="147" t="s">
        <v>11011</v>
      </c>
      <c r="R1781" s="147" t="s">
        <v>11012</v>
      </c>
      <c r="S1781" s="1500" t="s">
        <v>11207</v>
      </c>
      <c r="T1781" s="144">
        <v>20.0</v>
      </c>
      <c r="U1781" s="147" t="s">
        <v>11014</v>
      </c>
      <c r="V1781" s="147" t="s">
        <v>202</v>
      </c>
      <c r="W1781" s="303" t="s">
        <v>11207</v>
      </c>
      <c r="X1781" s="60"/>
      <c r="Y1781" s="1460" t="s">
        <v>139</v>
      </c>
      <c r="Z1781" s="147" t="s">
        <v>11208</v>
      </c>
      <c r="AA1781" s="147" t="s">
        <v>11015</v>
      </c>
      <c r="AB1781" s="147" t="s">
        <v>11209</v>
      </c>
      <c r="AC1781" s="147" t="s">
        <v>11210</v>
      </c>
      <c r="AD1781" s="147" t="s">
        <v>11211</v>
      </c>
      <c r="AE1781" s="144">
        <v>46.0</v>
      </c>
      <c r="AF1781" s="144">
        <v>0.371</v>
      </c>
      <c r="AG1781" s="147" t="s">
        <v>166</v>
      </c>
      <c r="AH1781" s="147" t="s">
        <v>11212</v>
      </c>
      <c r="AI1781" s="144">
        <v>0.0021</v>
      </c>
      <c r="AJ1781" s="147" t="s">
        <v>164</v>
      </c>
      <c r="AK1781" s="147" t="s">
        <v>128</v>
      </c>
      <c r="AL1781" s="60" t="s">
        <v>132</v>
      </c>
      <c r="AM1781" s="147" t="s">
        <v>165</v>
      </c>
      <c r="AN1781" s="144">
        <v>234.0</v>
      </c>
      <c r="AO1781" s="327">
        <v>0.05</v>
      </c>
      <c r="AP1781" s="147" t="s">
        <v>208</v>
      </c>
      <c r="AQ1781" s="147" t="s">
        <v>11019</v>
      </c>
      <c r="AR1781" s="144">
        <v>0.449</v>
      </c>
      <c r="AS1781" s="147" t="s">
        <v>164</v>
      </c>
      <c r="AT1781" s="147" t="s">
        <v>128</v>
      </c>
      <c r="AU1781" s="60" t="s">
        <v>132</v>
      </c>
      <c r="AV1781" s="410" t="s">
        <v>11213</v>
      </c>
      <c r="AW1781" s="1354" t="s">
        <v>134</v>
      </c>
      <c r="AX1781" s="60"/>
      <c r="AY1781" s="60" t="s">
        <v>11025</v>
      </c>
    </row>
    <row r="1782" ht="15.75" customHeight="1">
      <c r="A1782" s="60" t="s">
        <v>106</v>
      </c>
      <c r="B1782" s="41" t="s">
        <v>107</v>
      </c>
      <c r="C1782" s="41" t="s">
        <v>1251</v>
      </c>
      <c r="E1782" s="142" t="s">
        <v>11200</v>
      </c>
      <c r="F1782" s="60" t="s">
        <v>11201</v>
      </c>
      <c r="G1782" s="147" t="s">
        <v>3758</v>
      </c>
      <c r="H1782" s="140">
        <v>45663.0</v>
      </c>
      <c r="I1782" s="140">
        <v>45692.0</v>
      </c>
      <c r="J1782" s="60"/>
      <c r="K1782" s="60"/>
      <c r="L1782" s="142" t="s">
        <v>11204</v>
      </c>
      <c r="M1782" s="142" t="s">
        <v>11205</v>
      </c>
      <c r="N1782" s="144">
        <v>1.0</v>
      </c>
      <c r="O1782" s="147" t="str">
        <f> SUBSTITUTE(lower(M1782), "/", "--") &amp;  ".pdf"</f>
        <v>10.1126--science.1207745.pdf</v>
      </c>
      <c r="P1782" s="48" t="str">
        <f t="array" ref="P1782">HYPERLINK(INDEX('File Links'!B:B, MATCH(O1782, 'File Links'!C:C, 0)))
</f>
        <v>https://drive.google.com/file/d/1Ea_lj0SN0yiXoEUsbmTc67SPDOrQH-yU/view?usp=drivesdk</v>
      </c>
      <c r="Q1782" s="60"/>
      <c r="R1782" s="60"/>
      <c r="S1782" s="60"/>
      <c r="T1782" s="144">
        <v>2.0</v>
      </c>
      <c r="U1782" s="147" t="s">
        <v>11214</v>
      </c>
      <c r="V1782" s="60"/>
      <c r="W1782" s="303" t="s">
        <v>11207</v>
      </c>
      <c r="X1782" s="60"/>
      <c r="Y1782" s="147" t="s">
        <v>139</v>
      </c>
      <c r="Z1782" s="60"/>
      <c r="AA1782" s="60"/>
      <c r="AB1782" s="60"/>
      <c r="AC1782" s="1268" t="s">
        <v>11215</v>
      </c>
      <c r="AD1782" s="144">
        <v>776.0</v>
      </c>
      <c r="AE1782" s="144">
        <v>46.0</v>
      </c>
      <c r="AF1782" s="1265">
        <v>0.437</v>
      </c>
      <c r="AG1782" s="1268" t="s">
        <v>208</v>
      </c>
      <c r="AH1782" s="60"/>
      <c r="AI1782" s="144">
        <v>0.0021</v>
      </c>
      <c r="AJ1782" s="147" t="s">
        <v>164</v>
      </c>
      <c r="AK1782" s="1268" t="s">
        <v>179</v>
      </c>
      <c r="AL1782" s="60" t="s">
        <v>132</v>
      </c>
      <c r="AM1782" s="60"/>
      <c r="AN1782" s="144">
        <v>234.0</v>
      </c>
      <c r="AO1782" s="144">
        <v>0.04959059</v>
      </c>
      <c r="AP1782" s="60"/>
      <c r="AQ1782" s="1268" t="s">
        <v>11216</v>
      </c>
      <c r="AR1782" s="150">
        <v>0.4493</v>
      </c>
      <c r="AS1782" s="147" t="s">
        <v>164</v>
      </c>
      <c r="AT1782" s="147" t="s">
        <v>128</v>
      </c>
      <c r="AU1782" s="60" t="s">
        <v>132</v>
      </c>
      <c r="AV1782" s="1503" t="s">
        <v>11207</v>
      </c>
      <c r="AW1782" s="60" t="s">
        <v>134</v>
      </c>
      <c r="AX1782" s="60"/>
      <c r="AY1782" s="60" t="s">
        <v>11025</v>
      </c>
    </row>
    <row r="1783" ht="15.75" customHeight="1">
      <c r="A1783" s="115" t="s">
        <v>143</v>
      </c>
      <c r="B1783" s="41" t="s">
        <v>107</v>
      </c>
      <c r="C1783" s="41" t="s">
        <v>226</v>
      </c>
      <c r="E1783" s="142" t="s">
        <v>11217</v>
      </c>
      <c r="F1783" s="60" t="s">
        <v>11218</v>
      </c>
      <c r="G1783" s="147" t="s">
        <v>11005</v>
      </c>
      <c r="H1783" s="140">
        <v>45687.0</v>
      </c>
      <c r="I1783" s="140">
        <v>45692.0</v>
      </c>
      <c r="J1783" s="60"/>
      <c r="K1783" s="147" t="s">
        <v>11219</v>
      </c>
      <c r="L1783" s="147" t="s">
        <v>11220</v>
      </c>
      <c r="M1783" s="147" t="s">
        <v>11221</v>
      </c>
      <c r="N1783" s="144">
        <v>1.0</v>
      </c>
      <c r="O1783" s="147" t="s">
        <v>11222</v>
      </c>
      <c r="P1783" s="48" t="str">
        <f t="array" ref="P1783">HYPERLINK(INDEX('File Links'!B:B, MATCH(O1783, 'File Links'!C:C, 0)))
</f>
        <v>https://drive.google.com/file/d/1SP5jHd3WRyyvYJcl4eFapcMBBizKeGUl/view?usp=drivesdk</v>
      </c>
      <c r="Q1783" s="147" t="s">
        <v>11011</v>
      </c>
      <c r="R1783" s="147" t="s">
        <v>11012</v>
      </c>
      <c r="S1783" s="1460" t="s">
        <v>11223</v>
      </c>
      <c r="T1783" s="144">
        <v>3.0</v>
      </c>
      <c r="U1783" s="147" t="s">
        <v>11014</v>
      </c>
      <c r="V1783" s="147" t="s">
        <v>202</v>
      </c>
      <c r="W1783" s="1253" t="str">
        <f> hyperlink(vlookup(lower(R1783),'File Links'!F:G, 2, FALSE), "LINK")</f>
        <v>LINK</v>
      </c>
      <c r="X1783" s="60"/>
      <c r="Y1783" s="147" t="s">
        <v>220</v>
      </c>
      <c r="Z1783" s="147" t="s">
        <v>11224</v>
      </c>
      <c r="AA1783" s="147" t="s">
        <v>11015</v>
      </c>
      <c r="AB1783" s="147" t="s">
        <v>11225</v>
      </c>
      <c r="AC1783" s="147" t="s">
        <v>11226</v>
      </c>
      <c r="AD1783" s="147" t="s">
        <v>11227</v>
      </c>
      <c r="AE1783" s="144">
        <v>72.0</v>
      </c>
      <c r="AF1783" s="1470">
        <v>0.315376592305525</v>
      </c>
      <c r="AG1783" s="147" t="s">
        <v>722</v>
      </c>
      <c r="AH1783" s="147" t="s">
        <v>11228</v>
      </c>
      <c r="AI1783" s="144">
        <v>0.018</v>
      </c>
      <c r="AJ1783" s="147" t="s">
        <v>164</v>
      </c>
      <c r="AK1783" s="147" t="s">
        <v>211</v>
      </c>
      <c r="AL1783" s="60" t="s">
        <v>129</v>
      </c>
      <c r="AM1783" s="147" t="s">
        <v>165</v>
      </c>
      <c r="AN1783" s="144">
        <v>243.0</v>
      </c>
      <c r="AO1783" s="327">
        <v>0.146</v>
      </c>
      <c r="AP1783" s="147" t="s">
        <v>208</v>
      </c>
      <c r="AQ1783" s="147" t="s">
        <v>11038</v>
      </c>
      <c r="AR1783" s="144">
        <v>0.022</v>
      </c>
      <c r="AS1783" s="147" t="s">
        <v>164</v>
      </c>
      <c r="AT1783" s="147" t="s">
        <v>128</v>
      </c>
      <c r="AU1783" s="60" t="s">
        <v>129</v>
      </c>
      <c r="AV1783" s="410" t="s">
        <v>11229</v>
      </c>
      <c r="AW1783" s="1354" t="s">
        <v>134</v>
      </c>
      <c r="AX1783" s="60"/>
      <c r="AY1783" s="60" t="s">
        <v>11025</v>
      </c>
    </row>
    <row r="1784" ht="15.75" customHeight="1">
      <c r="A1784" s="60" t="s">
        <v>106</v>
      </c>
      <c r="B1784" s="41" t="s">
        <v>107</v>
      </c>
      <c r="C1784" s="41" t="s">
        <v>1251</v>
      </c>
      <c r="E1784" s="142" t="s">
        <v>11217</v>
      </c>
      <c r="F1784" s="60" t="s">
        <v>11218</v>
      </c>
      <c r="G1784" s="147" t="s">
        <v>3758</v>
      </c>
      <c r="H1784" s="140">
        <v>45663.0</v>
      </c>
      <c r="I1784" s="140">
        <v>45692.0</v>
      </c>
      <c r="J1784" s="60"/>
      <c r="K1784" s="60"/>
      <c r="L1784" s="142" t="s">
        <v>11220</v>
      </c>
      <c r="M1784" s="142" t="s">
        <v>11221</v>
      </c>
      <c r="N1784" s="144">
        <v>1.0</v>
      </c>
      <c r="O1784" s="147" t="str">
        <f> SUBSTITUTE(lower(M1784), "/", "--") &amp;  ".pdf"</f>
        <v>10.1126--science.1211180.pdf</v>
      </c>
      <c r="P1784" s="48" t="str">
        <f t="array" ref="P1784">HYPERLINK(INDEX('File Links'!B:B, MATCH(O1784, 'File Links'!C:C, 0)))
</f>
        <v>https://drive.google.com/file/d/1SP5jHd3WRyyvYJcl4eFapcMBBizKeGUl/view?usp=drivesdk</v>
      </c>
      <c r="Q1784" s="60"/>
      <c r="R1784" s="60"/>
      <c r="S1784" s="60"/>
      <c r="T1784" s="144">
        <v>1.0</v>
      </c>
      <c r="U1784" s="60" t="s">
        <v>11230</v>
      </c>
      <c r="V1784" s="60"/>
      <c r="W1784" s="147" t="s">
        <v>11223</v>
      </c>
      <c r="X1784" s="60"/>
      <c r="Y1784" s="147" t="s">
        <v>220</v>
      </c>
      <c r="Z1784" s="60"/>
      <c r="AA1784" s="60"/>
      <c r="AB1784" s="60"/>
      <c r="AC1784" s="1510" t="s">
        <v>11231</v>
      </c>
      <c r="AD1784" s="150">
        <v>580.0</v>
      </c>
      <c r="AE1784" s="1265">
        <v>144.0</v>
      </c>
      <c r="AF1784" s="1265">
        <v>0.197</v>
      </c>
      <c r="AG1784" s="1268" t="s">
        <v>208</v>
      </c>
      <c r="AH1784" s="60"/>
      <c r="AI1784" s="150">
        <v>0.018</v>
      </c>
      <c r="AJ1784" s="147" t="s">
        <v>164</v>
      </c>
      <c r="AK1784" s="60"/>
      <c r="AL1784" s="60"/>
      <c r="AM1784" s="60"/>
      <c r="AN1784" s="1265">
        <v>486.0</v>
      </c>
      <c r="AO1784" s="511"/>
      <c r="AP1784" s="511"/>
      <c r="AQ1784" s="511"/>
      <c r="AR1784" s="150">
        <v>0.0223</v>
      </c>
      <c r="AS1784" s="147" t="s">
        <v>164</v>
      </c>
      <c r="AT1784" s="60"/>
      <c r="AU1784" s="60"/>
      <c r="AV1784" s="1504" t="s">
        <v>11223</v>
      </c>
      <c r="AW1784" s="60" t="s">
        <v>134</v>
      </c>
      <c r="AX1784" s="60"/>
      <c r="AY1784" s="60" t="s">
        <v>11025</v>
      </c>
    </row>
    <row r="1785" ht="15.75" customHeight="1">
      <c r="A1785" s="60" t="s">
        <v>586</v>
      </c>
      <c r="B1785" s="41" t="s">
        <v>107</v>
      </c>
      <c r="C1785" s="41" t="s">
        <v>226</v>
      </c>
      <c r="E1785" s="142" t="s">
        <v>11232</v>
      </c>
      <c r="F1785" s="60" t="s">
        <v>11233</v>
      </c>
      <c r="G1785" s="147" t="s">
        <v>11005</v>
      </c>
      <c r="H1785" s="140">
        <v>45687.0</v>
      </c>
      <c r="I1785" s="140">
        <v>45692.0</v>
      </c>
      <c r="J1785" s="147" t="s">
        <v>11234</v>
      </c>
      <c r="K1785" s="139" t="s">
        <v>11235</v>
      </c>
      <c r="L1785" s="147" t="s">
        <v>11236</v>
      </c>
      <c r="M1785" s="147" t="s">
        <v>11237</v>
      </c>
      <c r="N1785" s="144">
        <v>2.0</v>
      </c>
      <c r="O1785" s="147" t="s">
        <v>11238</v>
      </c>
      <c r="P1785" s="48" t="str">
        <f t="array" ref="P1785">HYPERLINK(INDEX('File Links'!B:B, MATCH(O1785, 'File Links'!C:C, 0)))
</f>
        <v>https://drive.google.com/file/d/1Vg-OUhY15FAok2mtyokmeZIHZaqgAHg5/view?usp=drivesdk</v>
      </c>
      <c r="Q1785" s="147" t="s">
        <v>11011</v>
      </c>
      <c r="R1785" s="147" t="s">
        <v>11012</v>
      </c>
      <c r="S1785" s="1500" t="s">
        <v>11239</v>
      </c>
      <c r="T1785" s="144">
        <v>6.0</v>
      </c>
      <c r="U1785" s="147" t="s">
        <v>11014</v>
      </c>
      <c r="V1785" s="147" t="s">
        <v>202</v>
      </c>
      <c r="W1785" s="1253" t="str">
        <f> hyperlink(vlookup(lower(R1785),'File Links'!F:G, 2, FALSE), "LINK")</f>
        <v>LINK</v>
      </c>
      <c r="X1785" s="60"/>
      <c r="Y1785" s="147" t="s">
        <v>220</v>
      </c>
      <c r="Z1785" s="147" t="s">
        <v>11240</v>
      </c>
      <c r="AA1785" s="147" t="s">
        <v>11015</v>
      </c>
      <c r="AB1785" s="147" t="s">
        <v>11241</v>
      </c>
      <c r="AC1785" s="147" t="s">
        <v>11242</v>
      </c>
      <c r="AD1785" s="147" t="s">
        <v>11243</v>
      </c>
      <c r="AE1785" s="144">
        <v>57.0</v>
      </c>
      <c r="AF1785" s="144">
        <v>0.59</v>
      </c>
      <c r="AG1785" s="147" t="s">
        <v>166</v>
      </c>
      <c r="AH1785" s="147" t="s">
        <v>11243</v>
      </c>
      <c r="AI1785" s="144">
        <v>0.03</v>
      </c>
      <c r="AJ1785" s="147" t="s">
        <v>164</v>
      </c>
      <c r="AK1785" s="147" t="s">
        <v>128</v>
      </c>
      <c r="AL1785" s="60" t="s">
        <v>129</v>
      </c>
      <c r="AM1785" s="147" t="s">
        <v>165</v>
      </c>
      <c r="AN1785" s="144">
        <v>531.0</v>
      </c>
      <c r="AO1785" s="327">
        <v>-0.035</v>
      </c>
      <c r="AP1785" s="147" t="s">
        <v>208</v>
      </c>
      <c r="AQ1785" s="147" t="s">
        <v>11019</v>
      </c>
      <c r="AR1785" s="709">
        <v>0.415</v>
      </c>
      <c r="AS1785" s="147" t="s">
        <v>164</v>
      </c>
      <c r="AT1785" s="1460" t="s">
        <v>128</v>
      </c>
      <c r="AU1785" s="60" t="s">
        <v>129</v>
      </c>
      <c r="AV1785" s="410" t="s">
        <v>11244</v>
      </c>
      <c r="AW1785" s="1354" t="s">
        <v>134</v>
      </c>
      <c r="AX1785" s="60"/>
      <c r="AY1785" s="60" t="s">
        <v>11025</v>
      </c>
    </row>
    <row r="1786" ht="15.75" customHeight="1">
      <c r="A1786" s="60" t="s">
        <v>106</v>
      </c>
      <c r="B1786" s="41" t="s">
        <v>107</v>
      </c>
      <c r="C1786" s="41" t="s">
        <v>1251</v>
      </c>
      <c r="E1786" s="142" t="s">
        <v>11232</v>
      </c>
      <c r="F1786" s="60" t="s">
        <v>11233</v>
      </c>
      <c r="G1786" s="147" t="s">
        <v>3758</v>
      </c>
      <c r="H1786" s="140">
        <v>45663.0</v>
      </c>
      <c r="I1786" s="140">
        <v>45692.0</v>
      </c>
      <c r="J1786" s="60"/>
      <c r="K1786" s="60"/>
      <c r="L1786" s="142" t="s">
        <v>11236</v>
      </c>
      <c r="M1786" s="142" t="s">
        <v>11237</v>
      </c>
      <c r="N1786" s="144">
        <v>2.0</v>
      </c>
      <c r="O1786" s="147" t="str">
        <f> SUBSTITUTE(lower(M1786), "/", "--") &amp;  ".pdf"</f>
        <v>10.1126--science.1215647.pdf</v>
      </c>
      <c r="P1786" s="48" t="str">
        <f t="array" ref="P1786">HYPERLINK(INDEX('File Links'!B:B, MATCH(O1786, 'File Links'!C:C, 0)))
</f>
        <v>https://drive.google.com/file/d/1Vg-OUhY15FAok2mtyokmeZIHZaqgAHg5/view?usp=drivesdk</v>
      </c>
      <c r="Q1786" s="60"/>
      <c r="R1786" s="60"/>
      <c r="S1786" s="60"/>
      <c r="T1786" s="144">
        <v>2.0</v>
      </c>
      <c r="U1786" s="60" t="s">
        <v>11245</v>
      </c>
      <c r="V1786" s="60"/>
      <c r="W1786" s="147" t="s">
        <v>11246</v>
      </c>
      <c r="X1786" s="60"/>
      <c r="Y1786" s="147" t="s">
        <v>220</v>
      </c>
      <c r="Z1786" s="60"/>
      <c r="AA1786" s="60"/>
      <c r="AB1786" s="60"/>
      <c r="AC1786" s="1507" t="s">
        <v>11247</v>
      </c>
      <c r="AD1786" s="144">
        <v>494.0</v>
      </c>
      <c r="AE1786" s="144">
        <v>57.0</v>
      </c>
      <c r="AF1786" s="1265">
        <v>0.289</v>
      </c>
      <c r="AG1786" s="1268" t="s">
        <v>208</v>
      </c>
      <c r="AH1786" s="60"/>
      <c r="AI1786" s="144">
        <v>0.03</v>
      </c>
      <c r="AJ1786" s="147" t="s">
        <v>164</v>
      </c>
      <c r="AK1786" s="60"/>
      <c r="AL1786" s="60"/>
      <c r="AM1786" s="60"/>
      <c r="AN1786" s="144">
        <v>531.0</v>
      </c>
      <c r="AO1786" s="1265">
        <v>-0.04</v>
      </c>
      <c r="AP1786" s="60"/>
      <c r="AQ1786" s="60"/>
      <c r="AR1786" s="709">
        <v>0.414</v>
      </c>
      <c r="AS1786" s="147" t="s">
        <v>164</v>
      </c>
      <c r="AT1786" s="147" t="s">
        <v>128</v>
      </c>
      <c r="AU1786" s="60"/>
      <c r="AV1786" s="1504" t="s">
        <v>11246</v>
      </c>
      <c r="AW1786" s="60" t="s">
        <v>134</v>
      </c>
      <c r="AX1786" s="60"/>
      <c r="AY1786" s="60" t="s">
        <v>11025</v>
      </c>
    </row>
    <row r="1787" ht="15.75" customHeight="1">
      <c r="A1787" s="115" t="s">
        <v>143</v>
      </c>
      <c r="B1787" s="41" t="s">
        <v>107</v>
      </c>
      <c r="C1787" s="41" t="s">
        <v>226</v>
      </c>
      <c r="E1787" s="142" t="s">
        <v>11248</v>
      </c>
      <c r="F1787" s="60" t="s">
        <v>11249</v>
      </c>
      <c r="G1787" s="147" t="s">
        <v>11005</v>
      </c>
      <c r="H1787" s="140">
        <v>45687.0</v>
      </c>
      <c r="I1787" s="140">
        <v>45692.0</v>
      </c>
      <c r="J1787" s="60"/>
      <c r="K1787" s="147" t="s">
        <v>11250</v>
      </c>
      <c r="L1787" s="147" t="s">
        <v>11251</v>
      </c>
      <c r="M1787" s="147" t="s">
        <v>11252</v>
      </c>
      <c r="N1787" s="60" t="s">
        <v>3787</v>
      </c>
      <c r="O1787" s="147" t="s">
        <v>11253</v>
      </c>
      <c r="P1787" s="48" t="str">
        <f t="array" ref="P1787">HYPERLINK(INDEX('File Links'!B:B, MATCH(O1787, 'File Links'!C:C, 0)))
</f>
        <v>https://drive.google.com/file/d/1iB1iRJQEIss4hSoqw92nY3NXxa2obChZ/view?usp=drivesdk</v>
      </c>
      <c r="Q1787" s="147" t="s">
        <v>11011</v>
      </c>
      <c r="R1787" s="147" t="s">
        <v>11012</v>
      </c>
      <c r="S1787" s="1500" t="s">
        <v>11254</v>
      </c>
      <c r="T1787" s="144">
        <v>5.0</v>
      </c>
      <c r="U1787" s="147" t="s">
        <v>11014</v>
      </c>
      <c r="V1787" s="147" t="s">
        <v>202</v>
      </c>
      <c r="W1787" s="1253" t="str">
        <f> hyperlink(vlookup(lower(R1787),'File Links'!F:G, 2, FALSE), "LINK")</f>
        <v>LINK</v>
      </c>
      <c r="X1787" s="60"/>
      <c r="Y1787" s="1460" t="s">
        <v>139</v>
      </c>
      <c r="Z1787" s="147" t="s">
        <v>11255</v>
      </c>
      <c r="AA1787" s="147" t="s">
        <v>11015</v>
      </c>
      <c r="AB1787" s="147" t="s">
        <v>11256</v>
      </c>
      <c r="AC1787" s="147" t="s">
        <v>11257</v>
      </c>
      <c r="AD1787" s="147" t="s">
        <v>11258</v>
      </c>
      <c r="AE1787" s="144">
        <v>15.0</v>
      </c>
      <c r="AF1787" s="144">
        <v>1.301</v>
      </c>
      <c r="AG1787" s="147" t="s">
        <v>722</v>
      </c>
      <c r="AH1787" s="147" t="s">
        <v>11259</v>
      </c>
      <c r="AI1787" s="144">
        <v>0.005</v>
      </c>
      <c r="AJ1787" s="147" t="s">
        <v>127</v>
      </c>
      <c r="AK1787" s="147" t="s">
        <v>179</v>
      </c>
      <c r="AL1787" s="1354" t="s">
        <v>132</v>
      </c>
      <c r="AM1787" s="147" t="s">
        <v>165</v>
      </c>
      <c r="AN1787" s="144">
        <v>92.0</v>
      </c>
      <c r="AO1787" s="327">
        <v>0.436</v>
      </c>
      <c r="AP1787" s="147" t="s">
        <v>208</v>
      </c>
      <c r="AQ1787" s="147" t="s">
        <v>11019</v>
      </c>
      <c r="AR1787" s="144">
        <v>0.001</v>
      </c>
      <c r="AS1787" s="147" t="s">
        <v>127</v>
      </c>
      <c r="AT1787" s="1460" t="s">
        <v>128</v>
      </c>
      <c r="AU1787" s="60" t="s">
        <v>132</v>
      </c>
      <c r="AV1787" s="410" t="s">
        <v>11260</v>
      </c>
      <c r="AW1787" s="1354" t="s">
        <v>134</v>
      </c>
      <c r="AX1787" s="60"/>
      <c r="AY1787" s="60" t="s">
        <v>11025</v>
      </c>
    </row>
    <row r="1788" ht="15.75" customHeight="1">
      <c r="A1788" s="60" t="s">
        <v>106</v>
      </c>
      <c r="B1788" s="41" t="s">
        <v>107</v>
      </c>
      <c r="C1788" s="41" t="s">
        <v>1251</v>
      </c>
      <c r="E1788" s="142" t="s">
        <v>11248</v>
      </c>
      <c r="F1788" s="60" t="s">
        <v>11249</v>
      </c>
      <c r="G1788" s="147" t="s">
        <v>3758</v>
      </c>
      <c r="H1788" s="140">
        <v>45663.0</v>
      </c>
      <c r="I1788" s="140">
        <v>45692.0</v>
      </c>
      <c r="J1788" s="60"/>
      <c r="K1788" s="60"/>
      <c r="L1788" s="142" t="s">
        <v>11251</v>
      </c>
      <c r="M1788" s="142" t="s">
        <v>11252</v>
      </c>
      <c r="N1788" s="1265">
        <v>1.0</v>
      </c>
      <c r="O1788" s="147" t="str">
        <f> SUBSTITUTE(lower(M1788), "/", "--") &amp;  ".pdf"</f>
        <v>10.1126--science.1221936.pdf</v>
      </c>
      <c r="P1788" s="48" t="str">
        <f t="array" ref="P1788">HYPERLINK(INDEX('File Links'!B:B, MATCH(O1788, 'File Links'!C:C, 0)))
</f>
        <v>https://drive.google.com/file/d/1iB1iRJQEIss4hSoqw92nY3NXxa2obChZ/view?usp=drivesdk</v>
      </c>
      <c r="Q1788" s="60"/>
      <c r="R1788" s="60"/>
      <c r="S1788" s="60"/>
      <c r="T1788" s="144">
        <v>2.0</v>
      </c>
      <c r="U1788" s="60" t="s">
        <v>11261</v>
      </c>
      <c r="V1788" s="60"/>
      <c r="W1788" s="147" t="s">
        <v>11262</v>
      </c>
      <c r="X1788" s="60"/>
      <c r="Y1788" s="147" t="s">
        <v>139</v>
      </c>
      <c r="Z1788" s="60"/>
      <c r="AA1788" s="60"/>
      <c r="AB1788" s="60"/>
      <c r="AC1788" s="1507" t="s">
        <v>11263</v>
      </c>
      <c r="AD1788" s="144">
        <v>486.0</v>
      </c>
      <c r="AE1788" s="144">
        <v>15.0</v>
      </c>
      <c r="AF1788" s="1265">
        <v>0.674</v>
      </c>
      <c r="AG1788" s="1268" t="s">
        <v>208</v>
      </c>
      <c r="AH1788" s="60"/>
      <c r="AI1788" s="144">
        <v>0.0042</v>
      </c>
      <c r="AJ1788" s="147" t="s">
        <v>164</v>
      </c>
      <c r="AK1788" s="60"/>
      <c r="AL1788" s="60" t="s">
        <v>132</v>
      </c>
      <c r="AM1788" s="60"/>
      <c r="AN1788" s="144">
        <v>92.0</v>
      </c>
      <c r="AO1788" s="144">
        <v>0.43646</v>
      </c>
      <c r="AP1788" s="147" t="s">
        <v>208</v>
      </c>
      <c r="AQ1788" s="1268" t="s">
        <v>11264</v>
      </c>
      <c r="AR1788" s="150">
        <v>1.222E-5</v>
      </c>
      <c r="AS1788" s="147" t="s">
        <v>164</v>
      </c>
      <c r="AT1788" s="147" t="s">
        <v>128</v>
      </c>
      <c r="AU1788" s="60" t="s">
        <v>132</v>
      </c>
      <c r="AV1788" s="1504" t="s">
        <v>11262</v>
      </c>
      <c r="AW1788" s="60" t="s">
        <v>134</v>
      </c>
      <c r="AX1788" s="60"/>
      <c r="AY1788" s="60" t="s">
        <v>11025</v>
      </c>
    </row>
    <row r="1789" ht="15.75" customHeight="1">
      <c r="A1789" s="115" t="s">
        <v>143</v>
      </c>
      <c r="B1789" s="41" t="s">
        <v>107</v>
      </c>
      <c r="C1789" s="41" t="s">
        <v>226</v>
      </c>
      <c r="E1789" s="142" t="s">
        <v>11265</v>
      </c>
      <c r="F1789" s="60" t="s">
        <v>11266</v>
      </c>
      <c r="G1789" s="147" t="s">
        <v>11005</v>
      </c>
      <c r="H1789" s="140">
        <v>45687.0</v>
      </c>
      <c r="I1789" s="140">
        <v>45692.0</v>
      </c>
      <c r="J1789" s="147" t="s">
        <v>11267</v>
      </c>
      <c r="K1789" s="139" t="s">
        <v>11268</v>
      </c>
      <c r="L1789" s="147" t="s">
        <v>11269</v>
      </c>
      <c r="M1789" s="147" t="s">
        <v>11270</v>
      </c>
      <c r="N1789" s="144">
        <v>1.0</v>
      </c>
      <c r="O1789" s="147" t="s">
        <v>11271</v>
      </c>
      <c r="P1789" s="48" t="str">
        <f t="array" ref="P1789">HYPERLINK(INDEX('File Links'!B:B, MATCH(O1789, 'File Links'!C:C, 0)))
</f>
        <v>https://drive.google.com/file/d/1wNBIYZ5dm9n9bSFCAgoMnPNgBJBMSCyH/view?usp=drivesdk</v>
      </c>
      <c r="Q1789" s="147" t="s">
        <v>11011</v>
      </c>
      <c r="R1789" s="147" t="s">
        <v>11012</v>
      </c>
      <c r="S1789" s="1500" t="s">
        <v>11272</v>
      </c>
      <c r="T1789" s="144">
        <v>19.0</v>
      </c>
      <c r="U1789" s="147" t="s">
        <v>11014</v>
      </c>
      <c r="V1789" s="147" t="s">
        <v>202</v>
      </c>
      <c r="W1789" s="1253" t="str">
        <f> hyperlink(vlookup(lower(R1789),'File Links'!F:G, 2, FALSE), "LINK")</f>
        <v>LINK</v>
      </c>
      <c r="X1789" s="60"/>
      <c r="Y1789" s="1460" t="s">
        <v>203</v>
      </c>
      <c r="Z1789" s="350" t="s">
        <v>165</v>
      </c>
      <c r="AA1789" s="147" t="s">
        <v>11015</v>
      </c>
      <c r="AB1789" s="147" t="s">
        <v>11273</v>
      </c>
      <c r="AC1789" s="147" t="s">
        <v>11274</v>
      </c>
      <c r="AD1789" s="147" t="s">
        <v>11275</v>
      </c>
      <c r="AE1789" s="144">
        <v>56.0</v>
      </c>
      <c r="AF1789" s="144">
        <v>0.07</v>
      </c>
      <c r="AG1789" s="147" t="s">
        <v>1785</v>
      </c>
      <c r="AH1789" s="147" t="s">
        <v>11275</v>
      </c>
      <c r="AI1789" s="144">
        <v>0.05</v>
      </c>
      <c r="AJ1789" s="147" t="s">
        <v>127</v>
      </c>
      <c r="AK1789" s="139" t="s">
        <v>179</v>
      </c>
      <c r="AL1789" s="60" t="s">
        <v>129</v>
      </c>
      <c r="AM1789" s="147" t="s">
        <v>165</v>
      </c>
      <c r="AN1789" s="144">
        <v>619.0</v>
      </c>
      <c r="AO1789" s="327">
        <v>-0.015</v>
      </c>
      <c r="AP1789" s="147" t="s">
        <v>208</v>
      </c>
      <c r="AQ1789" s="147" t="s">
        <v>11019</v>
      </c>
      <c r="AR1789" s="144">
        <v>0.71</v>
      </c>
      <c r="AS1789" s="147" t="s">
        <v>164</v>
      </c>
      <c r="AT1789" s="1460" t="s">
        <v>128</v>
      </c>
      <c r="AU1789" s="60" t="s">
        <v>129</v>
      </c>
      <c r="AV1789" s="410" t="s">
        <v>11276</v>
      </c>
      <c r="AW1789" s="1354" t="s">
        <v>134</v>
      </c>
      <c r="AX1789" s="60"/>
      <c r="AY1789" s="115" t="s">
        <v>11021</v>
      </c>
    </row>
    <row r="1790" ht="15.75" customHeight="1">
      <c r="A1790" s="60" t="s">
        <v>106</v>
      </c>
      <c r="B1790" s="41" t="s">
        <v>107</v>
      </c>
      <c r="C1790" s="41" t="s">
        <v>1251</v>
      </c>
      <c r="E1790" s="142" t="s">
        <v>11265</v>
      </c>
      <c r="F1790" s="60" t="s">
        <v>11266</v>
      </c>
      <c r="G1790" s="147" t="s">
        <v>3758</v>
      </c>
      <c r="H1790" s="140">
        <v>45663.0</v>
      </c>
      <c r="I1790" s="140">
        <v>45692.0</v>
      </c>
      <c r="J1790" s="60"/>
      <c r="K1790" s="60"/>
      <c r="L1790" s="142" t="s">
        <v>11269</v>
      </c>
      <c r="M1790" s="142" t="s">
        <v>11270</v>
      </c>
      <c r="N1790" s="144">
        <v>1.0</v>
      </c>
      <c r="O1790" s="147" t="str">
        <f> SUBSTITUTE(lower(M1790), "/", "--") &amp;  ".pdf"</f>
        <v>10.1126--science.1222426.pdf</v>
      </c>
      <c r="P1790" s="48" t="str">
        <f t="array" ref="P1790">HYPERLINK(INDEX('File Links'!B:B, MATCH(O1790, 'File Links'!C:C, 0)))
</f>
        <v>https://drive.google.com/file/d/1wNBIYZ5dm9n9bSFCAgoMnPNgBJBMSCyH/view?usp=drivesdk</v>
      </c>
      <c r="Q1790" s="60"/>
      <c r="R1790" s="60"/>
      <c r="S1790" s="60"/>
      <c r="T1790" s="144">
        <v>2.0</v>
      </c>
      <c r="U1790" s="147" t="s">
        <v>11277</v>
      </c>
      <c r="V1790" s="60"/>
      <c r="W1790" s="303" t="s">
        <v>11272</v>
      </c>
      <c r="X1790" s="60"/>
      <c r="Y1790" s="147" t="s">
        <v>1820</v>
      </c>
      <c r="Z1790" s="60"/>
      <c r="AA1790" s="60"/>
      <c r="AB1790" s="60"/>
      <c r="AC1790" s="1507" t="s">
        <v>11278</v>
      </c>
      <c r="AD1790" s="144">
        <v>683.0</v>
      </c>
      <c r="AE1790" s="144">
        <v>56.0</v>
      </c>
      <c r="AF1790" s="1505">
        <v>0.267</v>
      </c>
      <c r="AG1790" s="1268" t="s">
        <v>208</v>
      </c>
      <c r="AH1790" s="60"/>
      <c r="AI1790" s="144">
        <v>0.046</v>
      </c>
      <c r="AJ1790" s="147" t="s">
        <v>164</v>
      </c>
      <c r="AK1790" s="147" t="s">
        <v>179</v>
      </c>
      <c r="AL1790" s="60" t="s">
        <v>129</v>
      </c>
      <c r="AM1790" s="60"/>
      <c r="AN1790" s="144">
        <v>619.0</v>
      </c>
      <c r="AO1790" s="1502">
        <v>-0.029893513429658274</v>
      </c>
      <c r="AP1790" s="1268" t="s">
        <v>166</v>
      </c>
      <c r="AQ1790" s="1268" t="s">
        <v>11279</v>
      </c>
      <c r="AR1790" s="144">
        <v>0.7095</v>
      </c>
      <c r="AS1790" s="147" t="s">
        <v>164</v>
      </c>
      <c r="AT1790" s="147" t="s">
        <v>128</v>
      </c>
      <c r="AU1790" s="60" t="s">
        <v>129</v>
      </c>
      <c r="AV1790" s="1503" t="s">
        <v>11272</v>
      </c>
      <c r="AW1790" s="60" t="s">
        <v>134</v>
      </c>
      <c r="AX1790" s="60"/>
      <c r="AY1790" s="60" t="s">
        <v>11025</v>
      </c>
    </row>
    <row r="1791" ht="15.75" customHeight="1">
      <c r="A1791" s="115" t="s">
        <v>586</v>
      </c>
      <c r="B1791" s="41" t="s">
        <v>107</v>
      </c>
      <c r="C1791" s="41" t="s">
        <v>226</v>
      </c>
      <c r="E1791" s="142" t="s">
        <v>11280</v>
      </c>
      <c r="F1791" s="60" t="s">
        <v>11281</v>
      </c>
      <c r="G1791" s="147" t="s">
        <v>11005</v>
      </c>
      <c r="H1791" s="140">
        <v>45687.0</v>
      </c>
      <c r="I1791" s="140">
        <v>45692.0</v>
      </c>
      <c r="J1791" s="147" t="s">
        <v>11282</v>
      </c>
      <c r="K1791" s="147" t="s">
        <v>11283</v>
      </c>
      <c r="L1791" s="147" t="s">
        <v>11284</v>
      </c>
      <c r="M1791" s="147" t="s">
        <v>11285</v>
      </c>
      <c r="N1791" s="144">
        <v>1.0</v>
      </c>
      <c r="O1791" s="147" t="s">
        <v>11286</v>
      </c>
      <c r="P1791" s="48" t="str">
        <f t="array" ref="P1791">HYPERLINK(INDEX('File Links'!B:B, MATCH(O1791, 'File Links'!C:C, 0)))
</f>
        <v>https://drive.google.com/file/d/19EgT43RHjwkUo0_VH9RxY_gZl2qByBLZ/view?usp=drivesdk</v>
      </c>
      <c r="Q1791" s="147" t="s">
        <v>11011</v>
      </c>
      <c r="R1791" s="147" t="s">
        <v>11012</v>
      </c>
      <c r="S1791" s="1500" t="s">
        <v>11287</v>
      </c>
      <c r="T1791" s="144">
        <v>2.0</v>
      </c>
      <c r="U1791" s="147" t="s">
        <v>11014</v>
      </c>
      <c r="V1791" s="147" t="s">
        <v>202</v>
      </c>
      <c r="W1791" s="1253" t="str">
        <f> hyperlink(vlookup(lower(R1791),'File Links'!F:G, 2, FALSE), "LINK")</f>
        <v>LINK</v>
      </c>
      <c r="X1791" s="60"/>
      <c r="Y1791" s="147" t="s">
        <v>220</v>
      </c>
      <c r="Z1791" s="147" t="s">
        <v>11288</v>
      </c>
      <c r="AA1791" s="147" t="s">
        <v>11015</v>
      </c>
      <c r="AB1791" s="147" t="s">
        <v>11289</v>
      </c>
      <c r="AC1791" s="147" t="s">
        <v>11290</v>
      </c>
      <c r="AD1791" s="147" t="s">
        <v>11291</v>
      </c>
      <c r="AE1791" s="144">
        <v>15.0</v>
      </c>
      <c r="AF1791" s="60" t="s">
        <v>11292</v>
      </c>
      <c r="AG1791" s="147" t="s">
        <v>162</v>
      </c>
      <c r="AH1791" s="147" t="s">
        <v>11293</v>
      </c>
      <c r="AI1791" s="144">
        <v>1.0E-4</v>
      </c>
      <c r="AJ1791" s="147" t="s">
        <v>127</v>
      </c>
      <c r="AK1791" s="147" t="s">
        <v>128</v>
      </c>
      <c r="AL1791" s="60" t="s">
        <v>132</v>
      </c>
      <c r="AM1791" s="147" t="s">
        <v>165</v>
      </c>
      <c r="AN1791" s="144">
        <v>14.0</v>
      </c>
      <c r="AO1791" s="327">
        <v>0.829</v>
      </c>
      <c r="AP1791" s="147" t="s">
        <v>208</v>
      </c>
      <c r="AQ1791" s="147" t="s">
        <v>11038</v>
      </c>
      <c r="AR1791" s="144">
        <v>0.001</v>
      </c>
      <c r="AS1791" s="147" t="s">
        <v>127</v>
      </c>
      <c r="AT1791" s="147" t="s">
        <v>128</v>
      </c>
      <c r="AU1791" s="60" t="s">
        <v>132</v>
      </c>
      <c r="AV1791" s="410" t="s">
        <v>11294</v>
      </c>
      <c r="AW1791" s="1354" t="s">
        <v>134</v>
      </c>
      <c r="AX1791" s="60"/>
      <c r="AY1791" s="60" t="s">
        <v>11025</v>
      </c>
    </row>
    <row r="1792" ht="15.75" customHeight="1">
      <c r="A1792" s="60" t="s">
        <v>106</v>
      </c>
      <c r="B1792" s="41" t="s">
        <v>107</v>
      </c>
      <c r="C1792" s="41" t="s">
        <v>1251</v>
      </c>
      <c r="E1792" s="142" t="s">
        <v>11280</v>
      </c>
      <c r="F1792" s="60" t="s">
        <v>11281</v>
      </c>
      <c r="G1792" s="147" t="s">
        <v>3758</v>
      </c>
      <c r="H1792" s="140">
        <v>45663.0</v>
      </c>
      <c r="I1792" s="140">
        <v>45692.0</v>
      </c>
      <c r="J1792" s="60"/>
      <c r="K1792" s="60"/>
      <c r="L1792" s="142" t="s">
        <v>11284</v>
      </c>
      <c r="M1792" s="142" t="s">
        <v>11285</v>
      </c>
      <c r="N1792" s="144">
        <v>1.0</v>
      </c>
      <c r="O1792" s="147" t="str">
        <f> SUBSTITUTE(lower(M1792), "/", "--") &amp;  ".pdf"</f>
        <v>10.1126--science.1224313.pdf</v>
      </c>
      <c r="P1792" s="48" t="str">
        <f t="array" ref="P1792">HYPERLINK(INDEX('File Links'!B:B, MATCH(O1792, 'File Links'!C:C, 0)))
</f>
        <v>https://drive.google.com/file/d/19EgT43RHjwkUo0_VH9RxY_gZl2qByBLZ/view?usp=drivesdk</v>
      </c>
      <c r="Q1792" s="60"/>
      <c r="R1792" s="60"/>
      <c r="S1792" s="60"/>
      <c r="T1792" s="144">
        <v>1.0</v>
      </c>
      <c r="U1792" s="60" t="s">
        <v>11295</v>
      </c>
      <c r="V1792" s="60"/>
      <c r="W1792" s="147" t="s">
        <v>11287</v>
      </c>
      <c r="X1792" s="60"/>
      <c r="Y1792" s="147" t="s">
        <v>220</v>
      </c>
      <c r="Z1792" s="60"/>
      <c r="AA1792" s="60"/>
      <c r="AB1792" s="60"/>
      <c r="AC1792" s="147" t="s">
        <v>11296</v>
      </c>
      <c r="AD1792" s="144">
        <v>1226.0</v>
      </c>
      <c r="AE1792" s="144">
        <v>15.0</v>
      </c>
      <c r="AF1792" s="1265">
        <v>0.961</v>
      </c>
      <c r="AG1792" s="1268" t="s">
        <v>208</v>
      </c>
      <c r="AH1792" s="60"/>
      <c r="AI1792" s="144">
        <v>1.0E-4</v>
      </c>
      <c r="AJ1792" s="147" t="s">
        <v>127</v>
      </c>
      <c r="AK1792" s="1268" t="s">
        <v>179</v>
      </c>
      <c r="AL1792" s="60" t="s">
        <v>132</v>
      </c>
      <c r="AM1792" s="60"/>
      <c r="AN1792" s="327">
        <v>14.0</v>
      </c>
      <c r="AO1792" s="511"/>
      <c r="AP1792" s="511"/>
      <c r="AQ1792" s="511"/>
      <c r="AR1792" s="150">
        <v>1.338E-4</v>
      </c>
      <c r="AS1792" s="147" t="s">
        <v>164</v>
      </c>
      <c r="AT1792" s="60"/>
      <c r="AU1792" s="60"/>
      <c r="AV1792" s="1504" t="s">
        <v>11287</v>
      </c>
      <c r="AW1792" s="60" t="s">
        <v>134</v>
      </c>
      <c r="AX1792" s="60"/>
      <c r="AY1792" s="60" t="s">
        <v>11025</v>
      </c>
    </row>
    <row r="1793" ht="15.75" customHeight="1">
      <c r="A1793" s="115" t="s">
        <v>143</v>
      </c>
      <c r="B1793" s="41" t="s">
        <v>107</v>
      </c>
      <c r="C1793" s="41" t="s">
        <v>226</v>
      </c>
      <c r="E1793" s="142" t="s">
        <v>11297</v>
      </c>
      <c r="F1793" s="147" t="s">
        <v>11298</v>
      </c>
      <c r="G1793" s="147" t="s">
        <v>11005</v>
      </c>
      <c r="H1793" s="140">
        <v>45682.0</v>
      </c>
      <c r="I1793" s="140">
        <v>45687.0</v>
      </c>
      <c r="J1793" s="147" t="s">
        <v>11299</v>
      </c>
      <c r="K1793" s="139" t="s">
        <v>11300</v>
      </c>
      <c r="L1793" s="147" t="s">
        <v>11301</v>
      </c>
      <c r="M1793" s="147" t="s">
        <v>8429</v>
      </c>
      <c r="N1793" s="144">
        <v>1.0</v>
      </c>
      <c r="O1793" s="147" t="s">
        <v>8430</v>
      </c>
      <c r="P1793" s="48" t="str">
        <f t="array" ref="P1793">HYPERLINK(INDEX('File Links'!B:B, MATCH(O1793, 'File Links'!C:C, 0)))
</f>
        <v>https://drive.google.com/file/d/1r4PVlL83grqiq4UZ0to7L57VLrbdB9hi/view?usp=drivesdk</v>
      </c>
      <c r="Q1793" s="147" t="s">
        <v>11011</v>
      </c>
      <c r="R1793" s="147" t="s">
        <v>11012</v>
      </c>
      <c r="S1793" s="1460" t="s">
        <v>11302</v>
      </c>
      <c r="T1793" s="144">
        <v>11.0</v>
      </c>
      <c r="U1793" s="147" t="s">
        <v>11014</v>
      </c>
      <c r="V1793" s="147" t="s">
        <v>202</v>
      </c>
      <c r="W1793" s="147" t="s">
        <v>11302</v>
      </c>
      <c r="X1793" s="60"/>
      <c r="Y1793" s="147" t="s">
        <v>220</v>
      </c>
      <c r="Z1793" s="350" t="s">
        <v>165</v>
      </c>
      <c r="AA1793" s="147" t="s">
        <v>11015</v>
      </c>
      <c r="AB1793" s="147" t="s">
        <v>11303</v>
      </c>
      <c r="AC1793" s="147" t="s">
        <v>11304</v>
      </c>
      <c r="AD1793" s="147" t="s">
        <v>11305</v>
      </c>
      <c r="AE1793" s="144">
        <v>86.0</v>
      </c>
      <c r="AF1793" s="1350" t="s">
        <v>11306</v>
      </c>
      <c r="AG1793" s="139" t="s">
        <v>162</v>
      </c>
      <c r="AH1793" s="147" t="s">
        <v>11305</v>
      </c>
      <c r="AI1793" s="144">
        <v>0.01</v>
      </c>
      <c r="AJ1793" s="147" t="s">
        <v>164</v>
      </c>
      <c r="AK1793" s="147" t="s">
        <v>179</v>
      </c>
      <c r="AL1793" s="60" t="s">
        <v>129</v>
      </c>
      <c r="AM1793" s="147" t="s">
        <v>165</v>
      </c>
      <c r="AN1793" s="144">
        <v>714.0</v>
      </c>
      <c r="AO1793" s="327">
        <v>-0.027</v>
      </c>
      <c r="AP1793" s="147" t="s">
        <v>208</v>
      </c>
      <c r="AQ1793" s="147" t="s">
        <v>11019</v>
      </c>
      <c r="AR1793" s="144">
        <v>0.468</v>
      </c>
      <c r="AS1793" s="147" t="s">
        <v>164</v>
      </c>
      <c r="AT1793" s="1460" t="s">
        <v>128</v>
      </c>
      <c r="AU1793" s="60" t="s">
        <v>129</v>
      </c>
      <c r="AV1793" s="410" t="s">
        <v>11307</v>
      </c>
      <c r="AW1793" s="1354" t="s">
        <v>134</v>
      </c>
      <c r="AX1793" s="60"/>
      <c r="AY1793" s="115" t="s">
        <v>11070</v>
      </c>
    </row>
    <row r="1794" ht="15.75" customHeight="1">
      <c r="A1794" s="60" t="s">
        <v>106</v>
      </c>
      <c r="B1794" s="41" t="s">
        <v>107</v>
      </c>
      <c r="C1794" s="41" t="s">
        <v>1251</v>
      </c>
      <c r="E1794" s="142" t="s">
        <v>11297</v>
      </c>
      <c r="F1794" s="147" t="s">
        <v>11298</v>
      </c>
      <c r="G1794" s="147" t="s">
        <v>3758</v>
      </c>
      <c r="H1794" s="140">
        <v>45663.0</v>
      </c>
      <c r="I1794" s="140">
        <v>45687.0</v>
      </c>
      <c r="J1794" s="60"/>
      <c r="K1794" s="60"/>
      <c r="L1794" s="142" t="s">
        <v>11301</v>
      </c>
      <c r="M1794" s="142" t="s">
        <v>8429</v>
      </c>
      <c r="N1794" s="144">
        <v>1.0</v>
      </c>
      <c r="O1794" s="147" t="str">
        <f> SUBSTITUTE(lower(M1794), "/", "--") &amp;  ".pdf"</f>
        <v>10.1126--science.1239918.pdf</v>
      </c>
      <c r="P1794" s="48" t="str">
        <f t="array" ref="P1794">HYPERLINK(INDEX('File Links'!B:B, MATCH(O1794, 'File Links'!C:C, 0)))
</f>
        <v>https://drive.google.com/file/d/1r4PVlL83grqiq4UZ0to7L57VLrbdB9hi/view?usp=drivesdk</v>
      </c>
      <c r="Q1794" s="60"/>
      <c r="R1794" s="60"/>
      <c r="S1794" s="60"/>
      <c r="T1794" s="144">
        <v>1.0</v>
      </c>
      <c r="U1794" s="60" t="s">
        <v>11308</v>
      </c>
      <c r="V1794" s="60"/>
      <c r="W1794" s="147" t="s">
        <v>11302</v>
      </c>
      <c r="X1794" s="60"/>
      <c r="Y1794" s="147" t="s">
        <v>220</v>
      </c>
      <c r="Z1794" s="60"/>
      <c r="AA1794" s="60"/>
      <c r="AB1794" s="60"/>
      <c r="AC1794" s="1507" t="s">
        <v>11309</v>
      </c>
      <c r="AD1794" s="144">
        <v>378.0</v>
      </c>
      <c r="AE1794" s="144">
        <v>86.0</v>
      </c>
      <c r="AF1794" s="1265">
        <v>0.269</v>
      </c>
      <c r="AG1794" s="1268" t="s">
        <v>208</v>
      </c>
      <c r="AH1794" s="60"/>
      <c r="AI1794" s="144">
        <v>0.01</v>
      </c>
      <c r="AJ1794" s="147" t="s">
        <v>164</v>
      </c>
      <c r="AK1794" s="60"/>
      <c r="AL1794" s="60"/>
      <c r="AM1794" s="60"/>
      <c r="AN1794" s="144">
        <v>714.0</v>
      </c>
      <c r="AO1794" s="1502">
        <v>0.08204666802424937</v>
      </c>
      <c r="AP1794" s="1268" t="s">
        <v>166</v>
      </c>
      <c r="AQ1794" s="1268" t="s">
        <v>11310</v>
      </c>
      <c r="AR1794" s="144">
        <v>0.4681</v>
      </c>
      <c r="AS1794" s="147" t="s">
        <v>164</v>
      </c>
      <c r="AT1794" s="147" t="s">
        <v>128</v>
      </c>
      <c r="AU1794" s="60" t="s">
        <v>129</v>
      </c>
      <c r="AV1794" s="1504" t="s">
        <v>11302</v>
      </c>
      <c r="AW1794" s="60" t="s">
        <v>134</v>
      </c>
      <c r="AX1794" s="60"/>
      <c r="AY1794" s="60" t="s">
        <v>11025</v>
      </c>
    </row>
    <row r="1795" ht="15.75" customHeight="1">
      <c r="A1795" s="115" t="s">
        <v>143</v>
      </c>
      <c r="B1795" s="41" t="s">
        <v>107</v>
      </c>
      <c r="C1795" s="41" t="s">
        <v>226</v>
      </c>
      <c r="E1795" s="142" t="s">
        <v>11311</v>
      </c>
      <c r="F1795" s="60" t="s">
        <v>11312</v>
      </c>
      <c r="G1795" s="147" t="s">
        <v>11005</v>
      </c>
      <c r="H1795" s="140">
        <v>45687.0</v>
      </c>
      <c r="I1795" s="140">
        <v>45692.0</v>
      </c>
      <c r="J1795" s="60"/>
      <c r="K1795" s="147" t="s">
        <v>11313</v>
      </c>
      <c r="L1795" s="147" t="s">
        <v>10559</v>
      </c>
      <c r="M1795" s="147" t="s">
        <v>10560</v>
      </c>
      <c r="N1795" s="144">
        <v>8.0</v>
      </c>
      <c r="O1795" s="147" t="s">
        <v>10561</v>
      </c>
      <c r="P1795" s="48" t="str">
        <f t="array" ref="P1795">HYPERLINK(INDEX('File Links'!B:B, MATCH(O1795, 'File Links'!C:C, 0)))
</f>
        <v>https://drive.google.com/file/d/164yvRbDzBp4QTOt60ne0zLFnKfzz6qWW/view?usp=drivesdk</v>
      </c>
      <c r="Q1795" s="147" t="s">
        <v>11011</v>
      </c>
      <c r="R1795" s="147" t="s">
        <v>11012</v>
      </c>
      <c r="S1795" s="1500" t="s">
        <v>11314</v>
      </c>
      <c r="T1795" s="144">
        <v>21.0</v>
      </c>
      <c r="U1795" s="147" t="s">
        <v>11014</v>
      </c>
      <c r="V1795" s="147" t="s">
        <v>202</v>
      </c>
      <c r="W1795" s="303" t="s">
        <v>11314</v>
      </c>
      <c r="X1795" s="60"/>
      <c r="Y1795" s="147" t="s">
        <v>220</v>
      </c>
      <c r="Z1795" s="350" t="s">
        <v>165</v>
      </c>
      <c r="AA1795" s="147" t="s">
        <v>11015</v>
      </c>
      <c r="AB1795" s="147" t="s">
        <v>11315</v>
      </c>
      <c r="AC1795" s="147" t="s">
        <v>11316</v>
      </c>
      <c r="AD1795" s="147" t="s">
        <v>11317</v>
      </c>
      <c r="AE1795" s="144">
        <v>30.0</v>
      </c>
      <c r="AF1795" s="1470">
        <v>-1.7676742663162734</v>
      </c>
      <c r="AG1795" s="147" t="s">
        <v>166</v>
      </c>
      <c r="AH1795" s="147" t="s">
        <v>11318</v>
      </c>
      <c r="AI1795" s="144">
        <v>0.001</v>
      </c>
      <c r="AJ1795" s="147" t="s">
        <v>127</v>
      </c>
      <c r="AK1795" s="147" t="s">
        <v>179</v>
      </c>
      <c r="AL1795" s="60" t="s">
        <v>129</v>
      </c>
      <c r="AM1795" s="147" t="s">
        <v>165</v>
      </c>
      <c r="AN1795" s="144">
        <v>39.0</v>
      </c>
      <c r="AO1795" s="327">
        <v>0.594</v>
      </c>
      <c r="AP1795" s="147" t="s">
        <v>208</v>
      </c>
      <c r="AQ1795" s="147" t="s">
        <v>11038</v>
      </c>
      <c r="AR1795" s="144">
        <v>0.001</v>
      </c>
      <c r="AS1795" s="147" t="s">
        <v>127</v>
      </c>
      <c r="AT1795" s="1460" t="s">
        <v>128</v>
      </c>
      <c r="AU1795" s="60" t="s">
        <v>129</v>
      </c>
      <c r="AV1795" s="410" t="s">
        <v>11319</v>
      </c>
      <c r="AW1795" s="1354" t="s">
        <v>134</v>
      </c>
      <c r="AX1795" s="60"/>
      <c r="AY1795" s="115" t="s">
        <v>11070</v>
      </c>
    </row>
    <row r="1796" ht="15.75" customHeight="1">
      <c r="A1796" s="60" t="s">
        <v>106</v>
      </c>
      <c r="B1796" s="41" t="s">
        <v>107</v>
      </c>
      <c r="C1796" s="41" t="s">
        <v>1251</v>
      </c>
      <c r="E1796" s="142" t="s">
        <v>11311</v>
      </c>
      <c r="F1796" s="60" t="s">
        <v>11312</v>
      </c>
      <c r="G1796" s="147" t="s">
        <v>3758</v>
      </c>
      <c r="H1796" s="140">
        <v>45663.0</v>
      </c>
      <c r="I1796" s="140">
        <v>45692.0</v>
      </c>
      <c r="J1796" s="60"/>
      <c r="K1796" s="60"/>
      <c r="L1796" s="142" t="s">
        <v>10559</v>
      </c>
      <c r="M1796" s="142" t="s">
        <v>10560</v>
      </c>
      <c r="N1796" s="144">
        <v>8.0</v>
      </c>
      <c r="O1796" s="147" t="str">
        <f> SUBSTITUTE(lower(M1796), "/", "--") &amp;  ".pdf"</f>
        <v>10.1126--science.1250830.pdf</v>
      </c>
      <c r="P1796" s="48" t="str">
        <f t="array" ref="P1796">HYPERLINK(INDEX('File Links'!B:B, MATCH(O1796, 'File Links'!C:C, 0)))
</f>
        <v>https://drive.google.com/file/d/164yvRbDzBp4QTOt60ne0zLFnKfzz6qWW/view?usp=drivesdk</v>
      </c>
      <c r="Q1796" s="60"/>
      <c r="R1796" s="60"/>
      <c r="S1796" s="60"/>
      <c r="T1796" s="144">
        <v>1.0</v>
      </c>
      <c r="U1796" s="147" t="s">
        <v>11320</v>
      </c>
      <c r="V1796" s="60"/>
      <c r="W1796" s="303" t="s">
        <v>11314</v>
      </c>
      <c r="X1796" s="60"/>
      <c r="Y1796" s="147" t="s">
        <v>220</v>
      </c>
      <c r="Z1796" s="60"/>
      <c r="AA1796" s="60"/>
      <c r="AB1796" s="60"/>
      <c r="AC1796" s="146" t="s">
        <v>11321</v>
      </c>
      <c r="AD1796" s="144">
        <v>76.0</v>
      </c>
      <c r="AE1796" s="144">
        <v>30.0</v>
      </c>
      <c r="AF1796" s="1265">
        <v>0.674</v>
      </c>
      <c r="AG1796" s="1268" t="s">
        <v>208</v>
      </c>
      <c r="AH1796" s="60"/>
      <c r="AI1796" s="150">
        <v>4.4E-5</v>
      </c>
      <c r="AJ1796" s="147" t="s">
        <v>164</v>
      </c>
      <c r="AK1796" s="147" t="s">
        <v>179</v>
      </c>
      <c r="AL1796" s="60" t="s">
        <v>129</v>
      </c>
      <c r="AM1796" s="60"/>
      <c r="AN1796" s="144">
        <v>39.0</v>
      </c>
      <c r="AO1796" s="144">
        <v>0.594</v>
      </c>
      <c r="AP1796" s="147" t="s">
        <v>208</v>
      </c>
      <c r="AQ1796" s="60"/>
      <c r="AR1796" s="150">
        <v>6.8E-5</v>
      </c>
      <c r="AS1796" s="147" t="s">
        <v>164</v>
      </c>
      <c r="AT1796" s="147" t="s">
        <v>128</v>
      </c>
      <c r="AU1796" s="60" t="s">
        <v>129</v>
      </c>
      <c r="AV1796" s="1503" t="s">
        <v>11314</v>
      </c>
      <c r="AW1796" s="60" t="s">
        <v>134</v>
      </c>
      <c r="AX1796" s="60"/>
      <c r="AY1796" s="60" t="s">
        <v>11025</v>
      </c>
    </row>
    <row r="1797" ht="15.75" customHeight="1">
      <c r="A1797" s="60" t="s">
        <v>586</v>
      </c>
      <c r="B1797" s="41" t="s">
        <v>107</v>
      </c>
      <c r="C1797" s="41" t="s">
        <v>226</v>
      </c>
      <c r="E1797" s="142" t="s">
        <v>11322</v>
      </c>
      <c r="F1797" s="147" t="str">
        <f>E1797&amp;"_"&amp;COUNTIF($B$3:E1797, E1797)</f>
        <v>Camereretal2018_7_1</v>
      </c>
      <c r="G1797" s="147" t="s">
        <v>11005</v>
      </c>
      <c r="H1797" s="140">
        <v>45687.0</v>
      </c>
      <c r="I1797" s="140">
        <v>45692.0</v>
      </c>
      <c r="J1797" s="147" t="s">
        <v>11323</v>
      </c>
      <c r="K1797" s="147" t="s">
        <v>11324</v>
      </c>
      <c r="L1797" s="147" t="s">
        <v>11325</v>
      </c>
      <c r="M1797" s="147" t="s">
        <v>11326</v>
      </c>
      <c r="N1797" s="144">
        <v>1.0</v>
      </c>
      <c r="O1797" s="147" t="s">
        <v>11327</v>
      </c>
      <c r="P1797" s="48" t="str">
        <f t="array" ref="P1797">HYPERLINK(INDEX('File Links'!B:B, MATCH(O1797, 'File Links'!C:C, 0)))
</f>
        <v>https://drive.google.com/file/d/1u3UeZsgg-pu1ZHEEX1uaXHGyGnnbQIHr/view?usp=drivesdk</v>
      </c>
      <c r="Q1797" s="147" t="s">
        <v>11011</v>
      </c>
      <c r="R1797" s="147" t="s">
        <v>11012</v>
      </c>
      <c r="S1797" s="1500" t="s">
        <v>11328</v>
      </c>
      <c r="T1797" s="144">
        <v>7.0</v>
      </c>
      <c r="U1797" s="147" t="s">
        <v>11014</v>
      </c>
      <c r="V1797" s="147" t="s">
        <v>202</v>
      </c>
      <c r="W1797" s="1253" t="str">
        <f> hyperlink(vlookup(lower(R1797),'File Links'!F:G, 2, FALSE), "LINK")</f>
        <v>LINK</v>
      </c>
      <c r="X1797" s="60"/>
      <c r="Y1797" s="147" t="s">
        <v>203</v>
      </c>
      <c r="Z1797" s="60"/>
      <c r="AA1797" s="147" t="s">
        <v>11015</v>
      </c>
      <c r="AB1797" s="147" t="s">
        <v>11329</v>
      </c>
      <c r="AC1797" s="60" t="s">
        <v>11330</v>
      </c>
      <c r="AD1797" s="60" t="s">
        <v>11331</v>
      </c>
      <c r="AE1797" s="709">
        <v>178.0</v>
      </c>
      <c r="AF1797" s="1470">
        <v>0.38892740882854915</v>
      </c>
      <c r="AG1797" s="147" t="s">
        <v>722</v>
      </c>
      <c r="AH1797" s="147" t="s">
        <v>11332</v>
      </c>
      <c r="AI1797" s="144">
        <v>0.01</v>
      </c>
      <c r="AJ1797" s="147" t="s">
        <v>127</v>
      </c>
      <c r="AK1797" s="147" t="s">
        <v>179</v>
      </c>
      <c r="AL1797" s="60" t="s">
        <v>129</v>
      </c>
      <c r="AM1797" s="147" t="s">
        <v>165</v>
      </c>
      <c r="AN1797" s="144">
        <v>407.0</v>
      </c>
      <c r="AO1797" s="327">
        <v>0.182</v>
      </c>
      <c r="AP1797" s="147" t="s">
        <v>208</v>
      </c>
      <c r="AQ1797" s="147" t="s">
        <v>11038</v>
      </c>
      <c r="AR1797" s="144">
        <v>0.001</v>
      </c>
      <c r="AS1797" s="147" t="s">
        <v>127</v>
      </c>
      <c r="AT1797" s="147" t="s">
        <v>179</v>
      </c>
      <c r="AU1797" s="60" t="s">
        <v>821</v>
      </c>
      <c r="AV1797" s="410" t="s">
        <v>11333</v>
      </c>
      <c r="AW1797" s="1354" t="s">
        <v>134</v>
      </c>
      <c r="AX1797" s="60"/>
      <c r="AY1797" s="60" t="s">
        <v>11025</v>
      </c>
    </row>
    <row r="1798" ht="15.75" customHeight="1">
      <c r="A1798" s="60" t="s">
        <v>106</v>
      </c>
      <c r="B1798" s="41" t="s">
        <v>107</v>
      </c>
      <c r="C1798" s="41" t="s">
        <v>1251</v>
      </c>
      <c r="E1798" s="142" t="s">
        <v>11322</v>
      </c>
      <c r="F1798" s="147" t="s">
        <v>11334</v>
      </c>
      <c r="G1798" s="147" t="s">
        <v>3758</v>
      </c>
      <c r="H1798" s="140">
        <v>45663.0</v>
      </c>
      <c r="I1798" s="140">
        <v>45692.0</v>
      </c>
      <c r="J1798" s="60"/>
      <c r="K1798" s="60"/>
      <c r="L1798" s="142" t="s">
        <v>11325</v>
      </c>
      <c r="M1798" s="142" t="s">
        <v>11326</v>
      </c>
      <c r="N1798" s="144">
        <v>1.0</v>
      </c>
      <c r="O1798" s="147" t="str">
        <f> SUBSTITUTE(lower(M1798), "/", "--") &amp;  ".pdf"</f>
        <v>10.1126--science.1253932.pdf</v>
      </c>
      <c r="P1798" s="48" t="str">
        <f t="array" ref="P1798">HYPERLINK(INDEX('File Links'!B:B, MATCH(O1798, 'File Links'!C:C, 0)))
</f>
        <v>https://drive.google.com/file/d/1u3UeZsgg-pu1ZHEEX1uaXHGyGnnbQIHr/view?usp=drivesdk</v>
      </c>
      <c r="Q1798" s="60"/>
      <c r="R1798" s="60"/>
      <c r="S1798" s="60"/>
      <c r="T1798" s="144">
        <v>1.0</v>
      </c>
      <c r="U1798" s="60" t="s">
        <v>11335</v>
      </c>
      <c r="V1798" s="60"/>
      <c r="W1798" s="147" t="s">
        <v>11336</v>
      </c>
      <c r="X1798" s="60"/>
      <c r="Y1798" s="147" t="s">
        <v>1820</v>
      </c>
      <c r="Z1798" s="60"/>
      <c r="AA1798" s="60"/>
      <c r="AB1798" s="60"/>
      <c r="AC1798" s="1511" t="s">
        <v>11337</v>
      </c>
      <c r="AD1798" s="144">
        <v>633.0</v>
      </c>
      <c r="AE1798" s="1265">
        <v>449.0</v>
      </c>
      <c r="AF1798" s="1265">
        <v>0.223</v>
      </c>
      <c r="AG1798" s="1268" t="s">
        <v>208</v>
      </c>
      <c r="AH1798" s="60"/>
      <c r="AI1798" s="144">
        <v>0.0027</v>
      </c>
      <c r="AJ1798" s="147" t="s">
        <v>164</v>
      </c>
      <c r="AK1798" s="60"/>
      <c r="AL1798" s="60" t="s">
        <v>129</v>
      </c>
      <c r="AM1798" s="60"/>
      <c r="AN1798" s="144">
        <v>407.0</v>
      </c>
      <c r="AO1798" s="1265">
        <v>0.3702</v>
      </c>
      <c r="AP1798" s="1268" t="s">
        <v>2782</v>
      </c>
      <c r="AQ1798" s="1268" t="s">
        <v>11338</v>
      </c>
      <c r="AR1798" s="1265">
        <v>2.1E-4</v>
      </c>
      <c r="AS1798" s="147" t="s">
        <v>164</v>
      </c>
      <c r="AT1798" s="147" t="s">
        <v>128</v>
      </c>
      <c r="AU1798" s="60"/>
      <c r="AV1798" s="1504" t="s">
        <v>11336</v>
      </c>
      <c r="AW1798" s="60" t="s">
        <v>134</v>
      </c>
      <c r="AX1798" s="60"/>
      <c r="AY1798" s="60" t="s">
        <v>11025</v>
      </c>
    </row>
    <row r="1799">
      <c r="A1799" s="115" t="s">
        <v>143</v>
      </c>
      <c r="B1799" s="41" t="s">
        <v>107</v>
      </c>
      <c r="C1799" s="41" t="s">
        <v>226</v>
      </c>
      <c r="E1799" s="142" t="s">
        <v>11339</v>
      </c>
      <c r="F1799" s="60" t="s">
        <v>11340</v>
      </c>
      <c r="G1799" s="147" t="s">
        <v>11005</v>
      </c>
      <c r="H1799" s="140">
        <v>45687.0</v>
      </c>
      <c r="I1799" s="140">
        <v>45693.0</v>
      </c>
      <c r="J1799" s="139" t="s">
        <v>11341</v>
      </c>
      <c r="K1799" s="147"/>
      <c r="L1799" s="147" t="s">
        <v>11342</v>
      </c>
      <c r="M1799" s="147" t="s">
        <v>11343</v>
      </c>
      <c r="N1799" s="144">
        <v>1.0</v>
      </c>
      <c r="O1799" s="147" t="s">
        <v>11344</v>
      </c>
      <c r="P1799" s="48" t="str">
        <f t="array" ref="P1799">HYPERLINK(INDEX('File Links'!B:B, MATCH(O1799, 'File Links'!C:C, 0)))
</f>
        <v>https://drive.google.com/file/d/1hz1780nNZDOTtNpiczqkkXabV668BcRE/view?usp=drivesdk</v>
      </c>
      <c r="Q1799" s="147" t="s">
        <v>11345</v>
      </c>
      <c r="R1799" s="147" t="s">
        <v>11346</v>
      </c>
      <c r="S1799" s="60"/>
      <c r="T1799" s="144">
        <v>1.0</v>
      </c>
      <c r="U1799" s="147" t="s">
        <v>11347</v>
      </c>
      <c r="V1799" s="60" t="s">
        <v>202</v>
      </c>
      <c r="W1799" s="544" t="str">
        <f t="array" ref="W1799">HYPERLINK(INDEX('File Links'!I:I, MATCH(U1799, 'File Links'!J:J, 0)))
</f>
        <v>#N/A</v>
      </c>
      <c r="X1799" s="60"/>
      <c r="Y1799" s="1460" t="s">
        <v>220</v>
      </c>
      <c r="Z1799" s="350" t="s">
        <v>165</v>
      </c>
      <c r="AA1799" s="1460" t="s">
        <v>11348</v>
      </c>
      <c r="AB1799" s="1460" t="s">
        <v>11349</v>
      </c>
      <c r="AC1799" s="139" t="s">
        <v>11350</v>
      </c>
      <c r="AD1799" s="147" t="s">
        <v>11351</v>
      </c>
      <c r="AE1799" s="144">
        <v>44.0</v>
      </c>
      <c r="AF1799" s="149">
        <v>0.7</v>
      </c>
      <c r="AG1799" s="115" t="s">
        <v>11352</v>
      </c>
      <c r="AH1799" s="139" t="s">
        <v>11353</v>
      </c>
      <c r="AI1799" s="144">
        <v>0.003</v>
      </c>
      <c r="AJ1799" s="147" t="s">
        <v>164</v>
      </c>
      <c r="AK1799" s="147" t="s">
        <v>179</v>
      </c>
      <c r="AL1799" s="60" t="s">
        <v>129</v>
      </c>
      <c r="AM1799" s="147" t="s">
        <v>165</v>
      </c>
      <c r="AN1799" s="144">
        <v>7117.0</v>
      </c>
      <c r="AO1799" s="144">
        <v>0.05</v>
      </c>
      <c r="AP1799" s="147" t="s">
        <v>11352</v>
      </c>
      <c r="AQ1799" s="147" t="s">
        <v>11354</v>
      </c>
      <c r="AR1799" s="144">
        <v>0.02</v>
      </c>
      <c r="AS1799" s="147" t="s">
        <v>164</v>
      </c>
      <c r="AT1799" s="147" t="s">
        <v>179</v>
      </c>
      <c r="AU1799" s="60" t="s">
        <v>129</v>
      </c>
      <c r="AV1799" s="410" t="s">
        <v>11355</v>
      </c>
      <c r="AW1799" s="60" t="s">
        <v>434</v>
      </c>
      <c r="AX1799" s="60"/>
      <c r="AY1799" s="115" t="s">
        <v>11070</v>
      </c>
    </row>
    <row r="1800">
      <c r="A1800" s="128" t="s">
        <v>520</v>
      </c>
      <c r="B1800" s="41" t="s">
        <v>107</v>
      </c>
      <c r="C1800" s="41" t="s">
        <v>108</v>
      </c>
      <c r="E1800" s="142" t="s">
        <v>11339</v>
      </c>
      <c r="F1800" s="147" t="s">
        <v>11340</v>
      </c>
      <c r="G1800" s="142" t="s">
        <v>6097</v>
      </c>
      <c r="H1800" s="140">
        <v>45667.0</v>
      </c>
      <c r="I1800" s="140">
        <v>45693.0</v>
      </c>
      <c r="J1800" s="60"/>
      <c r="K1800" s="60"/>
      <c r="L1800" s="1512" t="s">
        <v>11356</v>
      </c>
      <c r="M1800" s="142" t="s">
        <v>11343</v>
      </c>
      <c r="N1800" s="144">
        <v>1.0</v>
      </c>
      <c r="O1800" s="147" t="str">
        <f t="shared" ref="O1800:O1802" si="90"> SUBSTITUTE(lower(M1800), "/", "--") &amp;  ".pdf"</f>
        <v>10.1037--a0015960.pdf</v>
      </c>
      <c r="P1800" s="1513" t="str">
        <f> hyperlink(vlookup(lower(M1800),'File Links'!D:E, 2, FALSE), "LINK")</f>
        <v>LINK</v>
      </c>
      <c r="Q1800" s="1460" t="s">
        <v>11345</v>
      </c>
      <c r="R1800" s="1460" t="s">
        <v>11346</v>
      </c>
      <c r="S1800" s="60"/>
      <c r="T1800" s="60"/>
      <c r="U1800" s="147" t="s">
        <v>11347</v>
      </c>
      <c r="V1800" s="147" t="s">
        <v>2129</v>
      </c>
      <c r="W1800" s="544" t="str">
        <f t="array" ref="W1800">HYPERLINK(INDEX('File Links'!I:I, MATCH(U1800, 'File Links'!J:J, 0)))
</f>
        <v>#N/A</v>
      </c>
      <c r="X1800" s="60"/>
      <c r="Y1800" s="147" t="s">
        <v>220</v>
      </c>
      <c r="Z1800" s="60"/>
      <c r="AA1800" s="147" t="s">
        <v>11348</v>
      </c>
      <c r="AB1800" s="147" t="s">
        <v>11357</v>
      </c>
      <c r="AC1800" s="147" t="s">
        <v>11358</v>
      </c>
      <c r="AD1800" s="1514">
        <v>45718.0</v>
      </c>
      <c r="AE1800" s="144">
        <v>44.0</v>
      </c>
      <c r="AF1800" s="147" t="s">
        <v>11359</v>
      </c>
      <c r="AG1800" s="147" t="s">
        <v>162</v>
      </c>
      <c r="AH1800" s="147" t="s">
        <v>886</v>
      </c>
      <c r="AI1800" s="144">
        <v>0.01</v>
      </c>
      <c r="AJ1800" s="147" t="s">
        <v>127</v>
      </c>
      <c r="AK1800" s="147" t="s">
        <v>179</v>
      </c>
      <c r="AL1800" s="60" t="s">
        <v>129</v>
      </c>
      <c r="AM1800" s="60"/>
      <c r="AN1800" s="144">
        <v>7117.0</v>
      </c>
      <c r="AO1800" s="144">
        <v>-0.02</v>
      </c>
      <c r="AP1800" s="147" t="s">
        <v>166</v>
      </c>
      <c r="AQ1800" s="147" t="s">
        <v>624</v>
      </c>
      <c r="AR1800" s="144">
        <v>0.457</v>
      </c>
      <c r="AS1800" s="147" t="s">
        <v>164</v>
      </c>
      <c r="AT1800" s="147" t="s">
        <v>179</v>
      </c>
      <c r="AU1800" s="60" t="s">
        <v>129</v>
      </c>
      <c r="AV1800" s="1461" t="s">
        <v>11355</v>
      </c>
      <c r="AW1800" s="60" t="s">
        <v>134</v>
      </c>
      <c r="AX1800" s="60"/>
      <c r="AY1800" s="60" t="s">
        <v>11025</v>
      </c>
    </row>
    <row r="1801">
      <c r="A1801" s="60" t="s">
        <v>106</v>
      </c>
      <c r="B1801" s="41" t="s">
        <v>107</v>
      </c>
      <c r="C1801" s="41" t="s">
        <v>108</v>
      </c>
      <c r="E1801" s="142" t="s">
        <v>11339</v>
      </c>
      <c r="F1801" s="147" t="s">
        <v>11360</v>
      </c>
      <c r="G1801" s="614" t="s">
        <v>6097</v>
      </c>
      <c r="H1801" s="140">
        <v>45667.0</v>
      </c>
      <c r="I1801" s="140">
        <v>45693.0</v>
      </c>
      <c r="J1801" s="60"/>
      <c r="K1801" s="60"/>
      <c r="L1801" s="1256" t="s">
        <v>11361</v>
      </c>
      <c r="M1801" s="142" t="s">
        <v>11343</v>
      </c>
      <c r="N1801" s="144">
        <v>1.0</v>
      </c>
      <c r="O1801" s="147" t="str">
        <f t="shared" si="90"/>
        <v>10.1037--a0015960.pdf</v>
      </c>
      <c r="P1801" s="1513" t="str">
        <f> hyperlink(vlookup(lower(M1801),'File Links'!D:E, 2, FALSE), "LINK")</f>
        <v>LINK</v>
      </c>
      <c r="Q1801" s="1460" t="s">
        <v>11345</v>
      </c>
      <c r="R1801" s="1460" t="s">
        <v>11346</v>
      </c>
      <c r="S1801" s="60"/>
      <c r="T1801" s="60"/>
      <c r="U1801" s="147" t="s">
        <v>11347</v>
      </c>
      <c r="V1801" s="147" t="s">
        <v>2129</v>
      </c>
      <c r="W1801" s="544" t="str">
        <f t="array" ref="W1801">HYPERLINK(INDEX('File Links'!I:I, MATCH(U1801, 'File Links'!J:J, 0)))
</f>
        <v>#N/A</v>
      </c>
      <c r="X1801" s="60"/>
      <c r="Y1801" s="147" t="s">
        <v>220</v>
      </c>
      <c r="Z1801" s="60"/>
      <c r="AA1801" s="147" t="s">
        <v>11348</v>
      </c>
      <c r="AB1801" s="147" t="s">
        <v>11349</v>
      </c>
      <c r="AC1801" s="147" t="s">
        <v>11362</v>
      </c>
      <c r="AD1801" s="144">
        <v>3.0</v>
      </c>
      <c r="AE1801" s="144">
        <v>44.0</v>
      </c>
      <c r="AF1801" s="147" t="s">
        <v>11363</v>
      </c>
      <c r="AG1801" s="147" t="s">
        <v>162</v>
      </c>
      <c r="AH1801" s="147" t="s">
        <v>210</v>
      </c>
      <c r="AI1801" s="144">
        <v>0.001</v>
      </c>
      <c r="AJ1801" s="147" t="s">
        <v>127</v>
      </c>
      <c r="AK1801" s="147" t="s">
        <v>179</v>
      </c>
      <c r="AL1801" s="60" t="s">
        <v>129</v>
      </c>
      <c r="AM1801" s="60"/>
      <c r="AN1801" s="144">
        <v>7117.0</v>
      </c>
      <c r="AO1801" s="144">
        <v>0.12</v>
      </c>
      <c r="AP1801" s="147" t="s">
        <v>208</v>
      </c>
      <c r="AQ1801" s="147" t="s">
        <v>624</v>
      </c>
      <c r="AR1801" s="1351">
        <v>1.2E-13</v>
      </c>
      <c r="AS1801" s="147" t="s">
        <v>164</v>
      </c>
      <c r="AT1801" s="147" t="s">
        <v>179</v>
      </c>
      <c r="AU1801" s="60" t="s">
        <v>129</v>
      </c>
      <c r="AV1801" s="1461" t="s">
        <v>11355</v>
      </c>
      <c r="AW1801" s="60" t="s">
        <v>134</v>
      </c>
      <c r="AX1801" s="60"/>
      <c r="AY1801" s="60" t="s">
        <v>11025</v>
      </c>
    </row>
    <row r="1802">
      <c r="A1802" s="60" t="s">
        <v>106</v>
      </c>
      <c r="B1802" s="41" t="s">
        <v>107</v>
      </c>
      <c r="C1802" s="41" t="s">
        <v>108</v>
      </c>
      <c r="E1802" s="142" t="s">
        <v>11339</v>
      </c>
      <c r="F1802" s="147" t="s">
        <v>11364</v>
      </c>
      <c r="G1802" s="614" t="s">
        <v>6097</v>
      </c>
      <c r="H1802" s="140">
        <v>45667.0</v>
      </c>
      <c r="I1802" s="140">
        <v>45693.0</v>
      </c>
      <c r="J1802" s="60"/>
      <c r="K1802" s="60"/>
      <c r="L1802" s="1512" t="s">
        <v>11365</v>
      </c>
      <c r="M1802" s="142" t="s">
        <v>11343</v>
      </c>
      <c r="N1802" s="144">
        <v>1.0</v>
      </c>
      <c r="O1802" s="147" t="str">
        <f t="shared" si="90"/>
        <v>10.1037--a0015960.pdf</v>
      </c>
      <c r="P1802" s="1513" t="str">
        <f> hyperlink(vlookup(lower(M1802),'File Links'!D:E, 2, FALSE), "LINK")</f>
        <v>LINK</v>
      </c>
      <c r="Q1802" s="1460" t="s">
        <v>11345</v>
      </c>
      <c r="R1802" s="1460" t="s">
        <v>11346</v>
      </c>
      <c r="S1802" s="60"/>
      <c r="T1802" s="60"/>
      <c r="U1802" s="147" t="s">
        <v>11347</v>
      </c>
      <c r="V1802" s="147" t="s">
        <v>2129</v>
      </c>
      <c r="W1802" s="544" t="str">
        <f t="array" ref="W1802">HYPERLINK(INDEX('File Links'!I:I, MATCH(U1802, 'File Links'!J:J, 0)))
</f>
        <v>#N/A</v>
      </c>
      <c r="X1802" s="60"/>
      <c r="Y1802" s="147" t="s">
        <v>220</v>
      </c>
      <c r="Z1802" s="60"/>
      <c r="AA1802" s="147" t="s">
        <v>11348</v>
      </c>
      <c r="AB1802" s="147" t="s">
        <v>11366</v>
      </c>
      <c r="AC1802" s="147" t="s">
        <v>11367</v>
      </c>
      <c r="AD1802" s="144">
        <v>3.0</v>
      </c>
      <c r="AE1802" s="144">
        <v>44.0</v>
      </c>
      <c r="AF1802" s="147" t="s">
        <v>11368</v>
      </c>
      <c r="AG1802" s="147" t="s">
        <v>162</v>
      </c>
      <c r="AH1802" s="147" t="s">
        <v>210</v>
      </c>
      <c r="AI1802" s="147" t="s">
        <v>2384</v>
      </c>
      <c r="AJ1802" s="60"/>
      <c r="AK1802" s="147" t="s">
        <v>179</v>
      </c>
      <c r="AL1802" s="60" t="s">
        <v>129</v>
      </c>
      <c r="AM1802" s="60"/>
      <c r="AN1802" s="144">
        <v>7117.0</v>
      </c>
      <c r="AO1802" s="144">
        <v>0.07</v>
      </c>
      <c r="AP1802" s="147" t="s">
        <v>208</v>
      </c>
      <c r="AQ1802" s="147" t="s">
        <v>624</v>
      </c>
      <c r="AR1802" s="1351">
        <v>2.48E-5</v>
      </c>
      <c r="AS1802" s="147" t="s">
        <v>164</v>
      </c>
      <c r="AT1802" s="147" t="s">
        <v>179</v>
      </c>
      <c r="AU1802" s="60" t="s">
        <v>129</v>
      </c>
      <c r="AV1802" s="1461" t="s">
        <v>11355</v>
      </c>
      <c r="AW1802" s="60" t="s">
        <v>134</v>
      </c>
      <c r="AX1802" s="60"/>
      <c r="AY1802" s="60" t="s">
        <v>11025</v>
      </c>
    </row>
    <row r="1803">
      <c r="A1803" s="115" t="s">
        <v>143</v>
      </c>
      <c r="B1803" s="41" t="s">
        <v>107</v>
      </c>
      <c r="C1803" s="41" t="s">
        <v>226</v>
      </c>
      <c r="E1803" s="60" t="s">
        <v>11369</v>
      </c>
      <c r="F1803" s="147" t="s">
        <v>11370</v>
      </c>
      <c r="G1803" s="147" t="s">
        <v>11005</v>
      </c>
      <c r="H1803" s="140">
        <v>45687.0</v>
      </c>
      <c r="I1803" s="140">
        <v>45693.0</v>
      </c>
      <c r="J1803" s="147" t="s">
        <v>11371</v>
      </c>
      <c r="K1803" s="147" t="s">
        <v>11372</v>
      </c>
      <c r="L1803" s="147" t="s">
        <v>11373</v>
      </c>
      <c r="M1803" s="147" t="s">
        <v>11374</v>
      </c>
      <c r="N1803" s="144">
        <v>1.0</v>
      </c>
      <c r="O1803" s="147" t="s">
        <v>11375</v>
      </c>
      <c r="P1803" s="48" t="str">
        <f t="array" ref="P1803">HYPERLINK(INDEX('File Links'!B:B, MATCH(O1803, 'File Links'!C:C, 0)))
</f>
        <v>https://drive.google.com/file/d/1Wa36K9XT0urN9xsiAgUftQdgL9C9HECn/view?usp=drivesdk</v>
      </c>
      <c r="Q1803" s="147" t="s">
        <v>11345</v>
      </c>
      <c r="R1803" s="147" t="s">
        <v>11346</v>
      </c>
      <c r="S1803" s="60"/>
      <c r="T1803" s="144">
        <v>2.0</v>
      </c>
      <c r="U1803" s="147" t="s">
        <v>11347</v>
      </c>
      <c r="V1803" s="60" t="s">
        <v>202</v>
      </c>
      <c r="W1803" s="544" t="str">
        <f t="array" ref="W1803">HYPERLINK(INDEX('File Links'!I:I, MATCH(U1803, 'File Links'!J:J, 0)))
</f>
        <v>#N/A</v>
      </c>
      <c r="X1803" s="60"/>
      <c r="Y1803" s="1460" t="s">
        <v>220</v>
      </c>
      <c r="Z1803" s="147" t="s">
        <v>11376</v>
      </c>
      <c r="AA1803" s="1460" t="s">
        <v>11377</v>
      </c>
      <c r="AB1803" s="147" t="s">
        <v>11378</v>
      </c>
      <c r="AC1803" s="139" t="s">
        <v>11379</v>
      </c>
      <c r="AD1803" s="147" t="s">
        <v>299</v>
      </c>
      <c r="AE1803" s="144">
        <v>100.0</v>
      </c>
      <c r="AF1803" s="149" t="s">
        <v>11380</v>
      </c>
      <c r="AG1803" s="147" t="s">
        <v>3251</v>
      </c>
      <c r="AH1803" s="147" t="s">
        <v>11381</v>
      </c>
      <c r="AI1803" s="144">
        <v>0.01</v>
      </c>
      <c r="AJ1803" s="147" t="s">
        <v>127</v>
      </c>
      <c r="AK1803" s="147" t="s">
        <v>179</v>
      </c>
      <c r="AL1803" s="60" t="s">
        <v>129</v>
      </c>
      <c r="AM1803" s="147" t="s">
        <v>165</v>
      </c>
      <c r="AN1803" s="144">
        <v>7460.0</v>
      </c>
      <c r="AO1803" s="144">
        <v>-0.07</v>
      </c>
      <c r="AP1803" s="147" t="s">
        <v>11352</v>
      </c>
      <c r="AQ1803" s="147" t="s">
        <v>11382</v>
      </c>
      <c r="AR1803" s="144">
        <v>0.002</v>
      </c>
      <c r="AS1803" s="147" t="s">
        <v>164</v>
      </c>
      <c r="AT1803" s="147" t="s">
        <v>179</v>
      </c>
      <c r="AU1803" s="60" t="s">
        <v>129</v>
      </c>
      <c r="AV1803" s="410" t="s">
        <v>11355</v>
      </c>
      <c r="AW1803" s="60" t="s">
        <v>134</v>
      </c>
      <c r="AX1803" s="60"/>
      <c r="AY1803" s="115" t="s">
        <v>11070</v>
      </c>
      <c r="BA1803" s="1515" t="s">
        <v>11383</v>
      </c>
    </row>
    <row r="1804">
      <c r="A1804" s="134" t="s">
        <v>520</v>
      </c>
      <c r="B1804" s="41" t="s">
        <v>107</v>
      </c>
      <c r="C1804" s="41" t="s">
        <v>108</v>
      </c>
      <c r="E1804" s="60" t="s">
        <v>11369</v>
      </c>
      <c r="F1804" s="147" t="s">
        <v>11370</v>
      </c>
      <c r="G1804" s="614" t="s">
        <v>6097</v>
      </c>
      <c r="H1804" s="140">
        <v>45667.0</v>
      </c>
      <c r="I1804" s="140">
        <v>45693.0</v>
      </c>
      <c r="J1804" s="60"/>
      <c r="K1804" s="147" t="s">
        <v>11384</v>
      </c>
      <c r="L1804" s="60" t="s">
        <v>11373</v>
      </c>
      <c r="M1804" s="60" t="s">
        <v>11374</v>
      </c>
      <c r="N1804" s="144">
        <v>1.0</v>
      </c>
      <c r="O1804" s="147" t="str">
        <f t="shared" ref="O1804:O1806" si="91"> SUBSTITUTE(lower(M1804), "/", "--") &amp;  ".pdf"</f>
        <v>10.1086--269239.pdf</v>
      </c>
      <c r="P1804" s="48" t="str">
        <f t="array" ref="P1804">HYPERLINK(INDEX('File Links'!B:B, MATCH(O1804, 'File Links'!C:C, 0)))
</f>
        <v>https://drive.google.com/file/d/1Wa36K9XT0urN9xsiAgUftQdgL9C9HECn/view?usp=drivesdk</v>
      </c>
      <c r="Q1804" s="1460" t="s">
        <v>11345</v>
      </c>
      <c r="R1804" s="1460" t="s">
        <v>11346</v>
      </c>
      <c r="S1804" s="60"/>
      <c r="T1804" s="60"/>
      <c r="U1804" s="147" t="s">
        <v>11347</v>
      </c>
      <c r="V1804" s="147" t="s">
        <v>11385</v>
      </c>
      <c r="W1804" s="544" t="str">
        <f t="array" ref="W1804">HYPERLINK(INDEX('File Links'!I:I, MATCH(U1804, 'File Links'!J:J, 0)))
</f>
        <v>#N/A</v>
      </c>
      <c r="X1804" s="60"/>
      <c r="Y1804" s="147" t="s">
        <v>220</v>
      </c>
      <c r="Z1804" s="147" t="s">
        <v>11386</v>
      </c>
      <c r="AA1804" s="147" t="s">
        <v>11377</v>
      </c>
      <c r="AB1804" s="60" t="s">
        <v>11387</v>
      </c>
      <c r="AC1804" s="147" t="s">
        <v>11388</v>
      </c>
      <c r="AD1804" s="144">
        <v>9.0</v>
      </c>
      <c r="AE1804" s="144">
        <v>56.0</v>
      </c>
      <c r="AF1804" s="144">
        <v>0.67</v>
      </c>
      <c r="AG1804" s="147" t="s">
        <v>208</v>
      </c>
      <c r="AH1804" s="147" t="s">
        <v>625</v>
      </c>
      <c r="AI1804" s="144">
        <v>0.05</v>
      </c>
      <c r="AJ1804" s="147" t="s">
        <v>127</v>
      </c>
      <c r="AK1804" s="147" t="s">
        <v>179</v>
      </c>
      <c r="AL1804" s="60" t="s">
        <v>129</v>
      </c>
      <c r="AM1804" s="60"/>
      <c r="AN1804" s="144">
        <v>7460.0</v>
      </c>
      <c r="AO1804" s="144">
        <v>0.38</v>
      </c>
      <c r="AP1804" s="147" t="s">
        <v>208</v>
      </c>
      <c r="AQ1804" s="147" t="s">
        <v>324</v>
      </c>
      <c r="AR1804" s="60"/>
      <c r="AS1804" s="60"/>
      <c r="AT1804" s="147" t="s">
        <v>179</v>
      </c>
      <c r="AU1804" s="60" t="s">
        <v>129</v>
      </c>
      <c r="AV1804" s="1461" t="s">
        <v>11355</v>
      </c>
      <c r="AW1804" s="60" t="s">
        <v>134</v>
      </c>
      <c r="AX1804" s="60"/>
      <c r="AY1804" s="60" t="s">
        <v>11025</v>
      </c>
    </row>
    <row r="1805">
      <c r="A1805" s="134" t="s">
        <v>520</v>
      </c>
      <c r="B1805" s="41" t="s">
        <v>107</v>
      </c>
      <c r="C1805" s="41" t="s">
        <v>108</v>
      </c>
      <c r="E1805" s="60" t="s">
        <v>11369</v>
      </c>
      <c r="F1805" s="147" t="s">
        <v>11389</v>
      </c>
      <c r="G1805" s="614" t="s">
        <v>6097</v>
      </c>
      <c r="H1805" s="140">
        <v>45667.0</v>
      </c>
      <c r="I1805" s="140">
        <v>45693.0</v>
      </c>
      <c r="J1805" s="60"/>
      <c r="K1805" s="147" t="s">
        <v>11384</v>
      </c>
      <c r="L1805" s="60" t="s">
        <v>11373</v>
      </c>
      <c r="M1805" s="60" t="s">
        <v>11374</v>
      </c>
      <c r="N1805" s="144">
        <v>1.0</v>
      </c>
      <c r="O1805" s="147" t="str">
        <f t="shared" si="91"/>
        <v>10.1086--269239.pdf</v>
      </c>
      <c r="P1805" s="48" t="str">
        <f t="array" ref="P1805">HYPERLINK(INDEX('File Links'!B:B, MATCH(O1805, 'File Links'!C:C, 0)))
</f>
        <v>https://drive.google.com/file/d/1Wa36K9XT0urN9xsiAgUftQdgL9C9HECn/view?usp=drivesdk</v>
      </c>
      <c r="Q1805" s="1460" t="s">
        <v>11345</v>
      </c>
      <c r="R1805" s="1460" t="s">
        <v>11346</v>
      </c>
      <c r="S1805" s="60"/>
      <c r="T1805" s="60"/>
      <c r="U1805" s="147" t="s">
        <v>11347</v>
      </c>
      <c r="V1805" s="147" t="s">
        <v>11385</v>
      </c>
      <c r="W1805" s="544" t="str">
        <f t="array" ref="W1805">HYPERLINK(INDEX('File Links'!I:I, MATCH(U1805, 'File Links'!J:J, 0)))
</f>
        <v>#N/A</v>
      </c>
      <c r="X1805" s="60"/>
      <c r="Y1805" s="147" t="s">
        <v>220</v>
      </c>
      <c r="Z1805" s="147" t="s">
        <v>11386</v>
      </c>
      <c r="AA1805" s="147" t="s">
        <v>11377</v>
      </c>
      <c r="AB1805" s="60" t="s">
        <v>11390</v>
      </c>
      <c r="AC1805" s="147" t="s">
        <v>11391</v>
      </c>
      <c r="AD1805" s="144">
        <v>9.0</v>
      </c>
      <c r="AE1805" s="144">
        <v>50.0</v>
      </c>
      <c r="AF1805" s="144">
        <v>0.32</v>
      </c>
      <c r="AG1805" s="147" t="s">
        <v>208</v>
      </c>
      <c r="AH1805" s="147" t="s">
        <v>625</v>
      </c>
      <c r="AI1805" s="144">
        <v>0.05</v>
      </c>
      <c r="AJ1805" s="147" t="s">
        <v>127</v>
      </c>
      <c r="AK1805" s="147" t="s">
        <v>179</v>
      </c>
      <c r="AL1805" s="60" t="s">
        <v>129</v>
      </c>
      <c r="AM1805" s="60"/>
      <c r="AN1805" s="144">
        <v>7460.0</v>
      </c>
      <c r="AO1805" s="144">
        <v>0.44</v>
      </c>
      <c r="AP1805" s="147" t="s">
        <v>208</v>
      </c>
      <c r="AQ1805" s="147" t="s">
        <v>324</v>
      </c>
      <c r="AR1805" s="60"/>
      <c r="AS1805" s="60"/>
      <c r="AT1805" s="147" t="s">
        <v>179</v>
      </c>
      <c r="AU1805" s="60" t="s">
        <v>129</v>
      </c>
      <c r="AV1805" s="1461" t="s">
        <v>11355</v>
      </c>
      <c r="AW1805" s="60" t="s">
        <v>134</v>
      </c>
      <c r="AX1805" s="60"/>
      <c r="AY1805" s="60" t="s">
        <v>11025</v>
      </c>
    </row>
    <row r="1806">
      <c r="A1806" s="60" t="s">
        <v>106</v>
      </c>
      <c r="B1806" s="41" t="s">
        <v>107</v>
      </c>
      <c r="C1806" s="41" t="s">
        <v>108</v>
      </c>
      <c r="E1806" s="60" t="s">
        <v>11369</v>
      </c>
      <c r="F1806" s="147" t="s">
        <v>11392</v>
      </c>
      <c r="G1806" s="614" t="s">
        <v>6097</v>
      </c>
      <c r="H1806" s="140">
        <v>45667.0</v>
      </c>
      <c r="I1806" s="140">
        <v>45693.0</v>
      </c>
      <c r="J1806" s="60"/>
      <c r="K1806" s="147" t="s">
        <v>11393</v>
      </c>
      <c r="L1806" s="60" t="s">
        <v>11373</v>
      </c>
      <c r="M1806" s="60" t="s">
        <v>11374</v>
      </c>
      <c r="N1806" s="144">
        <v>1.0</v>
      </c>
      <c r="O1806" s="147" t="str">
        <f t="shared" si="91"/>
        <v>10.1086--269239.pdf</v>
      </c>
      <c r="P1806" s="1513" t="str">
        <f> hyperlink(vlookup(lower(M1806),'File Links'!D:E, 2, FALSE), "LINK")</f>
        <v>LINK</v>
      </c>
      <c r="Q1806" s="1460" t="s">
        <v>11345</v>
      </c>
      <c r="R1806" s="1460" t="s">
        <v>11346</v>
      </c>
      <c r="S1806" s="60"/>
      <c r="T1806" s="60"/>
      <c r="U1806" s="147" t="s">
        <v>11347</v>
      </c>
      <c r="V1806" s="147" t="s">
        <v>11385</v>
      </c>
      <c r="W1806" s="544" t="str">
        <f t="array" ref="W1806">HYPERLINK(INDEX('File Links'!I:I, MATCH(U1806, 'File Links'!J:J, 0)))
</f>
        <v>#N/A</v>
      </c>
      <c r="X1806" s="60"/>
      <c r="Y1806" s="147" t="s">
        <v>220</v>
      </c>
      <c r="Z1806" s="147" t="s">
        <v>11386</v>
      </c>
      <c r="AA1806" s="147" t="s">
        <v>11377</v>
      </c>
      <c r="AB1806" s="60" t="s">
        <v>11394</v>
      </c>
      <c r="AC1806" s="147" t="s">
        <v>11395</v>
      </c>
      <c r="AD1806" s="144">
        <v>9.0</v>
      </c>
      <c r="AE1806" s="144">
        <v>50.0</v>
      </c>
      <c r="AF1806" s="144">
        <v>2.32</v>
      </c>
      <c r="AG1806" s="147" t="s">
        <v>3251</v>
      </c>
      <c r="AH1806" s="147" t="s">
        <v>625</v>
      </c>
      <c r="AI1806" s="144">
        <v>0.01</v>
      </c>
      <c r="AJ1806" s="147" t="s">
        <v>127</v>
      </c>
      <c r="AK1806" s="147" t="s">
        <v>179</v>
      </c>
      <c r="AL1806" s="60" t="s">
        <v>129</v>
      </c>
      <c r="AM1806" s="60"/>
      <c r="AN1806" s="144">
        <v>7460.0</v>
      </c>
      <c r="AO1806" s="144">
        <v>-3.03</v>
      </c>
      <c r="AP1806" s="147" t="s">
        <v>162</v>
      </c>
      <c r="AQ1806" s="147" t="s">
        <v>324</v>
      </c>
      <c r="AR1806" s="144">
        <v>0.002</v>
      </c>
      <c r="AS1806" s="147" t="s">
        <v>164</v>
      </c>
      <c r="AT1806" s="147" t="s">
        <v>179</v>
      </c>
      <c r="AU1806" s="60" t="s">
        <v>129</v>
      </c>
      <c r="AV1806" s="1461" t="s">
        <v>11355</v>
      </c>
      <c r="AW1806" s="60" t="s">
        <v>134</v>
      </c>
      <c r="AX1806" s="60"/>
      <c r="AY1806" s="60" t="s">
        <v>11025</v>
      </c>
    </row>
    <row r="1807">
      <c r="A1807" s="115" t="s">
        <v>143</v>
      </c>
      <c r="B1807" s="41" t="s">
        <v>107</v>
      </c>
      <c r="C1807" s="41" t="s">
        <v>226</v>
      </c>
      <c r="E1807" s="60" t="s">
        <v>11396</v>
      </c>
      <c r="F1807" s="60" t="s">
        <v>11397</v>
      </c>
      <c r="G1807" s="147" t="s">
        <v>11005</v>
      </c>
      <c r="H1807" s="140">
        <v>45687.0</v>
      </c>
      <c r="I1807" s="140">
        <v>45693.0</v>
      </c>
      <c r="J1807" s="139" t="s">
        <v>11398</v>
      </c>
      <c r="K1807" s="139"/>
      <c r="L1807" s="147" t="s">
        <v>11399</v>
      </c>
      <c r="M1807" s="147" t="s">
        <v>11400</v>
      </c>
      <c r="N1807" s="144">
        <v>1.0</v>
      </c>
      <c r="O1807" s="147" t="s">
        <v>11401</v>
      </c>
      <c r="P1807" s="48" t="str">
        <f t="array" ref="P1807">HYPERLINK(INDEX('File Links'!B:B, MATCH(O1807, 'File Links'!C:C, 0)))
</f>
        <v>https://drive.google.com/file/d/1bUFd8EhwJ36bo-2xBlOdIPnQvw_apZ06/view?usp=drivesdk</v>
      </c>
      <c r="Q1807" s="147" t="s">
        <v>11345</v>
      </c>
      <c r="R1807" s="147" t="s">
        <v>11346</v>
      </c>
      <c r="S1807" s="60"/>
      <c r="T1807" s="144">
        <v>3.0</v>
      </c>
      <c r="U1807" s="147" t="s">
        <v>11347</v>
      </c>
      <c r="V1807" s="60" t="s">
        <v>202</v>
      </c>
      <c r="W1807" s="544" t="str">
        <f t="array" ref="W1807">HYPERLINK(INDEX('File Links'!I:I, MATCH(U1807, 'File Links'!J:J, 0)))
</f>
        <v>#N/A</v>
      </c>
      <c r="X1807" s="60"/>
      <c r="Y1807" s="147" t="s">
        <v>960</v>
      </c>
      <c r="Z1807" s="147" t="s">
        <v>11402</v>
      </c>
      <c r="AA1807" s="147" t="s">
        <v>11403</v>
      </c>
      <c r="AB1807" s="147" t="s">
        <v>11404</v>
      </c>
      <c r="AC1807" s="139" t="s">
        <v>11405</v>
      </c>
      <c r="AD1807" s="139" t="s">
        <v>11406</v>
      </c>
      <c r="AE1807" s="144">
        <v>58.0</v>
      </c>
      <c r="AF1807" s="144">
        <v>2.446</v>
      </c>
      <c r="AG1807" s="147" t="s">
        <v>166</v>
      </c>
      <c r="AH1807" s="139" t="s">
        <v>11407</v>
      </c>
      <c r="AI1807" s="144">
        <v>0.001</v>
      </c>
      <c r="AJ1807" s="147" t="s">
        <v>127</v>
      </c>
      <c r="AK1807" s="147" t="s">
        <v>179</v>
      </c>
      <c r="AL1807" s="60" t="s">
        <v>129</v>
      </c>
      <c r="AM1807" s="147" t="s">
        <v>165</v>
      </c>
      <c r="AN1807" s="144">
        <v>7197.0</v>
      </c>
      <c r="AO1807" s="144">
        <v>1.82</v>
      </c>
      <c r="AP1807" s="147" t="s">
        <v>166</v>
      </c>
      <c r="AQ1807" s="147" t="s">
        <v>11354</v>
      </c>
      <c r="AR1807" s="144">
        <v>0.001</v>
      </c>
      <c r="AS1807" s="147" t="s">
        <v>127</v>
      </c>
      <c r="AT1807" s="147" t="s">
        <v>179</v>
      </c>
      <c r="AU1807" s="60" t="s">
        <v>129</v>
      </c>
      <c r="AV1807" s="410" t="s">
        <v>11355</v>
      </c>
      <c r="AW1807" s="60" t="s">
        <v>134</v>
      </c>
      <c r="AX1807" s="60"/>
      <c r="AY1807" s="115" t="s">
        <v>11070</v>
      </c>
    </row>
    <row r="1808">
      <c r="A1808" s="115" t="s">
        <v>106</v>
      </c>
      <c r="B1808" s="41" t="s">
        <v>107</v>
      </c>
      <c r="C1808" s="41" t="s">
        <v>226</v>
      </c>
      <c r="E1808" s="60" t="s">
        <v>11396</v>
      </c>
      <c r="F1808" s="147" t="s">
        <v>11408</v>
      </c>
      <c r="G1808" s="147" t="s">
        <v>11005</v>
      </c>
      <c r="H1808" s="140">
        <v>45687.0</v>
      </c>
      <c r="I1808" s="140">
        <v>45693.0</v>
      </c>
      <c r="J1808" s="139" t="s">
        <v>11409</v>
      </c>
      <c r="K1808" s="525"/>
      <c r="L1808" s="147" t="s">
        <v>11399</v>
      </c>
      <c r="M1808" s="147" t="s">
        <v>11400</v>
      </c>
      <c r="N1808" s="144">
        <v>1.0</v>
      </c>
      <c r="O1808" s="147" t="s">
        <v>11401</v>
      </c>
      <c r="P1808" s="1513" t="str">
        <f> hyperlink(vlookup(lower(M1808),'File Links'!D:E, 2, FALSE), "LINK")</f>
        <v>LINK</v>
      </c>
      <c r="Q1808" s="147" t="s">
        <v>11345</v>
      </c>
      <c r="R1808" s="147" t="s">
        <v>11346</v>
      </c>
      <c r="S1808" s="60"/>
      <c r="T1808" s="144">
        <v>4.0</v>
      </c>
      <c r="U1808" s="147" t="s">
        <v>11347</v>
      </c>
      <c r="V1808" s="60" t="s">
        <v>202</v>
      </c>
      <c r="W1808" s="544" t="str">
        <f t="array" ref="W1808">HYPERLINK(INDEX('File Links'!I:I, MATCH(U1808, 'File Links'!J:J, 0)))
</f>
        <v>#N/A</v>
      </c>
      <c r="X1808" s="60"/>
      <c r="Y1808" s="147" t="s">
        <v>960</v>
      </c>
      <c r="Z1808" s="147" t="s">
        <v>11402</v>
      </c>
      <c r="AA1808" s="147" t="s">
        <v>11403</v>
      </c>
      <c r="AB1808" s="147" t="s">
        <v>11410</v>
      </c>
      <c r="AC1808" s="60"/>
      <c r="AD1808" s="60"/>
      <c r="AE1808" s="144">
        <v>49.0</v>
      </c>
      <c r="AF1808" s="144">
        <v>0.757</v>
      </c>
      <c r="AG1808" s="147" t="s">
        <v>166</v>
      </c>
      <c r="AH1808" s="147" t="s">
        <v>11411</v>
      </c>
      <c r="AI1808" s="144">
        <v>0.05</v>
      </c>
      <c r="AJ1808" s="147" t="s">
        <v>329</v>
      </c>
      <c r="AK1808" s="147" t="s">
        <v>179</v>
      </c>
      <c r="AL1808" s="60" t="s">
        <v>129</v>
      </c>
      <c r="AM1808" s="147" t="s">
        <v>165</v>
      </c>
      <c r="AN1808" s="147" t="s">
        <v>165</v>
      </c>
      <c r="AO1808" s="144">
        <v>1.84</v>
      </c>
      <c r="AP1808" s="147" t="s">
        <v>166</v>
      </c>
      <c r="AQ1808" s="60"/>
      <c r="AR1808" s="60"/>
      <c r="AS1808" s="60"/>
      <c r="AT1808" s="60"/>
      <c r="AU1808" s="60"/>
      <c r="AV1808" s="410" t="s">
        <v>11355</v>
      </c>
      <c r="AW1808" s="60"/>
      <c r="AX1808" s="60"/>
      <c r="AY1808" s="60" t="s">
        <v>11025</v>
      </c>
    </row>
    <row r="1809">
      <c r="A1809" s="60" t="s">
        <v>106</v>
      </c>
      <c r="B1809" s="41" t="s">
        <v>107</v>
      </c>
      <c r="C1809" s="41" t="s">
        <v>108</v>
      </c>
      <c r="E1809" s="60" t="s">
        <v>11396</v>
      </c>
      <c r="F1809" s="147" t="s">
        <v>11397</v>
      </c>
      <c r="G1809" s="614" t="s">
        <v>6097</v>
      </c>
      <c r="H1809" s="140">
        <v>45669.0</v>
      </c>
      <c r="I1809" s="140">
        <v>45693.0</v>
      </c>
      <c r="J1809" s="147" t="s">
        <v>11412</v>
      </c>
      <c r="K1809" s="60"/>
      <c r="L1809" s="60" t="s">
        <v>11399</v>
      </c>
      <c r="M1809" s="60" t="s">
        <v>11400</v>
      </c>
      <c r="N1809" s="144">
        <v>1.0</v>
      </c>
      <c r="O1809" s="147" t="str">
        <f t="shared" ref="O1809:O1810" si="92"> SUBSTITUTE(lower(M1809), "/", "--") &amp;  ".pdf"</f>
        <v>10.1037--0022-3514.83.5.1239.pdf</v>
      </c>
      <c r="P1809" s="1513" t="str">
        <f> hyperlink(vlookup(lower(M1809),'File Links'!D:E, 2, FALSE), "LINK")</f>
        <v>LINK</v>
      </c>
      <c r="Q1809" s="1460" t="s">
        <v>11345</v>
      </c>
      <c r="R1809" s="1460" t="s">
        <v>11346</v>
      </c>
      <c r="S1809" s="60"/>
      <c r="T1809" s="60"/>
      <c r="U1809" s="147" t="s">
        <v>11347</v>
      </c>
      <c r="V1809" s="147" t="s">
        <v>11385</v>
      </c>
      <c r="W1809" s="544" t="str">
        <f t="array" ref="W1809">HYPERLINK(INDEX('File Links'!I:I, MATCH(U1809, 'File Links'!J:J, 0)))
</f>
        <v>#N/A</v>
      </c>
      <c r="X1809" s="60"/>
      <c r="Y1809" s="147" t="s">
        <v>220</v>
      </c>
      <c r="Z1809" s="60"/>
      <c r="AA1809" s="147" t="s">
        <v>11413</v>
      </c>
      <c r="AB1809" s="147" t="s">
        <v>11414</v>
      </c>
      <c r="AC1809" s="60"/>
      <c r="AD1809" s="60"/>
      <c r="AE1809" s="144">
        <v>107.0</v>
      </c>
      <c r="AF1809" s="60"/>
      <c r="AG1809" s="60"/>
      <c r="AH1809" s="60"/>
      <c r="AI1809" s="60"/>
      <c r="AJ1809" s="60"/>
      <c r="AK1809" s="60"/>
      <c r="AL1809" s="60"/>
      <c r="AM1809" s="60"/>
      <c r="AN1809" s="144">
        <v>7197.0</v>
      </c>
      <c r="AO1809" s="60"/>
      <c r="AP1809" s="60"/>
      <c r="AQ1809" s="60"/>
      <c r="AR1809" s="60"/>
      <c r="AS1809" s="60"/>
      <c r="AT1809" s="60"/>
      <c r="AU1809" s="60"/>
      <c r="AV1809" s="1461" t="s">
        <v>11355</v>
      </c>
      <c r="AW1809" s="60"/>
      <c r="AX1809" s="60"/>
      <c r="AY1809" s="60" t="s">
        <v>11025</v>
      </c>
    </row>
    <row r="1810">
      <c r="A1810" s="60" t="s">
        <v>106</v>
      </c>
      <c r="B1810" s="41" t="s">
        <v>107</v>
      </c>
      <c r="C1810" s="41" t="s">
        <v>108</v>
      </c>
      <c r="E1810" s="60" t="s">
        <v>11396</v>
      </c>
      <c r="F1810" s="147" t="s">
        <v>11408</v>
      </c>
      <c r="G1810" s="614" t="s">
        <v>6097</v>
      </c>
      <c r="H1810" s="140">
        <v>45669.0</v>
      </c>
      <c r="I1810" s="140">
        <v>45693.0</v>
      </c>
      <c r="J1810" s="147" t="s">
        <v>11415</v>
      </c>
      <c r="K1810" s="60"/>
      <c r="L1810" s="60" t="s">
        <v>11399</v>
      </c>
      <c r="M1810" s="60" t="s">
        <v>11400</v>
      </c>
      <c r="N1810" s="144">
        <v>1.0</v>
      </c>
      <c r="O1810" s="147" t="str">
        <f t="shared" si="92"/>
        <v>10.1037--0022-3514.83.5.1239.pdf</v>
      </c>
      <c r="P1810" s="1513" t="str">
        <f> hyperlink(vlookup(lower(M1810),'File Links'!D:E, 2, FALSE), "LINK")</f>
        <v>LINK</v>
      </c>
      <c r="Q1810" s="1460" t="s">
        <v>11345</v>
      </c>
      <c r="R1810" s="1460" t="s">
        <v>11346</v>
      </c>
      <c r="S1810" s="60"/>
      <c r="T1810" s="60"/>
      <c r="U1810" s="147" t="s">
        <v>11347</v>
      </c>
      <c r="V1810" s="147" t="s">
        <v>11385</v>
      </c>
      <c r="W1810" s="544" t="str">
        <f t="array" ref="W1810">HYPERLINK(INDEX('File Links'!I:I, MATCH(U1810, 'File Links'!J:J, 0)))
</f>
        <v>#N/A</v>
      </c>
      <c r="X1810" s="60"/>
      <c r="Y1810" s="147" t="s">
        <v>220</v>
      </c>
      <c r="Z1810" s="60"/>
      <c r="AA1810" s="147" t="s">
        <v>11413</v>
      </c>
      <c r="AB1810" s="147" t="s">
        <v>11416</v>
      </c>
      <c r="AC1810" s="60"/>
      <c r="AD1810" s="60"/>
      <c r="AE1810" s="144">
        <v>107.0</v>
      </c>
      <c r="AF1810" s="60"/>
      <c r="AG1810" s="60"/>
      <c r="AH1810" s="60"/>
      <c r="AI1810" s="60"/>
      <c r="AJ1810" s="60"/>
      <c r="AK1810" s="60"/>
      <c r="AL1810" s="60"/>
      <c r="AM1810" s="60"/>
      <c r="AN1810" s="144">
        <v>7197.0</v>
      </c>
      <c r="AO1810" s="60"/>
      <c r="AP1810" s="60"/>
      <c r="AQ1810" s="60"/>
      <c r="AR1810" s="60"/>
      <c r="AS1810" s="60"/>
      <c r="AT1810" s="60"/>
      <c r="AU1810" s="60"/>
      <c r="AV1810" s="1461" t="s">
        <v>11355</v>
      </c>
      <c r="AW1810" s="60"/>
      <c r="AX1810" s="60"/>
      <c r="AY1810" s="60" t="s">
        <v>11025</v>
      </c>
    </row>
    <row r="1811">
      <c r="A1811" s="115" t="s">
        <v>143</v>
      </c>
      <c r="B1811" s="41" t="s">
        <v>107</v>
      </c>
      <c r="C1811" s="41" t="s">
        <v>226</v>
      </c>
      <c r="E1811" s="60" t="s">
        <v>11417</v>
      </c>
      <c r="F1811" s="60" t="s">
        <v>11418</v>
      </c>
      <c r="G1811" s="147" t="s">
        <v>11005</v>
      </c>
      <c r="H1811" s="140">
        <v>45687.0</v>
      </c>
      <c r="I1811" s="140">
        <v>45693.0</v>
      </c>
      <c r="J1811" s="147"/>
      <c r="K1811" s="147"/>
      <c r="L1811" s="147" t="s">
        <v>11419</v>
      </c>
      <c r="M1811" s="144">
        <v>3329308.0</v>
      </c>
      <c r="N1811" s="144">
        <v>1.0</v>
      </c>
      <c r="O1811" s="147" t="s">
        <v>11420</v>
      </c>
      <c r="P1811" s="48" t="str">
        <f t="array" ref="P1811">HYPERLINK(INDEX('File Links'!B:B, MATCH(O1811, 'File Links'!C:C, 0)))
</f>
        <v>https://drive.google.com/file/d/1tin9nciEOGqNUz2Yx-ZnwQtqTwJGFR6v/view?usp=drivesdk</v>
      </c>
      <c r="Q1811" s="147" t="s">
        <v>11345</v>
      </c>
      <c r="R1811" s="147" t="s">
        <v>11346</v>
      </c>
      <c r="S1811" s="60"/>
      <c r="T1811" s="144">
        <v>5.0</v>
      </c>
      <c r="U1811" s="147" t="s">
        <v>11347</v>
      </c>
      <c r="V1811" s="60" t="s">
        <v>202</v>
      </c>
      <c r="W1811" s="544" t="str">
        <f t="array" ref="W1811">HYPERLINK(INDEX('File Links'!I:I, MATCH(U1811, 'File Links'!J:J, 0)))
</f>
        <v>#N/A</v>
      </c>
      <c r="X1811" s="60"/>
      <c r="Y1811" s="147" t="s">
        <v>960</v>
      </c>
      <c r="Z1811" s="147" t="s">
        <v>11421</v>
      </c>
      <c r="AA1811" s="1460" t="s">
        <v>11422</v>
      </c>
      <c r="AB1811" s="139" t="s">
        <v>11423</v>
      </c>
      <c r="AC1811" s="147" t="s">
        <v>11424</v>
      </c>
      <c r="AD1811" s="147" t="s">
        <v>11425</v>
      </c>
      <c r="AE1811" s="144">
        <v>78.0</v>
      </c>
      <c r="AF1811" s="1470">
        <f>(0.82/(1-0.82))/(0.23/(1-0.23))</f>
        <v>15.25120773</v>
      </c>
      <c r="AG1811" s="147" t="s">
        <v>722</v>
      </c>
      <c r="AH1811" s="139" t="s">
        <v>11426</v>
      </c>
      <c r="AI1811" s="144">
        <v>0.001</v>
      </c>
      <c r="AJ1811" s="147" t="s">
        <v>127</v>
      </c>
      <c r="AK1811" s="147" t="s">
        <v>179</v>
      </c>
      <c r="AL1811" s="60" t="s">
        <v>129</v>
      </c>
      <c r="AM1811" s="147" t="s">
        <v>165</v>
      </c>
      <c r="AN1811" s="144">
        <v>7982.0</v>
      </c>
      <c r="AO1811" s="144">
        <v>1.75</v>
      </c>
      <c r="AP1811" s="147" t="s">
        <v>166</v>
      </c>
      <c r="AQ1811" s="147" t="s">
        <v>9713</v>
      </c>
      <c r="AR1811" s="144">
        <v>0.001</v>
      </c>
      <c r="AS1811" s="147" t="s">
        <v>127</v>
      </c>
      <c r="AT1811" s="147" t="s">
        <v>179</v>
      </c>
      <c r="AU1811" s="60" t="s">
        <v>129</v>
      </c>
      <c r="AV1811" s="410" t="s">
        <v>11355</v>
      </c>
      <c r="AW1811" s="60" t="s">
        <v>134</v>
      </c>
      <c r="AX1811" s="60"/>
      <c r="AY1811" s="115" t="s">
        <v>11070</v>
      </c>
      <c r="BA1811" s="1515" t="s">
        <v>11427</v>
      </c>
    </row>
    <row r="1812">
      <c r="A1812" s="60" t="s">
        <v>106</v>
      </c>
      <c r="B1812" s="41" t="s">
        <v>107</v>
      </c>
      <c r="C1812" s="41" t="s">
        <v>108</v>
      </c>
      <c r="E1812" s="60" t="s">
        <v>11417</v>
      </c>
      <c r="F1812" s="60" t="s">
        <v>11418</v>
      </c>
      <c r="G1812" s="614" t="s">
        <v>6097</v>
      </c>
      <c r="H1812" s="140">
        <v>45669.0</v>
      </c>
      <c r="I1812" s="140">
        <v>45693.0</v>
      </c>
      <c r="J1812" s="147" t="s">
        <v>11428</v>
      </c>
      <c r="K1812" s="60"/>
      <c r="L1812" s="60" t="s">
        <v>11429</v>
      </c>
      <c r="M1812" s="60" t="s">
        <v>11430</v>
      </c>
      <c r="N1812" s="144">
        <v>1.0</v>
      </c>
      <c r="O1812" s="147" t="str">
        <f> SUBSTITUTE(lower(M1812), "/", "--") &amp;  ".pdf"</f>
        <v>10.1007--s11098-004-4510-0.pdf</v>
      </c>
      <c r="P1812" s="1513" t="str">
        <f> hyperlink(vlookup(lower(M1812),'File Links'!D:E, 2, FALSE), "LINK")</f>
        <v>LINK</v>
      </c>
      <c r="Q1812" s="1460" t="s">
        <v>11345</v>
      </c>
      <c r="R1812" s="1460" t="s">
        <v>11346</v>
      </c>
      <c r="S1812" s="60"/>
      <c r="T1812" s="60"/>
      <c r="U1812" s="147" t="s">
        <v>11347</v>
      </c>
      <c r="V1812" s="1354" t="s">
        <v>202</v>
      </c>
      <c r="W1812" s="544" t="str">
        <f t="array" ref="W1812">HYPERLINK(INDEX('File Links'!I:I, MATCH(U1812, 'File Links'!J:J, 0)))
</f>
        <v>#N/A</v>
      </c>
      <c r="X1812" s="60"/>
      <c r="Y1812" s="147" t="s">
        <v>220</v>
      </c>
      <c r="Z1812" s="147" t="s">
        <v>11386</v>
      </c>
      <c r="AA1812" s="147" t="s">
        <v>11422</v>
      </c>
      <c r="AB1812" s="60"/>
      <c r="AC1812" s="60"/>
      <c r="AD1812" s="60"/>
      <c r="AE1812" s="60"/>
      <c r="AF1812" s="60"/>
      <c r="AG1812" s="60"/>
      <c r="AH1812" s="60"/>
      <c r="AI1812" s="60"/>
      <c r="AJ1812" s="60"/>
      <c r="AK1812" s="60"/>
      <c r="AL1812" s="60"/>
      <c r="AM1812" s="60"/>
      <c r="AN1812" s="60"/>
      <c r="AO1812" s="60"/>
      <c r="AP1812" s="60"/>
      <c r="AQ1812" s="60"/>
      <c r="AR1812" s="60"/>
      <c r="AS1812" s="60"/>
      <c r="AT1812" s="60"/>
      <c r="AU1812" s="60"/>
      <c r="AV1812" s="1461" t="s">
        <v>11355</v>
      </c>
      <c r="AW1812" s="60"/>
      <c r="AX1812" s="60"/>
      <c r="AY1812" s="60" t="s">
        <v>11025</v>
      </c>
    </row>
    <row r="1813">
      <c r="A1813" s="115" t="s">
        <v>143</v>
      </c>
      <c r="B1813" s="41" t="s">
        <v>107</v>
      </c>
      <c r="C1813" s="41" t="s">
        <v>226</v>
      </c>
      <c r="E1813" s="60" t="s">
        <v>11431</v>
      </c>
      <c r="F1813" s="60" t="s">
        <v>11432</v>
      </c>
      <c r="G1813" s="147" t="s">
        <v>11005</v>
      </c>
      <c r="H1813" s="140">
        <v>45687.0</v>
      </c>
      <c r="I1813" s="140">
        <v>45693.0</v>
      </c>
      <c r="J1813" s="147" t="s">
        <v>11433</v>
      </c>
      <c r="K1813" s="147" t="s">
        <v>11434</v>
      </c>
      <c r="L1813" s="147" t="s">
        <v>11435</v>
      </c>
      <c r="M1813" s="147" t="s">
        <v>11436</v>
      </c>
      <c r="N1813" s="1468" t="s">
        <v>11437</v>
      </c>
      <c r="O1813" s="147" t="s">
        <v>11438</v>
      </c>
      <c r="P1813" s="48" t="str">
        <f t="array" ref="P1813">HYPERLINK(INDEX('File Links'!B:B, MATCH(O1813, 'File Links'!C:C, 0)))
</f>
        <v>https://drive.google.com/file/d/1H2OS8Rk6wh8PVpv13iom_WUpLu0fEeBU/view?usp=drivesdk</v>
      </c>
      <c r="Q1813" s="147" t="s">
        <v>11345</v>
      </c>
      <c r="R1813" s="147" t="s">
        <v>11346</v>
      </c>
      <c r="S1813" s="60"/>
      <c r="T1813" s="144">
        <v>6.0</v>
      </c>
      <c r="U1813" s="147" t="s">
        <v>11347</v>
      </c>
      <c r="V1813" s="60" t="s">
        <v>202</v>
      </c>
      <c r="W1813" s="544" t="str">
        <f t="array" ref="W1813">HYPERLINK(INDEX('File Links'!I:I, MATCH(U1813, 'File Links'!J:J, 0)))
</f>
        <v>#N/A</v>
      </c>
      <c r="X1813" s="60"/>
      <c r="Y1813" s="1460" t="s">
        <v>220</v>
      </c>
      <c r="Z1813" s="147" t="s">
        <v>11439</v>
      </c>
      <c r="AA1813" s="147" t="s">
        <v>11440</v>
      </c>
      <c r="AB1813" s="139" t="s">
        <v>11441</v>
      </c>
      <c r="AC1813" s="139" t="s">
        <v>11442</v>
      </c>
      <c r="AD1813" s="60" t="s">
        <v>125</v>
      </c>
      <c r="AE1813" s="144">
        <v>2646.0</v>
      </c>
      <c r="AF1813" s="144">
        <f>(0.89/(1-0.89))/(0.11/(1-0.11))</f>
        <v>65.46280992</v>
      </c>
      <c r="AG1813" s="139" t="s">
        <v>722</v>
      </c>
      <c r="AH1813" s="139" t="s">
        <v>11443</v>
      </c>
      <c r="AI1813" s="144">
        <v>0.001</v>
      </c>
      <c r="AJ1813" s="147" t="s">
        <v>127</v>
      </c>
      <c r="AK1813" s="1468" t="s">
        <v>179</v>
      </c>
      <c r="AL1813" s="60" t="s">
        <v>129</v>
      </c>
      <c r="AM1813" s="147" t="s">
        <v>165</v>
      </c>
      <c r="AN1813" s="144">
        <v>6842.0</v>
      </c>
      <c r="AO1813" s="144">
        <v>1.35</v>
      </c>
      <c r="AP1813" s="147" t="s">
        <v>166</v>
      </c>
      <c r="AQ1813" s="147" t="s">
        <v>11444</v>
      </c>
      <c r="AR1813" s="1459">
        <f>2.2*10^-16</f>
        <v>0</v>
      </c>
      <c r="AS1813" s="147" t="s">
        <v>164</v>
      </c>
      <c r="AT1813" s="147" t="s">
        <v>179</v>
      </c>
      <c r="AU1813" s="60" t="s">
        <v>129</v>
      </c>
      <c r="AV1813" s="410" t="s">
        <v>11355</v>
      </c>
      <c r="AW1813" s="60" t="s">
        <v>134</v>
      </c>
      <c r="AX1813" s="60"/>
      <c r="AY1813" s="115" t="s">
        <v>11070</v>
      </c>
    </row>
    <row r="1814">
      <c r="A1814" s="60" t="s">
        <v>106</v>
      </c>
      <c r="B1814" s="41" t="s">
        <v>107</v>
      </c>
      <c r="C1814" s="41" t="s">
        <v>108</v>
      </c>
      <c r="E1814" s="60" t="s">
        <v>11431</v>
      </c>
      <c r="F1814" s="60" t="s">
        <v>11432</v>
      </c>
      <c r="G1814" s="614" t="s">
        <v>6097</v>
      </c>
      <c r="H1814" s="140">
        <v>45667.0</v>
      </c>
      <c r="I1814" s="140">
        <v>45693.0</v>
      </c>
      <c r="J1814" s="60"/>
      <c r="K1814" s="60"/>
      <c r="L1814" s="60" t="s">
        <v>11435</v>
      </c>
      <c r="M1814" s="60" t="s">
        <v>11436</v>
      </c>
      <c r="N1814" s="147" t="s">
        <v>11445</v>
      </c>
      <c r="O1814" s="147" t="str">
        <f> SUBSTITUTE(lower(M1814), "/", "--") &amp;  ".pdf"</f>
        <v>10.1111-- j.1468-0017.2006.00297.x.pdf</v>
      </c>
      <c r="P1814" s="1513" t="str">
        <f> hyperlink(vlookup(lower(M1814),'File Links'!D:E, 2, FALSE), "LINK")</f>
        <v>LINK</v>
      </c>
      <c r="Q1814" s="1460" t="s">
        <v>11345</v>
      </c>
      <c r="R1814" s="1460" t="s">
        <v>11346</v>
      </c>
      <c r="S1814" s="60"/>
      <c r="T1814" s="60"/>
      <c r="U1814" s="147" t="s">
        <v>11347</v>
      </c>
      <c r="V1814" s="1354" t="s">
        <v>202</v>
      </c>
      <c r="W1814" s="544" t="str">
        <f t="array" ref="W1814">HYPERLINK(INDEX('File Links'!I:I, MATCH(U1814, 'File Links'!J:J, 0)))
</f>
        <v>#N/A</v>
      </c>
      <c r="X1814" s="60"/>
      <c r="Y1814" s="147" t="s">
        <v>220</v>
      </c>
      <c r="Z1814" s="60"/>
      <c r="AA1814" s="147" t="s">
        <v>11440</v>
      </c>
      <c r="AB1814" s="147" t="s">
        <v>11446</v>
      </c>
      <c r="AC1814" s="147" t="s">
        <v>11447</v>
      </c>
      <c r="AD1814" s="144">
        <v>7.0</v>
      </c>
      <c r="AE1814" s="144">
        <v>2646.0</v>
      </c>
      <c r="AF1814" s="144">
        <v>0.78</v>
      </c>
      <c r="AG1814" s="147" t="s">
        <v>6909</v>
      </c>
      <c r="AH1814" s="147" t="s">
        <v>125</v>
      </c>
      <c r="AI1814" s="144">
        <v>0.001</v>
      </c>
      <c r="AJ1814" s="147" t="s">
        <v>127</v>
      </c>
      <c r="AK1814" s="147" t="s">
        <v>211</v>
      </c>
      <c r="AL1814" s="60" t="s">
        <v>821</v>
      </c>
      <c r="AM1814" s="60"/>
      <c r="AN1814" s="144">
        <v>6842.0</v>
      </c>
      <c r="AO1814" s="144">
        <v>11.54</v>
      </c>
      <c r="AP1814" s="147" t="s">
        <v>722</v>
      </c>
      <c r="AQ1814" s="1268" t="s">
        <v>297</v>
      </c>
      <c r="AR1814" s="1351">
        <v>2.2E-16</v>
      </c>
      <c r="AS1814" s="147" t="s">
        <v>164</v>
      </c>
      <c r="AT1814" s="1268" t="s">
        <v>179</v>
      </c>
      <c r="AU1814" s="60" t="s">
        <v>129</v>
      </c>
      <c r="AV1814" s="1461" t="s">
        <v>11355</v>
      </c>
      <c r="AW1814" s="60" t="s">
        <v>134</v>
      </c>
      <c r="AX1814" s="60"/>
      <c r="AY1814" s="60" t="s">
        <v>11025</v>
      </c>
    </row>
    <row r="1815">
      <c r="A1815" s="115" t="s">
        <v>143</v>
      </c>
      <c r="B1815" s="41" t="s">
        <v>107</v>
      </c>
      <c r="C1815" s="41" t="s">
        <v>226</v>
      </c>
      <c r="E1815" s="60" t="s">
        <v>11448</v>
      </c>
      <c r="F1815" s="147" t="s">
        <v>11449</v>
      </c>
      <c r="G1815" s="147" t="s">
        <v>11005</v>
      </c>
      <c r="H1815" s="140">
        <v>45687.0</v>
      </c>
      <c r="I1815" s="140">
        <v>45693.0</v>
      </c>
      <c r="J1815" s="147" t="s">
        <v>11450</v>
      </c>
      <c r="K1815" s="147"/>
      <c r="L1815" s="147" t="s">
        <v>11451</v>
      </c>
      <c r="M1815" s="147" t="s">
        <v>11452</v>
      </c>
      <c r="N1815" s="149" t="s">
        <v>3771</v>
      </c>
      <c r="O1815" s="147" t="s">
        <v>11453</v>
      </c>
      <c r="P1815" s="48" t="str">
        <f t="array" ref="P1815">HYPERLINK(INDEX('File Links'!B:B, MATCH(O1815, 'File Links'!C:C, 0)))
</f>
        <v>https://drive.google.com/file/d/16b2RhNig_5iqWitXUKqz28-xsE4N6txd/view?usp=drivesdk</v>
      </c>
      <c r="Q1815" s="147" t="s">
        <v>11345</v>
      </c>
      <c r="R1815" s="147" t="s">
        <v>11346</v>
      </c>
      <c r="S1815" s="60"/>
      <c r="T1815" s="144">
        <v>7.0</v>
      </c>
      <c r="U1815" s="147" t="s">
        <v>11347</v>
      </c>
      <c r="V1815" s="60" t="s">
        <v>202</v>
      </c>
      <c r="W1815" s="544" t="str">
        <f t="array" ref="W1815">HYPERLINK(INDEX('File Links'!I:I, MATCH(U1815, 'File Links'!J:J, 0)))
</f>
        <v>#N/A</v>
      </c>
      <c r="X1815" s="60"/>
      <c r="Y1815" s="1460" t="s">
        <v>220</v>
      </c>
      <c r="Z1815" s="147" t="s">
        <v>11454</v>
      </c>
      <c r="AA1815" s="1460" t="s">
        <v>11455</v>
      </c>
      <c r="AB1815" s="147" t="s">
        <v>11456</v>
      </c>
      <c r="AC1815" s="139" t="s">
        <v>11457</v>
      </c>
      <c r="AD1815" s="147" t="s">
        <v>11425</v>
      </c>
      <c r="AE1815" s="144">
        <v>80.0</v>
      </c>
      <c r="AF1815" s="139" t="s">
        <v>11458</v>
      </c>
      <c r="AG1815" s="147" t="s">
        <v>162</v>
      </c>
      <c r="AH1815" s="147" t="s">
        <v>11459</v>
      </c>
      <c r="AI1815" s="144">
        <v>0.001</v>
      </c>
      <c r="AJ1815" s="147" t="s">
        <v>127</v>
      </c>
      <c r="AK1815" s="147" t="s">
        <v>179</v>
      </c>
      <c r="AL1815" s="60" t="s">
        <v>129</v>
      </c>
      <c r="AM1815" s="147" t="s">
        <v>165</v>
      </c>
      <c r="AN1815" s="144">
        <v>7205.0</v>
      </c>
      <c r="AO1815" s="144">
        <v>1.18</v>
      </c>
      <c r="AP1815" s="147" t="s">
        <v>166</v>
      </c>
      <c r="AQ1815" s="147" t="s">
        <v>11460</v>
      </c>
      <c r="AR1815" s="1459">
        <f t="shared" ref="AR1815:AR1816" si="93">2.2*10^-16</f>
        <v>0</v>
      </c>
      <c r="AS1815" s="1460" t="s">
        <v>164</v>
      </c>
      <c r="AT1815" s="147" t="s">
        <v>179</v>
      </c>
      <c r="AU1815" s="60" t="s">
        <v>129</v>
      </c>
      <c r="AV1815" s="410" t="s">
        <v>11355</v>
      </c>
      <c r="AW1815" s="60" t="s">
        <v>134</v>
      </c>
      <c r="AX1815" s="60"/>
      <c r="AY1815" s="115" t="s">
        <v>11070</v>
      </c>
    </row>
    <row r="1816">
      <c r="A1816" s="115" t="s">
        <v>143</v>
      </c>
      <c r="B1816" s="41" t="s">
        <v>107</v>
      </c>
      <c r="C1816" s="41" t="s">
        <v>226</v>
      </c>
      <c r="E1816" s="60" t="s">
        <v>11448</v>
      </c>
      <c r="F1816" s="147" t="s">
        <v>11461</v>
      </c>
      <c r="G1816" s="147" t="s">
        <v>11005</v>
      </c>
      <c r="H1816" s="140">
        <v>45687.0</v>
      </c>
      <c r="I1816" s="140">
        <v>45693.0</v>
      </c>
      <c r="J1816" s="60"/>
      <c r="K1816" s="60"/>
      <c r="L1816" s="147" t="s">
        <v>11462</v>
      </c>
      <c r="M1816" s="147" t="s">
        <v>11452</v>
      </c>
      <c r="N1816" s="149" t="s">
        <v>3787</v>
      </c>
      <c r="O1816" s="147" t="s">
        <v>11453</v>
      </c>
      <c r="P1816" s="48" t="str">
        <f t="array" ref="P1816">HYPERLINK(INDEX('File Links'!B:B, MATCH(O1816, 'File Links'!C:C, 0)))
</f>
        <v>https://drive.google.com/file/d/16b2RhNig_5iqWitXUKqz28-xsE4N6txd/view?usp=drivesdk</v>
      </c>
      <c r="Q1816" s="147" t="s">
        <v>11345</v>
      </c>
      <c r="R1816" s="147" t="s">
        <v>11346</v>
      </c>
      <c r="S1816" s="60"/>
      <c r="T1816" s="144">
        <v>9.0</v>
      </c>
      <c r="U1816" s="147" t="s">
        <v>11347</v>
      </c>
      <c r="V1816" s="60" t="s">
        <v>202</v>
      </c>
      <c r="W1816" s="544" t="str">
        <f t="array" ref="W1816">HYPERLINK(INDEX('File Links'!I:I, MATCH(U1816, 'File Links'!J:J, 0)))
</f>
        <v>#N/A</v>
      </c>
      <c r="X1816" s="60"/>
      <c r="Y1816" s="1460" t="s">
        <v>220</v>
      </c>
      <c r="Z1816" s="147" t="s">
        <v>11454</v>
      </c>
      <c r="AA1816" s="1460" t="s">
        <v>11455</v>
      </c>
      <c r="AB1816" s="147" t="s">
        <v>11463</v>
      </c>
      <c r="AC1816" s="139" t="s">
        <v>11464</v>
      </c>
      <c r="AD1816" s="147" t="s">
        <v>11425</v>
      </c>
      <c r="AE1816" s="144">
        <v>80.0</v>
      </c>
      <c r="AF1816" s="139" t="s">
        <v>11465</v>
      </c>
      <c r="AG1816" s="147" t="s">
        <v>162</v>
      </c>
      <c r="AH1816" s="147" t="s">
        <v>11459</v>
      </c>
      <c r="AI1816" s="144">
        <v>0.001</v>
      </c>
      <c r="AJ1816" s="147" t="s">
        <v>127</v>
      </c>
      <c r="AK1816" s="147" t="s">
        <v>179</v>
      </c>
      <c r="AL1816" s="60" t="s">
        <v>129</v>
      </c>
      <c r="AM1816" s="147" t="s">
        <v>165</v>
      </c>
      <c r="AN1816" s="144">
        <v>7827.0</v>
      </c>
      <c r="AO1816" s="144">
        <v>0.95</v>
      </c>
      <c r="AP1816" s="147" t="s">
        <v>166</v>
      </c>
      <c r="AQ1816" s="147" t="s">
        <v>11460</v>
      </c>
      <c r="AR1816" s="1459">
        <f t="shared" si="93"/>
        <v>0</v>
      </c>
      <c r="AS1816" s="1460" t="s">
        <v>164</v>
      </c>
      <c r="AT1816" s="147" t="s">
        <v>179</v>
      </c>
      <c r="AU1816" s="60" t="s">
        <v>129</v>
      </c>
      <c r="AV1816" s="410" t="s">
        <v>11355</v>
      </c>
      <c r="AW1816" s="60" t="s">
        <v>134</v>
      </c>
      <c r="AX1816" s="60"/>
      <c r="AY1816" s="115" t="s">
        <v>11070</v>
      </c>
    </row>
    <row r="1817">
      <c r="A1817" s="60" t="s">
        <v>106</v>
      </c>
      <c r="B1817" s="41" t="s">
        <v>107</v>
      </c>
      <c r="C1817" s="41" t="s">
        <v>108</v>
      </c>
      <c r="E1817" s="60" t="s">
        <v>11448</v>
      </c>
      <c r="F1817" s="147" t="s">
        <v>11449</v>
      </c>
      <c r="G1817" s="614" t="s">
        <v>6097</v>
      </c>
      <c r="H1817" s="140">
        <v>45673.0</v>
      </c>
      <c r="I1817" s="140">
        <v>45693.0</v>
      </c>
      <c r="J1817" s="60"/>
      <c r="K1817" s="60"/>
      <c r="L1817" s="60" t="s">
        <v>11466</v>
      </c>
      <c r="M1817" s="60" t="s">
        <v>11452</v>
      </c>
      <c r="N1817" s="144">
        <v>1.0</v>
      </c>
      <c r="O1817" s="147" t="str">
        <f t="shared" ref="O1817:O1818" si="94"> SUBSTITUTE(lower(M1817), "/", "--") &amp;  ".pdf"</f>
        <v>10.1016--0022-1031(77)90049-x.pdf</v>
      </c>
      <c r="P1817" s="1513" t="str">
        <f> hyperlink(vlookup(lower(M1817),'File Links'!D:E, 2, FALSE), "LINK")</f>
        <v>LINK</v>
      </c>
      <c r="Q1817" s="1460" t="s">
        <v>11345</v>
      </c>
      <c r="R1817" s="1460" t="s">
        <v>11346</v>
      </c>
      <c r="S1817" s="60"/>
      <c r="T1817" s="60"/>
      <c r="U1817" s="147" t="s">
        <v>11347</v>
      </c>
      <c r="V1817" s="1354" t="s">
        <v>202</v>
      </c>
      <c r="W1817" s="544" t="str">
        <f t="array" ref="W1817">HYPERLINK(INDEX('File Links'!I:I, MATCH(U1817, 'File Links'!J:J, 0)))
</f>
        <v>#N/A</v>
      </c>
      <c r="X1817" s="60"/>
      <c r="Y1817" s="147" t="s">
        <v>220</v>
      </c>
      <c r="Z1817" s="147" t="s">
        <v>11467</v>
      </c>
      <c r="AA1817" s="147" t="s">
        <v>11455</v>
      </c>
      <c r="AB1817" s="147" t="s">
        <v>11468</v>
      </c>
      <c r="AC1817" s="147" t="s">
        <v>11469</v>
      </c>
      <c r="AD1817" s="144">
        <v>7.0</v>
      </c>
      <c r="AE1817" s="144">
        <v>80.0</v>
      </c>
      <c r="AF1817" s="1268" t="s">
        <v>11470</v>
      </c>
      <c r="AG1817" s="147" t="s">
        <v>162</v>
      </c>
      <c r="AH1817" s="147" t="s">
        <v>892</v>
      </c>
      <c r="AI1817" s="144">
        <v>0.001</v>
      </c>
      <c r="AJ1817" s="147" t="s">
        <v>127</v>
      </c>
      <c r="AK1817" s="147" t="s">
        <v>179</v>
      </c>
      <c r="AL1817" s="60" t="s">
        <v>129</v>
      </c>
      <c r="AM1817" s="60"/>
      <c r="AN1817" s="1265">
        <v>7827.0</v>
      </c>
      <c r="AO1817" s="144">
        <v>1.18</v>
      </c>
      <c r="AP1817" s="147" t="s">
        <v>166</v>
      </c>
      <c r="AQ1817" s="147" t="s">
        <v>1574</v>
      </c>
      <c r="AR1817" s="1351">
        <v>2.2E-16</v>
      </c>
      <c r="AS1817" s="147" t="s">
        <v>164</v>
      </c>
      <c r="AT1817" s="147" t="s">
        <v>179</v>
      </c>
      <c r="AU1817" s="60" t="s">
        <v>129</v>
      </c>
      <c r="AV1817" s="1461" t="s">
        <v>11355</v>
      </c>
      <c r="AW1817" s="60" t="s">
        <v>134</v>
      </c>
      <c r="AX1817" s="60"/>
      <c r="AY1817" s="60" t="s">
        <v>11025</v>
      </c>
    </row>
    <row r="1818">
      <c r="A1818" s="60" t="s">
        <v>106</v>
      </c>
      <c r="B1818" s="41" t="s">
        <v>107</v>
      </c>
      <c r="C1818" s="41" t="s">
        <v>108</v>
      </c>
      <c r="E1818" s="60" t="s">
        <v>11448</v>
      </c>
      <c r="F1818" s="147" t="s">
        <v>11461</v>
      </c>
      <c r="G1818" s="614" t="s">
        <v>6097</v>
      </c>
      <c r="H1818" s="140">
        <v>45673.0</v>
      </c>
      <c r="I1818" s="140">
        <v>45693.0</v>
      </c>
      <c r="J1818" s="60"/>
      <c r="K1818" s="60"/>
      <c r="L1818" s="60" t="s">
        <v>11466</v>
      </c>
      <c r="M1818" s="60" t="s">
        <v>11452</v>
      </c>
      <c r="N1818" s="144">
        <v>1.0</v>
      </c>
      <c r="O1818" s="147" t="str">
        <f t="shared" si="94"/>
        <v>10.1016--0022-1031(77)90049-x.pdf</v>
      </c>
      <c r="P1818" s="1513" t="str">
        <f> hyperlink(vlookup(lower(M1818),'File Links'!D:E, 2, FALSE), "LINK")</f>
        <v>LINK</v>
      </c>
      <c r="Q1818" s="1460" t="s">
        <v>11345</v>
      </c>
      <c r="R1818" s="1460" t="s">
        <v>11346</v>
      </c>
      <c r="S1818" s="60"/>
      <c r="T1818" s="60"/>
      <c r="U1818" s="147" t="s">
        <v>11347</v>
      </c>
      <c r="V1818" s="1354" t="s">
        <v>202</v>
      </c>
      <c r="W1818" s="544" t="str">
        <f t="array" ref="W1818">HYPERLINK(INDEX('File Links'!I:I, MATCH(U1818, 'File Links'!J:J, 0)))
</f>
        <v>#N/A</v>
      </c>
      <c r="X1818" s="60"/>
      <c r="Y1818" s="147" t="s">
        <v>220</v>
      </c>
      <c r="Z1818" s="147" t="s">
        <v>11467</v>
      </c>
      <c r="AA1818" s="147" t="s">
        <v>11455</v>
      </c>
      <c r="AB1818" s="147" t="s">
        <v>11471</v>
      </c>
      <c r="AC1818" s="147" t="s">
        <v>11472</v>
      </c>
      <c r="AD1818" s="144">
        <v>7.0</v>
      </c>
      <c r="AE1818" s="144">
        <v>80.0</v>
      </c>
      <c r="AF1818" s="147" t="s">
        <v>11465</v>
      </c>
      <c r="AG1818" s="147" t="s">
        <v>162</v>
      </c>
      <c r="AH1818" s="147" t="s">
        <v>892</v>
      </c>
      <c r="AI1818" s="144">
        <v>0.1</v>
      </c>
      <c r="AJ1818" s="147" t="s">
        <v>127</v>
      </c>
      <c r="AK1818" s="147" t="s">
        <v>179</v>
      </c>
      <c r="AL1818" s="60" t="s">
        <v>129</v>
      </c>
      <c r="AM1818" s="60"/>
      <c r="AN1818" s="144">
        <v>7827.0</v>
      </c>
      <c r="AO1818" s="144">
        <v>0.95</v>
      </c>
      <c r="AP1818" s="147" t="s">
        <v>166</v>
      </c>
      <c r="AQ1818" s="147" t="s">
        <v>1574</v>
      </c>
      <c r="AR1818" s="1351">
        <v>2.2E-16</v>
      </c>
      <c r="AS1818" s="147" t="s">
        <v>164</v>
      </c>
      <c r="AT1818" s="147" t="s">
        <v>179</v>
      </c>
      <c r="AU1818" s="60" t="s">
        <v>129</v>
      </c>
      <c r="AV1818" s="1461" t="s">
        <v>11355</v>
      </c>
      <c r="AW1818" s="60" t="s">
        <v>134</v>
      </c>
      <c r="AX1818" s="60"/>
      <c r="AY1818" s="60" t="s">
        <v>11025</v>
      </c>
    </row>
    <row r="1819">
      <c r="A1819" s="115" t="s">
        <v>143</v>
      </c>
      <c r="B1819" s="41" t="s">
        <v>107</v>
      </c>
      <c r="C1819" s="41" t="s">
        <v>226</v>
      </c>
      <c r="E1819" s="60" t="s">
        <v>11473</v>
      </c>
      <c r="F1819" s="60" t="s">
        <v>11474</v>
      </c>
      <c r="G1819" s="147" t="s">
        <v>11005</v>
      </c>
      <c r="H1819" s="140">
        <v>45687.0</v>
      </c>
      <c r="I1819" s="140">
        <v>45693.0</v>
      </c>
      <c r="J1819" s="60"/>
      <c r="K1819" s="147" t="s">
        <v>11475</v>
      </c>
      <c r="L1819" s="147" t="s">
        <v>11476</v>
      </c>
      <c r="M1819" s="147" t="s">
        <v>11477</v>
      </c>
      <c r="N1819" s="147" t="s">
        <v>3771</v>
      </c>
      <c r="O1819" s="147" t="s">
        <v>11478</v>
      </c>
      <c r="P1819" s="48" t="str">
        <f t="array" ref="P1819">HYPERLINK(INDEX('File Links'!B:B, MATCH(O1819, 'File Links'!C:C, 0)))
</f>
        <v>https://drive.google.com/file/d/13LERMC05_TVKu6xv7g91wRtXxu0ET1Tj/view?usp=drivesdk</v>
      </c>
      <c r="Q1819" s="147" t="s">
        <v>11345</v>
      </c>
      <c r="R1819" s="147" t="s">
        <v>11346</v>
      </c>
      <c r="S1819" s="60"/>
      <c r="T1819" s="144">
        <v>8.0</v>
      </c>
      <c r="U1819" s="147" t="s">
        <v>11347</v>
      </c>
      <c r="V1819" s="60" t="s">
        <v>202</v>
      </c>
      <c r="W1819" s="544" t="str">
        <f t="array" ref="W1819">HYPERLINK(INDEX('File Links'!I:I, MATCH(U1819, 'File Links'!J:J, 0)))
</f>
        <v>#N/A</v>
      </c>
      <c r="X1819" s="60"/>
      <c r="Y1819" s="1460" t="s">
        <v>139</v>
      </c>
      <c r="Z1819" s="147" t="s">
        <v>11479</v>
      </c>
      <c r="AA1819" s="1460" t="s">
        <v>11480</v>
      </c>
      <c r="AB1819" s="147" t="s">
        <v>11479</v>
      </c>
      <c r="AC1819" s="139" t="s">
        <v>11481</v>
      </c>
      <c r="AD1819" s="147" t="s">
        <v>11482</v>
      </c>
      <c r="AE1819" s="144">
        <v>69.0</v>
      </c>
      <c r="AF1819" s="147" t="s">
        <v>11483</v>
      </c>
      <c r="AG1819" s="147" t="s">
        <v>162</v>
      </c>
      <c r="AH1819" s="147" t="s">
        <v>11482</v>
      </c>
      <c r="AI1819" s="144">
        <v>0.01</v>
      </c>
      <c r="AJ1819" s="147" t="s">
        <v>127</v>
      </c>
      <c r="AK1819" s="147" t="s">
        <v>179</v>
      </c>
      <c r="AL1819" s="60" t="s">
        <v>129</v>
      </c>
      <c r="AM1819" s="147" t="s">
        <v>165</v>
      </c>
      <c r="AN1819" s="144">
        <v>8002.0</v>
      </c>
      <c r="AO1819" s="144">
        <v>0.95</v>
      </c>
      <c r="AP1819" s="147" t="s">
        <v>166</v>
      </c>
      <c r="AQ1819" s="147" t="s">
        <v>11484</v>
      </c>
      <c r="AR1819" s="1459">
        <f>3.32*10^-285</f>
        <v>0</v>
      </c>
      <c r="AS1819" s="147" t="s">
        <v>127</v>
      </c>
      <c r="AT1819" s="147" t="s">
        <v>179</v>
      </c>
      <c r="AU1819" s="60" t="s">
        <v>129</v>
      </c>
      <c r="AV1819" s="410" t="s">
        <v>11355</v>
      </c>
      <c r="AW1819" s="60" t="s">
        <v>134</v>
      </c>
      <c r="AX1819" s="60"/>
      <c r="AY1819" s="115" t="s">
        <v>11070</v>
      </c>
    </row>
    <row r="1820">
      <c r="A1820" s="60" t="s">
        <v>106</v>
      </c>
      <c r="B1820" s="41" t="s">
        <v>107</v>
      </c>
      <c r="C1820" s="41" t="s">
        <v>108</v>
      </c>
      <c r="E1820" s="60" t="s">
        <v>11473</v>
      </c>
      <c r="F1820" s="60" t="s">
        <v>11474</v>
      </c>
      <c r="G1820" s="614" t="s">
        <v>6097</v>
      </c>
      <c r="H1820" s="140">
        <v>45667.0</v>
      </c>
      <c r="I1820" s="140">
        <v>45693.0</v>
      </c>
      <c r="J1820" s="60"/>
      <c r="K1820" s="147" t="s">
        <v>11485</v>
      </c>
      <c r="L1820" s="60" t="s">
        <v>11476</v>
      </c>
      <c r="M1820" s="60" t="s">
        <v>11477</v>
      </c>
      <c r="N1820" s="147" t="s">
        <v>3771</v>
      </c>
      <c r="O1820" s="147" t="str">
        <f t="shared" ref="O1820:O1822" si="95"> SUBSTITUTE(lower(M1820), "/", "--") &amp;  ".pdf"</f>
        <v>10.1037--a0013748.pdf</v>
      </c>
      <c r="P1820" s="48" t="str">
        <f t="array" ref="P1820">HYPERLINK(INDEX('File Links'!B:B, MATCH(O1820, 'File Links'!C:C, 0)))
</f>
        <v>https://drive.google.com/file/d/13LERMC05_TVKu6xv7g91wRtXxu0ET1Tj/view?usp=drivesdk</v>
      </c>
      <c r="Q1820" s="1460" t="s">
        <v>11345</v>
      </c>
      <c r="R1820" s="1460" t="s">
        <v>11346</v>
      </c>
      <c r="S1820" s="60"/>
      <c r="T1820" s="1459">
        <v>8.0</v>
      </c>
      <c r="U1820" s="147" t="s">
        <v>11347</v>
      </c>
      <c r="V1820" s="147" t="s">
        <v>11385</v>
      </c>
      <c r="W1820" s="544" t="str">
        <f t="array" ref="W1820">HYPERLINK(INDEX('File Links'!I:I, MATCH(U1820, 'File Links'!J:J, 0)))
</f>
        <v>#N/A</v>
      </c>
      <c r="X1820" s="60"/>
      <c r="Y1820" s="147" t="s">
        <v>139</v>
      </c>
      <c r="Z1820" s="60"/>
      <c r="AA1820" s="147" t="s">
        <v>11480</v>
      </c>
      <c r="AB1820" s="147" t="s">
        <v>11486</v>
      </c>
      <c r="AC1820" s="147" t="s">
        <v>11487</v>
      </c>
      <c r="AD1820" s="1460" t="s">
        <v>11482</v>
      </c>
      <c r="AE1820" s="144">
        <v>69.0</v>
      </c>
      <c r="AF1820" s="147" t="s">
        <v>11488</v>
      </c>
      <c r="AG1820" s="147" t="s">
        <v>162</v>
      </c>
      <c r="AH1820" s="1460" t="s">
        <v>11482</v>
      </c>
      <c r="AI1820" s="144">
        <v>0.01</v>
      </c>
      <c r="AJ1820" s="147" t="s">
        <v>127</v>
      </c>
      <c r="AK1820" s="147" t="s">
        <v>179</v>
      </c>
      <c r="AL1820" s="60" t="s">
        <v>129</v>
      </c>
      <c r="AM1820" s="1460" t="s">
        <v>165</v>
      </c>
      <c r="AN1820" s="144">
        <v>8002.0</v>
      </c>
      <c r="AO1820" s="144">
        <v>0.95</v>
      </c>
      <c r="AP1820" s="147" t="s">
        <v>166</v>
      </c>
      <c r="AQ1820" s="1460" t="s">
        <v>11484</v>
      </c>
      <c r="AR1820" s="1351">
        <v>3.32E-285</v>
      </c>
      <c r="AS1820" s="147" t="s">
        <v>127</v>
      </c>
      <c r="AT1820" s="147" t="s">
        <v>179</v>
      </c>
      <c r="AU1820" s="60" t="s">
        <v>129</v>
      </c>
      <c r="AV1820" s="1461" t="s">
        <v>11355</v>
      </c>
      <c r="AW1820" s="60" t="s">
        <v>134</v>
      </c>
      <c r="AX1820" s="60"/>
      <c r="AY1820" s="60" t="s">
        <v>11025</v>
      </c>
    </row>
    <row r="1821">
      <c r="A1821" s="134" t="s">
        <v>520</v>
      </c>
      <c r="B1821" s="41" t="s">
        <v>107</v>
      </c>
      <c r="C1821" s="41" t="s">
        <v>108</v>
      </c>
      <c r="E1821" s="60" t="s">
        <v>11473</v>
      </c>
      <c r="F1821" s="147" t="s">
        <v>11489</v>
      </c>
      <c r="G1821" s="614" t="s">
        <v>6097</v>
      </c>
      <c r="H1821" s="140">
        <v>45667.0</v>
      </c>
      <c r="I1821" s="140">
        <v>45693.0</v>
      </c>
      <c r="J1821" s="60"/>
      <c r="K1821" s="147" t="s">
        <v>11490</v>
      </c>
      <c r="L1821" s="60" t="s">
        <v>11476</v>
      </c>
      <c r="M1821" s="60" t="s">
        <v>11477</v>
      </c>
      <c r="N1821" s="147" t="s">
        <v>3771</v>
      </c>
      <c r="O1821" s="147" t="str">
        <f t="shared" si="95"/>
        <v>10.1037--a0013748.pdf</v>
      </c>
      <c r="P1821" s="48" t="str">
        <f t="array" ref="P1821">HYPERLINK(INDEX('File Links'!B:B, MATCH(O1821, 'File Links'!C:C, 0)))
</f>
        <v>https://drive.google.com/file/d/13LERMC05_TVKu6xv7g91wRtXxu0ET1Tj/view?usp=drivesdk</v>
      </c>
      <c r="Q1821" s="1460" t="s">
        <v>11345</v>
      </c>
      <c r="R1821" s="1460" t="s">
        <v>11346</v>
      </c>
      <c r="S1821" s="60"/>
      <c r="T1821" s="1459">
        <v>8.0</v>
      </c>
      <c r="U1821" s="147" t="s">
        <v>11347</v>
      </c>
      <c r="V1821" s="147" t="s">
        <v>11385</v>
      </c>
      <c r="W1821" s="544" t="str">
        <f t="array" ref="W1821">HYPERLINK(INDEX('File Links'!I:I, MATCH(U1821, 'File Links'!J:J, 0)))
</f>
        <v>#N/A</v>
      </c>
      <c r="X1821" s="60"/>
      <c r="Y1821" s="147" t="s">
        <v>139</v>
      </c>
      <c r="Z1821" s="60"/>
      <c r="AA1821" s="147" t="s">
        <v>11480</v>
      </c>
      <c r="AB1821" s="147" t="s">
        <v>11491</v>
      </c>
      <c r="AC1821" s="147" t="s">
        <v>11492</v>
      </c>
      <c r="AD1821" s="1460" t="s">
        <v>11482</v>
      </c>
      <c r="AE1821" s="144">
        <v>69.0</v>
      </c>
      <c r="AF1821" s="147" t="s">
        <v>11493</v>
      </c>
      <c r="AG1821" s="147" t="s">
        <v>162</v>
      </c>
      <c r="AH1821" s="1460" t="s">
        <v>11482</v>
      </c>
      <c r="AI1821" s="144">
        <v>0.05</v>
      </c>
      <c r="AJ1821" s="147" t="s">
        <v>127</v>
      </c>
      <c r="AK1821" s="147" t="s">
        <v>179</v>
      </c>
      <c r="AL1821" s="60" t="s">
        <v>129</v>
      </c>
      <c r="AM1821" s="1460" t="s">
        <v>165</v>
      </c>
      <c r="AN1821" s="144">
        <v>8002.0</v>
      </c>
      <c r="AO1821" s="144">
        <v>0.5</v>
      </c>
      <c r="AP1821" s="147" t="s">
        <v>166</v>
      </c>
      <c r="AQ1821" s="1460" t="s">
        <v>11484</v>
      </c>
      <c r="AR1821" s="1459">
        <f>8.3*10^-109</f>
        <v>0</v>
      </c>
      <c r="AS1821" s="147" t="s">
        <v>164</v>
      </c>
      <c r="AT1821" s="147" t="s">
        <v>179</v>
      </c>
      <c r="AU1821" s="60" t="s">
        <v>129</v>
      </c>
      <c r="AV1821" s="1461" t="s">
        <v>11355</v>
      </c>
      <c r="AW1821" s="60" t="s">
        <v>134</v>
      </c>
      <c r="AX1821" s="1516"/>
      <c r="AY1821" s="60" t="s">
        <v>11025</v>
      </c>
    </row>
    <row r="1822">
      <c r="A1822" s="134" t="s">
        <v>520</v>
      </c>
      <c r="B1822" s="41" t="s">
        <v>107</v>
      </c>
      <c r="C1822" s="41" t="s">
        <v>108</v>
      </c>
      <c r="E1822" s="60" t="s">
        <v>11473</v>
      </c>
      <c r="F1822" s="147" t="s">
        <v>11494</v>
      </c>
      <c r="G1822" s="614" t="s">
        <v>6097</v>
      </c>
      <c r="H1822" s="140">
        <v>45667.0</v>
      </c>
      <c r="I1822" s="140">
        <v>45693.0</v>
      </c>
      <c r="J1822" s="60"/>
      <c r="K1822" s="147" t="s">
        <v>11490</v>
      </c>
      <c r="L1822" s="60" t="s">
        <v>11476</v>
      </c>
      <c r="M1822" s="60" t="s">
        <v>11477</v>
      </c>
      <c r="N1822" s="147" t="s">
        <v>3771</v>
      </c>
      <c r="O1822" s="147" t="str">
        <f t="shared" si="95"/>
        <v>10.1037--a0013748.pdf</v>
      </c>
      <c r="P1822" s="48" t="str">
        <f t="array" ref="P1822">HYPERLINK(INDEX('File Links'!B:B, MATCH(O1822, 'File Links'!C:C, 0)))
</f>
        <v>https://drive.google.com/file/d/13LERMC05_TVKu6xv7g91wRtXxu0ET1Tj/view?usp=drivesdk</v>
      </c>
      <c r="Q1822" s="1460" t="s">
        <v>11345</v>
      </c>
      <c r="R1822" s="1460" t="s">
        <v>11346</v>
      </c>
      <c r="S1822" s="60"/>
      <c r="T1822" s="1459">
        <v>8.0</v>
      </c>
      <c r="U1822" s="147" t="s">
        <v>11347</v>
      </c>
      <c r="V1822" s="147" t="s">
        <v>11385</v>
      </c>
      <c r="W1822" s="544" t="str">
        <f t="array" ref="W1822">HYPERLINK(INDEX('File Links'!I:I, MATCH(U1822, 'File Links'!J:J, 0)))
</f>
        <v>#N/A</v>
      </c>
      <c r="X1822" s="60"/>
      <c r="Y1822" s="147" t="s">
        <v>139</v>
      </c>
      <c r="Z1822" s="60"/>
      <c r="AA1822" s="147" t="s">
        <v>11480</v>
      </c>
      <c r="AB1822" s="147" t="s">
        <v>11495</v>
      </c>
      <c r="AC1822" s="147" t="s">
        <v>11496</v>
      </c>
      <c r="AD1822" s="1460" t="s">
        <v>11482</v>
      </c>
      <c r="AE1822" s="144">
        <v>69.0</v>
      </c>
      <c r="AF1822" s="147" t="s">
        <v>11497</v>
      </c>
      <c r="AG1822" s="147" t="s">
        <v>162</v>
      </c>
      <c r="AH1822" s="1460" t="s">
        <v>11482</v>
      </c>
      <c r="AI1822" s="144">
        <v>0.01</v>
      </c>
      <c r="AJ1822" s="147" t="s">
        <v>127</v>
      </c>
      <c r="AK1822" s="147" t="s">
        <v>179</v>
      </c>
      <c r="AL1822" s="60" t="s">
        <v>129</v>
      </c>
      <c r="AM1822" s="1460" t="s">
        <v>165</v>
      </c>
      <c r="AN1822" s="144">
        <v>8002.0</v>
      </c>
      <c r="AO1822" s="144">
        <v>0.62</v>
      </c>
      <c r="AP1822" s="147" t="s">
        <v>166</v>
      </c>
      <c r="AQ1822" s="1460" t="s">
        <v>11484</v>
      </c>
      <c r="AR1822" s="1459">
        <f>1.5*10^-159</f>
        <v>0</v>
      </c>
      <c r="AS1822" s="147" t="s">
        <v>164</v>
      </c>
      <c r="AT1822" s="147" t="s">
        <v>179</v>
      </c>
      <c r="AU1822" s="60" t="s">
        <v>129</v>
      </c>
      <c r="AV1822" s="1461" t="s">
        <v>11355</v>
      </c>
      <c r="AW1822" s="60" t="s">
        <v>134</v>
      </c>
      <c r="AX1822" s="60"/>
      <c r="AY1822" s="60" t="s">
        <v>11025</v>
      </c>
    </row>
    <row r="1823">
      <c r="A1823" s="60" t="s">
        <v>586</v>
      </c>
      <c r="B1823" s="41" t="s">
        <v>107</v>
      </c>
      <c r="C1823" s="41" t="s">
        <v>226</v>
      </c>
      <c r="E1823" s="60" t="s">
        <v>11498</v>
      </c>
      <c r="F1823" s="60" t="s">
        <v>11499</v>
      </c>
      <c r="G1823" s="147" t="s">
        <v>11005</v>
      </c>
      <c r="H1823" s="140">
        <v>45687.0</v>
      </c>
      <c r="I1823" s="140">
        <v>45693.0</v>
      </c>
      <c r="J1823" s="60"/>
      <c r="K1823" s="525" t="s">
        <v>11500</v>
      </c>
      <c r="L1823" s="147" t="s">
        <v>11501</v>
      </c>
      <c r="M1823" s="147" t="s">
        <v>11502</v>
      </c>
      <c r="N1823" s="144">
        <v>2.0</v>
      </c>
      <c r="O1823" s="147" t="s">
        <v>11503</v>
      </c>
      <c r="P1823" s="48" t="str">
        <f t="array" ref="P1823">HYPERLINK(INDEX('File Links'!B:B, MATCH(O1823, 'File Links'!C:C, 0)))
</f>
        <v>https://drive.google.com/file/d/1EqB8fMj26KyIHeW4JSKwYFh3F2LTTq5t/view?usp=drivesdk</v>
      </c>
      <c r="Q1823" s="147" t="s">
        <v>11345</v>
      </c>
      <c r="R1823" s="147" t="s">
        <v>11346</v>
      </c>
      <c r="S1823" s="60"/>
      <c r="T1823" s="144">
        <v>10.0</v>
      </c>
      <c r="U1823" s="147" t="s">
        <v>11347</v>
      </c>
      <c r="V1823" s="60" t="s">
        <v>202</v>
      </c>
      <c r="W1823" s="544" t="str">
        <f t="array" ref="W1823">HYPERLINK(INDEX('File Links'!I:I, MATCH(U1823, 'File Links'!J:J, 0)))
</f>
        <v>#N/A</v>
      </c>
      <c r="X1823" s="60"/>
      <c r="Y1823" s="1460" t="s">
        <v>139</v>
      </c>
      <c r="Z1823" s="60"/>
      <c r="AA1823" s="1460" t="s">
        <v>11504</v>
      </c>
      <c r="AB1823" s="147" t="s">
        <v>11505</v>
      </c>
      <c r="AC1823" s="147" t="s">
        <v>11506</v>
      </c>
      <c r="AD1823" s="147" t="s">
        <v>11507</v>
      </c>
      <c r="AE1823" s="144">
        <v>52.0</v>
      </c>
      <c r="AF1823" s="147" t="s">
        <v>11508</v>
      </c>
      <c r="AG1823" s="147" t="s">
        <v>162</v>
      </c>
      <c r="AH1823" s="147" t="s">
        <v>11507</v>
      </c>
      <c r="AI1823" s="144">
        <v>0.005</v>
      </c>
      <c r="AJ1823" s="147" t="s">
        <v>127</v>
      </c>
      <c r="AK1823" s="147" t="s">
        <v>179</v>
      </c>
      <c r="AL1823" s="60" t="s">
        <v>129</v>
      </c>
      <c r="AM1823" s="147" t="s">
        <v>165</v>
      </c>
      <c r="AN1823" s="144">
        <v>7396.0</v>
      </c>
      <c r="AO1823" s="144">
        <v>0.86</v>
      </c>
      <c r="AP1823" s="147" t="s">
        <v>166</v>
      </c>
      <c r="AQ1823" s="147" t="s">
        <v>11509</v>
      </c>
      <c r="AR1823" s="1459">
        <f t="shared" ref="AR1823:AR1824" si="96">3.04*10^-275</f>
        <v>0</v>
      </c>
      <c r="AS1823" s="147" t="s">
        <v>164</v>
      </c>
      <c r="AT1823" s="147" t="s">
        <v>179</v>
      </c>
      <c r="AU1823" s="60" t="s">
        <v>129</v>
      </c>
      <c r="AV1823" s="410" t="s">
        <v>11355</v>
      </c>
      <c r="AW1823" s="60" t="s">
        <v>134</v>
      </c>
      <c r="AX1823" s="60"/>
      <c r="AY1823" s="60" t="s">
        <v>11025</v>
      </c>
    </row>
    <row r="1824">
      <c r="A1824" s="60" t="s">
        <v>586</v>
      </c>
      <c r="B1824" s="41" t="s">
        <v>107</v>
      </c>
      <c r="C1824" s="41" t="s">
        <v>226</v>
      </c>
      <c r="E1824" s="60" t="s">
        <v>11498</v>
      </c>
      <c r="F1824" s="60" t="s">
        <v>11510</v>
      </c>
      <c r="G1824" s="147" t="s">
        <v>11005</v>
      </c>
      <c r="H1824" s="140">
        <v>45687.0</v>
      </c>
      <c r="I1824" s="140">
        <v>45693.0</v>
      </c>
      <c r="J1824" s="147" t="s">
        <v>11500</v>
      </c>
      <c r="K1824" s="525" t="s">
        <v>11511</v>
      </c>
      <c r="L1824" s="147" t="s">
        <v>11512</v>
      </c>
      <c r="M1824" s="147" t="s">
        <v>11502</v>
      </c>
      <c r="N1824" s="144">
        <v>3.0</v>
      </c>
      <c r="O1824" s="147" t="s">
        <v>11503</v>
      </c>
      <c r="P1824" s="48" t="str">
        <f t="array" ref="P1824">HYPERLINK(INDEX('File Links'!B:B, MATCH(O1824, 'File Links'!C:C, 0)))
</f>
        <v>https://drive.google.com/file/d/1EqB8fMj26KyIHeW4JSKwYFh3F2LTTq5t/view?usp=drivesdk</v>
      </c>
      <c r="Q1824" s="147" t="s">
        <v>11345</v>
      </c>
      <c r="R1824" s="147" t="s">
        <v>11346</v>
      </c>
      <c r="S1824" s="60"/>
      <c r="T1824" s="144">
        <v>11.0</v>
      </c>
      <c r="U1824" s="147" t="s">
        <v>11347</v>
      </c>
      <c r="V1824" s="60" t="s">
        <v>202</v>
      </c>
      <c r="W1824" s="544" t="str">
        <f t="array" ref="W1824">HYPERLINK(INDEX('File Links'!I:I, MATCH(U1824, 'File Links'!J:J, 0)))
</f>
        <v>#N/A</v>
      </c>
      <c r="X1824" s="60"/>
      <c r="Y1824" s="1460" t="s">
        <v>139</v>
      </c>
      <c r="Z1824" s="60"/>
      <c r="AA1824" s="1460" t="s">
        <v>11504</v>
      </c>
      <c r="AB1824" s="147" t="s">
        <v>11513</v>
      </c>
      <c r="AC1824" s="147" t="s">
        <v>11514</v>
      </c>
      <c r="AD1824" s="147" t="s">
        <v>11515</v>
      </c>
      <c r="AE1824" s="144">
        <v>53.0</v>
      </c>
      <c r="AF1824" s="147" t="s">
        <v>11516</v>
      </c>
      <c r="AG1824" s="147" t="s">
        <v>162</v>
      </c>
      <c r="AH1824" s="147" t="s">
        <v>11515</v>
      </c>
      <c r="AI1824" s="144">
        <v>0.05</v>
      </c>
      <c r="AJ1824" s="147" t="s">
        <v>164</v>
      </c>
      <c r="AK1824" s="147" t="s">
        <v>179</v>
      </c>
      <c r="AL1824" s="60" t="s">
        <v>129</v>
      </c>
      <c r="AM1824" s="147" t="s">
        <v>165</v>
      </c>
      <c r="AN1824" s="144">
        <v>7396.0</v>
      </c>
      <c r="AO1824" s="144">
        <v>0.86</v>
      </c>
      <c r="AP1824" s="147" t="s">
        <v>166</v>
      </c>
      <c r="AQ1824" s="147" t="s">
        <v>11509</v>
      </c>
      <c r="AR1824" s="1459">
        <f t="shared" si="96"/>
        <v>0</v>
      </c>
      <c r="AS1824" s="147" t="s">
        <v>164</v>
      </c>
      <c r="AT1824" s="147" t="s">
        <v>179</v>
      </c>
      <c r="AU1824" s="60" t="s">
        <v>129</v>
      </c>
      <c r="AV1824" s="410" t="s">
        <v>11355</v>
      </c>
      <c r="AW1824" s="60" t="s">
        <v>134</v>
      </c>
      <c r="AX1824" s="60"/>
      <c r="AY1824" s="60" t="s">
        <v>11025</v>
      </c>
    </row>
    <row r="1825">
      <c r="A1825" s="60" t="s">
        <v>586</v>
      </c>
      <c r="B1825" s="41" t="s">
        <v>107</v>
      </c>
      <c r="C1825" s="41" t="s">
        <v>108</v>
      </c>
      <c r="E1825" s="60" t="s">
        <v>11498</v>
      </c>
      <c r="F1825" s="147" t="s">
        <v>11499</v>
      </c>
      <c r="G1825" s="614" t="s">
        <v>6097</v>
      </c>
      <c r="H1825" s="140">
        <v>45673.0</v>
      </c>
      <c r="I1825" s="140">
        <v>45693.0</v>
      </c>
      <c r="J1825" s="147" t="s">
        <v>11517</v>
      </c>
      <c r="K1825" s="60"/>
      <c r="L1825" s="60" t="s">
        <v>11501</v>
      </c>
      <c r="M1825" s="60" t="s">
        <v>11502</v>
      </c>
      <c r="N1825" s="144">
        <v>2.0</v>
      </c>
      <c r="O1825" s="147" t="str">
        <f t="shared" ref="O1825:O1826" si="97"> SUBSTITUTE(lower(M1825), "/", "--") &amp;  ".pdf"</f>
        <v>10.1207-- s15516709cog2605_4.pdf</v>
      </c>
      <c r="P1825" s="48" t="str">
        <f t="array" ref="P1825">HYPERLINK(INDEX('File Links'!B:B, MATCH(O1825, 'File Links'!C:C, 0)))
</f>
        <v>https://drive.google.com/file/d/1EqB8fMj26KyIHeW4JSKwYFh3F2LTTq5t/view?usp=drivesdk</v>
      </c>
      <c r="Q1825" s="1460" t="s">
        <v>11345</v>
      </c>
      <c r="R1825" s="1460" t="s">
        <v>11346</v>
      </c>
      <c r="S1825" s="60"/>
      <c r="T1825" s="1459">
        <v>10.0</v>
      </c>
      <c r="U1825" s="147" t="s">
        <v>11347</v>
      </c>
      <c r="V1825" s="1354" t="s">
        <v>202</v>
      </c>
      <c r="W1825" s="544" t="str">
        <f t="array" ref="W1825">HYPERLINK(INDEX('File Links'!I:I, MATCH(U1825, 'File Links'!J:J, 0)))
</f>
        <v>#N/A</v>
      </c>
      <c r="X1825" s="60"/>
      <c r="Y1825" s="147" t="s">
        <v>139</v>
      </c>
      <c r="Z1825" s="60"/>
      <c r="AA1825" s="147" t="s">
        <v>11504</v>
      </c>
      <c r="AB1825" s="147" t="s">
        <v>11518</v>
      </c>
      <c r="AC1825" s="147" t="s">
        <v>11519</v>
      </c>
      <c r="AD1825" s="144">
        <v>16.0</v>
      </c>
      <c r="AE1825" s="144">
        <v>157.0</v>
      </c>
      <c r="AF1825" s="147" t="s">
        <v>11520</v>
      </c>
      <c r="AG1825" s="147" t="s">
        <v>162</v>
      </c>
      <c r="AH1825" s="147" t="s">
        <v>175</v>
      </c>
      <c r="AI1825" s="144">
        <v>0.05</v>
      </c>
      <c r="AJ1825" s="147" t="s">
        <v>127</v>
      </c>
      <c r="AK1825" s="147" t="s">
        <v>179</v>
      </c>
      <c r="AL1825" s="60" t="s">
        <v>129</v>
      </c>
      <c r="AM1825" s="1460" t="s">
        <v>165</v>
      </c>
      <c r="AN1825" s="144">
        <v>7396.0</v>
      </c>
      <c r="AO1825" s="144">
        <v>0.86</v>
      </c>
      <c r="AP1825" s="147" t="s">
        <v>166</v>
      </c>
      <c r="AQ1825" s="147" t="s">
        <v>2416</v>
      </c>
      <c r="AR1825" s="1517">
        <v>3.04E-275</v>
      </c>
      <c r="AS1825" s="147" t="s">
        <v>164</v>
      </c>
      <c r="AT1825" s="147" t="s">
        <v>179</v>
      </c>
      <c r="AU1825" s="60" t="s">
        <v>129</v>
      </c>
      <c r="AV1825" s="1461" t="s">
        <v>11355</v>
      </c>
      <c r="AW1825" s="60" t="s">
        <v>134</v>
      </c>
      <c r="AX1825" s="60"/>
      <c r="AY1825" s="60" t="s">
        <v>11025</v>
      </c>
    </row>
    <row r="1826">
      <c r="A1826" s="60" t="s">
        <v>106</v>
      </c>
      <c r="B1826" s="41" t="s">
        <v>107</v>
      </c>
      <c r="C1826" s="41" t="s">
        <v>108</v>
      </c>
      <c r="E1826" s="60" t="s">
        <v>11498</v>
      </c>
      <c r="F1826" s="147" t="s">
        <v>11510</v>
      </c>
      <c r="G1826" s="614" t="s">
        <v>6097</v>
      </c>
      <c r="H1826" s="140">
        <v>45673.0</v>
      </c>
      <c r="I1826" s="140">
        <v>45693.0</v>
      </c>
      <c r="J1826" s="147" t="s">
        <v>11521</v>
      </c>
      <c r="K1826" s="60"/>
      <c r="L1826" s="60" t="s">
        <v>11512</v>
      </c>
      <c r="M1826" s="60" t="s">
        <v>11502</v>
      </c>
      <c r="N1826" s="144">
        <v>3.0</v>
      </c>
      <c r="O1826" s="147" t="str">
        <f t="shared" si="97"/>
        <v>10.1207-- s15516709cog2605_4.pdf</v>
      </c>
      <c r="P1826" s="48" t="str">
        <f t="array" ref="P1826">HYPERLINK(INDEX('File Links'!B:B, MATCH(O1826, 'File Links'!C:C, 0)))
</f>
        <v>https://drive.google.com/file/d/1EqB8fMj26KyIHeW4JSKwYFh3F2LTTq5t/view?usp=drivesdk</v>
      </c>
      <c r="Q1826" s="1460" t="s">
        <v>11345</v>
      </c>
      <c r="R1826" s="1460" t="s">
        <v>11346</v>
      </c>
      <c r="S1826" s="60"/>
      <c r="T1826" s="1459">
        <v>11.0</v>
      </c>
      <c r="U1826" s="147" t="s">
        <v>11347</v>
      </c>
      <c r="V1826" s="1354" t="s">
        <v>202</v>
      </c>
      <c r="W1826" s="544" t="str">
        <f t="array" ref="W1826">HYPERLINK(INDEX('File Links'!I:I, MATCH(U1826, 'File Links'!J:J, 0)))
</f>
        <v>#N/A</v>
      </c>
      <c r="X1826" s="60"/>
      <c r="Y1826" s="147" t="s">
        <v>139</v>
      </c>
      <c r="Z1826" s="60"/>
      <c r="AA1826" s="147" t="s">
        <v>11504</v>
      </c>
      <c r="AB1826" s="60"/>
      <c r="AC1826" s="60"/>
      <c r="AD1826" s="60"/>
      <c r="AE1826" s="60"/>
      <c r="AF1826" s="60"/>
      <c r="AG1826" s="60"/>
      <c r="AH1826" s="60"/>
      <c r="AI1826" s="60"/>
      <c r="AJ1826" s="60"/>
      <c r="AK1826" s="60"/>
      <c r="AL1826" s="60"/>
      <c r="AM1826" s="60"/>
      <c r="AN1826" s="60"/>
      <c r="AO1826" s="60"/>
      <c r="AP1826" s="60"/>
      <c r="AQ1826" s="60"/>
      <c r="AR1826" s="60"/>
      <c r="AS1826" s="60"/>
      <c r="AT1826" s="60"/>
      <c r="AU1826" s="60"/>
      <c r="AV1826" s="1461" t="s">
        <v>11355</v>
      </c>
      <c r="AW1826" s="60"/>
      <c r="AX1826" s="60"/>
      <c r="AY1826" s="60" t="s">
        <v>11025</v>
      </c>
    </row>
    <row r="1827">
      <c r="A1827" s="115" t="s">
        <v>143</v>
      </c>
      <c r="B1827" s="41" t="s">
        <v>107</v>
      </c>
      <c r="C1827" s="41" t="s">
        <v>226</v>
      </c>
      <c r="E1827" s="60" t="s">
        <v>11522</v>
      </c>
      <c r="F1827" s="60" t="s">
        <v>11523</v>
      </c>
      <c r="G1827" s="147" t="s">
        <v>11005</v>
      </c>
      <c r="H1827" s="140">
        <v>45687.0</v>
      </c>
      <c r="I1827" s="140">
        <v>45693.0</v>
      </c>
      <c r="J1827" s="60"/>
      <c r="K1827" s="147" t="s">
        <v>11524</v>
      </c>
      <c r="L1827" s="147" t="s">
        <v>11525</v>
      </c>
      <c r="M1827" s="147" t="s">
        <v>11526</v>
      </c>
      <c r="N1827" s="144">
        <v>1.0</v>
      </c>
      <c r="O1827" s="147" t="s">
        <v>11527</v>
      </c>
      <c r="P1827" s="48" t="str">
        <f t="array" ref="P1827">HYPERLINK(INDEX('File Links'!B:B, MATCH(O1827, 'File Links'!C:C, 0)))
</f>
        <v>https://drive.google.com/file/d/1ZIjUGgM0ZNJMwX1YUqhWIb-i5jgS1Cmy/view?usp=drivesdk</v>
      </c>
      <c r="Q1827" s="147" t="s">
        <v>11345</v>
      </c>
      <c r="R1827" s="147" t="s">
        <v>11346</v>
      </c>
      <c r="S1827" s="60"/>
      <c r="T1827" s="144">
        <v>12.0</v>
      </c>
      <c r="U1827" s="147" t="s">
        <v>11347</v>
      </c>
      <c r="V1827" s="60" t="s">
        <v>202</v>
      </c>
      <c r="W1827" s="544" t="str">
        <f t="array" ref="W1827">HYPERLINK(INDEX('File Links'!I:I, MATCH(U1827, 'File Links'!J:J, 0)))
</f>
        <v>#N/A</v>
      </c>
      <c r="X1827" s="60"/>
      <c r="Y1827" s="1460" t="s">
        <v>203</v>
      </c>
      <c r="Z1827" s="147" t="s">
        <v>11528</v>
      </c>
      <c r="AA1827" s="1460" t="s">
        <v>11529</v>
      </c>
      <c r="AB1827" s="1468" t="s">
        <v>11530</v>
      </c>
      <c r="AC1827" s="139" t="s">
        <v>11531</v>
      </c>
      <c r="AD1827" s="147" t="s">
        <v>11532</v>
      </c>
      <c r="AE1827" s="144">
        <v>83.0</v>
      </c>
      <c r="AF1827" s="147" t="s">
        <v>11533</v>
      </c>
      <c r="AG1827" s="147" t="s">
        <v>162</v>
      </c>
      <c r="AH1827" s="147" t="s">
        <v>11532</v>
      </c>
      <c r="AI1827" s="144">
        <v>0.01</v>
      </c>
      <c r="AJ1827" s="147" t="s">
        <v>127</v>
      </c>
      <c r="AK1827" s="147" t="s">
        <v>179</v>
      </c>
      <c r="AL1827" s="60" t="s">
        <v>129</v>
      </c>
      <c r="AM1827" s="147" t="s">
        <v>165</v>
      </c>
      <c r="AN1827" s="144">
        <v>7646.0</v>
      </c>
      <c r="AO1827" s="144">
        <v>0.78</v>
      </c>
      <c r="AP1827" s="147" t="s">
        <v>166</v>
      </c>
      <c r="AQ1827" s="147" t="s">
        <v>11484</v>
      </c>
      <c r="AR1827" s="1459">
        <f>5.5*10^-236</f>
        <v>0</v>
      </c>
      <c r="AS1827" s="1460" t="s">
        <v>164</v>
      </c>
      <c r="AT1827" s="147" t="s">
        <v>179</v>
      </c>
      <c r="AU1827" s="60" t="s">
        <v>129</v>
      </c>
      <c r="AV1827" s="410" t="s">
        <v>11355</v>
      </c>
      <c r="AW1827" s="60" t="s">
        <v>134</v>
      </c>
      <c r="AX1827" s="60"/>
      <c r="AY1827" s="115" t="s">
        <v>11070</v>
      </c>
    </row>
    <row r="1828">
      <c r="A1828" s="60" t="s">
        <v>106</v>
      </c>
      <c r="B1828" s="41" t="s">
        <v>107</v>
      </c>
      <c r="C1828" s="41" t="s">
        <v>108</v>
      </c>
      <c r="E1828" s="60" t="s">
        <v>11522</v>
      </c>
      <c r="F1828" s="147" t="s">
        <v>11523</v>
      </c>
      <c r="G1828" s="614" t="s">
        <v>6097</v>
      </c>
      <c r="H1828" s="140">
        <v>45672.0</v>
      </c>
      <c r="I1828" s="140">
        <v>45693.0</v>
      </c>
      <c r="J1828" s="60"/>
      <c r="K1828" s="60"/>
      <c r="L1828" s="60" t="s">
        <v>11525</v>
      </c>
      <c r="M1828" s="60" t="s">
        <v>11526</v>
      </c>
      <c r="N1828" s="144">
        <v>1.0</v>
      </c>
      <c r="O1828" s="147" t="str">
        <f> SUBSTITUTE(lower(M1828), "/", "--") &amp;  ".pdf"</f>
        <v>10.1002--(sici)1099-0771(199806)11:2%3c107::aid-bdm292%3e3.0.co;2-y.pdf</v>
      </c>
      <c r="P1828" s="48" t="str">
        <f t="array" ref="P1828">HYPERLINK(INDEX('File Links'!B:B, MATCH(O1828, 'File Links'!C:C, 0)))
</f>
        <v>https://drive.google.com/file/d/1ZIjUGgM0ZNJMwX1YUqhWIb-i5jgS1Cmy/view?usp=drivesdk</v>
      </c>
      <c r="Q1828" s="1460" t="s">
        <v>11345</v>
      </c>
      <c r="R1828" s="1460" t="s">
        <v>11346</v>
      </c>
      <c r="S1828" s="60"/>
      <c r="T1828" s="60"/>
      <c r="U1828" s="147" t="s">
        <v>11347</v>
      </c>
      <c r="V1828" s="1354" t="s">
        <v>202</v>
      </c>
      <c r="W1828" s="544" t="str">
        <f t="array" ref="W1828">HYPERLINK(INDEX('File Links'!I:I, MATCH(U1828, 'File Links'!J:J, 0)))
</f>
        <v>#N/A</v>
      </c>
      <c r="X1828" s="60"/>
      <c r="Y1828" s="147" t="s">
        <v>203</v>
      </c>
      <c r="Z1828" s="147" t="s">
        <v>11528</v>
      </c>
      <c r="AA1828" s="147" t="s">
        <v>11529</v>
      </c>
      <c r="AB1828" s="147" t="s">
        <v>11534</v>
      </c>
      <c r="AC1828" s="147" t="s">
        <v>11535</v>
      </c>
      <c r="AD1828" s="144">
        <v>3.0</v>
      </c>
      <c r="AE1828" s="144">
        <v>83.0</v>
      </c>
      <c r="AF1828" s="147" t="s">
        <v>11536</v>
      </c>
      <c r="AG1828" s="147" t="s">
        <v>162</v>
      </c>
      <c r="AH1828" s="147" t="s">
        <v>210</v>
      </c>
      <c r="AI1828" s="144">
        <v>0.01</v>
      </c>
      <c r="AJ1828" s="147" t="s">
        <v>127</v>
      </c>
      <c r="AK1828" s="147" t="s">
        <v>179</v>
      </c>
      <c r="AL1828" s="60" t="s">
        <v>129</v>
      </c>
      <c r="AM1828" s="60"/>
      <c r="AN1828" s="144">
        <v>7646.0</v>
      </c>
      <c r="AO1828" s="144">
        <v>0.78</v>
      </c>
      <c r="AP1828" s="147" t="s">
        <v>166</v>
      </c>
      <c r="AQ1828" s="147" t="s">
        <v>5012</v>
      </c>
      <c r="AR1828" s="1351">
        <v>4.5E-236</v>
      </c>
      <c r="AS1828" s="147" t="s">
        <v>164</v>
      </c>
      <c r="AT1828" s="147" t="s">
        <v>179</v>
      </c>
      <c r="AU1828" s="60" t="s">
        <v>129</v>
      </c>
      <c r="AV1828" s="1461" t="s">
        <v>11355</v>
      </c>
      <c r="AW1828" s="60" t="s">
        <v>134</v>
      </c>
      <c r="AX1828" s="60"/>
      <c r="AY1828" s="60" t="s">
        <v>11025</v>
      </c>
    </row>
    <row r="1829">
      <c r="A1829" s="60" t="s">
        <v>5350</v>
      </c>
      <c r="B1829" s="41" t="s">
        <v>107</v>
      </c>
      <c r="C1829" s="41" t="s">
        <v>226</v>
      </c>
      <c r="E1829" s="60" t="s">
        <v>11537</v>
      </c>
      <c r="F1829" s="60" t="s">
        <v>11538</v>
      </c>
      <c r="G1829" s="147" t="s">
        <v>11005</v>
      </c>
      <c r="H1829" s="140">
        <v>45687.0</v>
      </c>
      <c r="I1829" s="140">
        <v>45693.0</v>
      </c>
      <c r="J1829" s="60" t="s">
        <v>11539</v>
      </c>
      <c r="K1829" s="525" t="s">
        <v>11540</v>
      </c>
      <c r="L1829" s="147" t="s">
        <v>11541</v>
      </c>
      <c r="M1829" s="147" t="s">
        <v>11542</v>
      </c>
      <c r="N1829" s="147" t="s">
        <v>3771</v>
      </c>
      <c r="O1829" s="147" t="s">
        <v>11543</v>
      </c>
      <c r="P1829" s="48" t="str">
        <f t="array" ref="P1829">HYPERLINK(INDEX('File Links'!B:B, MATCH(O1829, 'File Links'!C:C, 0)))
</f>
        <v>https://drive.google.com/file/d/1KmyHkB13ZFEziyeMZJmfqm6YYEH53iJL/view?usp=drivesdk</v>
      </c>
      <c r="Q1829" s="147" t="s">
        <v>11345</v>
      </c>
      <c r="R1829" s="147" t="s">
        <v>11346</v>
      </c>
      <c r="S1829" s="60"/>
      <c r="T1829" s="144">
        <v>13.0</v>
      </c>
      <c r="U1829" s="147" t="s">
        <v>11347</v>
      </c>
      <c r="V1829" s="60" t="s">
        <v>202</v>
      </c>
      <c r="W1829" s="544" t="str">
        <f t="array" ref="W1829">HYPERLINK(INDEX('File Links'!I:I, MATCH(U1829, 'File Links'!J:J, 0)))
</f>
        <v>#N/A</v>
      </c>
      <c r="X1829" s="60"/>
      <c r="Y1829" s="1460" t="s">
        <v>220</v>
      </c>
      <c r="Z1829" s="60"/>
      <c r="AA1829" s="1460" t="s">
        <v>11544</v>
      </c>
      <c r="AB1829" s="147" t="s">
        <v>11545</v>
      </c>
      <c r="AC1829" s="147" t="s">
        <v>11546</v>
      </c>
      <c r="AD1829" s="147" t="s">
        <v>11547</v>
      </c>
      <c r="AE1829" s="144">
        <v>180.0</v>
      </c>
      <c r="AF1829" s="144">
        <v>0.1</v>
      </c>
      <c r="AG1829" s="147" t="s">
        <v>1785</v>
      </c>
      <c r="AH1829" s="147" t="s">
        <v>11547</v>
      </c>
      <c r="AI1829" s="144">
        <v>0.001</v>
      </c>
      <c r="AJ1829" s="147" t="s">
        <v>127</v>
      </c>
      <c r="AK1829" s="147" t="s">
        <v>179</v>
      </c>
      <c r="AL1829" s="60" t="s">
        <v>129</v>
      </c>
      <c r="AM1829" s="147" t="s">
        <v>165</v>
      </c>
      <c r="AN1829" s="144">
        <v>6591.0</v>
      </c>
      <c r="AO1829" s="144">
        <v>0.4</v>
      </c>
      <c r="AP1829" s="147" t="s">
        <v>166</v>
      </c>
      <c r="AQ1829" s="147" t="s">
        <v>11548</v>
      </c>
      <c r="AR1829" s="1472">
        <f>2.15*10^-57</f>
        <v>0</v>
      </c>
      <c r="AS1829" s="147" t="s">
        <v>164</v>
      </c>
      <c r="AT1829" s="147" t="s">
        <v>179</v>
      </c>
      <c r="AU1829" s="60" t="s">
        <v>129</v>
      </c>
      <c r="AV1829" s="410" t="s">
        <v>11355</v>
      </c>
      <c r="AW1829" s="60" t="s">
        <v>134</v>
      </c>
      <c r="AX1829" s="60"/>
      <c r="AY1829" s="60" t="s">
        <v>11025</v>
      </c>
    </row>
    <row r="1830">
      <c r="A1830" s="60" t="s">
        <v>5350</v>
      </c>
      <c r="B1830" s="41" t="s">
        <v>107</v>
      </c>
      <c r="C1830" s="41" t="s">
        <v>226</v>
      </c>
      <c r="E1830" s="60" t="s">
        <v>11537</v>
      </c>
      <c r="F1830" s="60" t="s">
        <v>11549</v>
      </c>
      <c r="G1830" s="147" t="s">
        <v>11005</v>
      </c>
      <c r="H1830" s="140">
        <v>45687.0</v>
      </c>
      <c r="I1830" s="140">
        <v>45693.0</v>
      </c>
      <c r="J1830" s="147" t="s">
        <v>11550</v>
      </c>
      <c r="K1830" s="525" t="s">
        <v>11540</v>
      </c>
      <c r="L1830" s="147" t="s">
        <v>11541</v>
      </c>
      <c r="M1830" s="147" t="s">
        <v>11542</v>
      </c>
      <c r="N1830" s="147" t="s">
        <v>3771</v>
      </c>
      <c r="O1830" s="147" t="s">
        <v>11543</v>
      </c>
      <c r="P1830" s="48" t="str">
        <f t="array" ref="P1830">HYPERLINK(INDEX('File Links'!B:B, MATCH(O1830, 'File Links'!C:C, 0)))
</f>
        <v>https://drive.google.com/file/d/1KmyHkB13ZFEziyeMZJmfqm6YYEH53iJL/view?usp=drivesdk</v>
      </c>
      <c r="Q1830" s="147" t="s">
        <v>11345</v>
      </c>
      <c r="R1830" s="147" t="s">
        <v>11346</v>
      </c>
      <c r="S1830" s="60"/>
      <c r="T1830" s="144">
        <v>13.0</v>
      </c>
      <c r="U1830" s="147" t="s">
        <v>11347</v>
      </c>
      <c r="V1830" s="60" t="s">
        <v>202</v>
      </c>
      <c r="W1830" s="544" t="str">
        <f t="array" ref="W1830">HYPERLINK(INDEX('File Links'!I:I, MATCH(U1830, 'File Links'!J:J, 0)))
</f>
        <v>#N/A</v>
      </c>
      <c r="X1830" s="60"/>
      <c r="Y1830" s="1460" t="s">
        <v>220</v>
      </c>
      <c r="Z1830" s="60"/>
      <c r="AA1830" s="1460" t="s">
        <v>11544</v>
      </c>
      <c r="AB1830" s="147" t="s">
        <v>11551</v>
      </c>
      <c r="AC1830" s="147" t="s">
        <v>11552</v>
      </c>
      <c r="AD1830" s="147" t="s">
        <v>11547</v>
      </c>
      <c r="AE1830" s="144">
        <v>80.0</v>
      </c>
      <c r="AF1830" s="144">
        <v>0.53</v>
      </c>
      <c r="AG1830" s="147" t="s">
        <v>166</v>
      </c>
      <c r="AH1830" s="147" t="s">
        <v>11547</v>
      </c>
      <c r="AI1830" s="144">
        <v>0.01</v>
      </c>
      <c r="AJ1830" s="147" t="s">
        <v>127</v>
      </c>
      <c r="AK1830" s="147" t="s">
        <v>179</v>
      </c>
      <c r="AL1830" s="60" t="s">
        <v>129</v>
      </c>
      <c r="AM1830" s="147" t="s">
        <v>165</v>
      </c>
      <c r="AN1830" s="144">
        <v>2200.0</v>
      </c>
      <c r="AO1830" s="144">
        <v>1.03</v>
      </c>
      <c r="AP1830" s="147" t="s">
        <v>166</v>
      </c>
      <c r="AQ1830" s="147" t="s">
        <v>11548</v>
      </c>
      <c r="AR1830" s="1472">
        <f>6.53*10^-115</f>
        <v>0</v>
      </c>
      <c r="AS1830" s="147" t="s">
        <v>164</v>
      </c>
      <c r="AT1830" s="147" t="s">
        <v>179</v>
      </c>
      <c r="AU1830" s="60" t="s">
        <v>129</v>
      </c>
      <c r="AV1830" s="410" t="s">
        <v>11355</v>
      </c>
      <c r="AW1830" s="60" t="s">
        <v>134</v>
      </c>
      <c r="AX1830" s="60"/>
      <c r="AY1830" s="60" t="s">
        <v>11025</v>
      </c>
    </row>
    <row r="1831">
      <c r="A1831" s="60" t="s">
        <v>5350</v>
      </c>
      <c r="B1831" s="41" t="s">
        <v>107</v>
      </c>
      <c r="C1831" s="41" t="s">
        <v>226</v>
      </c>
      <c r="E1831" s="60" t="s">
        <v>11537</v>
      </c>
      <c r="F1831" s="147" t="s">
        <v>11553</v>
      </c>
      <c r="G1831" s="147" t="s">
        <v>11005</v>
      </c>
      <c r="H1831" s="140">
        <v>45687.0</v>
      </c>
      <c r="I1831" s="140">
        <v>45693.0</v>
      </c>
      <c r="J1831" s="147" t="s">
        <v>11554</v>
      </c>
      <c r="K1831" s="525" t="s">
        <v>11540</v>
      </c>
      <c r="L1831" s="147" t="s">
        <v>11541</v>
      </c>
      <c r="M1831" s="147" t="s">
        <v>11542</v>
      </c>
      <c r="N1831" s="147" t="s">
        <v>3771</v>
      </c>
      <c r="O1831" s="147" t="s">
        <v>11543</v>
      </c>
      <c r="P1831" s="48" t="str">
        <f t="array" ref="P1831">HYPERLINK(INDEX('File Links'!B:B, MATCH(O1831, 'File Links'!C:C, 0)))
</f>
        <v>https://drive.google.com/file/d/1KmyHkB13ZFEziyeMZJmfqm6YYEH53iJL/view?usp=drivesdk</v>
      </c>
      <c r="Q1831" s="147" t="s">
        <v>11345</v>
      </c>
      <c r="R1831" s="147" t="s">
        <v>11346</v>
      </c>
      <c r="S1831" s="60"/>
      <c r="T1831" s="144">
        <v>14.0</v>
      </c>
      <c r="U1831" s="147" t="s">
        <v>11347</v>
      </c>
      <c r="V1831" s="60" t="s">
        <v>202</v>
      </c>
      <c r="W1831" s="544" t="str">
        <f t="array" ref="W1831">HYPERLINK(INDEX('File Links'!I:I, MATCH(U1831, 'File Links'!J:J, 0)))
</f>
        <v>#N/A</v>
      </c>
      <c r="X1831" s="60"/>
      <c r="Y1831" s="1460" t="s">
        <v>220</v>
      </c>
      <c r="Z1831" s="60"/>
      <c r="AA1831" s="1460" t="s">
        <v>11544</v>
      </c>
      <c r="AB1831" s="147" t="s">
        <v>11555</v>
      </c>
      <c r="AC1831" s="147" t="s">
        <v>11556</v>
      </c>
      <c r="AD1831" s="147" t="s">
        <v>11547</v>
      </c>
      <c r="AE1831" s="144">
        <v>100.0</v>
      </c>
      <c r="AF1831" s="144">
        <v>0.37</v>
      </c>
      <c r="AG1831" s="147" t="s">
        <v>166</v>
      </c>
      <c r="AH1831" s="147" t="s">
        <v>11547</v>
      </c>
      <c r="AI1831" s="144">
        <v>0.01</v>
      </c>
      <c r="AJ1831" s="147" t="s">
        <v>164</v>
      </c>
      <c r="AK1831" s="147" t="s">
        <v>179</v>
      </c>
      <c r="AL1831" s="60" t="s">
        <v>129</v>
      </c>
      <c r="AM1831" s="147" t="s">
        <v>165</v>
      </c>
      <c r="AN1831" s="144">
        <v>142.0</v>
      </c>
      <c r="AO1831" s="144">
        <v>-0.55</v>
      </c>
      <c r="AP1831" s="147" t="s">
        <v>166</v>
      </c>
      <c r="AQ1831" s="147" t="s">
        <v>11548</v>
      </c>
      <c r="AR1831" s="144">
        <v>0.001</v>
      </c>
      <c r="AS1831" s="147" t="s">
        <v>164</v>
      </c>
      <c r="AT1831" s="147" t="s">
        <v>179</v>
      </c>
      <c r="AU1831" s="60" t="s">
        <v>129</v>
      </c>
      <c r="AV1831" s="410" t="s">
        <v>11355</v>
      </c>
      <c r="AW1831" s="60" t="s">
        <v>134</v>
      </c>
      <c r="AX1831" s="60"/>
      <c r="AY1831" s="60" t="s">
        <v>11025</v>
      </c>
    </row>
    <row r="1832">
      <c r="A1832" s="60" t="s">
        <v>106</v>
      </c>
      <c r="B1832" s="41" t="s">
        <v>107</v>
      </c>
      <c r="C1832" s="41" t="s">
        <v>108</v>
      </c>
      <c r="E1832" s="60" t="s">
        <v>11537</v>
      </c>
      <c r="F1832" s="60" t="s">
        <v>11538</v>
      </c>
      <c r="G1832" s="614" t="s">
        <v>6097</v>
      </c>
      <c r="H1832" s="140">
        <v>45673.0</v>
      </c>
      <c r="I1832" s="140">
        <v>45693.0</v>
      </c>
      <c r="J1832" s="147" t="s">
        <v>11557</v>
      </c>
      <c r="K1832" s="60"/>
      <c r="L1832" s="60" t="s">
        <v>11541</v>
      </c>
      <c r="M1832" s="60" t="s">
        <v>11542</v>
      </c>
      <c r="N1832" s="147" t="s">
        <v>3771</v>
      </c>
      <c r="O1832" s="147" t="str">
        <f t="shared" ref="O1832:O1834" si="98"> SUBSTITUTE(lower(M1832), "/", "--") &amp;  ".pdf"</f>
        <v>10.1002--ejsp.2013.pdf</v>
      </c>
      <c r="P1832" s="48" t="str">
        <f t="array" ref="P1832">HYPERLINK(INDEX('File Links'!B:B, MATCH(O1832, 'File Links'!C:C, 0)))
</f>
        <v>https://drive.google.com/file/d/1KmyHkB13ZFEziyeMZJmfqm6YYEH53iJL/view?usp=drivesdk</v>
      </c>
      <c r="Q1832" s="1460" t="s">
        <v>11345</v>
      </c>
      <c r="R1832" s="1460" t="s">
        <v>11346</v>
      </c>
      <c r="S1832" s="60"/>
      <c r="T1832" s="60"/>
      <c r="U1832" s="147" t="s">
        <v>11347</v>
      </c>
      <c r="V1832" s="1354" t="s">
        <v>202</v>
      </c>
      <c r="W1832" s="544" t="str">
        <f t="array" ref="W1832">HYPERLINK(INDEX('File Links'!I:I, MATCH(U1832, 'File Links'!J:J, 0)))
</f>
        <v>#N/A</v>
      </c>
      <c r="X1832" s="60"/>
      <c r="Y1832" s="147" t="s">
        <v>220</v>
      </c>
      <c r="Z1832" s="60"/>
      <c r="AA1832" s="147" t="s">
        <v>11544</v>
      </c>
      <c r="AB1832" s="147" t="s">
        <v>11558</v>
      </c>
      <c r="AC1832" s="147" t="s">
        <v>11559</v>
      </c>
      <c r="AD1832" s="1514">
        <v>45750.0</v>
      </c>
      <c r="AE1832" s="144">
        <v>180.0</v>
      </c>
      <c r="AF1832" s="144">
        <v>0.1</v>
      </c>
      <c r="AG1832" s="1268" t="s">
        <v>130</v>
      </c>
      <c r="AH1832" s="147" t="s">
        <v>210</v>
      </c>
      <c r="AI1832" s="144">
        <v>0.001</v>
      </c>
      <c r="AJ1832" s="147" t="s">
        <v>127</v>
      </c>
      <c r="AK1832" s="1268" t="s">
        <v>128</v>
      </c>
      <c r="AL1832" s="60" t="s">
        <v>129</v>
      </c>
      <c r="AM1832" s="60"/>
      <c r="AN1832" s="144">
        <v>6591.0</v>
      </c>
      <c r="AO1832" s="144">
        <v>0.4</v>
      </c>
      <c r="AP1832" s="147" t="s">
        <v>166</v>
      </c>
      <c r="AQ1832" s="147" t="s">
        <v>609</v>
      </c>
      <c r="AR1832" s="1351">
        <v>2.15E-57</v>
      </c>
      <c r="AS1832" s="147" t="s">
        <v>164</v>
      </c>
      <c r="AT1832" s="147" t="s">
        <v>179</v>
      </c>
      <c r="AU1832" s="60" t="s">
        <v>129</v>
      </c>
      <c r="AV1832" s="1461" t="s">
        <v>11355</v>
      </c>
      <c r="AW1832" s="60" t="s">
        <v>134</v>
      </c>
      <c r="AX1832" s="60"/>
      <c r="AY1832" s="60" t="s">
        <v>11025</v>
      </c>
    </row>
    <row r="1833">
      <c r="A1833" s="60" t="s">
        <v>106</v>
      </c>
      <c r="B1833" s="41" t="s">
        <v>107</v>
      </c>
      <c r="C1833" s="41" t="s">
        <v>108</v>
      </c>
      <c r="E1833" s="60" t="s">
        <v>11537</v>
      </c>
      <c r="F1833" s="60" t="s">
        <v>11549</v>
      </c>
      <c r="G1833" s="614" t="s">
        <v>6097</v>
      </c>
      <c r="H1833" s="140">
        <v>45673.0</v>
      </c>
      <c r="I1833" s="140">
        <v>45693.0</v>
      </c>
      <c r="J1833" s="147" t="s">
        <v>11557</v>
      </c>
      <c r="K1833" s="60"/>
      <c r="L1833" s="60" t="s">
        <v>11541</v>
      </c>
      <c r="M1833" s="60" t="s">
        <v>11542</v>
      </c>
      <c r="N1833" s="147" t="s">
        <v>3771</v>
      </c>
      <c r="O1833" s="147" t="str">
        <f t="shared" si="98"/>
        <v>10.1002--ejsp.2013.pdf</v>
      </c>
      <c r="P1833" s="48" t="str">
        <f t="array" ref="P1833">HYPERLINK(INDEX('File Links'!B:B, MATCH(O1833, 'File Links'!C:C, 0)))
</f>
        <v>https://drive.google.com/file/d/1KmyHkB13ZFEziyeMZJmfqm6YYEH53iJL/view?usp=drivesdk</v>
      </c>
      <c r="Q1833" s="1460" t="s">
        <v>11345</v>
      </c>
      <c r="R1833" s="1460" t="s">
        <v>11346</v>
      </c>
      <c r="S1833" s="60"/>
      <c r="T1833" s="60"/>
      <c r="U1833" s="147" t="s">
        <v>11347</v>
      </c>
      <c r="V1833" s="1354" t="s">
        <v>202</v>
      </c>
      <c r="W1833" s="544" t="str">
        <f t="array" ref="W1833">HYPERLINK(INDEX('File Links'!I:I, MATCH(U1833, 'File Links'!J:J, 0)))
</f>
        <v>#N/A</v>
      </c>
      <c r="X1833" s="60"/>
      <c r="Y1833" s="147" t="s">
        <v>220</v>
      </c>
      <c r="Z1833" s="60"/>
      <c r="AA1833" s="147" t="s">
        <v>11544</v>
      </c>
      <c r="AB1833" s="147" t="s">
        <v>11560</v>
      </c>
      <c r="AC1833" s="147" t="s">
        <v>11561</v>
      </c>
      <c r="AD1833" s="1514">
        <v>45750.0</v>
      </c>
      <c r="AE1833" s="1265">
        <v>180.0</v>
      </c>
      <c r="AF1833" s="144">
        <v>0.53</v>
      </c>
      <c r="AG1833" s="147" t="s">
        <v>166</v>
      </c>
      <c r="AH1833" s="147" t="s">
        <v>210</v>
      </c>
      <c r="AI1833" s="144">
        <v>0.01</v>
      </c>
      <c r="AJ1833" s="147" t="s">
        <v>127</v>
      </c>
      <c r="AK1833" s="1268" t="s">
        <v>128</v>
      </c>
      <c r="AL1833" s="60" t="s">
        <v>129</v>
      </c>
      <c r="AM1833" s="60"/>
      <c r="AN1833" s="1265">
        <v>6591.0</v>
      </c>
      <c r="AO1833" s="144">
        <v>1.03</v>
      </c>
      <c r="AP1833" s="147" t="s">
        <v>166</v>
      </c>
      <c r="AQ1833" s="147" t="s">
        <v>609</v>
      </c>
      <c r="AR1833" s="1351">
        <v>6.53E-115</v>
      </c>
      <c r="AS1833" s="147" t="s">
        <v>164</v>
      </c>
      <c r="AT1833" s="147" t="s">
        <v>179</v>
      </c>
      <c r="AU1833" s="60" t="s">
        <v>129</v>
      </c>
      <c r="AV1833" s="1461" t="s">
        <v>11355</v>
      </c>
      <c r="AW1833" s="60" t="s">
        <v>134</v>
      </c>
      <c r="AX1833" s="60"/>
      <c r="AY1833" s="60" t="s">
        <v>11025</v>
      </c>
    </row>
    <row r="1834">
      <c r="A1834" s="60" t="s">
        <v>106</v>
      </c>
      <c r="B1834" s="41" t="s">
        <v>107</v>
      </c>
      <c r="C1834" s="41" t="s">
        <v>108</v>
      </c>
      <c r="E1834" s="60" t="s">
        <v>11537</v>
      </c>
      <c r="F1834" s="147" t="s">
        <v>11553</v>
      </c>
      <c r="G1834" s="614" t="s">
        <v>6097</v>
      </c>
      <c r="H1834" s="140">
        <v>45673.0</v>
      </c>
      <c r="I1834" s="140">
        <v>45693.0</v>
      </c>
      <c r="J1834" s="147" t="s">
        <v>11557</v>
      </c>
      <c r="K1834" s="60"/>
      <c r="L1834" s="60" t="s">
        <v>11541</v>
      </c>
      <c r="M1834" s="60" t="s">
        <v>11542</v>
      </c>
      <c r="N1834" s="147" t="s">
        <v>3771</v>
      </c>
      <c r="O1834" s="147" t="str">
        <f t="shared" si="98"/>
        <v>10.1002--ejsp.2013.pdf</v>
      </c>
      <c r="P1834" s="48" t="str">
        <f t="array" ref="P1834">HYPERLINK(INDEX('File Links'!B:B, MATCH(O1834, 'File Links'!C:C, 0)))
</f>
        <v>https://drive.google.com/file/d/1KmyHkB13ZFEziyeMZJmfqm6YYEH53iJL/view?usp=drivesdk</v>
      </c>
      <c r="Q1834" s="1460" t="s">
        <v>11345</v>
      </c>
      <c r="R1834" s="1460" t="s">
        <v>11346</v>
      </c>
      <c r="S1834" s="60"/>
      <c r="T1834" s="60"/>
      <c r="U1834" s="147" t="s">
        <v>11347</v>
      </c>
      <c r="V1834" s="1354" t="s">
        <v>202</v>
      </c>
      <c r="W1834" s="544" t="str">
        <f t="array" ref="W1834">HYPERLINK(INDEX('File Links'!I:I, MATCH(U1834, 'File Links'!J:J, 0)))
</f>
        <v>#N/A</v>
      </c>
      <c r="X1834" s="60"/>
      <c r="Y1834" s="147" t="s">
        <v>220</v>
      </c>
      <c r="Z1834" s="60"/>
      <c r="AA1834" s="147" t="s">
        <v>11544</v>
      </c>
      <c r="AB1834" s="147" t="s">
        <v>11562</v>
      </c>
      <c r="AC1834" s="147" t="s">
        <v>11563</v>
      </c>
      <c r="AD1834" s="1514">
        <v>45750.0</v>
      </c>
      <c r="AE1834" s="1265">
        <v>180.0</v>
      </c>
      <c r="AF1834" s="144">
        <v>0.37</v>
      </c>
      <c r="AG1834" s="147" t="s">
        <v>166</v>
      </c>
      <c r="AH1834" s="147" t="s">
        <v>210</v>
      </c>
      <c r="AI1834" s="144">
        <v>0.01</v>
      </c>
      <c r="AJ1834" s="147" t="s">
        <v>164</v>
      </c>
      <c r="AK1834" s="1268" t="s">
        <v>128</v>
      </c>
      <c r="AL1834" s="60" t="s">
        <v>129</v>
      </c>
      <c r="AM1834" s="60"/>
      <c r="AN1834" s="1265">
        <v>6591.0</v>
      </c>
      <c r="AO1834" s="144">
        <v>-0.55</v>
      </c>
      <c r="AP1834" s="147" t="s">
        <v>166</v>
      </c>
      <c r="AQ1834" s="147" t="s">
        <v>609</v>
      </c>
      <c r="AR1834" s="144">
        <v>0.001</v>
      </c>
      <c r="AS1834" s="147" t="s">
        <v>164</v>
      </c>
      <c r="AT1834" s="147" t="s">
        <v>179</v>
      </c>
      <c r="AU1834" s="60" t="s">
        <v>129</v>
      </c>
      <c r="AV1834" s="1461" t="s">
        <v>11355</v>
      </c>
      <c r="AW1834" s="60" t="s">
        <v>134</v>
      </c>
      <c r="AX1834" s="60"/>
      <c r="AY1834" s="60" t="s">
        <v>11025</v>
      </c>
    </row>
    <row r="1835">
      <c r="A1835" s="60" t="s">
        <v>586</v>
      </c>
      <c r="B1835" s="41" t="s">
        <v>107</v>
      </c>
      <c r="C1835" s="41" t="s">
        <v>226</v>
      </c>
      <c r="E1835" s="60" t="s">
        <v>11564</v>
      </c>
      <c r="F1835" s="60" t="s">
        <v>11565</v>
      </c>
      <c r="G1835" s="147" t="s">
        <v>11005</v>
      </c>
      <c r="H1835" s="140">
        <v>45687.0</v>
      </c>
      <c r="I1835" s="140">
        <v>45693.0</v>
      </c>
      <c r="J1835" s="60" t="s">
        <v>11566</v>
      </c>
      <c r="K1835" s="525" t="s">
        <v>11567</v>
      </c>
      <c r="L1835" s="147" t="s">
        <v>11568</v>
      </c>
      <c r="M1835" s="147" t="s">
        <v>3858</v>
      </c>
      <c r="N1835" s="144">
        <v>10.0</v>
      </c>
      <c r="O1835" s="147" t="s">
        <v>11569</v>
      </c>
      <c r="P1835" s="48" t="str">
        <f t="array" ref="P1835">HYPERLINK(INDEX('File Links'!B:B, MATCH(O1835, 'File Links'!C:C, 0)))
</f>
        <v>https://drive.google.com/file/d/1KdKryH9Qx-Olx2xYcWf9zZPlU9JsWLmq/view?usp=drivesdk</v>
      </c>
      <c r="Q1835" s="147" t="s">
        <v>11345</v>
      </c>
      <c r="R1835" s="147" t="s">
        <v>11346</v>
      </c>
      <c r="S1835" s="60"/>
      <c r="T1835" s="144">
        <v>15.0</v>
      </c>
      <c r="U1835" s="147" t="s">
        <v>11347</v>
      </c>
      <c r="V1835" s="60" t="s">
        <v>202</v>
      </c>
      <c r="W1835" s="544" t="str">
        <f t="array" ref="W1835">HYPERLINK(INDEX('File Links'!I:I, MATCH(U1835, 'File Links'!J:J, 0)))
</f>
        <v>#N/A</v>
      </c>
      <c r="X1835" s="60"/>
      <c r="Y1835" s="1460" t="s">
        <v>203</v>
      </c>
      <c r="Z1835" s="147" t="s">
        <v>11570</v>
      </c>
      <c r="AA1835" s="147" t="s">
        <v>11571</v>
      </c>
      <c r="AB1835" s="147" t="s">
        <v>11572</v>
      </c>
      <c r="AC1835" s="147" t="s">
        <v>11573</v>
      </c>
      <c r="AD1835" s="147" t="s">
        <v>11354</v>
      </c>
      <c r="AE1835" s="144">
        <v>181.0</v>
      </c>
      <c r="AF1835" s="1470">
        <v>5.2025862068965525</v>
      </c>
      <c r="AG1835" s="147" t="s">
        <v>722</v>
      </c>
      <c r="AH1835" s="147" t="s">
        <v>11574</v>
      </c>
      <c r="AI1835" s="147" t="s">
        <v>165</v>
      </c>
      <c r="AJ1835" s="60"/>
      <c r="AK1835" s="147" t="s">
        <v>179</v>
      </c>
      <c r="AL1835" s="60" t="s">
        <v>129</v>
      </c>
      <c r="AM1835" s="147" t="s">
        <v>165</v>
      </c>
      <c r="AN1835" s="144">
        <v>7228.0</v>
      </c>
      <c r="AO1835" s="144">
        <v>0.4</v>
      </c>
      <c r="AP1835" s="147" t="s">
        <v>166</v>
      </c>
      <c r="AQ1835" s="147" t="s">
        <v>11460</v>
      </c>
      <c r="AR1835" s="1459">
        <f> 1.01*10^-50</f>
        <v>0</v>
      </c>
      <c r="AS1835" s="1460" t="s">
        <v>164</v>
      </c>
      <c r="AT1835" s="147" t="s">
        <v>128</v>
      </c>
      <c r="AU1835" s="60" t="s">
        <v>129</v>
      </c>
      <c r="AV1835" s="410" t="s">
        <v>11355</v>
      </c>
      <c r="AW1835" s="60" t="s">
        <v>134</v>
      </c>
      <c r="AX1835" s="60"/>
      <c r="AY1835" s="60" t="s">
        <v>11025</v>
      </c>
    </row>
    <row r="1836">
      <c r="A1836" s="60" t="s">
        <v>106</v>
      </c>
      <c r="B1836" s="41" t="s">
        <v>107</v>
      </c>
      <c r="C1836" s="41" t="s">
        <v>108</v>
      </c>
      <c r="E1836" s="60" t="s">
        <v>11564</v>
      </c>
      <c r="F1836" s="147" t="s">
        <v>11565</v>
      </c>
      <c r="G1836" s="614" t="s">
        <v>6097</v>
      </c>
      <c r="H1836" s="140">
        <v>45673.0</v>
      </c>
      <c r="I1836" s="140">
        <v>45693.0</v>
      </c>
      <c r="J1836" s="147" t="s">
        <v>11575</v>
      </c>
      <c r="K1836" s="60"/>
      <c r="L1836" s="60" t="s">
        <v>11568</v>
      </c>
      <c r="M1836" s="60" t="s">
        <v>3858</v>
      </c>
      <c r="N1836" s="144">
        <v>10.0</v>
      </c>
      <c r="O1836" s="147" t="str">
        <f> SUBSTITUTE(lower(M1836), "/", "--") &amp;  ".pdf"</f>
        <v>10.1126--science.7455683.pdf</v>
      </c>
      <c r="P1836" s="48" t="str">
        <f t="array" ref="P1836">HYPERLINK(INDEX('File Links'!B:B, MATCH(O1836, 'File Links'!C:C, 0)))
</f>
        <v>https://drive.google.com/file/d/1KdKryH9Qx-Olx2xYcWf9zZPlU9JsWLmq/view?usp=drivesdk</v>
      </c>
      <c r="Q1836" s="1460" t="s">
        <v>11345</v>
      </c>
      <c r="R1836" s="1460" t="s">
        <v>11346</v>
      </c>
      <c r="S1836" s="60"/>
      <c r="T1836" s="60"/>
      <c r="U1836" s="147" t="s">
        <v>11347</v>
      </c>
      <c r="V1836" s="1354" t="s">
        <v>202</v>
      </c>
      <c r="W1836" s="544" t="str">
        <f t="array" ref="W1836">HYPERLINK(INDEX('File Links'!I:I, MATCH(U1836, 'File Links'!J:J, 0)))
</f>
        <v>#N/A</v>
      </c>
      <c r="X1836" s="60"/>
      <c r="Y1836" s="147" t="s">
        <v>203</v>
      </c>
      <c r="Z1836" s="60"/>
      <c r="AA1836" s="147" t="s">
        <v>11571</v>
      </c>
      <c r="AB1836" s="147" t="s">
        <v>11572</v>
      </c>
      <c r="AC1836" s="147" t="s">
        <v>11576</v>
      </c>
      <c r="AD1836" s="144">
        <v>5.0</v>
      </c>
      <c r="AE1836" s="144">
        <v>181.0</v>
      </c>
      <c r="AF1836" s="144">
        <v>4.96</v>
      </c>
      <c r="AG1836" s="147" t="s">
        <v>722</v>
      </c>
      <c r="AH1836" s="147" t="s">
        <v>1574</v>
      </c>
      <c r="AI1836" s="1351">
        <v>7.4E-7</v>
      </c>
      <c r="AJ1836" s="147" t="s">
        <v>164</v>
      </c>
      <c r="AK1836" s="147" t="s">
        <v>179</v>
      </c>
      <c r="AL1836" s="60" t="s">
        <v>129</v>
      </c>
      <c r="AM1836" s="60"/>
      <c r="AN1836" s="144">
        <v>7228.0</v>
      </c>
      <c r="AO1836" s="144">
        <v>0.4</v>
      </c>
      <c r="AP1836" s="147" t="s">
        <v>166</v>
      </c>
      <c r="AQ1836" s="147" t="s">
        <v>1574</v>
      </c>
      <c r="AR1836" s="1351">
        <v>1.01E-50</v>
      </c>
      <c r="AS1836" s="147" t="s">
        <v>164</v>
      </c>
      <c r="AT1836" s="1268" t="s">
        <v>179</v>
      </c>
      <c r="AU1836" s="60" t="s">
        <v>129</v>
      </c>
      <c r="AV1836" s="1461" t="s">
        <v>11355</v>
      </c>
      <c r="AW1836" s="60" t="s">
        <v>134</v>
      </c>
      <c r="AX1836" s="60"/>
      <c r="AY1836" s="60" t="s">
        <v>11025</v>
      </c>
    </row>
    <row r="1837">
      <c r="A1837" s="60" t="s">
        <v>586</v>
      </c>
      <c r="B1837" s="41" t="s">
        <v>107</v>
      </c>
      <c r="C1837" s="41" t="s">
        <v>226</v>
      </c>
      <c r="E1837" s="60" t="s">
        <v>11577</v>
      </c>
      <c r="F1837" s="147" t="s">
        <v>11578</v>
      </c>
      <c r="G1837" s="147" t="s">
        <v>11005</v>
      </c>
      <c r="H1837" s="140">
        <v>45687.0</v>
      </c>
      <c r="I1837" s="140">
        <v>45693.0</v>
      </c>
      <c r="J1837" s="60"/>
      <c r="K1837" s="525" t="s">
        <v>11579</v>
      </c>
      <c r="L1837" s="147" t="s">
        <v>11580</v>
      </c>
      <c r="M1837" s="147" t="s">
        <v>11581</v>
      </c>
      <c r="N1837" s="144">
        <v>1.0</v>
      </c>
      <c r="O1837" s="147" t="s">
        <v>11582</v>
      </c>
      <c r="P1837" s="48" t="str">
        <f t="array" ref="P1837">HYPERLINK(INDEX('File Links'!B:B, MATCH(O1837, 'File Links'!C:C, 0)))
</f>
        <v>https://drive.google.com/file/d/1hVohJjrePDnbP3YuG-OoIFpV1SI20xvZ/view?usp=drivesdk</v>
      </c>
      <c r="Q1837" s="147" t="s">
        <v>11345</v>
      </c>
      <c r="R1837" s="147" t="s">
        <v>11346</v>
      </c>
      <c r="S1837" s="60"/>
      <c r="T1837" s="144">
        <v>16.0</v>
      </c>
      <c r="U1837" s="147" t="s">
        <v>11347</v>
      </c>
      <c r="V1837" s="60" t="s">
        <v>202</v>
      </c>
      <c r="W1837" s="544" t="str">
        <f t="array" ref="W1837">HYPERLINK(INDEX('File Links'!I:I, MATCH(U1837, 'File Links'!J:J, 0)))
</f>
        <v>#N/A</v>
      </c>
      <c r="X1837" s="60"/>
      <c r="Y1837" s="147" t="s">
        <v>203</v>
      </c>
      <c r="Z1837" s="147" t="s">
        <v>11583</v>
      </c>
      <c r="AA1837" s="1460" t="s">
        <v>11584</v>
      </c>
      <c r="AB1837" s="147" t="s">
        <v>11585</v>
      </c>
      <c r="AC1837" s="147" t="s">
        <v>11586</v>
      </c>
      <c r="AD1837" s="525" t="s">
        <v>11587</v>
      </c>
      <c r="AE1837" s="709">
        <v>1548.0</v>
      </c>
      <c r="AF1837" s="709">
        <v>0.25</v>
      </c>
      <c r="AG1837" s="525" t="s">
        <v>357</v>
      </c>
      <c r="AH1837" s="525" t="s">
        <v>11588</v>
      </c>
      <c r="AI1837" s="144">
        <v>0.001</v>
      </c>
      <c r="AJ1837" s="147" t="s">
        <v>127</v>
      </c>
      <c r="AK1837" s="147" t="s">
        <v>179</v>
      </c>
      <c r="AL1837" s="60" t="s">
        <v>129</v>
      </c>
      <c r="AM1837" s="147" t="s">
        <v>165</v>
      </c>
      <c r="AN1837" s="144">
        <v>6966.0</v>
      </c>
      <c r="AO1837" s="144">
        <v>0.29</v>
      </c>
      <c r="AP1837" s="147" t="s">
        <v>166</v>
      </c>
      <c r="AQ1837" s="147" t="s">
        <v>11589</v>
      </c>
      <c r="AR1837" s="1459">
        <f> 6.5*10^-34</f>
        <v>0</v>
      </c>
      <c r="AS1837" s="147" t="s">
        <v>127</v>
      </c>
      <c r="AT1837" s="147" t="s">
        <v>179</v>
      </c>
      <c r="AU1837" s="60" t="s">
        <v>129</v>
      </c>
      <c r="AV1837" s="410" t="s">
        <v>11355</v>
      </c>
      <c r="AW1837" s="60" t="s">
        <v>434</v>
      </c>
      <c r="AX1837" s="60"/>
      <c r="AY1837" s="60" t="s">
        <v>11025</v>
      </c>
    </row>
    <row r="1838">
      <c r="A1838" s="60" t="s">
        <v>586</v>
      </c>
      <c r="B1838" s="41" t="s">
        <v>107</v>
      </c>
      <c r="C1838" s="41" t="s">
        <v>108</v>
      </c>
      <c r="E1838" s="60" t="s">
        <v>11577</v>
      </c>
      <c r="F1838" s="147" t="s">
        <v>11578</v>
      </c>
      <c r="G1838" s="614" t="s">
        <v>6097</v>
      </c>
      <c r="H1838" s="140">
        <v>45673.0</v>
      </c>
      <c r="I1838" s="140">
        <v>45693.0</v>
      </c>
      <c r="J1838" s="147" t="s">
        <v>11590</v>
      </c>
      <c r="K1838" s="525" t="s">
        <v>11591</v>
      </c>
      <c r="L1838" s="60" t="s">
        <v>11592</v>
      </c>
      <c r="M1838" s="60" t="s">
        <v>11581</v>
      </c>
      <c r="N1838" s="144">
        <v>1.0</v>
      </c>
      <c r="O1838" s="147" t="str">
        <f t="shared" ref="O1838:O1839" si="99"> SUBSTITUTE(lower(M1838), "/", "--") &amp;  ".pdf"</f>
        <v>10.1037--a0015141.pdf</v>
      </c>
      <c r="P1838" s="48" t="str">
        <f t="array" ref="P1838">HYPERLINK(INDEX('File Links'!B:B, MATCH(O1838, 'File Links'!C:C, 0)))
</f>
        <v>https://drive.google.com/file/d/1hVohJjrePDnbP3YuG-OoIFpV1SI20xvZ/view?usp=drivesdk</v>
      </c>
      <c r="Q1838" s="1460" t="s">
        <v>11345</v>
      </c>
      <c r="R1838" s="1460" t="s">
        <v>11346</v>
      </c>
      <c r="S1838" s="60"/>
      <c r="T1838" s="1459">
        <v>16.0</v>
      </c>
      <c r="U1838" s="147" t="s">
        <v>11347</v>
      </c>
      <c r="V1838" s="1354" t="s">
        <v>202</v>
      </c>
      <c r="W1838" s="544" t="str">
        <f t="array" ref="W1838">HYPERLINK(INDEX('File Links'!I:I, MATCH(U1838, 'File Links'!J:J, 0)))
</f>
        <v>#N/A</v>
      </c>
      <c r="X1838" s="60"/>
      <c r="Y1838" s="1460" t="s">
        <v>203</v>
      </c>
      <c r="Z1838" s="1460" t="s">
        <v>11583</v>
      </c>
      <c r="AA1838" s="147" t="s">
        <v>11584</v>
      </c>
      <c r="AB1838" s="147" t="s">
        <v>11593</v>
      </c>
      <c r="AC1838" s="147" t="s">
        <v>11594</v>
      </c>
      <c r="AD1838" s="1518" t="s">
        <v>11587</v>
      </c>
      <c r="AE1838" s="709">
        <v>1209.0</v>
      </c>
      <c r="AF1838" s="709">
        <v>0.61</v>
      </c>
      <c r="AG1838" s="525" t="s">
        <v>130</v>
      </c>
      <c r="AH1838" s="1518" t="s">
        <v>11588</v>
      </c>
      <c r="AI1838" s="144">
        <v>0.001</v>
      </c>
      <c r="AJ1838" s="147" t="s">
        <v>127</v>
      </c>
      <c r="AK1838" s="147" t="s">
        <v>179</v>
      </c>
      <c r="AL1838" s="60" t="s">
        <v>129</v>
      </c>
      <c r="AM1838" s="1460" t="s">
        <v>165</v>
      </c>
      <c r="AN1838" s="144">
        <v>6970.0</v>
      </c>
      <c r="AO1838" s="144">
        <v>-0.27</v>
      </c>
      <c r="AP1838" s="147" t="s">
        <v>166</v>
      </c>
      <c r="AQ1838" s="147" t="s">
        <v>11595</v>
      </c>
      <c r="AR1838" s="1351">
        <v>2.54E-29</v>
      </c>
      <c r="AS1838" s="147" t="s">
        <v>164</v>
      </c>
      <c r="AT1838" s="147" t="s">
        <v>179</v>
      </c>
      <c r="AU1838" s="60" t="s">
        <v>129</v>
      </c>
      <c r="AV1838" s="1461" t="s">
        <v>11355</v>
      </c>
      <c r="AW1838" s="1354" t="s">
        <v>434</v>
      </c>
      <c r="AX1838" s="60"/>
      <c r="AY1838" s="60" t="s">
        <v>11025</v>
      </c>
    </row>
    <row r="1839">
      <c r="A1839" s="60" t="s">
        <v>106</v>
      </c>
      <c r="B1839" s="41" t="s">
        <v>107</v>
      </c>
      <c r="C1839" s="41" t="s">
        <v>108</v>
      </c>
      <c r="E1839" s="60" t="s">
        <v>11577</v>
      </c>
      <c r="F1839" s="147" t="s">
        <v>11596</v>
      </c>
      <c r="G1839" s="614" t="s">
        <v>6097</v>
      </c>
      <c r="H1839" s="140">
        <v>45673.0</v>
      </c>
      <c r="I1839" s="140">
        <v>45693.0</v>
      </c>
      <c r="J1839" s="147" t="s">
        <v>11597</v>
      </c>
      <c r="K1839" s="60"/>
      <c r="L1839" s="60" t="s">
        <v>11592</v>
      </c>
      <c r="M1839" s="60" t="s">
        <v>11581</v>
      </c>
      <c r="N1839" s="144">
        <v>1.0</v>
      </c>
      <c r="O1839" s="147" t="str">
        <f t="shared" si="99"/>
        <v>10.1037--a0015141.pdf</v>
      </c>
      <c r="P1839" s="48" t="str">
        <f t="array" ref="P1839">HYPERLINK(INDEX('File Links'!B:B, MATCH(O1839, 'File Links'!C:C, 0)))
</f>
        <v>https://drive.google.com/file/d/1hVohJjrePDnbP3YuG-OoIFpV1SI20xvZ/view?usp=drivesdk</v>
      </c>
      <c r="Q1839" s="1460" t="s">
        <v>11345</v>
      </c>
      <c r="R1839" s="1460" t="s">
        <v>11346</v>
      </c>
      <c r="S1839" s="60"/>
      <c r="T1839" s="60"/>
      <c r="U1839" s="147" t="s">
        <v>11347</v>
      </c>
      <c r="V1839" s="1354" t="s">
        <v>202</v>
      </c>
      <c r="W1839" s="544" t="str">
        <f t="array" ref="W1839">HYPERLINK(INDEX('File Links'!I:I, MATCH(U1839, 'File Links'!J:J, 0)))
</f>
        <v>#N/A</v>
      </c>
      <c r="X1839" s="60"/>
      <c r="Y1839" s="147" t="s">
        <v>220</v>
      </c>
      <c r="Z1839" s="60"/>
      <c r="AA1839" s="147" t="s">
        <v>11584</v>
      </c>
      <c r="AB1839" s="147" t="s">
        <v>11598</v>
      </c>
      <c r="AC1839" s="147" t="s">
        <v>11599</v>
      </c>
      <c r="AD1839" s="1514">
        <v>45781.0</v>
      </c>
      <c r="AE1839" s="144">
        <v>1209.0</v>
      </c>
      <c r="AF1839" s="144">
        <v>0.16</v>
      </c>
      <c r="AG1839" s="147" t="s">
        <v>130</v>
      </c>
      <c r="AH1839" s="147" t="s">
        <v>861</v>
      </c>
      <c r="AI1839" s="144">
        <v>0.001</v>
      </c>
      <c r="AJ1839" s="147" t="s">
        <v>127</v>
      </c>
      <c r="AK1839" s="147" t="s">
        <v>179</v>
      </c>
      <c r="AL1839" s="60" t="s">
        <v>129</v>
      </c>
      <c r="AM1839" s="60"/>
      <c r="AN1839" s="144">
        <v>6966.0</v>
      </c>
      <c r="AO1839" s="144">
        <v>0.29</v>
      </c>
      <c r="AP1839" s="147" t="s">
        <v>166</v>
      </c>
      <c r="AQ1839" s="147" t="s">
        <v>11600</v>
      </c>
      <c r="AR1839" s="1351">
        <v>6.05E-34</v>
      </c>
      <c r="AS1839" s="147" t="s">
        <v>164</v>
      </c>
      <c r="AT1839" s="147" t="s">
        <v>179</v>
      </c>
      <c r="AU1839" s="60" t="s">
        <v>129</v>
      </c>
      <c r="AV1839" s="1461" t="s">
        <v>11355</v>
      </c>
      <c r="AW1839" s="1509" t="s">
        <v>134</v>
      </c>
      <c r="AX1839" s="60"/>
      <c r="AY1839" s="60" t="s">
        <v>11025</v>
      </c>
    </row>
    <row r="1840">
      <c r="A1840" s="115" t="s">
        <v>143</v>
      </c>
      <c r="B1840" s="41" t="s">
        <v>107</v>
      </c>
      <c r="C1840" s="41" t="s">
        <v>226</v>
      </c>
      <c r="E1840" s="147" t="s">
        <v>11601</v>
      </c>
      <c r="F1840" s="147" t="s">
        <v>11602</v>
      </c>
      <c r="G1840" s="147" t="s">
        <v>11005</v>
      </c>
      <c r="H1840" s="140">
        <v>45687.0</v>
      </c>
      <c r="I1840" s="140">
        <v>45693.0</v>
      </c>
      <c r="J1840" s="147"/>
      <c r="K1840" s="139" t="s">
        <v>11603</v>
      </c>
      <c r="L1840" s="147" t="s">
        <v>11604</v>
      </c>
      <c r="M1840" s="147" t="s">
        <v>11436</v>
      </c>
      <c r="N1840" s="147" t="s">
        <v>11605</v>
      </c>
      <c r="O1840" s="147" t="s">
        <v>11438</v>
      </c>
      <c r="P1840" s="48" t="str">
        <f t="array" ref="P1840">HYPERLINK(INDEX('File Links'!B:B, MATCH(O1840, 'File Links'!C:C, 0)))
</f>
        <v>https://drive.google.com/file/d/1H2OS8Rk6wh8PVpv13iom_WUpLu0fEeBU/view?usp=drivesdk</v>
      </c>
      <c r="Q1840" s="147" t="s">
        <v>11345</v>
      </c>
      <c r="R1840" s="147" t="s">
        <v>11346</v>
      </c>
      <c r="S1840" s="60"/>
      <c r="T1840" s="144">
        <v>17.0</v>
      </c>
      <c r="U1840" s="147" t="s">
        <v>11347</v>
      </c>
      <c r="V1840" s="60" t="s">
        <v>202</v>
      </c>
      <c r="W1840" s="544" t="str">
        <f t="array" ref="W1840">HYPERLINK(INDEX('File Links'!I:I, MATCH(U1840, 'File Links'!J:J, 0)))
</f>
        <v>#N/A</v>
      </c>
      <c r="X1840" s="60"/>
      <c r="Y1840" s="1460" t="s">
        <v>220</v>
      </c>
      <c r="Z1840" s="139" t="s">
        <v>11606</v>
      </c>
      <c r="AA1840" s="1460" t="s">
        <v>11440</v>
      </c>
      <c r="AB1840" s="139" t="s">
        <v>11441</v>
      </c>
      <c r="AC1840" s="139" t="s">
        <v>11607</v>
      </c>
      <c r="AD1840" s="147" t="s">
        <v>610</v>
      </c>
      <c r="AE1840" s="144">
        <v>2612.0</v>
      </c>
      <c r="AF1840" s="149">
        <v>2.02</v>
      </c>
      <c r="AG1840" s="139" t="s">
        <v>722</v>
      </c>
      <c r="AH1840" s="139" t="s">
        <v>11608</v>
      </c>
      <c r="AI1840" s="144">
        <v>0.001</v>
      </c>
      <c r="AJ1840" s="147" t="s">
        <v>127</v>
      </c>
      <c r="AK1840" s="147" t="s">
        <v>179</v>
      </c>
      <c r="AL1840" s="60" t="s">
        <v>129</v>
      </c>
      <c r="AM1840" s="147" t="s">
        <v>165</v>
      </c>
      <c r="AN1840" s="144">
        <v>7923.0</v>
      </c>
      <c r="AO1840" s="144">
        <v>0.25</v>
      </c>
      <c r="AP1840" s="147" t="s">
        <v>166</v>
      </c>
      <c r="AQ1840" s="147" t="s">
        <v>11609</v>
      </c>
      <c r="AR1840" s="1459">
        <f> 4.66*10^-23</f>
        <v>0</v>
      </c>
      <c r="AS1840" s="1460" t="s">
        <v>164</v>
      </c>
      <c r="AT1840" s="147" t="s">
        <v>128</v>
      </c>
      <c r="AU1840" s="60" t="s">
        <v>129</v>
      </c>
      <c r="AV1840" s="410" t="s">
        <v>11355</v>
      </c>
      <c r="AW1840" s="60" t="s">
        <v>134</v>
      </c>
      <c r="AX1840" s="60"/>
      <c r="AY1840" s="115" t="s">
        <v>11070</v>
      </c>
    </row>
    <row r="1841">
      <c r="A1841" s="60" t="s">
        <v>106</v>
      </c>
      <c r="B1841" s="41" t="s">
        <v>107</v>
      </c>
      <c r="C1841" s="41" t="s">
        <v>108</v>
      </c>
      <c r="E1841" s="147" t="s">
        <v>11601</v>
      </c>
      <c r="F1841" s="147" t="s">
        <v>11602</v>
      </c>
      <c r="G1841" s="614" t="s">
        <v>6097</v>
      </c>
      <c r="H1841" s="140">
        <v>45667.0</v>
      </c>
      <c r="I1841" s="140">
        <v>45693.0</v>
      </c>
      <c r="J1841" s="60"/>
      <c r="K1841" s="60"/>
      <c r="L1841" s="60" t="s">
        <v>11604</v>
      </c>
      <c r="M1841" s="60" t="s">
        <v>11436</v>
      </c>
      <c r="N1841" s="147" t="s">
        <v>11610</v>
      </c>
      <c r="O1841" s="147" t="str">
        <f> SUBSTITUTE(lower(M1841), "/", "--") &amp;  ".pdf"</f>
        <v>10.1111-- j.1468-0017.2006.00297.x.pdf</v>
      </c>
      <c r="P1841" s="48" t="str">
        <f t="array" ref="P1841">HYPERLINK(INDEX('File Links'!B:B, MATCH(O1841, 'File Links'!C:C, 0)))
</f>
        <v>https://drive.google.com/file/d/1H2OS8Rk6wh8PVpv13iom_WUpLu0fEeBU/view?usp=drivesdk</v>
      </c>
      <c r="Q1841" s="1460" t="s">
        <v>11345</v>
      </c>
      <c r="R1841" s="1460" t="s">
        <v>11346</v>
      </c>
      <c r="S1841" s="60"/>
      <c r="T1841" s="60"/>
      <c r="U1841" s="147" t="s">
        <v>11347</v>
      </c>
      <c r="V1841" s="1354" t="s">
        <v>202</v>
      </c>
      <c r="W1841" s="544" t="str">
        <f t="array" ref="W1841">HYPERLINK(INDEX('File Links'!I:I, MATCH(U1841, 'File Links'!J:J, 0)))
</f>
        <v>#N/A</v>
      </c>
      <c r="X1841" s="60"/>
      <c r="Y1841" s="147" t="s">
        <v>220</v>
      </c>
      <c r="Z1841" s="60"/>
      <c r="AA1841" s="147" t="s">
        <v>11440</v>
      </c>
      <c r="AB1841" s="147" t="s">
        <v>11446</v>
      </c>
      <c r="AC1841" s="147" t="s">
        <v>11611</v>
      </c>
      <c r="AD1841" s="144">
        <v>8.0</v>
      </c>
      <c r="AE1841" s="144">
        <v>2612.0</v>
      </c>
      <c r="AF1841" s="144">
        <v>0.17</v>
      </c>
      <c r="AG1841" s="147" t="s">
        <v>6909</v>
      </c>
      <c r="AH1841" s="147" t="s">
        <v>610</v>
      </c>
      <c r="AI1841" s="144">
        <v>0.001</v>
      </c>
      <c r="AJ1841" s="147" t="s">
        <v>127</v>
      </c>
      <c r="AK1841" s="147" t="s">
        <v>211</v>
      </c>
      <c r="AL1841" s="60" t="s">
        <v>821</v>
      </c>
      <c r="AM1841" s="60"/>
      <c r="AN1841" s="144">
        <v>7923.0</v>
      </c>
      <c r="AO1841" s="144">
        <v>1.58</v>
      </c>
      <c r="AP1841" s="147" t="s">
        <v>722</v>
      </c>
      <c r="AQ1841" s="147" t="s">
        <v>1580</v>
      </c>
      <c r="AR1841" s="1351">
        <v>4.66E-23</v>
      </c>
      <c r="AS1841" s="147" t="s">
        <v>164</v>
      </c>
      <c r="AT1841" s="1268" t="s">
        <v>179</v>
      </c>
      <c r="AU1841" s="60" t="s">
        <v>129</v>
      </c>
      <c r="AV1841" s="1461" t="s">
        <v>11355</v>
      </c>
      <c r="AW1841" s="60" t="s">
        <v>134</v>
      </c>
      <c r="AX1841" s="60"/>
      <c r="AY1841" s="60" t="s">
        <v>11025</v>
      </c>
    </row>
    <row r="1842">
      <c r="A1842" s="115" t="s">
        <v>143</v>
      </c>
      <c r="B1842" s="41" t="s">
        <v>107</v>
      </c>
      <c r="C1842" s="41" t="s">
        <v>226</v>
      </c>
      <c r="E1842" s="60" t="s">
        <v>11612</v>
      </c>
      <c r="F1842" s="147" t="s">
        <v>11613</v>
      </c>
      <c r="G1842" s="147" t="s">
        <v>11005</v>
      </c>
      <c r="H1842" s="140">
        <v>45687.0</v>
      </c>
      <c r="I1842" s="140">
        <v>45693.0</v>
      </c>
      <c r="J1842" s="147"/>
      <c r="K1842" s="139"/>
      <c r="L1842" s="147" t="s">
        <v>11614</v>
      </c>
      <c r="M1842" s="147" t="s">
        <v>8004</v>
      </c>
      <c r="N1842" s="144">
        <v>2.0</v>
      </c>
      <c r="O1842" s="147" t="s">
        <v>8005</v>
      </c>
      <c r="P1842" s="48" t="str">
        <f t="array" ref="P1842">HYPERLINK(INDEX('File Links'!B:B, MATCH(O1842, 'File Links'!C:C, 0)))
</f>
        <v>https://drive.google.com/file/d/1Gkz07e_5xnoHy7zdKAHfWY6layqbA2lX/view?usp=drivesdk</v>
      </c>
      <c r="Q1842" s="147" t="s">
        <v>11345</v>
      </c>
      <c r="R1842" s="147" t="s">
        <v>11346</v>
      </c>
      <c r="S1842" s="60"/>
      <c r="T1842" s="144">
        <v>18.0</v>
      </c>
      <c r="U1842" s="147" t="s">
        <v>11347</v>
      </c>
      <c r="V1842" s="60" t="s">
        <v>202</v>
      </c>
      <c r="W1842" s="544" t="str">
        <f t="array" ref="W1842">HYPERLINK(INDEX('File Links'!I:I, MATCH(U1842, 'File Links'!J:J, 0)))
</f>
        <v>#N/A</v>
      </c>
      <c r="X1842" s="60"/>
      <c r="Y1842" s="147" t="s">
        <v>960</v>
      </c>
      <c r="Z1842" s="350" t="s">
        <v>165</v>
      </c>
      <c r="AA1842" s="1460" t="s">
        <v>11615</v>
      </c>
      <c r="AB1842" s="147" t="s">
        <v>11616</v>
      </c>
      <c r="AC1842" s="139" t="s">
        <v>11617</v>
      </c>
      <c r="AD1842" s="147" t="s">
        <v>11618</v>
      </c>
      <c r="AE1842" s="144">
        <v>120.0</v>
      </c>
      <c r="AF1842" s="144">
        <v>0.39</v>
      </c>
      <c r="AG1842" s="147" t="s">
        <v>166</v>
      </c>
      <c r="AH1842" s="147" t="s">
        <v>11618</v>
      </c>
      <c r="AI1842" s="144">
        <v>0.05</v>
      </c>
      <c r="AJ1842" s="147" t="s">
        <v>127</v>
      </c>
      <c r="AK1842" s="147" t="s">
        <v>179</v>
      </c>
      <c r="AL1842" s="60" t="s">
        <v>129</v>
      </c>
      <c r="AM1842" s="147" t="s">
        <v>165</v>
      </c>
      <c r="AN1842" s="144">
        <v>8000.0</v>
      </c>
      <c r="AO1842" s="144">
        <v>0.18</v>
      </c>
      <c r="AP1842" s="147" t="s">
        <v>166</v>
      </c>
      <c r="AQ1842" s="147" t="s">
        <v>11609</v>
      </c>
      <c r="AR1842" s="1459">
        <f>7.7*10^-16</f>
        <v>0</v>
      </c>
      <c r="AS1842" s="1460" t="s">
        <v>164</v>
      </c>
      <c r="AT1842" s="147" t="s">
        <v>179</v>
      </c>
      <c r="AU1842" s="60" t="s">
        <v>129</v>
      </c>
      <c r="AV1842" s="410" t="s">
        <v>11355</v>
      </c>
      <c r="AW1842" s="60" t="s">
        <v>134</v>
      </c>
      <c r="AX1842" s="60"/>
      <c r="AY1842" s="115" t="s">
        <v>11070</v>
      </c>
    </row>
    <row r="1843">
      <c r="A1843" s="60" t="s">
        <v>106</v>
      </c>
      <c r="B1843" s="41" t="s">
        <v>107</v>
      </c>
      <c r="C1843" s="41" t="s">
        <v>108</v>
      </c>
      <c r="E1843" s="60" t="s">
        <v>11612</v>
      </c>
      <c r="F1843" s="147" t="s">
        <v>11613</v>
      </c>
      <c r="G1843" s="614" t="s">
        <v>6097</v>
      </c>
      <c r="H1843" s="140">
        <v>45672.0</v>
      </c>
      <c r="I1843" s="140">
        <v>45693.0</v>
      </c>
      <c r="J1843" s="147" t="s">
        <v>11619</v>
      </c>
      <c r="K1843" s="60"/>
      <c r="L1843" s="60" t="s">
        <v>11614</v>
      </c>
      <c r="M1843" s="60" t="s">
        <v>8004</v>
      </c>
      <c r="N1843" s="144">
        <v>2.0</v>
      </c>
      <c r="O1843" s="147" t="str">
        <f> SUBSTITUTE(lower(M1843), "/", "--") &amp;  ".pdf"</f>
        <v>10.1037--0022-3514.95.2.293.pdf</v>
      </c>
      <c r="P1843" s="48" t="str">
        <f t="array" ref="P1843">HYPERLINK(INDEX('File Links'!B:B, MATCH(O1843, 'File Links'!C:C, 0)))
</f>
        <v>https://drive.google.com/file/d/1Gkz07e_5xnoHy7zdKAHfWY6layqbA2lX/view?usp=drivesdk</v>
      </c>
      <c r="Q1843" s="1460" t="s">
        <v>11345</v>
      </c>
      <c r="R1843" s="1460" t="s">
        <v>11346</v>
      </c>
      <c r="S1843" s="60"/>
      <c r="T1843" s="60"/>
      <c r="U1843" s="147" t="s">
        <v>11347</v>
      </c>
      <c r="V1843" s="1354" t="s">
        <v>202</v>
      </c>
      <c r="W1843" s="544" t="str">
        <f t="array" ref="W1843">HYPERLINK(INDEX('File Links'!I:I, MATCH(U1843, 'File Links'!J:J, 0)))
</f>
        <v>#N/A</v>
      </c>
      <c r="X1843" s="60"/>
      <c r="Y1843" s="147" t="s">
        <v>220</v>
      </c>
      <c r="Z1843" s="60"/>
      <c r="AA1843" s="147" t="s">
        <v>11615</v>
      </c>
      <c r="AB1843" s="147" t="s">
        <v>11620</v>
      </c>
      <c r="AC1843" s="147" t="s">
        <v>11621</v>
      </c>
      <c r="AD1843" s="144">
        <v>3.0</v>
      </c>
      <c r="AE1843" s="144">
        <v>120.0</v>
      </c>
      <c r="AF1843" s="144">
        <v>0.39</v>
      </c>
      <c r="AG1843" s="147" t="s">
        <v>166</v>
      </c>
      <c r="AH1843" s="147" t="s">
        <v>210</v>
      </c>
      <c r="AI1843" s="144">
        <v>0.05</v>
      </c>
      <c r="AJ1843" s="147" t="s">
        <v>127</v>
      </c>
      <c r="AK1843" s="147" t="s">
        <v>179</v>
      </c>
      <c r="AL1843" s="60" t="s">
        <v>129</v>
      </c>
      <c r="AM1843" s="60"/>
      <c r="AN1843" s="144">
        <v>8000.0</v>
      </c>
      <c r="AO1843" s="144">
        <v>0.18</v>
      </c>
      <c r="AP1843" s="147" t="s">
        <v>166</v>
      </c>
      <c r="AQ1843" s="147" t="s">
        <v>1580</v>
      </c>
      <c r="AR1843" s="1351">
        <v>7.7E-16</v>
      </c>
      <c r="AS1843" s="147" t="s">
        <v>164</v>
      </c>
      <c r="AT1843" s="147" t="s">
        <v>179</v>
      </c>
      <c r="AU1843" s="60" t="s">
        <v>129</v>
      </c>
      <c r="AV1843" s="1461" t="s">
        <v>11355</v>
      </c>
      <c r="AW1843" s="60" t="s">
        <v>134</v>
      </c>
      <c r="AX1843" s="60"/>
      <c r="AY1843" s="60" t="s">
        <v>11025</v>
      </c>
    </row>
    <row r="1844">
      <c r="A1844" s="115" t="s">
        <v>143</v>
      </c>
      <c r="B1844" s="41" t="s">
        <v>107</v>
      </c>
      <c r="C1844" s="41" t="s">
        <v>226</v>
      </c>
      <c r="E1844" s="60" t="s">
        <v>11622</v>
      </c>
      <c r="F1844" s="147" t="s">
        <v>11623</v>
      </c>
      <c r="G1844" s="147" t="s">
        <v>11005</v>
      </c>
      <c r="H1844" s="140">
        <v>45687.0</v>
      </c>
      <c r="I1844" s="140">
        <v>45693.0</v>
      </c>
      <c r="J1844" s="139" t="s">
        <v>11624</v>
      </c>
      <c r="K1844" s="147"/>
      <c r="L1844" s="147" t="s">
        <v>11625</v>
      </c>
      <c r="M1844" s="147" t="s">
        <v>11626</v>
      </c>
      <c r="N1844" s="144">
        <v>4.0</v>
      </c>
      <c r="O1844" s="147" t="s">
        <v>11627</v>
      </c>
      <c r="P1844" s="48" t="str">
        <f t="array" ref="P1844">HYPERLINK(INDEX('File Links'!B:B, MATCH(O1844, 'File Links'!C:C, 0)))
</f>
        <v>https://drive.google.com/file/d/1qh6jn8CXzXmvxEifk6kq4pZRCYHNO1mu/view?usp=drivesdk</v>
      </c>
      <c r="Q1844" s="147" t="s">
        <v>11345</v>
      </c>
      <c r="R1844" s="147" t="s">
        <v>11346</v>
      </c>
      <c r="S1844" s="60"/>
      <c r="T1844" s="144">
        <v>19.0</v>
      </c>
      <c r="U1844" s="147" t="s">
        <v>11347</v>
      </c>
      <c r="V1844" s="60" t="s">
        <v>202</v>
      </c>
      <c r="W1844" s="544" t="str">
        <f t="array" ref="W1844">HYPERLINK(INDEX('File Links'!I:I, MATCH(U1844, 'File Links'!J:J, 0)))
</f>
        <v>#N/A</v>
      </c>
      <c r="X1844" s="60"/>
      <c r="Y1844" s="1460" t="s">
        <v>220</v>
      </c>
      <c r="Z1844" s="350" t="s">
        <v>165</v>
      </c>
      <c r="AA1844" s="1460" t="s">
        <v>11628</v>
      </c>
      <c r="AB1844" s="147" t="s">
        <v>11629</v>
      </c>
      <c r="AC1844" s="147" t="s">
        <v>11630</v>
      </c>
      <c r="AD1844" s="147" t="s">
        <v>11631</v>
      </c>
      <c r="AE1844" s="144">
        <v>77.0</v>
      </c>
      <c r="AF1844" s="144">
        <v>0.87</v>
      </c>
      <c r="AG1844" s="147" t="s">
        <v>166</v>
      </c>
      <c r="AH1844" s="139" t="s">
        <v>11632</v>
      </c>
      <c r="AI1844" s="144">
        <v>0.001</v>
      </c>
      <c r="AJ1844" s="147" t="s">
        <v>164</v>
      </c>
      <c r="AK1844" s="147" t="s">
        <v>179</v>
      </c>
      <c r="AL1844" s="60" t="s">
        <v>129</v>
      </c>
      <c r="AM1844" s="147" t="s">
        <v>165</v>
      </c>
      <c r="AN1844" s="144">
        <v>6608.0</v>
      </c>
      <c r="AO1844" s="144">
        <v>0.12</v>
      </c>
      <c r="AP1844" s="147" t="s">
        <v>166</v>
      </c>
      <c r="AQ1844" s="147" t="s">
        <v>11633</v>
      </c>
      <c r="AR1844" s="144">
        <f>8.62*10^-7</f>
        <v>0.000000862</v>
      </c>
      <c r="AS1844" s="147" t="s">
        <v>164</v>
      </c>
      <c r="AT1844" s="147" t="s">
        <v>179</v>
      </c>
      <c r="AU1844" s="60" t="s">
        <v>129</v>
      </c>
      <c r="AV1844" s="410" t="s">
        <v>11355</v>
      </c>
      <c r="AW1844" s="60" t="s">
        <v>134</v>
      </c>
      <c r="AX1844" s="60"/>
      <c r="AY1844" s="115" t="s">
        <v>11070</v>
      </c>
    </row>
    <row r="1845">
      <c r="A1845" s="128" t="s">
        <v>520</v>
      </c>
      <c r="B1845" s="41" t="s">
        <v>107</v>
      </c>
      <c r="C1845" s="41" t="s">
        <v>108</v>
      </c>
      <c r="E1845" s="60" t="s">
        <v>11622</v>
      </c>
      <c r="F1845" s="147" t="s">
        <v>11623</v>
      </c>
      <c r="G1845" s="614" t="s">
        <v>6097</v>
      </c>
      <c r="H1845" s="140">
        <v>45673.0</v>
      </c>
      <c r="I1845" s="140">
        <v>45693.0</v>
      </c>
      <c r="J1845" s="60"/>
      <c r="K1845" s="147" t="s">
        <v>11634</v>
      </c>
      <c r="L1845" s="60" t="s">
        <v>11625</v>
      </c>
      <c r="M1845" s="60" t="s">
        <v>11626</v>
      </c>
      <c r="N1845" s="144">
        <v>4.0</v>
      </c>
      <c r="O1845" s="147" t="str">
        <f t="shared" ref="O1845:O1849" si="100"> SUBSTITUTE(lower(M1845), "/", "--") &amp;  ".pdf"</f>
        <v>10.1177--0956797611429579.pdf</v>
      </c>
      <c r="P1845" s="48" t="str">
        <f t="array" ref="P1845">HYPERLINK(INDEX('File Links'!B:B, MATCH(O1845, 'File Links'!C:C, 0)))
</f>
        <v>https://drive.google.com/file/d/1qh6jn8CXzXmvxEifk6kq4pZRCYHNO1mu/view?usp=drivesdk</v>
      </c>
      <c r="Q1845" s="1460" t="s">
        <v>11345</v>
      </c>
      <c r="R1845" s="1460" t="s">
        <v>11346</v>
      </c>
      <c r="S1845" s="60"/>
      <c r="T1845" s="60"/>
      <c r="U1845" s="147" t="s">
        <v>11347</v>
      </c>
      <c r="V1845" s="1354" t="s">
        <v>202</v>
      </c>
      <c r="W1845" s="544" t="str">
        <f t="array" ref="W1845">HYPERLINK(INDEX('File Links'!I:I, MATCH(U1845, 'File Links'!J:J, 0)))
</f>
        <v>#N/A</v>
      </c>
      <c r="X1845" s="60"/>
      <c r="Y1845" s="147" t="s">
        <v>220</v>
      </c>
      <c r="Z1845" s="60"/>
      <c r="AA1845" s="147" t="s">
        <v>11628</v>
      </c>
      <c r="AB1845" s="147" t="s">
        <v>11635</v>
      </c>
      <c r="AC1845" s="147" t="s">
        <v>11636</v>
      </c>
      <c r="AD1845" s="144">
        <v>7.0</v>
      </c>
      <c r="AE1845" s="144">
        <v>77.0</v>
      </c>
      <c r="AF1845" s="144">
        <v>0.47</v>
      </c>
      <c r="AG1845" s="147" t="s">
        <v>166</v>
      </c>
      <c r="AH1845" s="147" t="s">
        <v>861</v>
      </c>
      <c r="AI1845" s="144">
        <v>0.04</v>
      </c>
      <c r="AJ1845" s="147" t="s">
        <v>164</v>
      </c>
      <c r="AK1845" s="147" t="s">
        <v>179</v>
      </c>
      <c r="AL1845" s="60" t="s">
        <v>129</v>
      </c>
      <c r="AM1845" s="1460" t="s">
        <v>165</v>
      </c>
      <c r="AN1845" s="144">
        <v>6608.0</v>
      </c>
      <c r="AO1845" s="144">
        <v>0.1</v>
      </c>
      <c r="AP1845" s="147" t="s">
        <v>166</v>
      </c>
      <c r="AQ1845" s="147" t="s">
        <v>11633</v>
      </c>
      <c r="AR1845" s="144">
        <v>0.05</v>
      </c>
      <c r="AS1845" s="147" t="s">
        <v>127</v>
      </c>
      <c r="AT1845" s="147" t="s">
        <v>179</v>
      </c>
      <c r="AU1845" s="60" t="s">
        <v>129</v>
      </c>
      <c r="AV1845" s="1461" t="s">
        <v>11355</v>
      </c>
      <c r="AW1845" s="60" t="s">
        <v>134</v>
      </c>
      <c r="AX1845" s="60"/>
      <c r="AY1845" s="60" t="s">
        <v>11025</v>
      </c>
    </row>
    <row r="1846">
      <c r="A1846" s="128" t="s">
        <v>520</v>
      </c>
      <c r="B1846" s="41" t="s">
        <v>107</v>
      </c>
      <c r="C1846" s="41" t="s">
        <v>108</v>
      </c>
      <c r="E1846" s="60" t="s">
        <v>11622</v>
      </c>
      <c r="F1846" s="147" t="s">
        <v>11637</v>
      </c>
      <c r="G1846" s="614" t="s">
        <v>6097</v>
      </c>
      <c r="H1846" s="140">
        <v>45673.0</v>
      </c>
      <c r="I1846" s="140">
        <v>45693.0</v>
      </c>
      <c r="J1846" s="60"/>
      <c r="K1846" s="147" t="s">
        <v>11634</v>
      </c>
      <c r="L1846" s="60" t="s">
        <v>11625</v>
      </c>
      <c r="M1846" s="60" t="s">
        <v>11626</v>
      </c>
      <c r="N1846" s="144">
        <v>4.0</v>
      </c>
      <c r="O1846" s="147" t="str">
        <f t="shared" si="100"/>
        <v>10.1177--0956797611429579.pdf</v>
      </c>
      <c r="P1846" s="48" t="str">
        <f t="array" ref="P1846">HYPERLINK(INDEX('File Links'!B:B, MATCH(O1846, 'File Links'!C:C, 0)))
</f>
        <v>https://drive.google.com/file/d/1qh6jn8CXzXmvxEifk6kq4pZRCYHNO1mu/view?usp=drivesdk</v>
      </c>
      <c r="Q1846" s="1460" t="s">
        <v>11345</v>
      </c>
      <c r="R1846" s="1460" t="s">
        <v>11346</v>
      </c>
      <c r="S1846" s="60"/>
      <c r="T1846" s="60"/>
      <c r="U1846" s="147" t="s">
        <v>11347</v>
      </c>
      <c r="V1846" s="1354" t="s">
        <v>202</v>
      </c>
      <c r="W1846" s="544" t="str">
        <f t="array" ref="W1846">HYPERLINK(INDEX('File Links'!I:I, MATCH(U1846, 'File Links'!J:J, 0)))
</f>
        <v>#N/A</v>
      </c>
      <c r="X1846" s="60"/>
      <c r="Y1846" s="147" t="s">
        <v>220</v>
      </c>
      <c r="Z1846" s="60"/>
      <c r="AA1846" s="147" t="s">
        <v>11628</v>
      </c>
      <c r="AB1846" s="147" t="s">
        <v>11638</v>
      </c>
      <c r="AC1846" s="147" t="s">
        <v>11639</v>
      </c>
      <c r="AD1846" s="144">
        <v>7.0</v>
      </c>
      <c r="AE1846" s="144">
        <v>77.0</v>
      </c>
      <c r="AF1846" s="144">
        <v>0.29</v>
      </c>
      <c r="AG1846" s="147" t="s">
        <v>166</v>
      </c>
      <c r="AH1846" s="147" t="s">
        <v>861</v>
      </c>
      <c r="AI1846" s="144">
        <v>0.2</v>
      </c>
      <c r="AJ1846" s="147" t="s">
        <v>164</v>
      </c>
      <c r="AK1846" s="147" t="s">
        <v>179</v>
      </c>
      <c r="AL1846" s="60" t="s">
        <v>129</v>
      </c>
      <c r="AM1846" s="1460" t="s">
        <v>165</v>
      </c>
      <c r="AN1846" s="144">
        <v>6608.0</v>
      </c>
      <c r="AO1846" s="144">
        <v>0.08</v>
      </c>
      <c r="AP1846" s="147" t="s">
        <v>166</v>
      </c>
      <c r="AQ1846" s="147" t="s">
        <v>11633</v>
      </c>
      <c r="AR1846" s="144">
        <v>0.05</v>
      </c>
      <c r="AS1846" s="147" t="s">
        <v>127</v>
      </c>
      <c r="AT1846" s="147" t="s">
        <v>179</v>
      </c>
      <c r="AU1846" s="60" t="s">
        <v>129</v>
      </c>
      <c r="AV1846" s="1461" t="s">
        <v>11355</v>
      </c>
      <c r="AW1846" s="60" t="s">
        <v>134</v>
      </c>
      <c r="AX1846" s="60"/>
      <c r="AY1846" s="60" t="s">
        <v>11025</v>
      </c>
    </row>
    <row r="1847">
      <c r="A1847" s="60" t="s">
        <v>106</v>
      </c>
      <c r="B1847" s="41" t="s">
        <v>107</v>
      </c>
      <c r="C1847" s="41" t="s">
        <v>108</v>
      </c>
      <c r="E1847" s="60" t="s">
        <v>11622</v>
      </c>
      <c r="F1847" s="147" t="s">
        <v>11640</v>
      </c>
      <c r="G1847" s="614" t="s">
        <v>6097</v>
      </c>
      <c r="H1847" s="140">
        <v>45673.0</v>
      </c>
      <c r="I1847" s="140">
        <v>45693.0</v>
      </c>
      <c r="J1847" s="60"/>
      <c r="K1847" s="147" t="s">
        <v>11641</v>
      </c>
      <c r="L1847" s="60" t="s">
        <v>11625</v>
      </c>
      <c r="M1847" s="60" t="s">
        <v>11626</v>
      </c>
      <c r="N1847" s="144">
        <v>4.0</v>
      </c>
      <c r="O1847" s="147" t="str">
        <f t="shared" si="100"/>
        <v>10.1177--0956797611429579.pdf</v>
      </c>
      <c r="P1847" s="48" t="str">
        <f t="array" ref="P1847">HYPERLINK(INDEX('File Links'!B:B, MATCH(O1847, 'File Links'!C:C, 0)))
</f>
        <v>https://drive.google.com/file/d/1qh6jn8CXzXmvxEifk6kq4pZRCYHNO1mu/view?usp=drivesdk</v>
      </c>
      <c r="Q1847" s="1460" t="s">
        <v>11345</v>
      </c>
      <c r="R1847" s="1460" t="s">
        <v>11346</v>
      </c>
      <c r="S1847" s="60"/>
      <c r="T1847" s="60"/>
      <c r="U1847" s="147" t="s">
        <v>11347</v>
      </c>
      <c r="V1847" s="1354" t="s">
        <v>202</v>
      </c>
      <c r="W1847" s="544" t="str">
        <f t="array" ref="W1847">HYPERLINK(INDEX('File Links'!I:I, MATCH(U1847, 'File Links'!J:J, 0)))
</f>
        <v>#N/A</v>
      </c>
      <c r="X1847" s="60"/>
      <c r="Y1847" s="147" t="s">
        <v>220</v>
      </c>
      <c r="Z1847" s="60"/>
      <c r="AA1847" s="147" t="s">
        <v>11628</v>
      </c>
      <c r="AB1847" s="147" t="s">
        <v>11642</v>
      </c>
      <c r="AC1847" s="147" t="s">
        <v>11643</v>
      </c>
      <c r="AD1847" s="144">
        <v>7.0</v>
      </c>
      <c r="AE1847" s="144">
        <v>77.0</v>
      </c>
      <c r="AF1847" s="144">
        <v>0.8</v>
      </c>
      <c r="AG1847" s="147" t="s">
        <v>166</v>
      </c>
      <c r="AH1847" s="147" t="s">
        <v>861</v>
      </c>
      <c r="AI1847" s="144">
        <v>0.001</v>
      </c>
      <c r="AJ1847" s="147" t="s">
        <v>164</v>
      </c>
      <c r="AK1847" s="147" t="s">
        <v>179</v>
      </c>
      <c r="AL1847" s="60" t="s">
        <v>129</v>
      </c>
      <c r="AM1847" s="1460" t="s">
        <v>165</v>
      </c>
      <c r="AN1847" s="144">
        <v>6608.0</v>
      </c>
      <c r="AO1847" s="144">
        <v>0.12</v>
      </c>
      <c r="AP1847" s="147" t="s">
        <v>166</v>
      </c>
      <c r="AQ1847" s="147" t="s">
        <v>2232</v>
      </c>
      <c r="AR1847" s="1351">
        <v>8.62E-7</v>
      </c>
      <c r="AS1847" s="147" t="s">
        <v>164</v>
      </c>
      <c r="AT1847" s="147" t="s">
        <v>179</v>
      </c>
      <c r="AU1847" s="60" t="s">
        <v>129</v>
      </c>
      <c r="AV1847" s="1461" t="s">
        <v>11355</v>
      </c>
      <c r="AW1847" s="60" t="s">
        <v>134</v>
      </c>
      <c r="AX1847" s="60"/>
      <c r="AY1847" s="60" t="s">
        <v>11025</v>
      </c>
    </row>
    <row r="1848">
      <c r="A1848" s="128" t="s">
        <v>520</v>
      </c>
      <c r="B1848" s="41" t="s">
        <v>107</v>
      </c>
      <c r="C1848" s="41" t="s">
        <v>108</v>
      </c>
      <c r="E1848" s="60" t="s">
        <v>11622</v>
      </c>
      <c r="F1848" s="147" t="s">
        <v>11644</v>
      </c>
      <c r="G1848" s="614" t="s">
        <v>6097</v>
      </c>
      <c r="H1848" s="140">
        <v>45673.0</v>
      </c>
      <c r="I1848" s="140">
        <v>45693.0</v>
      </c>
      <c r="J1848" s="60"/>
      <c r="K1848" s="147" t="s">
        <v>11634</v>
      </c>
      <c r="L1848" s="60" t="s">
        <v>11625</v>
      </c>
      <c r="M1848" s="60" t="s">
        <v>11626</v>
      </c>
      <c r="N1848" s="144">
        <v>4.0</v>
      </c>
      <c r="O1848" s="147" t="str">
        <f t="shared" si="100"/>
        <v>10.1177--0956797611429579.pdf</v>
      </c>
      <c r="P1848" s="48" t="str">
        <f t="array" ref="P1848">HYPERLINK(INDEX('File Links'!B:B, MATCH(O1848, 'File Links'!C:C, 0)))
</f>
        <v>https://drive.google.com/file/d/1qh6jn8CXzXmvxEifk6kq4pZRCYHNO1mu/view?usp=drivesdk</v>
      </c>
      <c r="Q1848" s="1460" t="s">
        <v>11345</v>
      </c>
      <c r="R1848" s="1460" t="s">
        <v>11346</v>
      </c>
      <c r="S1848" s="60"/>
      <c r="T1848" s="60"/>
      <c r="U1848" s="147" t="s">
        <v>11347</v>
      </c>
      <c r="V1848" s="1354" t="s">
        <v>202</v>
      </c>
      <c r="W1848" s="544" t="str">
        <f t="array" ref="W1848">HYPERLINK(INDEX('File Links'!I:I, MATCH(U1848, 'File Links'!J:J, 0)))
</f>
        <v>#N/A</v>
      </c>
      <c r="X1848" s="60"/>
      <c r="Y1848" s="147" t="s">
        <v>220</v>
      </c>
      <c r="Z1848" s="60"/>
      <c r="AA1848" s="147" t="s">
        <v>11628</v>
      </c>
      <c r="AB1848" s="147" t="s">
        <v>11645</v>
      </c>
      <c r="AC1848" s="147" t="s">
        <v>11646</v>
      </c>
      <c r="AD1848" s="144">
        <v>7.0</v>
      </c>
      <c r="AE1848" s="144">
        <v>77.0</v>
      </c>
      <c r="AF1848" s="144">
        <v>0.53</v>
      </c>
      <c r="AG1848" s="147" t="s">
        <v>166</v>
      </c>
      <c r="AH1848" s="147" t="s">
        <v>861</v>
      </c>
      <c r="AI1848" s="144">
        <v>0.02</v>
      </c>
      <c r="AJ1848" s="147" t="s">
        <v>164</v>
      </c>
      <c r="AK1848" s="147" t="s">
        <v>179</v>
      </c>
      <c r="AL1848" s="60" t="s">
        <v>129</v>
      </c>
      <c r="AM1848" s="1460" t="s">
        <v>165</v>
      </c>
      <c r="AN1848" s="144">
        <v>6608.0</v>
      </c>
      <c r="AO1848" s="144">
        <v>0.12</v>
      </c>
      <c r="AP1848" s="147" t="s">
        <v>166</v>
      </c>
      <c r="AQ1848" s="147" t="s">
        <v>11633</v>
      </c>
      <c r="AR1848" s="144">
        <v>0.05</v>
      </c>
      <c r="AS1848" s="147" t="s">
        <v>127</v>
      </c>
      <c r="AT1848" s="147" t="s">
        <v>179</v>
      </c>
      <c r="AU1848" s="60" t="s">
        <v>129</v>
      </c>
      <c r="AV1848" s="1461" t="s">
        <v>11355</v>
      </c>
      <c r="AW1848" s="60" t="s">
        <v>134</v>
      </c>
      <c r="AX1848" s="60"/>
      <c r="AY1848" s="60" t="s">
        <v>11025</v>
      </c>
    </row>
    <row r="1849">
      <c r="A1849" s="128" t="s">
        <v>520</v>
      </c>
      <c r="B1849" s="41" t="s">
        <v>107</v>
      </c>
      <c r="C1849" s="41" t="s">
        <v>108</v>
      </c>
      <c r="E1849" s="60" t="s">
        <v>11622</v>
      </c>
      <c r="F1849" s="147" t="s">
        <v>11647</v>
      </c>
      <c r="G1849" s="614" t="s">
        <v>6097</v>
      </c>
      <c r="H1849" s="140">
        <v>45673.0</v>
      </c>
      <c r="I1849" s="140">
        <v>45693.0</v>
      </c>
      <c r="J1849" s="60"/>
      <c r="K1849" s="147" t="s">
        <v>11634</v>
      </c>
      <c r="L1849" s="60" t="s">
        <v>11625</v>
      </c>
      <c r="M1849" s="60" t="s">
        <v>11626</v>
      </c>
      <c r="N1849" s="144">
        <v>4.0</v>
      </c>
      <c r="O1849" s="147" t="str">
        <f t="shared" si="100"/>
        <v>10.1177--0956797611429579.pdf</v>
      </c>
      <c r="P1849" s="48" t="str">
        <f t="array" ref="P1849">HYPERLINK(INDEX('File Links'!B:B, MATCH(O1849, 'File Links'!C:C, 0)))
</f>
        <v>https://drive.google.com/file/d/1qh6jn8CXzXmvxEifk6kq4pZRCYHNO1mu/view?usp=drivesdk</v>
      </c>
      <c r="Q1849" s="1460" t="s">
        <v>11345</v>
      </c>
      <c r="R1849" s="1460" t="s">
        <v>11346</v>
      </c>
      <c r="S1849" s="60"/>
      <c r="T1849" s="60"/>
      <c r="U1849" s="147" t="s">
        <v>11347</v>
      </c>
      <c r="V1849" s="1354" t="s">
        <v>202</v>
      </c>
      <c r="W1849" s="544" t="str">
        <f t="array" ref="W1849">HYPERLINK(INDEX('File Links'!I:I, MATCH(U1849, 'File Links'!J:J, 0)))
</f>
        <v>#N/A</v>
      </c>
      <c r="X1849" s="60"/>
      <c r="Y1849" s="147" t="s">
        <v>220</v>
      </c>
      <c r="Z1849" s="60"/>
      <c r="AA1849" s="147" t="s">
        <v>11628</v>
      </c>
      <c r="AB1849" s="147" t="s">
        <v>11648</v>
      </c>
      <c r="AC1849" s="147" t="s">
        <v>11649</v>
      </c>
      <c r="AD1849" s="144">
        <v>7.0</v>
      </c>
      <c r="AE1849" s="144">
        <v>77.0</v>
      </c>
      <c r="AF1849" s="144">
        <v>0.25</v>
      </c>
      <c r="AG1849" s="147" t="s">
        <v>166</v>
      </c>
      <c r="AH1849" s="147" t="s">
        <v>861</v>
      </c>
      <c r="AI1849" s="144">
        <v>0.26</v>
      </c>
      <c r="AJ1849" s="147" t="s">
        <v>164</v>
      </c>
      <c r="AK1849" s="147" t="s">
        <v>179</v>
      </c>
      <c r="AL1849" s="60" t="s">
        <v>129</v>
      </c>
      <c r="AM1849" s="1460" t="s">
        <v>165</v>
      </c>
      <c r="AN1849" s="144">
        <v>6608.0</v>
      </c>
      <c r="AO1849" s="144">
        <v>0.01</v>
      </c>
      <c r="AP1849" s="147" t="s">
        <v>166</v>
      </c>
      <c r="AQ1849" s="147" t="s">
        <v>11633</v>
      </c>
      <c r="AR1849" s="144">
        <v>0.05</v>
      </c>
      <c r="AS1849" s="147" t="s">
        <v>127</v>
      </c>
      <c r="AT1849" s="147" t="s">
        <v>179</v>
      </c>
      <c r="AU1849" s="60" t="s">
        <v>129</v>
      </c>
      <c r="AV1849" s="1461" t="s">
        <v>11355</v>
      </c>
      <c r="AW1849" s="60" t="s">
        <v>134</v>
      </c>
      <c r="AX1849" s="60"/>
      <c r="AY1849" s="60" t="s">
        <v>11025</v>
      </c>
    </row>
    <row r="1850">
      <c r="A1850" s="115" t="s">
        <v>143</v>
      </c>
      <c r="B1850" s="41" t="s">
        <v>107</v>
      </c>
      <c r="C1850" s="41" t="s">
        <v>226</v>
      </c>
      <c r="E1850" s="60" t="s">
        <v>11650</v>
      </c>
      <c r="F1850" s="147" t="s">
        <v>11651</v>
      </c>
      <c r="G1850" s="147" t="s">
        <v>11005</v>
      </c>
      <c r="H1850" s="140">
        <v>45687.0</v>
      </c>
      <c r="I1850" s="140">
        <v>45693.0</v>
      </c>
      <c r="J1850" s="60"/>
      <c r="K1850" s="60"/>
      <c r="L1850" s="147" t="s">
        <v>11652</v>
      </c>
      <c r="M1850" s="147" t="s">
        <v>11653</v>
      </c>
      <c r="N1850" s="144">
        <v>2.0</v>
      </c>
      <c r="O1850" s="147" t="s">
        <v>11654</v>
      </c>
      <c r="P1850" s="48" t="str">
        <f t="array" ref="P1850">HYPERLINK(INDEX('File Links'!B:B, MATCH(O1850, 'File Links'!C:C, 0)))
</f>
        <v>https://drive.google.com/file/d/1j0mn959ZZSMHPHeyS9bW6vv9NzM9UaK_/view?usp=drivesdk</v>
      </c>
      <c r="Q1850" s="147" t="s">
        <v>11345</v>
      </c>
      <c r="R1850" s="147" t="s">
        <v>11346</v>
      </c>
      <c r="S1850" s="60"/>
      <c r="T1850" s="144">
        <v>20.0</v>
      </c>
      <c r="U1850" s="147" t="s">
        <v>11347</v>
      </c>
      <c r="V1850" s="60" t="s">
        <v>202</v>
      </c>
      <c r="W1850" s="544" t="str">
        <f t="array" ref="W1850">HYPERLINK(INDEX('File Links'!I:I, MATCH(U1850, 'File Links'!J:J, 0)))
</f>
        <v>#N/A</v>
      </c>
      <c r="X1850" s="60"/>
      <c r="Y1850" s="1460" t="s">
        <v>203</v>
      </c>
      <c r="Z1850" s="147" t="s">
        <v>6313</v>
      </c>
      <c r="AA1850" s="1460" t="s">
        <v>11655</v>
      </c>
      <c r="AB1850" s="147" t="s">
        <v>11656</v>
      </c>
      <c r="AC1850" s="147" t="s">
        <v>11657</v>
      </c>
      <c r="AD1850" s="147" t="s">
        <v>11658</v>
      </c>
      <c r="AE1850" s="144">
        <v>207.0</v>
      </c>
      <c r="AF1850" s="144">
        <v>0.3</v>
      </c>
      <c r="AG1850" s="147" t="s">
        <v>166</v>
      </c>
      <c r="AH1850" s="147" t="s">
        <v>11658</v>
      </c>
      <c r="AI1850" s="144">
        <v>0.03</v>
      </c>
      <c r="AJ1850" s="147" t="s">
        <v>164</v>
      </c>
      <c r="AK1850" s="147" t="s">
        <v>179</v>
      </c>
      <c r="AL1850" s="60" t="s">
        <v>129</v>
      </c>
      <c r="AM1850" s="147" t="s">
        <v>165</v>
      </c>
      <c r="AN1850" s="144">
        <v>6826.0</v>
      </c>
      <c r="AO1850" s="144">
        <v>0.04</v>
      </c>
      <c r="AP1850" s="147" t="s">
        <v>166</v>
      </c>
      <c r="AQ1850" s="147" t="s">
        <v>11659</v>
      </c>
      <c r="AR1850" s="144">
        <v>0.09</v>
      </c>
      <c r="AS1850" s="147" t="s">
        <v>164</v>
      </c>
      <c r="AT1850" s="147" t="s">
        <v>179</v>
      </c>
      <c r="AU1850" s="60" t="s">
        <v>129</v>
      </c>
      <c r="AV1850" s="410" t="s">
        <v>11355</v>
      </c>
      <c r="AW1850" s="60" t="s">
        <v>134</v>
      </c>
      <c r="AX1850" s="60"/>
      <c r="AY1850" s="115" t="s">
        <v>11070</v>
      </c>
    </row>
    <row r="1851">
      <c r="A1851" s="60" t="s">
        <v>106</v>
      </c>
      <c r="B1851" s="41" t="s">
        <v>107</v>
      </c>
      <c r="C1851" s="41" t="s">
        <v>108</v>
      </c>
      <c r="E1851" s="60" t="s">
        <v>11650</v>
      </c>
      <c r="F1851" s="147" t="s">
        <v>11651</v>
      </c>
      <c r="G1851" s="614" t="s">
        <v>6097</v>
      </c>
      <c r="H1851" s="140">
        <v>45673.0</v>
      </c>
      <c r="I1851" s="140">
        <v>45693.0</v>
      </c>
      <c r="J1851" s="60"/>
      <c r="K1851" s="60"/>
      <c r="L1851" s="60" t="s">
        <v>11652</v>
      </c>
      <c r="M1851" s="60" t="s">
        <v>11653</v>
      </c>
      <c r="N1851" s="144">
        <v>2.0</v>
      </c>
      <c r="O1851" s="147" t="str">
        <f> SUBSTITUTE(lower(M1851), "/", "--") &amp;  ".pdf"</f>
        <v>10.1002--bdm.586.pdf</v>
      </c>
      <c r="P1851" s="48" t="str">
        <f t="array" ref="P1851">HYPERLINK(INDEX('File Links'!B:B, MATCH(O1851, 'File Links'!C:C, 0)))
</f>
        <v>https://drive.google.com/file/d/1j0mn959ZZSMHPHeyS9bW6vv9NzM9UaK_/view?usp=drivesdk</v>
      </c>
      <c r="Q1851" s="1460" t="s">
        <v>11345</v>
      </c>
      <c r="R1851" s="1460" t="s">
        <v>11346</v>
      </c>
      <c r="S1851" s="60"/>
      <c r="T1851" s="60"/>
      <c r="U1851" s="147" t="s">
        <v>11347</v>
      </c>
      <c r="V1851" s="1354" t="s">
        <v>202</v>
      </c>
      <c r="W1851" s="544" t="str">
        <f t="array" ref="W1851">HYPERLINK(INDEX('File Links'!I:I, MATCH(U1851, 'File Links'!J:J, 0)))
</f>
        <v>#N/A</v>
      </c>
      <c r="X1851" s="60"/>
      <c r="Y1851" s="147" t="s">
        <v>203</v>
      </c>
      <c r="Z1851" s="60"/>
      <c r="AA1851" s="147" t="s">
        <v>11655</v>
      </c>
      <c r="AB1851" s="147" t="s">
        <v>11656</v>
      </c>
      <c r="AC1851" s="147" t="s">
        <v>11660</v>
      </c>
      <c r="AD1851" s="1514">
        <v>45813.0</v>
      </c>
      <c r="AE1851" s="144">
        <v>207.0</v>
      </c>
      <c r="AF1851" s="144">
        <v>0.3</v>
      </c>
      <c r="AG1851" s="147" t="s">
        <v>166</v>
      </c>
      <c r="AH1851" s="147" t="s">
        <v>131</v>
      </c>
      <c r="AI1851" s="144">
        <v>0.03</v>
      </c>
      <c r="AJ1851" s="147" t="s">
        <v>164</v>
      </c>
      <c r="AK1851" s="147" t="s">
        <v>179</v>
      </c>
      <c r="AL1851" s="60" t="s">
        <v>129</v>
      </c>
      <c r="AM1851" s="60"/>
      <c r="AN1851" s="144">
        <v>6826.0</v>
      </c>
      <c r="AO1851" s="144">
        <v>0.04</v>
      </c>
      <c r="AP1851" s="147" t="s">
        <v>166</v>
      </c>
      <c r="AQ1851" s="147" t="s">
        <v>175</v>
      </c>
      <c r="AR1851" s="144">
        <v>0.09</v>
      </c>
      <c r="AS1851" s="147" t="s">
        <v>164</v>
      </c>
      <c r="AT1851" s="147" t="s">
        <v>179</v>
      </c>
      <c r="AU1851" s="60" t="s">
        <v>129</v>
      </c>
      <c r="AV1851" s="1461" t="s">
        <v>11355</v>
      </c>
      <c r="AW1851" s="60" t="s">
        <v>134</v>
      </c>
      <c r="AX1851" s="60"/>
      <c r="AY1851" s="60" t="s">
        <v>11025</v>
      </c>
    </row>
    <row r="1852">
      <c r="A1852" s="60" t="s">
        <v>106</v>
      </c>
      <c r="B1852" s="41" t="s">
        <v>107</v>
      </c>
      <c r="C1852" s="41" t="s">
        <v>226</v>
      </c>
      <c r="E1852" s="60" t="s">
        <v>11661</v>
      </c>
      <c r="F1852" s="147" t="s">
        <v>11662</v>
      </c>
      <c r="G1852" s="147" t="s">
        <v>11005</v>
      </c>
      <c r="H1852" s="140">
        <v>45687.0</v>
      </c>
      <c r="I1852" s="140">
        <v>45693.0</v>
      </c>
      <c r="J1852" s="60"/>
      <c r="K1852" s="60"/>
      <c r="L1852" s="147" t="s">
        <v>11663</v>
      </c>
      <c r="M1852" s="147" t="s">
        <v>11664</v>
      </c>
      <c r="N1852" s="147" t="s">
        <v>3771</v>
      </c>
      <c r="O1852" s="147" t="s">
        <v>11665</v>
      </c>
      <c r="P1852" s="48" t="str">
        <f t="array" ref="P1852">HYPERLINK(INDEX('File Links'!B:B, MATCH(O1852, 'File Links'!C:C, 0)))
</f>
        <v>https://drive.google.com/file/d/1APm26rD_UpSxwv_f7ANPXDv5utKWJ7q3/view?usp=drivesdk</v>
      </c>
      <c r="Q1852" s="147" t="s">
        <v>11345</v>
      </c>
      <c r="R1852" s="147" t="s">
        <v>11346</v>
      </c>
      <c r="S1852" s="60"/>
      <c r="T1852" s="144">
        <v>21.0</v>
      </c>
      <c r="U1852" s="147" t="s">
        <v>11347</v>
      </c>
      <c r="V1852" s="60" t="s">
        <v>202</v>
      </c>
      <c r="W1852" s="544" t="str">
        <f t="array" ref="W1852">HYPERLINK(INDEX('File Links'!I:I, MATCH(U1852, 'File Links'!J:J, 0)))
</f>
        <v>#N/A</v>
      </c>
      <c r="X1852" s="60"/>
      <c r="Y1852" s="147" t="s">
        <v>960</v>
      </c>
      <c r="Z1852" s="60"/>
      <c r="AA1852" s="147" t="s">
        <v>11403</v>
      </c>
      <c r="AB1852" s="147" t="s">
        <v>11666</v>
      </c>
      <c r="AC1852" s="147" t="s">
        <v>11667</v>
      </c>
      <c r="AD1852" s="147" t="s">
        <v>3637</v>
      </c>
      <c r="AE1852" s="144">
        <v>64.0</v>
      </c>
      <c r="AF1852" s="144">
        <v>0.07</v>
      </c>
      <c r="AG1852" s="147" t="s">
        <v>130</v>
      </c>
      <c r="AH1852" s="147" t="s">
        <v>3637</v>
      </c>
      <c r="AI1852" s="144">
        <v>0.03</v>
      </c>
      <c r="AJ1852" s="147" t="s">
        <v>164</v>
      </c>
      <c r="AK1852" s="147" t="s">
        <v>179</v>
      </c>
      <c r="AL1852" s="60" t="s">
        <v>129</v>
      </c>
      <c r="AM1852" s="147" t="s">
        <v>165</v>
      </c>
      <c r="AN1852" s="144">
        <v>7890.0</v>
      </c>
      <c r="AO1852" s="144">
        <v>0.03</v>
      </c>
      <c r="AP1852" s="147" t="s">
        <v>166</v>
      </c>
      <c r="AQ1852" s="147" t="s">
        <v>11668</v>
      </c>
      <c r="AR1852" s="144">
        <v>0.16</v>
      </c>
      <c r="AS1852" s="147" t="s">
        <v>164</v>
      </c>
      <c r="AT1852" s="147" t="s">
        <v>179</v>
      </c>
      <c r="AU1852" s="60" t="s">
        <v>129</v>
      </c>
      <c r="AV1852" s="410" t="s">
        <v>11355</v>
      </c>
      <c r="AW1852" s="60" t="s">
        <v>434</v>
      </c>
      <c r="AX1852" s="60"/>
      <c r="AY1852" s="60" t="s">
        <v>11025</v>
      </c>
    </row>
    <row r="1853">
      <c r="A1853" s="115" t="s">
        <v>143</v>
      </c>
      <c r="B1853" s="41" t="s">
        <v>107</v>
      </c>
      <c r="C1853" s="41" t="s">
        <v>108</v>
      </c>
      <c r="E1853" s="60" t="s">
        <v>11661</v>
      </c>
      <c r="F1853" s="147" t="s">
        <v>11662</v>
      </c>
      <c r="G1853" s="614" t="s">
        <v>6097</v>
      </c>
      <c r="H1853" s="140">
        <v>45673.0</v>
      </c>
      <c r="I1853" s="140">
        <v>45693.0</v>
      </c>
      <c r="J1853" s="60"/>
      <c r="K1853" s="139" t="s">
        <v>11669</v>
      </c>
      <c r="L1853" s="60" t="s">
        <v>11663</v>
      </c>
      <c r="M1853" s="60" t="s">
        <v>11664</v>
      </c>
      <c r="N1853" s="147" t="s">
        <v>11670</v>
      </c>
      <c r="O1853" s="147" t="str">
        <f> SUBSTITUTE(lower(M1853), "/", "--") &amp;  ".pdf"</f>
        <v>10.1016--j .obhdp.2006.10.001.pdf</v>
      </c>
      <c r="P1853" s="48" t="str">
        <f t="array" ref="P1853">HYPERLINK(INDEX('File Links'!B:B, MATCH(O1853, 'File Links'!C:C, 0)))
</f>
        <v>https://drive.google.com/file/d/1APm26rD_UpSxwv_f7ANPXDv5utKWJ7q3/view?usp=drivesdk</v>
      </c>
      <c r="Q1853" s="1460" t="s">
        <v>11345</v>
      </c>
      <c r="R1853" s="1460" t="s">
        <v>11346</v>
      </c>
      <c r="S1853" s="60"/>
      <c r="T1853" s="1459">
        <v>21.0</v>
      </c>
      <c r="U1853" s="147" t="s">
        <v>11347</v>
      </c>
      <c r="V1853" s="1354" t="s">
        <v>202</v>
      </c>
      <c r="W1853" s="544" t="str">
        <f t="array" ref="W1853">HYPERLINK(INDEX('File Links'!I:I, MATCH(U1853, 'File Links'!J:J, 0)))
</f>
        <v>#N/A</v>
      </c>
      <c r="X1853" s="60"/>
      <c r="Y1853" s="147" t="s">
        <v>203</v>
      </c>
      <c r="Z1853" s="350" t="s">
        <v>165</v>
      </c>
      <c r="AA1853" s="147" t="s">
        <v>11671</v>
      </c>
      <c r="AB1853" s="147" t="s">
        <v>11672</v>
      </c>
      <c r="AC1853" s="147" t="s">
        <v>11673</v>
      </c>
      <c r="AD1853" s="1460" t="s">
        <v>3637</v>
      </c>
      <c r="AE1853" s="144">
        <v>64.0</v>
      </c>
      <c r="AF1853" s="149">
        <v>0.547</v>
      </c>
      <c r="AG1853" s="147" t="s">
        <v>130</v>
      </c>
      <c r="AH1853" s="1468" t="s">
        <v>11674</v>
      </c>
      <c r="AI1853" s="144">
        <v>0.03</v>
      </c>
      <c r="AJ1853" s="147" t="s">
        <v>164</v>
      </c>
      <c r="AK1853" s="147" t="s">
        <v>179</v>
      </c>
      <c r="AL1853" s="1354" t="s">
        <v>129</v>
      </c>
      <c r="AM1853" s="1460" t="s">
        <v>165</v>
      </c>
      <c r="AN1853" s="144">
        <v>7890.0</v>
      </c>
      <c r="AO1853" s="144">
        <v>0.03</v>
      </c>
      <c r="AP1853" s="147" t="s">
        <v>166</v>
      </c>
      <c r="AQ1853" s="1460" t="s">
        <v>11668</v>
      </c>
      <c r="AR1853" s="144">
        <v>0.16</v>
      </c>
      <c r="AS1853" s="147" t="s">
        <v>164</v>
      </c>
      <c r="AT1853" s="147" t="s">
        <v>179</v>
      </c>
      <c r="AU1853" s="1354" t="s">
        <v>129</v>
      </c>
      <c r="AV1853" s="1461" t="s">
        <v>11355</v>
      </c>
      <c r="AW1853" s="1354" t="s">
        <v>434</v>
      </c>
      <c r="AX1853" s="60"/>
      <c r="AY1853" s="115" t="s">
        <v>11070</v>
      </c>
    </row>
    <row r="1854">
      <c r="A1854" s="60" t="s">
        <v>586</v>
      </c>
      <c r="B1854" s="41" t="s">
        <v>107</v>
      </c>
      <c r="C1854" s="41" t="s">
        <v>226</v>
      </c>
      <c r="E1854" s="60" t="s">
        <v>11675</v>
      </c>
      <c r="F1854" s="147" t="s">
        <v>11676</v>
      </c>
      <c r="G1854" s="147" t="s">
        <v>11005</v>
      </c>
      <c r="H1854" s="140">
        <v>45687.0</v>
      </c>
      <c r="I1854" s="140">
        <v>45693.0</v>
      </c>
      <c r="J1854" s="147" t="s">
        <v>11677</v>
      </c>
      <c r="K1854" s="147" t="s">
        <v>11678</v>
      </c>
      <c r="L1854" s="147" t="s">
        <v>11679</v>
      </c>
      <c r="M1854" s="60"/>
      <c r="N1854" s="144">
        <v>2.0</v>
      </c>
      <c r="O1854" s="147" t="s">
        <v>351</v>
      </c>
      <c r="P1854" s="544" t="str">
        <f t="array" ref="P1854">HYPERLINK(INDEX('File Links'!B:B, MATCH(O1854, 'File Links'!C:C, 0)))
</f>
        <v>#N/A</v>
      </c>
      <c r="Q1854" s="147" t="s">
        <v>11345</v>
      </c>
      <c r="R1854" s="147" t="s">
        <v>11346</v>
      </c>
      <c r="S1854" s="60"/>
      <c r="T1854" s="144">
        <v>22.0</v>
      </c>
      <c r="U1854" s="147" t="s">
        <v>11347</v>
      </c>
      <c r="V1854" s="60" t="s">
        <v>202</v>
      </c>
      <c r="W1854" s="544" t="str">
        <f t="array" ref="W1854">HYPERLINK(INDEX('File Links'!I:I, MATCH(U1854, 'File Links'!J:J, 0)))
</f>
        <v>#N/A</v>
      </c>
      <c r="X1854" s="60"/>
      <c r="Y1854" s="147" t="s">
        <v>960</v>
      </c>
      <c r="Z1854" s="60"/>
      <c r="AA1854" s="147" t="s">
        <v>11403</v>
      </c>
      <c r="AB1854" s="147" t="s">
        <v>11680</v>
      </c>
      <c r="AC1854" s="147" t="s">
        <v>11681</v>
      </c>
      <c r="AD1854" s="147" t="s">
        <v>7110</v>
      </c>
      <c r="AE1854" s="144">
        <v>154.0</v>
      </c>
      <c r="AF1854" s="147" t="s">
        <v>11682</v>
      </c>
      <c r="AG1854" s="147" t="s">
        <v>162</v>
      </c>
      <c r="AH1854" s="147" t="s">
        <v>7110</v>
      </c>
      <c r="AI1854" s="144">
        <v>0.01</v>
      </c>
      <c r="AJ1854" s="147" t="s">
        <v>127</v>
      </c>
      <c r="AK1854" s="147" t="s">
        <v>179</v>
      </c>
      <c r="AL1854" s="60" t="s">
        <v>129</v>
      </c>
      <c r="AM1854" s="147" t="s">
        <v>165</v>
      </c>
      <c r="AN1854" s="144">
        <v>3549.0</v>
      </c>
      <c r="AO1854" s="144">
        <v>0.01</v>
      </c>
      <c r="AP1854" s="147" t="s">
        <v>166</v>
      </c>
      <c r="AQ1854" s="147" t="s">
        <v>11683</v>
      </c>
      <c r="AR1854" s="144">
        <v>0.55</v>
      </c>
      <c r="AS1854" s="147" t="s">
        <v>164</v>
      </c>
      <c r="AT1854" s="147" t="s">
        <v>179</v>
      </c>
      <c r="AU1854" s="60" t="s">
        <v>129</v>
      </c>
      <c r="AV1854" s="410" t="s">
        <v>11355</v>
      </c>
      <c r="AW1854" s="60" t="s">
        <v>134</v>
      </c>
      <c r="AX1854" s="60"/>
      <c r="AY1854" s="60" t="s">
        <v>11025</v>
      </c>
    </row>
    <row r="1855">
      <c r="A1855" s="60" t="s">
        <v>586</v>
      </c>
      <c r="B1855" s="41" t="s">
        <v>107</v>
      </c>
      <c r="C1855" s="41" t="s">
        <v>226</v>
      </c>
      <c r="E1855" s="60" t="s">
        <v>11675</v>
      </c>
      <c r="F1855" s="147" t="s">
        <v>11684</v>
      </c>
      <c r="G1855" s="147" t="s">
        <v>11005</v>
      </c>
      <c r="H1855" s="140">
        <v>45687.0</v>
      </c>
      <c r="I1855" s="140">
        <v>45693.0</v>
      </c>
      <c r="J1855" s="60"/>
      <c r="K1855" s="60"/>
      <c r="L1855" s="147" t="s">
        <v>11679</v>
      </c>
      <c r="M1855" s="60"/>
      <c r="N1855" s="144">
        <v>2.0</v>
      </c>
      <c r="O1855" s="147" t="s">
        <v>351</v>
      </c>
      <c r="P1855" s="544" t="str">
        <f t="array" ref="P1855">HYPERLINK(INDEX('File Links'!B:B, MATCH(O1855, 'File Links'!C:C, 0)))
</f>
        <v>#N/A</v>
      </c>
      <c r="Q1855" s="1460" t="s">
        <v>11345</v>
      </c>
      <c r="R1855" s="1460" t="s">
        <v>11346</v>
      </c>
      <c r="S1855" s="60"/>
      <c r="T1855" s="144">
        <v>22.0</v>
      </c>
      <c r="U1855" s="147" t="s">
        <v>11347</v>
      </c>
      <c r="V1855" s="60" t="s">
        <v>202</v>
      </c>
      <c r="W1855" s="544" t="str">
        <f t="array" ref="W1855">HYPERLINK(INDEX('File Links'!I:I, MATCH(U1855, 'File Links'!J:J, 0)))
</f>
        <v>#N/A</v>
      </c>
      <c r="X1855" s="60"/>
      <c r="Y1855" s="147" t="s">
        <v>960</v>
      </c>
      <c r="Z1855" s="60"/>
      <c r="AA1855" s="147" t="s">
        <v>11403</v>
      </c>
      <c r="AB1855" s="147" t="s">
        <v>11680</v>
      </c>
      <c r="AC1855" s="147" t="s">
        <v>11685</v>
      </c>
      <c r="AD1855" s="147" t="s">
        <v>7110</v>
      </c>
      <c r="AE1855" s="144">
        <v>46.0</v>
      </c>
      <c r="AF1855" s="147" t="s">
        <v>11686</v>
      </c>
      <c r="AG1855" s="147" t="s">
        <v>162</v>
      </c>
      <c r="AH1855" s="147" t="s">
        <v>7110</v>
      </c>
      <c r="AI1855" s="144">
        <v>0.05</v>
      </c>
      <c r="AJ1855" s="147" t="s">
        <v>127</v>
      </c>
      <c r="AK1855" s="147" t="s">
        <v>179</v>
      </c>
      <c r="AL1855" s="60" t="s">
        <v>129</v>
      </c>
      <c r="AM1855" s="147" t="s">
        <v>165</v>
      </c>
      <c r="AN1855" s="144">
        <v>3582.0</v>
      </c>
      <c r="AO1855" s="144">
        <v>0.03</v>
      </c>
      <c r="AP1855" s="147" t="s">
        <v>166</v>
      </c>
      <c r="AQ1855" s="147" t="s">
        <v>11683</v>
      </c>
      <c r="AR1855" s="144">
        <v>0.09</v>
      </c>
      <c r="AS1855" s="147" t="s">
        <v>164</v>
      </c>
      <c r="AT1855" s="147" t="s">
        <v>179</v>
      </c>
      <c r="AU1855" s="60" t="s">
        <v>129</v>
      </c>
      <c r="AV1855" s="410" t="s">
        <v>11355</v>
      </c>
      <c r="AW1855" s="60" t="s">
        <v>134</v>
      </c>
      <c r="AX1855" s="60"/>
      <c r="AY1855" s="60" t="s">
        <v>11025</v>
      </c>
    </row>
    <row r="1856">
      <c r="A1856" s="60" t="s">
        <v>106</v>
      </c>
      <c r="B1856" s="41" t="s">
        <v>107</v>
      </c>
      <c r="C1856" s="41" t="s">
        <v>108</v>
      </c>
      <c r="E1856" s="60" t="s">
        <v>11675</v>
      </c>
      <c r="F1856" s="147" t="s">
        <v>11676</v>
      </c>
      <c r="G1856" s="614" t="s">
        <v>6097</v>
      </c>
      <c r="H1856" s="140">
        <v>45673.0</v>
      </c>
      <c r="I1856" s="140">
        <v>45693.0</v>
      </c>
      <c r="J1856" s="147" t="s">
        <v>11687</v>
      </c>
      <c r="K1856" s="60"/>
      <c r="L1856" s="60" t="s">
        <v>11679</v>
      </c>
      <c r="M1856" s="60"/>
      <c r="N1856" s="144">
        <v>2.0</v>
      </c>
      <c r="O1856" s="147" t="str">
        <f> SUBSTITUTE(lower(M1856), "/", "--") &amp;  ".pdf"</f>
        <v>.pdf</v>
      </c>
      <c r="P1856" s="544" t="str">
        <f t="array" ref="P1856">HYPERLINK(INDEX('File Links'!B:B, MATCH(O1856, 'File Links'!C:C, 0)))
</f>
        <v>#N/A</v>
      </c>
      <c r="Q1856" s="1460" t="s">
        <v>11345</v>
      </c>
      <c r="R1856" s="1460" t="s">
        <v>11346</v>
      </c>
      <c r="S1856" s="60"/>
      <c r="T1856" s="60"/>
      <c r="U1856" s="147" t="s">
        <v>11347</v>
      </c>
      <c r="V1856" s="1354" t="s">
        <v>202</v>
      </c>
      <c r="W1856" s="544" t="str">
        <f t="array" ref="W1856">HYPERLINK(INDEX('File Links'!I:I, MATCH(U1856, 'File Links'!J:J, 0)))
</f>
        <v>#N/A</v>
      </c>
      <c r="X1856" s="60"/>
      <c r="Y1856" s="60"/>
      <c r="Z1856" s="60"/>
      <c r="AA1856" s="60"/>
      <c r="AB1856" s="60"/>
      <c r="AC1856" s="60"/>
      <c r="AD1856" s="60"/>
      <c r="AE1856" s="144">
        <v>144.0</v>
      </c>
      <c r="AF1856" s="60"/>
      <c r="AG1856" s="60"/>
      <c r="AH1856" s="60"/>
      <c r="AI1856" s="60"/>
      <c r="AJ1856" s="60"/>
      <c r="AK1856" s="60"/>
      <c r="AL1856" s="60"/>
      <c r="AM1856" s="60"/>
      <c r="AN1856" s="144">
        <v>3549.0</v>
      </c>
      <c r="AO1856" s="60"/>
      <c r="AP1856" s="60"/>
      <c r="AQ1856" s="60"/>
      <c r="AR1856" s="60"/>
      <c r="AS1856" s="60"/>
      <c r="AT1856" s="60"/>
      <c r="AU1856" s="60"/>
      <c r="AV1856" s="1461" t="s">
        <v>11355</v>
      </c>
      <c r="AW1856" s="60"/>
      <c r="AX1856" s="60"/>
      <c r="AY1856" s="60" t="s">
        <v>11025</v>
      </c>
    </row>
    <row r="1857">
      <c r="A1857" s="60" t="s">
        <v>106</v>
      </c>
      <c r="B1857" s="41" t="s">
        <v>107</v>
      </c>
      <c r="C1857" s="41" t="s">
        <v>226</v>
      </c>
      <c r="E1857" s="147" t="s">
        <v>11688</v>
      </c>
      <c r="F1857" s="60" t="s">
        <v>11689</v>
      </c>
      <c r="G1857" s="147" t="s">
        <v>11005</v>
      </c>
      <c r="H1857" s="140">
        <v>45687.0</v>
      </c>
      <c r="I1857" s="140">
        <v>45693.0</v>
      </c>
      <c r="J1857" s="60"/>
      <c r="K1857" s="60"/>
      <c r="L1857" s="147" t="s">
        <v>11690</v>
      </c>
      <c r="M1857" s="147" t="s">
        <v>11691</v>
      </c>
      <c r="N1857" s="144">
        <v>2.0</v>
      </c>
      <c r="O1857" s="147" t="s">
        <v>11692</v>
      </c>
      <c r="P1857" s="48" t="str">
        <f t="array" ref="P1857">HYPERLINK(INDEX('File Links'!B:B, MATCH(O1857, 'File Links'!C:C, 0)))
</f>
        <v>https://drive.google.com/file/d/1w2KBBoT3U7JrwQsTrJduC-AS9fihTDq0/view?usp=drivesdk</v>
      </c>
      <c r="Q1857" s="147" t="s">
        <v>11345</v>
      </c>
      <c r="R1857" s="147" t="s">
        <v>11346</v>
      </c>
      <c r="S1857" s="60"/>
      <c r="T1857" s="144">
        <v>23.0</v>
      </c>
      <c r="U1857" s="147" t="s">
        <v>11347</v>
      </c>
      <c r="V1857" s="60" t="s">
        <v>202</v>
      </c>
      <c r="W1857" s="544" t="str">
        <f t="array" ref="W1857">HYPERLINK(INDEX('File Links'!I:I, MATCH(U1857, 'File Links'!J:J, 0)))
</f>
        <v>#N/A</v>
      </c>
      <c r="X1857" s="60"/>
      <c r="Y1857" s="147" t="s">
        <v>960</v>
      </c>
      <c r="Z1857" s="60"/>
      <c r="AA1857" s="147" t="s">
        <v>11403</v>
      </c>
      <c r="AB1857" s="147" t="s">
        <v>11693</v>
      </c>
      <c r="AC1857" s="147" t="s">
        <v>11694</v>
      </c>
      <c r="AD1857" s="147" t="s">
        <v>11695</v>
      </c>
      <c r="AE1857" s="144">
        <v>27.0</v>
      </c>
      <c r="AF1857" s="147" t="s">
        <v>11696</v>
      </c>
      <c r="AG1857" s="147" t="s">
        <v>162</v>
      </c>
      <c r="AH1857" s="147" t="s">
        <v>11697</v>
      </c>
      <c r="AI1857" s="144">
        <v>0.01</v>
      </c>
      <c r="AJ1857" s="147" t="s">
        <v>164</v>
      </c>
      <c r="AK1857" s="147" t="s">
        <v>179</v>
      </c>
      <c r="AL1857" s="60" t="s">
        <v>129</v>
      </c>
      <c r="AM1857" s="147" t="s">
        <v>165</v>
      </c>
      <c r="AN1857" s="144">
        <v>7001.0</v>
      </c>
      <c r="AO1857" s="144">
        <v>0.0</v>
      </c>
      <c r="AP1857" s="147" t="s">
        <v>166</v>
      </c>
      <c r="AQ1857" s="147" t="s">
        <v>11484</v>
      </c>
      <c r="AR1857" s="144">
        <v>0.91</v>
      </c>
      <c r="AS1857" s="147" t="s">
        <v>164</v>
      </c>
      <c r="AT1857" s="147" t="s">
        <v>179</v>
      </c>
      <c r="AU1857" s="60" t="s">
        <v>129</v>
      </c>
      <c r="AV1857" s="410" t="s">
        <v>11355</v>
      </c>
      <c r="AW1857" s="60" t="s">
        <v>134</v>
      </c>
      <c r="AX1857" s="60"/>
      <c r="AY1857" s="60" t="s">
        <v>11025</v>
      </c>
    </row>
    <row r="1858">
      <c r="A1858" s="115" t="s">
        <v>143</v>
      </c>
      <c r="B1858" s="41" t="s">
        <v>107</v>
      </c>
      <c r="C1858" s="41" t="s">
        <v>108</v>
      </c>
      <c r="E1858" s="147" t="s">
        <v>11688</v>
      </c>
      <c r="F1858" s="60" t="s">
        <v>11689</v>
      </c>
      <c r="G1858" s="614" t="s">
        <v>6097</v>
      </c>
      <c r="H1858" s="140">
        <v>45672.0</v>
      </c>
      <c r="I1858" s="140">
        <v>45693.0</v>
      </c>
      <c r="J1858" s="60"/>
      <c r="K1858" s="60"/>
      <c r="L1858" s="60" t="s">
        <v>11690</v>
      </c>
      <c r="M1858" s="60" t="s">
        <v>11691</v>
      </c>
      <c r="N1858" s="144">
        <v>2.0</v>
      </c>
      <c r="O1858" s="147" t="str">
        <f> SUBSTITUTE(lower(M1858), "/", "--") &amp;  ".pdf"</f>
        <v>10.1126--science.1130726.pdf</v>
      </c>
      <c r="P1858" s="48" t="str">
        <f t="array" ref="P1858">HYPERLINK(INDEX('File Links'!B:B, MATCH(O1858, 'File Links'!C:C, 0)))
</f>
        <v>https://drive.google.com/file/d/1w2KBBoT3U7JrwQsTrJduC-AS9fihTDq0/view?usp=drivesdk</v>
      </c>
      <c r="Q1858" s="1460" t="s">
        <v>11345</v>
      </c>
      <c r="R1858" s="1460" t="s">
        <v>11346</v>
      </c>
      <c r="S1858" s="60"/>
      <c r="T1858" s="1459">
        <v>23.0</v>
      </c>
      <c r="U1858" s="147" t="s">
        <v>11347</v>
      </c>
      <c r="V1858" s="1354" t="s">
        <v>202</v>
      </c>
      <c r="W1858" s="544" t="str">
        <f t="array" ref="W1858">HYPERLINK(INDEX('File Links'!I:I, MATCH(U1858, 'File Links'!J:J, 0)))
</f>
        <v>#N/A</v>
      </c>
      <c r="X1858" s="60"/>
      <c r="Y1858" s="147" t="s">
        <v>220</v>
      </c>
      <c r="Z1858" s="147" t="s">
        <v>11698</v>
      </c>
      <c r="AA1858" s="147" t="s">
        <v>11699</v>
      </c>
      <c r="AB1858" s="1468" t="s">
        <v>11700</v>
      </c>
      <c r="AC1858" s="1460" t="s">
        <v>11694</v>
      </c>
      <c r="AD1858" s="1460" t="s">
        <v>11695</v>
      </c>
      <c r="AE1858" s="144">
        <v>27.0</v>
      </c>
      <c r="AF1858" s="139" t="s">
        <v>11701</v>
      </c>
      <c r="AG1858" s="147" t="s">
        <v>162</v>
      </c>
      <c r="AH1858" s="1460" t="s">
        <v>11697</v>
      </c>
      <c r="AI1858" s="144">
        <v>0.01</v>
      </c>
      <c r="AJ1858" s="147" t="s">
        <v>164</v>
      </c>
      <c r="AK1858" s="147" t="s">
        <v>179</v>
      </c>
      <c r="AL1858" s="60" t="s">
        <v>129</v>
      </c>
      <c r="AM1858" s="1460" t="s">
        <v>165</v>
      </c>
      <c r="AN1858" s="144">
        <v>7001.0</v>
      </c>
      <c r="AO1858" s="144">
        <v>0.0</v>
      </c>
      <c r="AP1858" s="147" t="s">
        <v>166</v>
      </c>
      <c r="AQ1858" s="1460" t="s">
        <v>11484</v>
      </c>
      <c r="AR1858" s="144">
        <v>0.91</v>
      </c>
      <c r="AS1858" s="147" t="s">
        <v>164</v>
      </c>
      <c r="AT1858" s="147" t="s">
        <v>179</v>
      </c>
      <c r="AU1858" s="60" t="s">
        <v>129</v>
      </c>
      <c r="AV1858" s="1461" t="s">
        <v>11355</v>
      </c>
      <c r="AW1858" s="60" t="s">
        <v>134</v>
      </c>
      <c r="AX1858" s="60"/>
      <c r="AY1858" s="115" t="s">
        <v>11070</v>
      </c>
    </row>
    <row r="1859">
      <c r="A1859" s="60" t="s">
        <v>106</v>
      </c>
      <c r="B1859" s="41" t="s">
        <v>107</v>
      </c>
      <c r="C1859" s="41" t="s">
        <v>226</v>
      </c>
      <c r="E1859" s="60" t="s">
        <v>11702</v>
      </c>
      <c r="F1859" s="147" t="s">
        <v>11703</v>
      </c>
      <c r="G1859" s="147" t="s">
        <v>11005</v>
      </c>
      <c r="H1859" s="140">
        <v>45687.0</v>
      </c>
      <c r="I1859" s="140">
        <v>45693.0</v>
      </c>
      <c r="J1859" s="60"/>
      <c r="K1859" s="60"/>
      <c r="L1859" s="147" t="s">
        <v>11704</v>
      </c>
      <c r="M1859" s="147" t="s">
        <v>11705</v>
      </c>
      <c r="N1859" s="144">
        <v>2.0</v>
      </c>
      <c r="O1859" s="147" t="s">
        <v>11706</v>
      </c>
      <c r="P1859" s="48" t="str">
        <f t="array" ref="P1859">HYPERLINK(INDEX('File Links'!B:B, MATCH(O1859, 'File Links'!C:C, 0)))
</f>
        <v>https://drive.google.com/file/d/1VIF6kuqnOCJkukqkxuMzonIlfG0vD2p3/view?usp=drivesdk</v>
      </c>
      <c r="Q1859" s="147" t="s">
        <v>11345</v>
      </c>
      <c r="R1859" s="147" t="s">
        <v>11346</v>
      </c>
      <c r="S1859" s="60"/>
      <c r="T1859" s="144">
        <v>24.0</v>
      </c>
      <c r="U1859" s="147" t="s">
        <v>11347</v>
      </c>
      <c r="V1859" s="60" t="s">
        <v>202</v>
      </c>
      <c r="W1859" s="544" t="str">
        <f t="array" ref="W1859">HYPERLINK(INDEX('File Links'!I:I, MATCH(U1859, 'File Links'!J:J, 0)))
</f>
        <v>#N/A</v>
      </c>
      <c r="X1859" s="60"/>
      <c r="Y1859" s="147" t="s">
        <v>960</v>
      </c>
      <c r="Z1859" s="60"/>
      <c r="AA1859" s="147" t="s">
        <v>11403</v>
      </c>
      <c r="AB1859" s="147" t="s">
        <v>11707</v>
      </c>
      <c r="AC1859" s="147" t="s">
        <v>11708</v>
      </c>
      <c r="AD1859" s="147" t="s">
        <v>11709</v>
      </c>
      <c r="AE1859" s="144">
        <v>67.0</v>
      </c>
      <c r="AF1859" s="144">
        <v>0.5</v>
      </c>
      <c r="AG1859" s="147" t="s">
        <v>166</v>
      </c>
      <c r="AH1859" s="147" t="s">
        <v>11709</v>
      </c>
      <c r="AI1859" s="144">
        <v>0.05</v>
      </c>
      <c r="AJ1859" s="147" t="s">
        <v>164</v>
      </c>
      <c r="AK1859" s="147" t="s">
        <v>179</v>
      </c>
      <c r="AL1859" s="60" t="s">
        <v>129</v>
      </c>
      <c r="AM1859" s="147" t="s">
        <v>165</v>
      </c>
      <c r="AN1859" s="144">
        <v>6506.0</v>
      </c>
      <c r="AO1859" s="144">
        <v>-0.02</v>
      </c>
      <c r="AP1859" s="147" t="s">
        <v>166</v>
      </c>
      <c r="AQ1859" s="147" t="s">
        <v>11548</v>
      </c>
      <c r="AR1859" s="144">
        <v>0.35</v>
      </c>
      <c r="AS1859" s="147" t="s">
        <v>164</v>
      </c>
      <c r="AT1859" s="147" t="s">
        <v>179</v>
      </c>
      <c r="AU1859" s="60" t="s">
        <v>129</v>
      </c>
      <c r="AV1859" s="410" t="s">
        <v>11355</v>
      </c>
      <c r="AW1859" s="60" t="s">
        <v>134</v>
      </c>
      <c r="AX1859" s="60"/>
      <c r="AY1859" s="60" t="s">
        <v>11025</v>
      </c>
    </row>
    <row r="1860">
      <c r="A1860" s="115" t="s">
        <v>143</v>
      </c>
      <c r="B1860" s="41" t="s">
        <v>107</v>
      </c>
      <c r="C1860" s="41" t="s">
        <v>108</v>
      </c>
      <c r="E1860" s="60" t="s">
        <v>11702</v>
      </c>
      <c r="F1860" s="147" t="s">
        <v>11703</v>
      </c>
      <c r="G1860" s="614" t="s">
        <v>6097</v>
      </c>
      <c r="H1860" s="140">
        <v>45672.0</v>
      </c>
      <c r="I1860" s="140">
        <v>45693.0</v>
      </c>
      <c r="J1860" s="60"/>
      <c r="K1860" s="60"/>
      <c r="L1860" s="60" t="s">
        <v>11704</v>
      </c>
      <c r="M1860" s="60" t="s">
        <v>11705</v>
      </c>
      <c r="N1860" s="144">
        <v>2.0</v>
      </c>
      <c r="O1860" s="147" t="str">
        <f> SUBSTITUTE(lower(M1860), "/", "--") &amp;  ".pdf"</f>
        <v>10.1037--a0034462.pdf</v>
      </c>
      <c r="P1860" s="48" t="str">
        <f t="array" ref="P1860">HYPERLINK(INDEX('File Links'!B:B, MATCH(O1860, 'File Links'!C:C, 0)))
</f>
        <v>https://drive.google.com/file/d/1VIF6kuqnOCJkukqkxuMzonIlfG0vD2p3/view?usp=drivesdk</v>
      </c>
      <c r="Q1860" s="1460" t="s">
        <v>11345</v>
      </c>
      <c r="R1860" s="1460" t="s">
        <v>11346</v>
      </c>
      <c r="S1860" s="60"/>
      <c r="T1860" s="1459">
        <v>24.0</v>
      </c>
      <c r="U1860" s="147" t="s">
        <v>11347</v>
      </c>
      <c r="V1860" s="1354" t="s">
        <v>202</v>
      </c>
      <c r="W1860" s="544" t="str">
        <f t="array" ref="W1860">HYPERLINK(INDEX('File Links'!I:I, MATCH(U1860, 'File Links'!J:J, 0)))
</f>
        <v>#N/A</v>
      </c>
      <c r="X1860" s="60"/>
      <c r="Y1860" s="147" t="s">
        <v>156</v>
      </c>
      <c r="Z1860" s="350" t="s">
        <v>165</v>
      </c>
      <c r="AA1860" s="147" t="s">
        <v>11710</v>
      </c>
      <c r="AB1860" s="147" t="s">
        <v>11707</v>
      </c>
      <c r="AC1860" s="147" t="s">
        <v>11711</v>
      </c>
      <c r="AD1860" s="1468" t="s">
        <v>11712</v>
      </c>
      <c r="AE1860" s="144">
        <v>67.0</v>
      </c>
      <c r="AF1860" s="144">
        <v>0.5</v>
      </c>
      <c r="AG1860" s="147" t="s">
        <v>166</v>
      </c>
      <c r="AH1860" s="1460" t="s">
        <v>11709</v>
      </c>
      <c r="AI1860" s="144">
        <v>0.05</v>
      </c>
      <c r="AJ1860" s="147" t="s">
        <v>164</v>
      </c>
      <c r="AK1860" s="147" t="s">
        <v>179</v>
      </c>
      <c r="AL1860" s="60" t="s">
        <v>129</v>
      </c>
      <c r="AM1860" s="1460" t="s">
        <v>165</v>
      </c>
      <c r="AN1860" s="144">
        <v>6506.0</v>
      </c>
      <c r="AO1860" s="144">
        <v>-0.02</v>
      </c>
      <c r="AP1860" s="147" t="s">
        <v>166</v>
      </c>
      <c r="AQ1860" s="1460" t="s">
        <v>11548</v>
      </c>
      <c r="AR1860" s="144">
        <v>0.35</v>
      </c>
      <c r="AS1860" s="147" t="s">
        <v>164</v>
      </c>
      <c r="AT1860" s="147" t="s">
        <v>179</v>
      </c>
      <c r="AU1860" s="60" t="s">
        <v>129</v>
      </c>
      <c r="AV1860" s="1461" t="s">
        <v>11355</v>
      </c>
      <c r="AW1860" s="60" t="s">
        <v>134</v>
      </c>
      <c r="AX1860" s="60"/>
      <c r="AY1860" s="115" t="s">
        <v>11070</v>
      </c>
    </row>
    <row r="1861">
      <c r="A1861" s="115" t="s">
        <v>143</v>
      </c>
      <c r="B1861" s="41" t="s">
        <v>107</v>
      </c>
      <c r="C1861" s="41" t="s">
        <v>226</v>
      </c>
      <c r="E1861" s="60" t="s">
        <v>11713</v>
      </c>
      <c r="F1861" s="147" t="s">
        <v>11714</v>
      </c>
      <c r="G1861" s="147" t="s">
        <v>11005</v>
      </c>
      <c r="H1861" s="140">
        <v>45687.0</v>
      </c>
      <c r="I1861" s="140">
        <v>45693.0</v>
      </c>
      <c r="J1861" s="60"/>
      <c r="K1861" s="147" t="s">
        <v>11715</v>
      </c>
      <c r="L1861" s="147" t="s">
        <v>11716</v>
      </c>
      <c r="M1861" s="147" t="s">
        <v>11717</v>
      </c>
      <c r="N1861" s="144">
        <v>3.0</v>
      </c>
      <c r="O1861" s="147" t="s">
        <v>11718</v>
      </c>
      <c r="P1861" s="48" t="str">
        <f t="array" ref="P1861">HYPERLINK(INDEX('File Links'!B:B, MATCH(O1861, 'File Links'!C:C, 0)))
</f>
        <v>https://drive.google.com/file/d/1FklynAHzflh7rbxQIU4qTxOz3VBhye8B/view?usp=drivesdk</v>
      </c>
      <c r="Q1861" s="147" t="s">
        <v>11345</v>
      </c>
      <c r="R1861" s="147" t="s">
        <v>11346</v>
      </c>
      <c r="S1861" s="60"/>
      <c r="T1861" s="144">
        <v>25.0</v>
      </c>
      <c r="U1861" s="147" t="s">
        <v>11347</v>
      </c>
      <c r="V1861" s="60" t="s">
        <v>202</v>
      </c>
      <c r="W1861" s="544" t="str">
        <f t="array" ref="W1861">HYPERLINK(INDEX('File Links'!I:I, MATCH(U1861, 'File Links'!J:J, 0)))
</f>
        <v>#N/A</v>
      </c>
      <c r="X1861" s="60"/>
      <c r="Y1861" s="1460" t="s">
        <v>220</v>
      </c>
      <c r="Z1861" s="350" t="s">
        <v>165</v>
      </c>
      <c r="AA1861" s="1460" t="s">
        <v>11719</v>
      </c>
      <c r="AB1861" s="139" t="s">
        <v>11720</v>
      </c>
      <c r="AC1861" s="139" t="s">
        <v>11721</v>
      </c>
      <c r="AD1861" s="147" t="s">
        <v>11722</v>
      </c>
      <c r="AE1861" s="144">
        <v>631.0</v>
      </c>
      <c r="AF1861" s="139" t="s">
        <v>11723</v>
      </c>
      <c r="AG1861" s="147" t="s">
        <v>162</v>
      </c>
      <c r="AH1861" s="147" t="s">
        <v>11724</v>
      </c>
      <c r="AI1861" s="144">
        <v>0.005</v>
      </c>
      <c r="AJ1861" s="147" t="s">
        <v>127</v>
      </c>
      <c r="AK1861" s="147" t="s">
        <v>179</v>
      </c>
      <c r="AL1861" s="60" t="s">
        <v>129</v>
      </c>
      <c r="AM1861" s="147" t="s">
        <v>165</v>
      </c>
      <c r="AN1861" s="144">
        <v>6234.0</v>
      </c>
      <c r="AO1861" s="144">
        <v>-0.02</v>
      </c>
      <c r="AP1861" s="147" t="s">
        <v>208</v>
      </c>
      <c r="AQ1861" s="147" t="s">
        <v>11659</v>
      </c>
      <c r="AR1861" s="144">
        <v>0.18</v>
      </c>
      <c r="AS1861" s="147" t="s">
        <v>164</v>
      </c>
      <c r="AT1861" s="147" t="s">
        <v>179</v>
      </c>
      <c r="AU1861" s="60" t="s">
        <v>129</v>
      </c>
      <c r="AV1861" s="410" t="s">
        <v>11355</v>
      </c>
      <c r="AW1861" s="60" t="s">
        <v>434</v>
      </c>
      <c r="AX1861" s="60"/>
      <c r="AY1861" s="115" t="s">
        <v>11070</v>
      </c>
    </row>
    <row r="1862">
      <c r="A1862" s="60" t="s">
        <v>106</v>
      </c>
      <c r="B1862" s="41" t="s">
        <v>107</v>
      </c>
      <c r="C1862" s="41" t="s">
        <v>108</v>
      </c>
      <c r="E1862" s="60" t="s">
        <v>11713</v>
      </c>
      <c r="F1862" s="147" t="s">
        <v>11714</v>
      </c>
      <c r="G1862" s="614" t="s">
        <v>6097</v>
      </c>
      <c r="H1862" s="140">
        <v>45673.0</v>
      </c>
      <c r="I1862" s="140">
        <v>45693.0</v>
      </c>
      <c r="J1862" s="60"/>
      <c r="K1862" s="60"/>
      <c r="L1862" s="60" t="s">
        <v>11716</v>
      </c>
      <c r="M1862" s="60" t="s">
        <v>11717</v>
      </c>
      <c r="N1862" s="144">
        <v>3.0</v>
      </c>
      <c r="O1862" s="147" t="str">
        <f> SUBSTITUTE(lower(M1862), "/", "--") &amp;  ".pdf"</f>
        <v>10.1037--0022-3514.73.4.733.pdf</v>
      </c>
      <c r="P1862" s="48" t="str">
        <f t="array" ref="P1862">HYPERLINK(INDEX('File Links'!B:B, MATCH(O1862, 'File Links'!C:C, 0)))
</f>
        <v>https://drive.google.com/file/d/1FklynAHzflh7rbxQIU4qTxOz3VBhye8B/view?usp=drivesdk</v>
      </c>
      <c r="Q1862" s="1460" t="s">
        <v>11345</v>
      </c>
      <c r="R1862" s="1460" t="s">
        <v>11346</v>
      </c>
      <c r="S1862" s="60"/>
      <c r="T1862" s="60"/>
      <c r="U1862" s="147" t="s">
        <v>11347</v>
      </c>
      <c r="V1862" s="1354" t="s">
        <v>202</v>
      </c>
      <c r="W1862" s="544" t="str">
        <f t="array" ref="W1862">HYPERLINK(INDEX('File Links'!I:I, MATCH(U1862, 'File Links'!J:J, 0)))
</f>
        <v>#N/A</v>
      </c>
      <c r="X1862" s="60"/>
      <c r="Y1862" s="147" t="s">
        <v>220</v>
      </c>
      <c r="Z1862" s="60"/>
      <c r="AA1862" s="147" t="s">
        <v>11719</v>
      </c>
      <c r="AB1862" s="147" t="s">
        <v>11725</v>
      </c>
      <c r="AC1862" s="147" t="s">
        <v>11726</v>
      </c>
      <c r="AD1862" s="144">
        <v>7.0</v>
      </c>
      <c r="AE1862" s="144">
        <v>631.0</v>
      </c>
      <c r="AF1862" s="147" t="s">
        <v>11727</v>
      </c>
      <c r="AG1862" s="147" t="s">
        <v>162</v>
      </c>
      <c r="AH1862" s="147" t="s">
        <v>125</v>
      </c>
      <c r="AI1862" s="144">
        <v>0.01</v>
      </c>
      <c r="AJ1862" s="147" t="s">
        <v>127</v>
      </c>
      <c r="AK1862" s="147" t="s">
        <v>179</v>
      </c>
      <c r="AL1862" s="60"/>
      <c r="AM1862" s="60"/>
      <c r="AN1862" s="144">
        <v>6234.0</v>
      </c>
      <c r="AO1862" s="144">
        <v>-0.02</v>
      </c>
      <c r="AP1862" s="147" t="s">
        <v>208</v>
      </c>
      <c r="AQ1862" s="147" t="s">
        <v>175</v>
      </c>
      <c r="AR1862" s="144">
        <v>0.18</v>
      </c>
      <c r="AS1862" s="147" t="s">
        <v>164</v>
      </c>
      <c r="AT1862" s="147" t="s">
        <v>179</v>
      </c>
      <c r="AU1862" s="60" t="s">
        <v>129</v>
      </c>
      <c r="AV1862" s="1461" t="s">
        <v>11355</v>
      </c>
      <c r="AW1862" s="60" t="s">
        <v>134</v>
      </c>
      <c r="AX1862" s="60"/>
      <c r="AY1862" s="60" t="s">
        <v>11025</v>
      </c>
    </row>
    <row r="1863">
      <c r="A1863" s="115" t="s">
        <v>143</v>
      </c>
      <c r="B1863" s="41" t="s">
        <v>107</v>
      </c>
      <c r="C1863" s="41" t="s">
        <v>226</v>
      </c>
      <c r="E1863" s="60" t="s">
        <v>11728</v>
      </c>
      <c r="F1863" s="147" t="s">
        <v>11729</v>
      </c>
      <c r="G1863" s="147" t="s">
        <v>11005</v>
      </c>
      <c r="H1863" s="140">
        <v>45687.0</v>
      </c>
      <c r="I1863" s="140">
        <v>45693.0</v>
      </c>
      <c r="J1863" s="60"/>
      <c r="K1863" s="139" t="s">
        <v>11730</v>
      </c>
      <c r="L1863" s="147" t="s">
        <v>11731</v>
      </c>
      <c r="M1863" s="147" t="s">
        <v>11732</v>
      </c>
      <c r="N1863" s="147" t="s">
        <v>6347</v>
      </c>
      <c r="O1863" s="147" t="s">
        <v>11733</v>
      </c>
      <c r="P1863" s="48" t="str">
        <f t="array" ref="P1863">HYPERLINK(INDEX('File Links'!B:B, MATCH(O1863, 'File Links'!C:C, 0)))
</f>
        <v>https://drive.google.com/file/d/17HYZXEqbs5qMTOba8cEHhBhSIrnkFKeu/view?usp=drivesdk</v>
      </c>
      <c r="Q1863" s="147" t="s">
        <v>11345</v>
      </c>
      <c r="R1863" s="147" t="s">
        <v>11346</v>
      </c>
      <c r="S1863" s="60"/>
      <c r="T1863" s="144">
        <v>26.0</v>
      </c>
      <c r="U1863" s="147" t="s">
        <v>11347</v>
      </c>
      <c r="V1863" s="60" t="s">
        <v>202</v>
      </c>
      <c r="W1863" s="544" t="str">
        <f t="array" ref="W1863">HYPERLINK(INDEX('File Links'!I:I, MATCH(U1863, 'File Links'!J:J, 0)))
</f>
        <v>#N/A</v>
      </c>
      <c r="X1863" s="60"/>
      <c r="Y1863" s="1460" t="s">
        <v>220</v>
      </c>
      <c r="Z1863" s="147" t="s">
        <v>11734</v>
      </c>
      <c r="AA1863" s="1460" t="s">
        <v>11735</v>
      </c>
      <c r="AB1863" s="147" t="s">
        <v>11736</v>
      </c>
      <c r="AC1863" s="147" t="s">
        <v>11737</v>
      </c>
      <c r="AD1863" s="147" t="s">
        <v>11738</v>
      </c>
      <c r="AE1863" s="144">
        <v>300.0</v>
      </c>
      <c r="AF1863" s="115">
        <v>0.31</v>
      </c>
      <c r="AG1863" s="139" t="s">
        <v>166</v>
      </c>
      <c r="AH1863" s="139" t="s">
        <v>11739</v>
      </c>
      <c r="AI1863" s="149">
        <v>0.03</v>
      </c>
      <c r="AJ1863" s="147" t="s">
        <v>164</v>
      </c>
      <c r="AK1863" s="147" t="s">
        <v>179</v>
      </c>
      <c r="AL1863" s="60" t="s">
        <v>129</v>
      </c>
      <c r="AM1863" s="147" t="s">
        <v>165</v>
      </c>
      <c r="AN1863" s="144">
        <v>4204.0</v>
      </c>
      <c r="AO1863" s="144">
        <v>-0.03</v>
      </c>
      <c r="AP1863" s="147" t="s">
        <v>166</v>
      </c>
      <c r="AQ1863" s="147" t="s">
        <v>9713</v>
      </c>
      <c r="AR1863" s="144">
        <v>0.27</v>
      </c>
      <c r="AS1863" s="147" t="s">
        <v>164</v>
      </c>
      <c r="AT1863" s="147" t="s">
        <v>179</v>
      </c>
      <c r="AU1863" s="60" t="s">
        <v>129</v>
      </c>
      <c r="AV1863" s="410" t="s">
        <v>11355</v>
      </c>
      <c r="AW1863" s="60" t="s">
        <v>134</v>
      </c>
      <c r="AX1863" s="60"/>
      <c r="AY1863" s="115" t="s">
        <v>11070</v>
      </c>
    </row>
    <row r="1864">
      <c r="A1864" s="60" t="s">
        <v>106</v>
      </c>
      <c r="B1864" s="41" t="s">
        <v>107</v>
      </c>
      <c r="C1864" s="41" t="s">
        <v>108</v>
      </c>
      <c r="E1864" s="60" t="s">
        <v>11728</v>
      </c>
      <c r="F1864" s="147" t="s">
        <v>11729</v>
      </c>
      <c r="G1864" s="614" t="s">
        <v>6097</v>
      </c>
      <c r="H1864" s="140">
        <v>45673.0</v>
      </c>
      <c r="I1864" s="140">
        <v>45693.0</v>
      </c>
      <c r="J1864" s="147" t="s">
        <v>11740</v>
      </c>
      <c r="K1864" s="60"/>
      <c r="L1864" s="60" t="s">
        <v>11731</v>
      </c>
      <c r="M1864" s="60" t="s">
        <v>11732</v>
      </c>
      <c r="N1864" s="147" t="s">
        <v>6347</v>
      </c>
      <c r="O1864" s="147" t="str">
        <f t="shared" ref="O1864:O1865" si="101"> SUBSTITUTE(lower(M1864), "/", "--") &amp;  ".pdf"</f>
        <v>10.1038--nclimate2093.pdf</v>
      </c>
      <c r="P1864" s="48" t="str">
        <f t="array" ref="P1864">HYPERLINK(INDEX('File Links'!B:B, MATCH(O1864, 'File Links'!C:C, 0)))
</f>
        <v>https://drive.google.com/file/d/17HYZXEqbs5qMTOba8cEHhBhSIrnkFKeu/view?usp=drivesdk</v>
      </c>
      <c r="Q1864" s="1460" t="s">
        <v>11345</v>
      </c>
      <c r="R1864" s="1460" t="s">
        <v>11346</v>
      </c>
      <c r="S1864" s="60"/>
      <c r="T1864" s="60"/>
      <c r="U1864" s="147" t="s">
        <v>11347</v>
      </c>
      <c r="V1864" s="147" t="s">
        <v>2129</v>
      </c>
      <c r="W1864" s="544" t="str">
        <f t="array" ref="W1864">HYPERLINK(INDEX('File Links'!I:I, MATCH(U1864, 'File Links'!J:J, 0)))
</f>
        <v>#N/A</v>
      </c>
      <c r="X1864" s="60"/>
      <c r="Y1864" s="147" t="s">
        <v>220</v>
      </c>
      <c r="Z1864" s="147" t="s">
        <v>11734</v>
      </c>
      <c r="AA1864" s="147" t="s">
        <v>11735</v>
      </c>
      <c r="AB1864" s="147" t="s">
        <v>11741</v>
      </c>
      <c r="AC1864" s="147" t="s">
        <v>11742</v>
      </c>
      <c r="AD1864" s="144">
        <v>3.0</v>
      </c>
      <c r="AE1864" s="144">
        <v>300.0</v>
      </c>
      <c r="AF1864" s="147" t="s">
        <v>11743</v>
      </c>
      <c r="AG1864" s="147" t="s">
        <v>162</v>
      </c>
      <c r="AH1864" s="147" t="s">
        <v>210</v>
      </c>
      <c r="AI1864" s="144">
        <v>0.01</v>
      </c>
      <c r="AJ1864" s="147" t="s">
        <v>164</v>
      </c>
      <c r="AK1864" s="147" t="s">
        <v>179</v>
      </c>
      <c r="AL1864" s="60" t="s">
        <v>129</v>
      </c>
      <c r="AM1864" s="60"/>
      <c r="AN1864" s="144">
        <v>4204.0</v>
      </c>
      <c r="AO1864" s="144">
        <v>-0.03</v>
      </c>
      <c r="AP1864" s="147" t="s">
        <v>166</v>
      </c>
      <c r="AQ1864" s="60"/>
      <c r="AR1864" s="144">
        <v>0.27</v>
      </c>
      <c r="AS1864" s="147" t="s">
        <v>164</v>
      </c>
      <c r="AT1864" s="147" t="s">
        <v>179</v>
      </c>
      <c r="AU1864" s="60" t="s">
        <v>129</v>
      </c>
      <c r="AV1864" s="1461" t="s">
        <v>11355</v>
      </c>
      <c r="AW1864" s="60" t="s">
        <v>134</v>
      </c>
      <c r="AX1864" s="60"/>
      <c r="AY1864" s="60" t="s">
        <v>11025</v>
      </c>
    </row>
    <row r="1865">
      <c r="A1865" s="115" t="s">
        <v>520</v>
      </c>
      <c r="B1865" s="41" t="s">
        <v>107</v>
      </c>
      <c r="C1865" s="41" t="s">
        <v>108</v>
      </c>
      <c r="E1865" s="60" t="s">
        <v>11728</v>
      </c>
      <c r="F1865" s="147" t="s">
        <v>11744</v>
      </c>
      <c r="G1865" s="614" t="s">
        <v>6097</v>
      </c>
      <c r="H1865" s="140">
        <v>45673.0</v>
      </c>
      <c r="I1865" s="140">
        <v>45693.0</v>
      </c>
      <c r="J1865" s="147" t="s">
        <v>11740</v>
      </c>
      <c r="K1865" s="525" t="s">
        <v>11745</v>
      </c>
      <c r="L1865" s="60" t="s">
        <v>11731</v>
      </c>
      <c r="M1865" s="60" t="s">
        <v>11732</v>
      </c>
      <c r="N1865" s="147" t="s">
        <v>6347</v>
      </c>
      <c r="O1865" s="147" t="str">
        <f t="shared" si="101"/>
        <v>10.1038--nclimate2093.pdf</v>
      </c>
      <c r="P1865" s="48" t="str">
        <f t="array" ref="P1865">HYPERLINK(INDEX('File Links'!B:B, MATCH(O1865, 'File Links'!C:C, 0)))
</f>
        <v>https://drive.google.com/file/d/17HYZXEqbs5qMTOba8cEHhBhSIrnkFKeu/view?usp=drivesdk</v>
      </c>
      <c r="Q1865" s="1460" t="s">
        <v>11345</v>
      </c>
      <c r="R1865" s="1460" t="s">
        <v>11346</v>
      </c>
      <c r="S1865" s="60"/>
      <c r="T1865" s="1459">
        <v>26.0</v>
      </c>
      <c r="U1865" s="147" t="s">
        <v>11347</v>
      </c>
      <c r="V1865" s="1354" t="s">
        <v>202</v>
      </c>
      <c r="W1865" s="544" t="str">
        <f t="array" ref="W1865">HYPERLINK(INDEX('File Links'!I:I, MATCH(U1865, 'File Links'!J:J, 0)))
</f>
        <v>#N/A</v>
      </c>
      <c r="X1865" s="60"/>
      <c r="Y1865" s="147" t="s">
        <v>220</v>
      </c>
      <c r="Z1865" s="147" t="s">
        <v>11734</v>
      </c>
      <c r="AA1865" s="147" t="s">
        <v>11735</v>
      </c>
      <c r="AB1865" s="1460" t="s">
        <v>11736</v>
      </c>
      <c r="AC1865" s="147" t="s">
        <v>11746</v>
      </c>
      <c r="AD1865" s="1460" t="s">
        <v>11738</v>
      </c>
      <c r="AE1865" s="144">
        <v>300.0</v>
      </c>
      <c r="AF1865" s="147" t="s">
        <v>11747</v>
      </c>
      <c r="AG1865" s="147" t="s">
        <v>162</v>
      </c>
      <c r="AH1865" s="1460" t="s">
        <v>11738</v>
      </c>
      <c r="AI1865" s="144">
        <v>0.02</v>
      </c>
      <c r="AJ1865" s="147" t="s">
        <v>164</v>
      </c>
      <c r="AK1865" s="147" t="s">
        <v>179</v>
      </c>
      <c r="AL1865" s="60" t="s">
        <v>129</v>
      </c>
      <c r="AM1865" s="1460" t="s">
        <v>165</v>
      </c>
      <c r="AN1865" s="709">
        <v>4212.0</v>
      </c>
      <c r="AO1865" s="144">
        <v>0.0</v>
      </c>
      <c r="AP1865" s="147" t="s">
        <v>166</v>
      </c>
      <c r="AQ1865" s="1460" t="s">
        <v>9713</v>
      </c>
      <c r="AR1865" s="144">
        <v>0.62</v>
      </c>
      <c r="AS1865" s="147" t="s">
        <v>164</v>
      </c>
      <c r="AT1865" s="147" t="s">
        <v>179</v>
      </c>
      <c r="AU1865" s="60" t="s">
        <v>129</v>
      </c>
      <c r="AV1865" s="1461" t="s">
        <v>11355</v>
      </c>
      <c r="AW1865" s="60" t="s">
        <v>134</v>
      </c>
      <c r="AX1865" s="60"/>
      <c r="AY1865" s="60" t="s">
        <v>11025</v>
      </c>
    </row>
    <row r="1866">
      <c r="A1866" s="115" t="s">
        <v>143</v>
      </c>
      <c r="B1866" s="41" t="s">
        <v>107</v>
      </c>
      <c r="C1866" s="41" t="s">
        <v>226</v>
      </c>
      <c r="E1866" s="60" t="s">
        <v>11748</v>
      </c>
      <c r="F1866" s="147" t="s">
        <v>11749</v>
      </c>
      <c r="G1866" s="147" t="s">
        <v>11005</v>
      </c>
      <c r="H1866" s="140">
        <v>45687.0</v>
      </c>
      <c r="I1866" s="140">
        <v>45693.0</v>
      </c>
      <c r="J1866" s="115" t="s">
        <v>11750</v>
      </c>
      <c r="K1866" s="147"/>
      <c r="L1866" s="147" t="s">
        <v>11751</v>
      </c>
      <c r="M1866" s="147" t="s">
        <v>11752</v>
      </c>
      <c r="N1866" s="144">
        <v>4.0</v>
      </c>
      <c r="O1866" s="147" t="s">
        <v>11753</v>
      </c>
      <c r="P1866" s="48" t="str">
        <f t="array" ref="P1866">HYPERLINK(INDEX('File Links'!B:B, MATCH(O1866, 'File Links'!C:C, 0)))
</f>
        <v>https://drive.google.com/file/d/1HAhZicYSIRv7N-8s64Lp9_8_UnTnmDSR/view?usp=drivesdk</v>
      </c>
      <c r="Q1866" s="147" t="s">
        <v>11345</v>
      </c>
      <c r="R1866" s="147" t="s">
        <v>11346</v>
      </c>
      <c r="S1866" s="60"/>
      <c r="T1866" s="144">
        <v>27.0</v>
      </c>
      <c r="U1866" s="147" t="s">
        <v>11347</v>
      </c>
      <c r="V1866" s="60" t="s">
        <v>202</v>
      </c>
      <c r="W1866" s="544" t="str">
        <f t="array" ref="W1866">HYPERLINK(INDEX('File Links'!I:I, MATCH(U1866, 'File Links'!J:J, 0)))
</f>
        <v>#N/A</v>
      </c>
      <c r="X1866" s="60"/>
      <c r="Y1866" s="1460" t="s">
        <v>139</v>
      </c>
      <c r="Z1866" s="139" t="s">
        <v>11754</v>
      </c>
      <c r="AA1866" s="1460" t="s">
        <v>11755</v>
      </c>
      <c r="AB1866" s="1460" t="s">
        <v>11756</v>
      </c>
      <c r="AC1866" s="147" t="s">
        <v>11757</v>
      </c>
      <c r="AD1866" s="147" t="s">
        <v>11758</v>
      </c>
      <c r="AE1866" s="144">
        <v>41.0</v>
      </c>
      <c r="AF1866" s="149">
        <v>0.71</v>
      </c>
      <c r="AG1866" s="139" t="s">
        <v>166</v>
      </c>
      <c r="AH1866" s="139" t="s">
        <v>11759</v>
      </c>
      <c r="AI1866" s="144">
        <v>0.05</v>
      </c>
      <c r="AJ1866" s="147" t="s">
        <v>127</v>
      </c>
      <c r="AK1866" s="147" t="s">
        <v>179</v>
      </c>
      <c r="AL1866" s="60" t="s">
        <v>129</v>
      </c>
      <c r="AM1866" s="147" t="s">
        <v>165</v>
      </c>
      <c r="AN1866" s="144">
        <v>2580.0</v>
      </c>
      <c r="AO1866" s="144">
        <v>-0.03</v>
      </c>
      <c r="AP1866" s="147" t="s">
        <v>166</v>
      </c>
      <c r="AQ1866" s="147" t="s">
        <v>11589</v>
      </c>
      <c r="AR1866" s="144">
        <v>0.43</v>
      </c>
      <c r="AS1866" s="147" t="s">
        <v>164</v>
      </c>
      <c r="AT1866" s="147" t="s">
        <v>179</v>
      </c>
      <c r="AU1866" s="60" t="s">
        <v>129</v>
      </c>
      <c r="AV1866" s="410" t="s">
        <v>11355</v>
      </c>
      <c r="AW1866" s="60" t="s">
        <v>134</v>
      </c>
      <c r="AX1866" s="115" t="s">
        <v>11760</v>
      </c>
      <c r="AY1866" s="115" t="s">
        <v>11070</v>
      </c>
    </row>
    <row r="1867">
      <c r="A1867" s="115" t="s">
        <v>520</v>
      </c>
      <c r="B1867" s="41" t="s">
        <v>107</v>
      </c>
      <c r="C1867" s="41" t="s">
        <v>108</v>
      </c>
      <c r="E1867" s="60" t="s">
        <v>11748</v>
      </c>
      <c r="F1867" s="147" t="s">
        <v>11749</v>
      </c>
      <c r="G1867" s="614" t="s">
        <v>6097</v>
      </c>
      <c r="H1867" s="140">
        <v>45673.0</v>
      </c>
      <c r="I1867" s="140">
        <v>45693.0</v>
      </c>
      <c r="J1867" s="60"/>
      <c r="K1867" s="147" t="s">
        <v>11761</v>
      </c>
      <c r="L1867" s="60" t="s">
        <v>11751</v>
      </c>
      <c r="M1867" s="60" t="s">
        <v>11752</v>
      </c>
      <c r="N1867" s="144">
        <v>4.0</v>
      </c>
      <c r="O1867" s="147" t="str">
        <f> SUBSTITUTE(lower(M1867), "/", "--") &amp;  ".pdf"</f>
        <v>10.1037--0096- 3445.136.4.569.pdf</v>
      </c>
      <c r="P1867" s="48" t="str">
        <f t="array" ref="P1867">HYPERLINK(INDEX('File Links'!B:B, MATCH(O1867, 'File Links'!C:C, 0)))
</f>
        <v>https://drive.google.com/file/d/1HAhZicYSIRv7N-8s64Lp9_8_UnTnmDSR/view?usp=drivesdk</v>
      </c>
      <c r="Q1867" s="1460" t="s">
        <v>11345</v>
      </c>
      <c r="R1867" s="1460" t="s">
        <v>11346</v>
      </c>
      <c r="S1867" s="60"/>
      <c r="T1867" s="60"/>
      <c r="U1867" s="147" t="s">
        <v>11347</v>
      </c>
      <c r="V1867" s="147" t="s">
        <v>2129</v>
      </c>
      <c r="W1867" s="544" t="str">
        <f t="array" ref="W1867">HYPERLINK(INDEX('File Links'!I:I, MATCH(U1867, 'File Links'!J:J, 0)))
</f>
        <v>#N/A</v>
      </c>
      <c r="X1867" s="60"/>
      <c r="Y1867" s="147" t="s">
        <v>139</v>
      </c>
      <c r="Z1867" s="60"/>
      <c r="AA1867" s="147" t="s">
        <v>11755</v>
      </c>
      <c r="AB1867" s="147" t="s">
        <v>11756</v>
      </c>
      <c r="AC1867" s="147" t="s">
        <v>11762</v>
      </c>
      <c r="AD1867" s="1514">
        <v>45844.0</v>
      </c>
      <c r="AE1867" s="144">
        <v>41.0</v>
      </c>
      <c r="AF1867" s="1268" t="s">
        <v>11763</v>
      </c>
      <c r="AG1867" s="1268" t="s">
        <v>162</v>
      </c>
      <c r="AH1867" s="147" t="s">
        <v>125</v>
      </c>
      <c r="AI1867" s="144">
        <v>0.05</v>
      </c>
      <c r="AJ1867" s="147" t="s">
        <v>127</v>
      </c>
      <c r="AK1867" s="147" t="s">
        <v>179</v>
      </c>
      <c r="AL1867" s="60" t="s">
        <v>129</v>
      </c>
      <c r="AM1867" s="60"/>
      <c r="AN1867" s="1265">
        <v>6935.0</v>
      </c>
      <c r="AO1867" s="1265">
        <v>-0.03</v>
      </c>
      <c r="AP1867" s="1268" t="s">
        <v>166</v>
      </c>
      <c r="AQ1867" s="1268" t="s">
        <v>432</v>
      </c>
      <c r="AR1867" s="1265">
        <v>0.17</v>
      </c>
      <c r="AS1867" s="147" t="s">
        <v>164</v>
      </c>
      <c r="AT1867" s="147" t="s">
        <v>179</v>
      </c>
      <c r="AU1867" s="60" t="s">
        <v>129</v>
      </c>
      <c r="AV1867" s="1461" t="s">
        <v>11355</v>
      </c>
      <c r="AW1867" s="60" t="s">
        <v>134</v>
      </c>
      <c r="AX1867" s="60"/>
      <c r="AY1867" s="60" t="s">
        <v>11025</v>
      </c>
    </row>
    <row r="1868">
      <c r="A1868" s="60" t="s">
        <v>106</v>
      </c>
      <c r="B1868" s="41" t="s">
        <v>107</v>
      </c>
      <c r="C1868" s="41" t="s">
        <v>226</v>
      </c>
      <c r="E1868" s="60" t="s">
        <v>11764</v>
      </c>
      <c r="F1868" s="147" t="s">
        <v>11765</v>
      </c>
      <c r="G1868" s="147" t="s">
        <v>11005</v>
      </c>
      <c r="H1868" s="140">
        <v>45687.0</v>
      </c>
      <c r="I1868" s="140">
        <v>45693.0</v>
      </c>
      <c r="J1868" s="60"/>
      <c r="K1868" s="147"/>
      <c r="L1868" s="147" t="s">
        <v>11766</v>
      </c>
      <c r="M1868" s="147" t="s">
        <v>11767</v>
      </c>
      <c r="N1868" s="144">
        <v>3.0</v>
      </c>
      <c r="O1868" s="147" t="s">
        <v>11768</v>
      </c>
      <c r="P1868" s="48" t="str">
        <f t="array" ref="P1868">HYPERLINK(INDEX('File Links'!B:B, MATCH(O1868, 'File Links'!C:C, 0)))
</f>
        <v>https://drive.google.com/file/d/15LBKsey4dgrPQTiibNv2Qi9TOTbc3lk1/view?usp=drivesdk</v>
      </c>
      <c r="Q1868" s="147" t="s">
        <v>11345</v>
      </c>
      <c r="R1868" s="147" t="s">
        <v>11346</v>
      </c>
      <c r="S1868" s="60"/>
      <c r="T1868" s="144">
        <v>28.0</v>
      </c>
      <c r="U1868" s="147" t="s">
        <v>11347</v>
      </c>
      <c r="V1868" s="60" t="s">
        <v>202</v>
      </c>
      <c r="W1868" s="544" t="str">
        <f t="array" ref="W1868">HYPERLINK(INDEX('File Links'!I:I, MATCH(U1868, 'File Links'!J:J, 0)))
</f>
        <v>#N/A</v>
      </c>
      <c r="X1868" s="60"/>
      <c r="Y1868" s="147" t="s">
        <v>960</v>
      </c>
      <c r="Z1868" s="60"/>
      <c r="AA1868" s="147" t="s">
        <v>11403</v>
      </c>
      <c r="AB1868" s="147" t="s">
        <v>11769</v>
      </c>
      <c r="AC1868" s="147" t="s">
        <v>11770</v>
      </c>
      <c r="AD1868" s="147" t="s">
        <v>11771</v>
      </c>
      <c r="AE1868" s="144">
        <v>228.0</v>
      </c>
      <c r="AF1868" s="60" t="s">
        <v>11772</v>
      </c>
      <c r="AG1868" s="147" t="s">
        <v>162</v>
      </c>
      <c r="AH1868" s="147" t="s">
        <v>11771</v>
      </c>
      <c r="AI1868" s="144">
        <v>0.03</v>
      </c>
      <c r="AJ1868" s="147" t="s">
        <v>164</v>
      </c>
      <c r="AK1868" s="147" t="s">
        <v>179</v>
      </c>
      <c r="AL1868" s="60" t="s">
        <v>129</v>
      </c>
      <c r="AM1868" s="147" t="s">
        <v>165</v>
      </c>
      <c r="AN1868" s="144">
        <v>6905.0</v>
      </c>
      <c r="AO1868" s="144">
        <v>-0.04</v>
      </c>
      <c r="AP1868" s="147" t="s">
        <v>166</v>
      </c>
      <c r="AQ1868" s="147" t="s">
        <v>11444</v>
      </c>
      <c r="AR1868" s="144">
        <v>0.08</v>
      </c>
      <c r="AS1868" s="147" t="s">
        <v>164</v>
      </c>
      <c r="AT1868" s="147" t="s">
        <v>179</v>
      </c>
      <c r="AU1868" s="60" t="s">
        <v>129</v>
      </c>
      <c r="AV1868" s="410" t="s">
        <v>11355</v>
      </c>
      <c r="AW1868" s="60" t="s">
        <v>134</v>
      </c>
      <c r="AX1868" s="60"/>
      <c r="AY1868" s="60" t="s">
        <v>11025</v>
      </c>
    </row>
    <row r="1869">
      <c r="A1869" s="115" t="s">
        <v>143</v>
      </c>
      <c r="B1869" s="41" t="s">
        <v>107</v>
      </c>
      <c r="C1869" s="41" t="s">
        <v>108</v>
      </c>
      <c r="E1869" s="60" t="s">
        <v>11764</v>
      </c>
      <c r="F1869" s="147" t="s">
        <v>11765</v>
      </c>
      <c r="G1869" s="614" t="s">
        <v>6097</v>
      </c>
      <c r="H1869" s="140">
        <v>45673.0</v>
      </c>
      <c r="I1869" s="140">
        <v>45693.0</v>
      </c>
      <c r="J1869" s="60"/>
      <c r="K1869" s="147"/>
      <c r="L1869" s="60" t="s">
        <v>11766</v>
      </c>
      <c r="M1869" s="60" t="s">
        <v>11767</v>
      </c>
      <c r="N1869" s="144">
        <v>3.0</v>
      </c>
      <c r="O1869" s="147" t="str">
        <f> SUBSTITUTE(lower(M1869), "/", "--") &amp;  ".pdf"</f>
        <v>10.1177--0956797611434537.pdf</v>
      </c>
      <c r="P1869" s="48" t="str">
        <f t="array" ref="P1869">HYPERLINK(INDEX('File Links'!B:B, MATCH(O1869, 'File Links'!C:C, 0)))
</f>
        <v>https://drive.google.com/file/d/15LBKsey4dgrPQTiibNv2Qi9TOTbc3lk1/view?usp=drivesdk</v>
      </c>
      <c r="Q1869" s="1460" t="s">
        <v>11345</v>
      </c>
      <c r="R1869" s="1460" t="s">
        <v>11346</v>
      </c>
      <c r="S1869" s="60"/>
      <c r="T1869" s="1459">
        <v>28.0</v>
      </c>
      <c r="U1869" s="147" t="s">
        <v>11347</v>
      </c>
      <c r="V1869" s="1354" t="s">
        <v>202</v>
      </c>
      <c r="W1869" s="544" t="str">
        <f t="array" ref="W1869">HYPERLINK(INDEX('File Links'!I:I, MATCH(U1869, 'File Links'!J:J, 0)))
</f>
        <v>#N/A</v>
      </c>
      <c r="X1869" s="60"/>
      <c r="Y1869" s="147" t="s">
        <v>220</v>
      </c>
      <c r="Z1869" s="147" t="s">
        <v>11773</v>
      </c>
      <c r="AA1869" s="147" t="s">
        <v>11774</v>
      </c>
      <c r="AB1869" s="147" t="s">
        <v>11775</v>
      </c>
      <c r="AC1869" s="147" t="s">
        <v>11776</v>
      </c>
      <c r="AD1869" s="1460" t="s">
        <v>11771</v>
      </c>
      <c r="AE1869" s="144">
        <v>228.0</v>
      </c>
      <c r="AF1869" s="147" t="s">
        <v>11777</v>
      </c>
      <c r="AG1869" s="147" t="s">
        <v>162</v>
      </c>
      <c r="AH1869" s="1460" t="s">
        <v>11771</v>
      </c>
      <c r="AI1869" s="144">
        <v>0.003</v>
      </c>
      <c r="AJ1869" s="147" t="s">
        <v>164</v>
      </c>
      <c r="AK1869" s="147" t="s">
        <v>179</v>
      </c>
      <c r="AL1869" s="60" t="s">
        <v>129</v>
      </c>
      <c r="AM1869" s="147" t="s">
        <v>165</v>
      </c>
      <c r="AN1869" s="144">
        <v>6905.0</v>
      </c>
      <c r="AO1869" s="144">
        <v>-0.04</v>
      </c>
      <c r="AP1869" s="147" t="s">
        <v>166</v>
      </c>
      <c r="AQ1869" s="1460" t="s">
        <v>11444</v>
      </c>
      <c r="AR1869" s="144">
        <v>0.08</v>
      </c>
      <c r="AS1869" s="147" t="s">
        <v>164</v>
      </c>
      <c r="AT1869" s="147" t="s">
        <v>179</v>
      </c>
      <c r="AU1869" s="60" t="s">
        <v>129</v>
      </c>
      <c r="AV1869" s="1461" t="s">
        <v>11355</v>
      </c>
      <c r="AW1869" s="60" t="s">
        <v>134</v>
      </c>
      <c r="AX1869" s="60"/>
      <c r="AY1869" s="115" t="s">
        <v>11070</v>
      </c>
    </row>
    <row r="1870">
      <c r="A1870" s="60" t="s">
        <v>106</v>
      </c>
      <c r="B1870" s="41" t="s">
        <v>107</v>
      </c>
      <c r="C1870" s="41" t="s">
        <v>226</v>
      </c>
      <c r="E1870" s="60" t="s">
        <v>11778</v>
      </c>
      <c r="F1870" s="147" t="s">
        <v>11779</v>
      </c>
      <c r="G1870" s="147" t="s">
        <v>11005</v>
      </c>
      <c r="H1870" s="140">
        <v>45687.0</v>
      </c>
      <c r="I1870" s="140">
        <v>45693.0</v>
      </c>
      <c r="J1870" s="147" t="s">
        <v>11780</v>
      </c>
      <c r="K1870" s="147" t="s">
        <v>11781</v>
      </c>
      <c r="L1870" s="147" t="s">
        <v>11782</v>
      </c>
      <c r="M1870" s="147" t="s">
        <v>11783</v>
      </c>
      <c r="N1870" s="144">
        <v>1.0</v>
      </c>
      <c r="O1870" s="147" t="s">
        <v>11784</v>
      </c>
      <c r="P1870" s="48" t="str">
        <f t="array" ref="P1870">HYPERLINK(INDEX('File Links'!B:B, MATCH(O1870, 'File Links'!C:C, 0)))
</f>
        <v>https://drive.google.com/file/d/124BmUuJPp02lcLBvH8AsEmEsbphUT5fW/view?usp=drivesdk</v>
      </c>
      <c r="Q1870" s="147" t="s">
        <v>11345</v>
      </c>
      <c r="R1870" s="147" t="s">
        <v>11346</v>
      </c>
      <c r="S1870" s="60"/>
      <c r="T1870" s="144">
        <v>29.0</v>
      </c>
      <c r="U1870" s="147" t="s">
        <v>11347</v>
      </c>
      <c r="V1870" s="60" t="s">
        <v>202</v>
      </c>
      <c r="W1870" s="544" t="str">
        <f t="array" ref="W1870">HYPERLINK(INDEX('File Links'!I:I, MATCH(U1870, 'File Links'!J:J, 0)))
</f>
        <v>#N/A</v>
      </c>
      <c r="X1870" s="60"/>
      <c r="Y1870" s="147" t="s">
        <v>960</v>
      </c>
      <c r="Z1870" s="60"/>
      <c r="AA1870" s="147" t="s">
        <v>11403</v>
      </c>
      <c r="AB1870" s="147" t="s">
        <v>11785</v>
      </c>
      <c r="AC1870" s="147" t="s">
        <v>11786</v>
      </c>
      <c r="AD1870" s="147" t="s">
        <v>11787</v>
      </c>
      <c r="AE1870" s="144">
        <v>40.0</v>
      </c>
      <c r="AF1870" s="1502">
        <v>1.2564102564102562</v>
      </c>
      <c r="AG1870" s="1268" t="s">
        <v>722</v>
      </c>
      <c r="AH1870" s="1268" t="s">
        <v>11788</v>
      </c>
      <c r="AI1870" s="144">
        <v>0.05</v>
      </c>
      <c r="AJ1870" s="147" t="s">
        <v>127</v>
      </c>
      <c r="AK1870" s="147" t="s">
        <v>179</v>
      </c>
      <c r="AL1870" s="60" t="s">
        <v>129</v>
      </c>
      <c r="AM1870" s="147" t="s">
        <v>165</v>
      </c>
      <c r="AN1870" s="144">
        <v>7218.0</v>
      </c>
      <c r="AO1870" s="144">
        <v>-0.08</v>
      </c>
      <c r="AP1870" s="147" t="s">
        <v>166</v>
      </c>
      <c r="AQ1870" s="147" t="s">
        <v>11633</v>
      </c>
      <c r="AR1870" s="144">
        <v>0.002</v>
      </c>
      <c r="AS1870" s="147" t="s">
        <v>164</v>
      </c>
      <c r="AT1870" s="1268" t="s">
        <v>128</v>
      </c>
      <c r="AU1870" s="60" t="s">
        <v>129</v>
      </c>
      <c r="AV1870" s="410" t="s">
        <v>11355</v>
      </c>
      <c r="AW1870" s="60" t="s">
        <v>134</v>
      </c>
      <c r="AX1870" s="60"/>
      <c r="AY1870" s="60" t="s">
        <v>11025</v>
      </c>
    </row>
    <row r="1871">
      <c r="A1871" s="115" t="s">
        <v>143</v>
      </c>
      <c r="B1871" s="41" t="s">
        <v>107</v>
      </c>
      <c r="C1871" s="41" t="s">
        <v>108</v>
      </c>
      <c r="E1871" s="60" t="s">
        <v>11778</v>
      </c>
      <c r="F1871" s="147" t="s">
        <v>11779</v>
      </c>
      <c r="G1871" s="614" t="s">
        <v>6097</v>
      </c>
      <c r="H1871" s="140">
        <v>45673.0</v>
      </c>
      <c r="I1871" s="140">
        <v>45693.0</v>
      </c>
      <c r="J1871" s="147" t="s">
        <v>11780</v>
      </c>
      <c r="K1871" s="115" t="s">
        <v>11789</v>
      </c>
      <c r="L1871" s="60" t="s">
        <v>11782</v>
      </c>
      <c r="M1871" s="60" t="s">
        <v>11783</v>
      </c>
      <c r="N1871" s="144">
        <v>1.0</v>
      </c>
      <c r="O1871" s="147" t="str">
        <f> SUBSTITUTE(lower(M1871), "/", "--") &amp;  ".pdf"</f>
        <v>10.1111--1467- 9280.00334.pdf</v>
      </c>
      <c r="P1871" s="48" t="str">
        <f t="array" ref="P1871">HYPERLINK(INDEX('File Links'!B:B, MATCH(O1871, 'File Links'!C:C, 0)))
</f>
        <v>https://drive.google.com/file/d/124BmUuJPp02lcLBvH8AsEmEsbphUT5fW/view?usp=drivesdk</v>
      </c>
      <c r="Q1871" s="1460" t="s">
        <v>11345</v>
      </c>
      <c r="R1871" s="1460" t="s">
        <v>11346</v>
      </c>
      <c r="S1871" s="60"/>
      <c r="T1871" s="1459">
        <v>29.0</v>
      </c>
      <c r="U1871" s="147" t="s">
        <v>11347</v>
      </c>
      <c r="V1871" s="1354" t="s">
        <v>202</v>
      </c>
      <c r="W1871" s="544" t="str">
        <f t="array" ref="W1871">HYPERLINK(INDEX('File Links'!I:I, MATCH(U1871, 'File Links'!J:J, 0)))
</f>
        <v>#N/A</v>
      </c>
      <c r="X1871" s="60"/>
      <c r="Y1871" s="147" t="s">
        <v>220</v>
      </c>
      <c r="Z1871" s="350" t="s">
        <v>165</v>
      </c>
      <c r="AA1871" s="147" t="s">
        <v>11790</v>
      </c>
      <c r="AB1871" s="139" t="s">
        <v>11791</v>
      </c>
      <c r="AC1871" s="147" t="s">
        <v>11792</v>
      </c>
      <c r="AD1871" s="1460" t="s">
        <v>11787</v>
      </c>
      <c r="AE1871" s="144">
        <v>40.0</v>
      </c>
      <c r="AF1871" s="147">
        <f>(0.7/(1-0.7))/(0.35/(1-0.35))</f>
        <v>4.333333333</v>
      </c>
      <c r="AG1871" s="139" t="s">
        <v>722</v>
      </c>
      <c r="AH1871" s="1468" t="s">
        <v>11793</v>
      </c>
      <c r="AI1871" s="144">
        <v>0.05</v>
      </c>
      <c r="AJ1871" s="147" t="s">
        <v>127</v>
      </c>
      <c r="AK1871" s="147" t="s">
        <v>179</v>
      </c>
      <c r="AL1871" s="60" t="s">
        <v>129</v>
      </c>
      <c r="AM1871" s="1460" t="s">
        <v>165</v>
      </c>
      <c r="AN1871" s="144">
        <v>7218.0</v>
      </c>
      <c r="AO1871" s="144">
        <v>-0.08</v>
      </c>
      <c r="AP1871" s="147" t="s">
        <v>166</v>
      </c>
      <c r="AQ1871" s="1460" t="s">
        <v>11633</v>
      </c>
      <c r="AR1871" s="144">
        <v>0.002</v>
      </c>
      <c r="AS1871" s="147" t="s">
        <v>164</v>
      </c>
      <c r="AT1871" s="147" t="s">
        <v>179</v>
      </c>
      <c r="AU1871" s="60" t="s">
        <v>129</v>
      </c>
      <c r="AV1871" s="1461" t="s">
        <v>11355</v>
      </c>
      <c r="AW1871" s="60" t="s">
        <v>134</v>
      </c>
      <c r="AX1871" s="60"/>
      <c r="AY1871" s="115" t="s">
        <v>11070</v>
      </c>
    </row>
    <row r="1872">
      <c r="A1872" s="115" t="s">
        <v>143</v>
      </c>
      <c r="B1872" s="41" t="s">
        <v>107</v>
      </c>
      <c r="C1872" s="41" t="s">
        <v>226</v>
      </c>
      <c r="E1872" s="60" t="s">
        <v>11794</v>
      </c>
      <c r="F1872" s="147" t="s">
        <v>11795</v>
      </c>
      <c r="G1872" s="147" t="s">
        <v>11005</v>
      </c>
      <c r="H1872" s="140">
        <v>45687.0</v>
      </c>
      <c r="I1872" s="140">
        <v>45693.0</v>
      </c>
      <c r="J1872" s="147" t="s">
        <v>11780</v>
      </c>
      <c r="K1872" s="147" t="s">
        <v>11796</v>
      </c>
      <c r="L1872" s="147" t="s">
        <v>11797</v>
      </c>
      <c r="M1872" s="147" t="s">
        <v>11798</v>
      </c>
      <c r="N1872" s="144">
        <v>1.0</v>
      </c>
      <c r="O1872" s="147" t="s">
        <v>11799</v>
      </c>
      <c r="P1872" s="48" t="str">
        <f t="array" ref="P1872">HYPERLINK(INDEX('File Links'!B:B, MATCH(O1872, 'File Links'!C:C, 0)))
</f>
        <v>https://drive.google.com/file/d/1mbPAy1TbNwV2XOfDjz6F7ail2VgA51o4/view?usp=drivesdk</v>
      </c>
      <c r="Q1872" s="147" t="s">
        <v>11345</v>
      </c>
      <c r="R1872" s="147" t="s">
        <v>11346</v>
      </c>
      <c r="S1872" s="60"/>
      <c r="T1872" s="144">
        <v>30.0</v>
      </c>
      <c r="U1872" s="147" t="s">
        <v>11347</v>
      </c>
      <c r="V1872" s="60" t="s">
        <v>202</v>
      </c>
      <c r="W1872" s="544" t="str">
        <f t="array" ref="W1872">HYPERLINK(INDEX('File Links'!I:I, MATCH(U1872, 'File Links'!J:J, 0)))
</f>
        <v>#N/A</v>
      </c>
      <c r="X1872" s="60"/>
      <c r="Y1872" s="1460" t="s">
        <v>203</v>
      </c>
      <c r="Z1872" s="350" t="s">
        <v>165</v>
      </c>
      <c r="AA1872" s="1460" t="s">
        <v>11800</v>
      </c>
      <c r="AB1872" s="147" t="s">
        <v>11801</v>
      </c>
      <c r="AC1872" s="139" t="s">
        <v>11802</v>
      </c>
      <c r="AD1872" s="147" t="s">
        <v>11803</v>
      </c>
      <c r="AE1872" s="144">
        <v>170.0</v>
      </c>
      <c r="AF1872" s="139" t="s">
        <v>11804</v>
      </c>
      <c r="AG1872" s="147" t="s">
        <v>162</v>
      </c>
      <c r="AH1872" s="147" t="s">
        <v>11803</v>
      </c>
      <c r="AI1872" s="144">
        <v>0.02</v>
      </c>
      <c r="AJ1872" s="147" t="s">
        <v>127</v>
      </c>
      <c r="AK1872" s="147" t="s">
        <v>179</v>
      </c>
      <c r="AL1872" s="60" t="s">
        <v>129</v>
      </c>
      <c r="AM1872" s="147" t="s">
        <v>165</v>
      </c>
      <c r="AN1872" s="144">
        <v>7901.0</v>
      </c>
      <c r="AO1872" s="144">
        <v>-0.13</v>
      </c>
      <c r="AP1872" s="147" t="s">
        <v>166</v>
      </c>
      <c r="AQ1872" s="147" t="s">
        <v>11382</v>
      </c>
      <c r="AR1872" s="144">
        <f>1.1*10^-9</f>
        <v>0.0000000011</v>
      </c>
      <c r="AS1872" s="147" t="s">
        <v>164</v>
      </c>
      <c r="AT1872" s="1460" t="s">
        <v>179</v>
      </c>
      <c r="AU1872" s="60" t="s">
        <v>129</v>
      </c>
      <c r="AV1872" s="410" t="s">
        <v>11355</v>
      </c>
      <c r="AW1872" s="60" t="s">
        <v>134</v>
      </c>
      <c r="AX1872" s="115" t="s">
        <v>11805</v>
      </c>
      <c r="AY1872" s="115" t="s">
        <v>11070</v>
      </c>
    </row>
    <row r="1873">
      <c r="A1873" s="60" t="s">
        <v>106</v>
      </c>
      <c r="B1873" s="41" t="s">
        <v>107</v>
      </c>
      <c r="C1873" s="41" t="s">
        <v>108</v>
      </c>
      <c r="E1873" s="60" t="s">
        <v>11794</v>
      </c>
      <c r="F1873" s="147" t="s">
        <v>11795</v>
      </c>
      <c r="G1873" s="614" t="s">
        <v>6097</v>
      </c>
      <c r="H1873" s="140">
        <v>45673.0</v>
      </c>
      <c r="I1873" s="140">
        <v>45693.0</v>
      </c>
      <c r="J1873" s="60"/>
      <c r="K1873" s="60"/>
      <c r="L1873" s="60" t="s">
        <v>11797</v>
      </c>
      <c r="M1873" s="60" t="s">
        <v>11798</v>
      </c>
      <c r="N1873" s="144">
        <v>1.0</v>
      </c>
      <c r="O1873" s="147" t="str">
        <f> SUBSTITUTE(lower(M1873), "/", "--") &amp;  ".pdf"</f>
        <v>10.3758--bf03197186.pdf</v>
      </c>
      <c r="P1873" s="48" t="str">
        <f t="array" ref="P1873">HYPERLINK(INDEX('File Links'!B:B, MATCH(O1873, 'File Links'!C:C, 0)))
</f>
        <v>https://drive.google.com/file/d/1mbPAy1TbNwV2XOfDjz6F7ail2VgA51o4/view?usp=drivesdk</v>
      </c>
      <c r="Q1873" s="1460" t="s">
        <v>11345</v>
      </c>
      <c r="R1873" s="1460" t="s">
        <v>11346</v>
      </c>
      <c r="S1873" s="60"/>
      <c r="T1873" s="60"/>
      <c r="U1873" s="147" t="s">
        <v>11347</v>
      </c>
      <c r="V1873" s="1354" t="s">
        <v>202</v>
      </c>
      <c r="W1873" s="544" t="str">
        <f t="array" ref="W1873">HYPERLINK(INDEX('File Links'!I:I, MATCH(U1873, 'File Links'!J:J, 0)))
</f>
        <v>#N/A</v>
      </c>
      <c r="X1873" s="60"/>
      <c r="Y1873" s="147" t="s">
        <v>203</v>
      </c>
      <c r="Z1873" s="60"/>
      <c r="AA1873" s="147" t="s">
        <v>11800</v>
      </c>
      <c r="AB1873" s="147" t="s">
        <v>11806</v>
      </c>
      <c r="AC1873" s="147" t="s">
        <v>11807</v>
      </c>
      <c r="AD1873" s="144">
        <v>4.0</v>
      </c>
      <c r="AE1873" s="144">
        <v>170.0</v>
      </c>
      <c r="AF1873" s="147" t="s">
        <v>11808</v>
      </c>
      <c r="AG1873" s="147" t="s">
        <v>162</v>
      </c>
      <c r="AH1873" s="147" t="s">
        <v>861</v>
      </c>
      <c r="AI1873" s="144">
        <v>0.02</v>
      </c>
      <c r="AJ1873" s="147" t="s">
        <v>127</v>
      </c>
      <c r="AK1873" s="147" t="s">
        <v>179</v>
      </c>
      <c r="AL1873" s="60" t="s">
        <v>129</v>
      </c>
      <c r="AM1873" s="60"/>
      <c r="AN1873" s="144">
        <v>7901.0</v>
      </c>
      <c r="AO1873" s="144">
        <v>-0.13</v>
      </c>
      <c r="AP1873" s="147" t="s">
        <v>166</v>
      </c>
      <c r="AQ1873" s="147" t="s">
        <v>324</v>
      </c>
      <c r="AR1873" s="1351">
        <v>1.1E-9</v>
      </c>
      <c r="AS1873" s="147" t="s">
        <v>164</v>
      </c>
      <c r="AT1873" s="147" t="s">
        <v>179</v>
      </c>
      <c r="AU1873" s="60" t="s">
        <v>129</v>
      </c>
      <c r="AV1873" s="1461" t="s">
        <v>11355</v>
      </c>
      <c r="AW1873" s="60" t="s">
        <v>134</v>
      </c>
      <c r="AX1873" s="60"/>
      <c r="AY1873" s="60" t="s">
        <v>11025</v>
      </c>
    </row>
    <row r="1874">
      <c r="A1874" s="60" t="s">
        <v>586</v>
      </c>
      <c r="B1874" s="41" t="s">
        <v>107</v>
      </c>
      <c r="C1874" s="41" t="s">
        <v>226</v>
      </c>
      <c r="E1874" s="60" t="s">
        <v>11809</v>
      </c>
      <c r="F1874" s="147" t="s">
        <v>11810</v>
      </c>
      <c r="G1874" s="147" t="s">
        <v>11005</v>
      </c>
      <c r="H1874" s="140">
        <v>45687.0</v>
      </c>
      <c r="I1874" s="140">
        <v>45693.0</v>
      </c>
      <c r="J1874" s="60"/>
      <c r="K1874" s="525" t="s">
        <v>11811</v>
      </c>
      <c r="L1874" s="147" t="s">
        <v>11812</v>
      </c>
      <c r="M1874" s="147" t="s">
        <v>9811</v>
      </c>
      <c r="N1874" s="144">
        <v>5.0</v>
      </c>
      <c r="O1874" s="147" t="s">
        <v>9818</v>
      </c>
      <c r="P1874" s="48" t="str">
        <f t="array" ref="P1874">HYPERLINK(INDEX('File Links'!B:B, MATCH(O1874, 'File Links'!C:C, 0)))
</f>
        <v>https://drive.google.com/file/d/1CX-X4yZPIliMfb05V-exrVifx5i5gyZu/view?usp=drivesdk</v>
      </c>
      <c r="Q1874" s="147" t="s">
        <v>11345</v>
      </c>
      <c r="R1874" s="147" t="s">
        <v>11346</v>
      </c>
      <c r="S1874" s="60"/>
      <c r="T1874" s="144">
        <v>31.0</v>
      </c>
      <c r="U1874" s="147" t="s">
        <v>11347</v>
      </c>
      <c r="V1874" s="60" t="s">
        <v>202</v>
      </c>
      <c r="W1874" s="544" t="str">
        <f t="array" ref="W1874">HYPERLINK(INDEX('File Links'!I:I, MATCH(U1874, 'File Links'!J:J, 0)))
</f>
        <v>#N/A</v>
      </c>
      <c r="X1874" s="60"/>
      <c r="Y1874" s="1460" t="s">
        <v>220</v>
      </c>
      <c r="Z1874" s="60"/>
      <c r="AA1874" s="1460" t="s">
        <v>11813</v>
      </c>
      <c r="AB1874" s="147" t="s">
        <v>11814</v>
      </c>
      <c r="AC1874" s="60" t="s">
        <v>11815</v>
      </c>
      <c r="AD1874" s="147" t="s">
        <v>11816</v>
      </c>
      <c r="AE1874" s="144">
        <v>90.0</v>
      </c>
      <c r="AF1874" s="60"/>
      <c r="AG1874" s="60"/>
      <c r="AH1874" s="147" t="s">
        <v>11816</v>
      </c>
      <c r="AI1874" s="147" t="s">
        <v>11816</v>
      </c>
      <c r="AJ1874" s="147" t="s">
        <v>127</v>
      </c>
      <c r="AK1874" s="147" t="s">
        <v>179</v>
      </c>
      <c r="AL1874" s="60" t="s">
        <v>132</v>
      </c>
      <c r="AM1874" s="147" t="s">
        <v>165</v>
      </c>
      <c r="AN1874" s="144">
        <v>3506.0</v>
      </c>
      <c r="AO1874" s="144">
        <v>-0.24</v>
      </c>
      <c r="AP1874" s="147" t="s">
        <v>166</v>
      </c>
      <c r="AQ1874" s="147" t="s">
        <v>11817</v>
      </c>
      <c r="AR1874" s="1459">
        <f>2*10^-16</f>
        <v>0</v>
      </c>
      <c r="AS1874" s="147" t="s">
        <v>127</v>
      </c>
      <c r="AT1874" s="147" t="s">
        <v>179</v>
      </c>
      <c r="AU1874" s="60" t="s">
        <v>132</v>
      </c>
      <c r="AV1874" s="410" t="s">
        <v>11355</v>
      </c>
      <c r="AW1874" s="60" t="s">
        <v>134</v>
      </c>
      <c r="AX1874" s="60"/>
      <c r="AY1874" s="60" t="s">
        <v>11025</v>
      </c>
    </row>
    <row r="1875">
      <c r="A1875" s="60" t="s">
        <v>106</v>
      </c>
      <c r="B1875" s="41" t="s">
        <v>107</v>
      </c>
      <c r="C1875" s="41" t="s">
        <v>108</v>
      </c>
      <c r="E1875" s="60" t="s">
        <v>11809</v>
      </c>
      <c r="F1875" s="147" t="s">
        <v>11810</v>
      </c>
      <c r="G1875" s="614" t="s">
        <v>6097</v>
      </c>
      <c r="H1875" s="140">
        <v>45669.0</v>
      </c>
      <c r="I1875" s="140">
        <v>45693.0</v>
      </c>
      <c r="J1875" s="147" t="s">
        <v>11818</v>
      </c>
      <c r="K1875" s="60"/>
      <c r="L1875" s="60" t="s">
        <v>11812</v>
      </c>
      <c r="M1875" s="60" t="s">
        <v>9811</v>
      </c>
      <c r="N1875" s="144">
        <v>5.0</v>
      </c>
      <c r="O1875" s="147" t="str">
        <f t="shared" ref="O1875:O1877" si="102"> SUBSTITUTE(lower(M1875), "/", "--") &amp;  ".pdf"</f>
        <v>10.1177--0956797609359908.pdf</v>
      </c>
      <c r="P1875" s="48" t="str">
        <f t="array" ref="P1875">HYPERLINK(INDEX('File Links'!B:B, MATCH(O1875, 'File Links'!C:C, 0)))
</f>
        <v>https://drive.google.com/file/d/1CX-X4yZPIliMfb05V-exrVifx5i5gyZu/view?usp=drivesdk</v>
      </c>
      <c r="Q1875" s="1460" t="s">
        <v>11345</v>
      </c>
      <c r="R1875" s="1460" t="s">
        <v>11346</v>
      </c>
      <c r="S1875" s="60"/>
      <c r="T1875" s="60"/>
      <c r="U1875" s="147" t="s">
        <v>11347</v>
      </c>
      <c r="V1875" s="1354" t="s">
        <v>202</v>
      </c>
      <c r="W1875" s="544" t="str">
        <f t="array" ref="W1875">HYPERLINK(INDEX('File Links'!I:I, MATCH(U1875, 'File Links'!J:J, 0)))
</f>
        <v>#N/A</v>
      </c>
      <c r="X1875" s="60"/>
      <c r="Y1875" s="147" t="s">
        <v>220</v>
      </c>
      <c r="Z1875" s="60"/>
      <c r="AA1875" s="147" t="s">
        <v>11813</v>
      </c>
      <c r="AB1875" s="147" t="s">
        <v>11819</v>
      </c>
      <c r="AC1875" s="147" t="s">
        <v>11820</v>
      </c>
      <c r="AD1875" s="144">
        <v>6.0</v>
      </c>
      <c r="AE1875" s="144">
        <v>218.0</v>
      </c>
      <c r="AF1875" s="147" t="s">
        <v>11821</v>
      </c>
      <c r="AG1875" s="147" t="s">
        <v>162</v>
      </c>
      <c r="AH1875" s="147" t="s">
        <v>131</v>
      </c>
      <c r="AI1875" s="144">
        <v>0.001</v>
      </c>
      <c r="AJ1875" s="147" t="s">
        <v>127</v>
      </c>
      <c r="AK1875" s="147" t="s">
        <v>179</v>
      </c>
      <c r="AL1875" s="60" t="s">
        <v>132</v>
      </c>
      <c r="AM1875" s="1460" t="s">
        <v>165</v>
      </c>
      <c r="AN1875" s="1265">
        <v>5882.0</v>
      </c>
      <c r="AO1875" s="144">
        <v>-0.24</v>
      </c>
      <c r="AP1875" s="147" t="s">
        <v>166</v>
      </c>
      <c r="AQ1875" s="147" t="s">
        <v>1276</v>
      </c>
      <c r="AR1875" s="60"/>
      <c r="AS1875" s="60"/>
      <c r="AT1875" s="147" t="s">
        <v>179</v>
      </c>
      <c r="AU1875" s="60" t="s">
        <v>132</v>
      </c>
      <c r="AV1875" s="1461" t="s">
        <v>11355</v>
      </c>
      <c r="AW1875" s="60" t="s">
        <v>134</v>
      </c>
      <c r="AX1875" s="60"/>
      <c r="AY1875" s="60" t="s">
        <v>11025</v>
      </c>
    </row>
    <row r="1876">
      <c r="A1876" s="60" t="s">
        <v>586</v>
      </c>
      <c r="B1876" s="41" t="s">
        <v>107</v>
      </c>
      <c r="C1876" s="41" t="s">
        <v>108</v>
      </c>
      <c r="E1876" s="60" t="s">
        <v>11809</v>
      </c>
      <c r="F1876" s="147" t="s">
        <v>11822</v>
      </c>
      <c r="G1876" s="614" t="s">
        <v>6097</v>
      </c>
      <c r="H1876" s="140">
        <v>45669.0</v>
      </c>
      <c r="I1876" s="140">
        <v>45693.0</v>
      </c>
      <c r="J1876" s="147" t="s">
        <v>11823</v>
      </c>
      <c r="K1876" s="525" t="s">
        <v>11824</v>
      </c>
      <c r="L1876" s="60" t="s">
        <v>11812</v>
      </c>
      <c r="M1876" s="60" t="s">
        <v>9811</v>
      </c>
      <c r="N1876" s="144">
        <v>5.0</v>
      </c>
      <c r="O1876" s="147" t="str">
        <f t="shared" si="102"/>
        <v>10.1177--0956797609359908.pdf</v>
      </c>
      <c r="P1876" s="48" t="str">
        <f t="array" ref="P1876">HYPERLINK(INDEX('File Links'!B:B, MATCH(O1876, 'File Links'!C:C, 0)))
</f>
        <v>https://drive.google.com/file/d/1CX-X4yZPIliMfb05V-exrVifx5i5gyZu/view?usp=drivesdk</v>
      </c>
      <c r="Q1876" s="1460" t="s">
        <v>11345</v>
      </c>
      <c r="R1876" s="1460" t="s">
        <v>11346</v>
      </c>
      <c r="S1876" s="60"/>
      <c r="T1876" s="60"/>
      <c r="U1876" s="147" t="s">
        <v>11347</v>
      </c>
      <c r="V1876" s="1354" t="s">
        <v>202</v>
      </c>
      <c r="W1876" s="544" t="str">
        <f t="array" ref="W1876">HYPERLINK(INDEX('File Links'!I:I, MATCH(U1876, 'File Links'!J:J, 0)))
</f>
        <v>#N/A</v>
      </c>
      <c r="X1876" s="60"/>
      <c r="Y1876" s="147" t="s">
        <v>220</v>
      </c>
      <c r="Z1876" s="60"/>
      <c r="AA1876" s="147" t="s">
        <v>11813</v>
      </c>
      <c r="AB1876" s="147" t="s">
        <v>11825</v>
      </c>
      <c r="AC1876" s="147" t="s">
        <v>11826</v>
      </c>
      <c r="AD1876" s="144">
        <v>6.0</v>
      </c>
      <c r="AE1876" s="144">
        <v>218.0</v>
      </c>
      <c r="AF1876" s="147" t="s">
        <v>11827</v>
      </c>
      <c r="AG1876" s="147" t="s">
        <v>162</v>
      </c>
      <c r="AH1876" s="147" t="s">
        <v>131</v>
      </c>
      <c r="AI1876" s="144">
        <v>0.48</v>
      </c>
      <c r="AJ1876" s="147" t="s">
        <v>164</v>
      </c>
      <c r="AK1876" s="147" t="s">
        <v>179</v>
      </c>
      <c r="AL1876" s="60" t="s">
        <v>132</v>
      </c>
      <c r="AM1876" s="1460" t="s">
        <v>165</v>
      </c>
      <c r="AN1876" s="1265">
        <v>5882.0</v>
      </c>
      <c r="AO1876" s="144">
        <v>-0.24</v>
      </c>
      <c r="AP1876" s="147" t="s">
        <v>166</v>
      </c>
      <c r="AQ1876" s="147" t="s">
        <v>1276</v>
      </c>
      <c r="AR1876" s="1351">
        <v>2.0E-16</v>
      </c>
      <c r="AS1876" s="147" t="s">
        <v>127</v>
      </c>
      <c r="AT1876" s="147" t="s">
        <v>179</v>
      </c>
      <c r="AU1876" s="60" t="s">
        <v>132</v>
      </c>
      <c r="AV1876" s="1461" t="s">
        <v>11355</v>
      </c>
      <c r="AW1876" s="60" t="s">
        <v>134</v>
      </c>
      <c r="AX1876" s="60"/>
      <c r="AY1876" s="60" t="s">
        <v>11025</v>
      </c>
    </row>
    <row r="1877">
      <c r="A1877" s="60" t="s">
        <v>586</v>
      </c>
      <c r="B1877" s="41" t="s">
        <v>107</v>
      </c>
      <c r="C1877" s="41" t="s">
        <v>108</v>
      </c>
      <c r="E1877" s="60" t="s">
        <v>11809</v>
      </c>
      <c r="F1877" s="147" t="s">
        <v>11828</v>
      </c>
      <c r="G1877" s="614" t="s">
        <v>6097</v>
      </c>
      <c r="H1877" s="140">
        <v>45669.0</v>
      </c>
      <c r="I1877" s="140">
        <v>45693.0</v>
      </c>
      <c r="J1877" s="147" t="s">
        <v>11823</v>
      </c>
      <c r="K1877" s="525" t="s">
        <v>11824</v>
      </c>
      <c r="L1877" s="60" t="s">
        <v>11812</v>
      </c>
      <c r="M1877" s="60" t="s">
        <v>9811</v>
      </c>
      <c r="N1877" s="144">
        <v>5.0</v>
      </c>
      <c r="O1877" s="147" t="str">
        <f t="shared" si="102"/>
        <v>10.1177--0956797609359908.pdf</v>
      </c>
      <c r="P1877" s="48" t="str">
        <f t="array" ref="P1877">HYPERLINK(INDEX('File Links'!B:B, MATCH(O1877, 'File Links'!C:C, 0)))
</f>
        <v>https://drive.google.com/file/d/1CX-X4yZPIliMfb05V-exrVifx5i5gyZu/view?usp=drivesdk</v>
      </c>
      <c r="Q1877" s="1460" t="s">
        <v>11345</v>
      </c>
      <c r="R1877" s="1460" t="s">
        <v>11346</v>
      </c>
      <c r="S1877" s="60"/>
      <c r="T1877" s="60"/>
      <c r="U1877" s="147" t="s">
        <v>11347</v>
      </c>
      <c r="V1877" s="1354" t="s">
        <v>202</v>
      </c>
      <c r="W1877" s="544" t="str">
        <f t="array" ref="W1877">HYPERLINK(INDEX('File Links'!I:I, MATCH(U1877, 'File Links'!J:J, 0)))
</f>
        <v>#N/A</v>
      </c>
      <c r="X1877" s="60"/>
      <c r="Y1877" s="147" t="s">
        <v>220</v>
      </c>
      <c r="Z1877" s="60"/>
      <c r="AA1877" s="147" t="s">
        <v>11813</v>
      </c>
      <c r="AB1877" s="147" t="s">
        <v>11829</v>
      </c>
      <c r="AC1877" s="147" t="s">
        <v>11830</v>
      </c>
      <c r="AD1877" s="144">
        <v>6.0</v>
      </c>
      <c r="AE1877" s="144">
        <v>218.0</v>
      </c>
      <c r="AF1877" s="147" t="s">
        <v>11831</v>
      </c>
      <c r="AG1877" s="147" t="s">
        <v>162</v>
      </c>
      <c r="AH1877" s="147" t="s">
        <v>131</v>
      </c>
      <c r="AI1877" s="144">
        <v>0.05</v>
      </c>
      <c r="AJ1877" s="147" t="s">
        <v>127</v>
      </c>
      <c r="AK1877" s="147" t="s">
        <v>179</v>
      </c>
      <c r="AL1877" s="60" t="s">
        <v>132</v>
      </c>
      <c r="AM1877" s="1460" t="s">
        <v>165</v>
      </c>
      <c r="AN1877" s="1265">
        <v>5882.0</v>
      </c>
      <c r="AO1877" s="144">
        <v>-0.08</v>
      </c>
      <c r="AP1877" s="147" t="s">
        <v>357</v>
      </c>
      <c r="AQ1877" s="147" t="s">
        <v>1276</v>
      </c>
      <c r="AR1877" s="1351">
        <v>2.37E-5</v>
      </c>
      <c r="AS1877" s="147" t="s">
        <v>164</v>
      </c>
      <c r="AT1877" s="147" t="s">
        <v>179</v>
      </c>
      <c r="AU1877" s="60" t="s">
        <v>132</v>
      </c>
      <c r="AV1877" s="1461" t="s">
        <v>11355</v>
      </c>
      <c r="AW1877" s="60" t="s">
        <v>134</v>
      </c>
      <c r="AX1877" s="60"/>
      <c r="AY1877" s="60" t="s">
        <v>11025</v>
      </c>
    </row>
    <row r="1878">
      <c r="A1878" s="60" t="s">
        <v>586</v>
      </c>
      <c r="B1878" s="41" t="s">
        <v>107</v>
      </c>
      <c r="C1878" s="41" t="s">
        <v>226</v>
      </c>
      <c r="E1878" s="60" t="s">
        <v>11832</v>
      </c>
      <c r="F1878" s="147" t="s">
        <v>11833</v>
      </c>
      <c r="G1878" s="147" t="s">
        <v>11005</v>
      </c>
      <c r="H1878" s="140">
        <v>45687.0</v>
      </c>
      <c r="I1878" s="140">
        <v>45693.0</v>
      </c>
      <c r="J1878" s="60"/>
      <c r="K1878" s="525" t="s">
        <v>11834</v>
      </c>
      <c r="L1878" s="147" t="s">
        <v>11812</v>
      </c>
      <c r="M1878" s="147" t="s">
        <v>11835</v>
      </c>
      <c r="N1878" s="144">
        <v>5.0</v>
      </c>
      <c r="O1878" s="147" t="s">
        <v>11836</v>
      </c>
      <c r="P1878" s="544" t="str">
        <f t="array" ref="P1878">HYPERLINK(INDEX('File Links'!B:B, MATCH(O1878, 'File Links'!C:C, 0)))
</f>
        <v>#N/A</v>
      </c>
      <c r="Q1878" s="147" t="s">
        <v>11345</v>
      </c>
      <c r="R1878" s="147" t="s">
        <v>11346</v>
      </c>
      <c r="S1878" s="60"/>
      <c r="T1878" s="144">
        <v>32.0</v>
      </c>
      <c r="U1878" s="147" t="s">
        <v>11347</v>
      </c>
      <c r="V1878" s="60" t="s">
        <v>202</v>
      </c>
      <c r="W1878" s="544" t="str">
        <f t="array" ref="W1878">HYPERLINK(INDEX('File Links'!I:I, MATCH(U1878, 'File Links'!J:J, 0)))
</f>
        <v>#N/A</v>
      </c>
      <c r="X1878" s="60"/>
      <c r="Y1878" s="1460" t="s">
        <v>220</v>
      </c>
      <c r="Z1878" s="60"/>
      <c r="AA1878" s="1460" t="s">
        <v>11813</v>
      </c>
      <c r="AB1878" s="147" t="s">
        <v>11837</v>
      </c>
      <c r="AC1878" s="147" t="s">
        <v>11838</v>
      </c>
      <c r="AD1878" s="60" t="s">
        <v>11816</v>
      </c>
      <c r="AE1878" s="144">
        <v>128.0</v>
      </c>
      <c r="AF1878" s="144">
        <v>0.34</v>
      </c>
      <c r="AG1878" s="147" t="s">
        <v>722</v>
      </c>
      <c r="AH1878" s="147" t="s">
        <v>11816</v>
      </c>
      <c r="AI1878" s="144">
        <v>0.001</v>
      </c>
      <c r="AJ1878" s="147" t="s">
        <v>127</v>
      </c>
      <c r="AK1878" s="147" t="s">
        <v>179</v>
      </c>
      <c r="AL1878" s="60" t="s">
        <v>132</v>
      </c>
      <c r="AM1878" s="147" t="s">
        <v>165</v>
      </c>
      <c r="AN1878" s="144">
        <v>122.0</v>
      </c>
      <c r="AO1878" s="144">
        <v>-0.03</v>
      </c>
      <c r="AP1878" s="147" t="s">
        <v>166</v>
      </c>
      <c r="AQ1878" s="147" t="s">
        <v>11817</v>
      </c>
      <c r="AR1878" s="144">
        <v>0.001</v>
      </c>
      <c r="AS1878" s="147" t="s">
        <v>127</v>
      </c>
      <c r="AT1878" s="147" t="s">
        <v>179</v>
      </c>
      <c r="AU1878" s="60" t="s">
        <v>129</v>
      </c>
      <c r="AV1878" s="410" t="s">
        <v>11355</v>
      </c>
      <c r="AW1878" s="60" t="s">
        <v>134</v>
      </c>
      <c r="AX1878" s="60"/>
      <c r="AY1878" s="60" t="s">
        <v>11025</v>
      </c>
    </row>
    <row r="1879">
      <c r="A1879" s="60" t="s">
        <v>106</v>
      </c>
      <c r="B1879" s="41" t="s">
        <v>107</v>
      </c>
      <c r="C1879" s="41" t="s">
        <v>108</v>
      </c>
      <c r="E1879" s="60" t="s">
        <v>11832</v>
      </c>
      <c r="F1879" s="147" t="s">
        <v>11833</v>
      </c>
      <c r="G1879" s="614" t="s">
        <v>6097</v>
      </c>
      <c r="H1879" s="140">
        <v>45669.0</v>
      </c>
      <c r="I1879" s="140">
        <v>45693.0</v>
      </c>
      <c r="J1879" s="147" t="s">
        <v>11839</v>
      </c>
      <c r="K1879" s="147" t="s">
        <v>11840</v>
      </c>
      <c r="L1879" s="60" t="s">
        <v>11812</v>
      </c>
      <c r="M1879" s="60" t="s">
        <v>11835</v>
      </c>
      <c r="N1879" s="144">
        <v>5.0</v>
      </c>
      <c r="O1879" s="147" t="str">
        <f t="shared" ref="O1879:O1915" si="103"> SUBSTITUTE(lower(M1879), "/", "--") &amp;  ".pdf"</f>
        <v>10 .1177--0956797609359908.pdf</v>
      </c>
      <c r="P1879" s="544" t="str">
        <f t="array" ref="P1879">HYPERLINK(INDEX('File Links'!B:B, MATCH(O1879, 'File Links'!C:C, 0)))
</f>
        <v>#N/A</v>
      </c>
      <c r="Q1879" s="1460" t="s">
        <v>11345</v>
      </c>
      <c r="R1879" s="1460" t="s">
        <v>11346</v>
      </c>
      <c r="S1879" s="60"/>
      <c r="T1879" s="60"/>
      <c r="U1879" s="147" t="s">
        <v>11347</v>
      </c>
      <c r="V1879" s="1354" t="s">
        <v>202</v>
      </c>
      <c r="W1879" s="544" t="str">
        <f t="array" ref="W1879">HYPERLINK(INDEX('File Links'!I:I, MATCH(U1879, 'File Links'!J:J, 0)))
</f>
        <v>#N/A</v>
      </c>
      <c r="X1879" s="60"/>
      <c r="Y1879" s="147" t="s">
        <v>220</v>
      </c>
      <c r="Z1879" s="60"/>
      <c r="AA1879" s="147" t="s">
        <v>11813</v>
      </c>
      <c r="AB1879" s="60"/>
      <c r="AC1879" s="60"/>
      <c r="AD1879" s="60"/>
      <c r="AE1879" s="144">
        <v>218.0</v>
      </c>
      <c r="AF1879" s="60"/>
      <c r="AG1879" s="60"/>
      <c r="AH1879" s="60"/>
      <c r="AI1879" s="60"/>
      <c r="AJ1879" s="60"/>
      <c r="AK1879" s="60"/>
      <c r="AL1879" s="60"/>
      <c r="AM1879" s="60"/>
      <c r="AN1879" s="144">
        <v>5882.0</v>
      </c>
      <c r="AO1879" s="60"/>
      <c r="AP1879" s="60"/>
      <c r="AQ1879" s="60"/>
      <c r="AR1879" s="60"/>
      <c r="AS1879" s="60"/>
      <c r="AT1879" s="60"/>
      <c r="AU1879" s="60"/>
      <c r="AV1879" s="1461" t="s">
        <v>11355</v>
      </c>
      <c r="AW1879" s="60"/>
      <c r="AX1879" s="60"/>
      <c r="AY1879" s="60" t="s">
        <v>11025</v>
      </c>
    </row>
    <row r="1880">
      <c r="A1880" s="115" t="s">
        <v>143</v>
      </c>
      <c r="B1880" s="41" t="s">
        <v>107</v>
      </c>
      <c r="C1880" s="41" t="s">
        <v>226</v>
      </c>
      <c r="E1880" s="1519" t="s">
        <v>11841</v>
      </c>
      <c r="F1880" s="1519" t="s">
        <v>11841</v>
      </c>
      <c r="G1880" s="1520" t="s">
        <v>11025</v>
      </c>
      <c r="H1880" s="1521">
        <v>45690.0</v>
      </c>
      <c r="I1880" s="60"/>
      <c r="J1880" s="1520" t="s">
        <v>11842</v>
      </c>
      <c r="K1880" s="1519"/>
      <c r="L1880" s="1522" t="s">
        <v>11843</v>
      </c>
      <c r="M1880" s="1522" t="s">
        <v>11844</v>
      </c>
      <c r="N1880" s="1523">
        <v>2.0</v>
      </c>
      <c r="O1880" s="1524" t="str">
        <f t="shared" si="103"/>
        <v>10.1093--qje--qjr034.pdf</v>
      </c>
      <c r="P1880" s="1525" t="str">
        <f t="array" ref="P1880">HYPERLINK(INDEX('File Links'!B:B, MATCH(O1880, 'File Links'!C:C, 0)))
</f>
        <v>https://drive.google.com/file/d/1aDSm4Lq4K8IFN4JH8XXWURoEKbUjjmL3/view?usp=drivesdk</v>
      </c>
      <c r="Q1880" s="1526" t="s">
        <v>11845</v>
      </c>
      <c r="R1880" s="1527" t="s">
        <v>11846</v>
      </c>
      <c r="S1880" s="1528"/>
      <c r="T1880" s="1350">
        <v>18.0</v>
      </c>
      <c r="U1880" s="147" t="s">
        <v>11847</v>
      </c>
      <c r="V1880" s="1250" t="s">
        <v>11848</v>
      </c>
      <c r="W1880" s="1529" t="s">
        <v>11849</v>
      </c>
      <c r="X1880" s="1522"/>
      <c r="Y1880" s="147" t="s">
        <v>1820</v>
      </c>
      <c r="Z1880" s="350" t="s">
        <v>165</v>
      </c>
      <c r="AA1880" s="1520" t="s">
        <v>11850</v>
      </c>
      <c r="AB1880" s="1530" t="s">
        <v>11851</v>
      </c>
      <c r="AC1880" s="1531" t="s">
        <v>11852</v>
      </c>
      <c r="AD1880" s="1532" t="s">
        <v>11853</v>
      </c>
      <c r="AE1880" s="1533">
        <v>112.0</v>
      </c>
      <c r="AF1880" s="1534">
        <v>0.32</v>
      </c>
      <c r="AG1880" s="1535" t="s">
        <v>11854</v>
      </c>
      <c r="AH1880" s="1250" t="s">
        <v>11855</v>
      </c>
      <c r="AI1880" s="1536">
        <v>0.03</v>
      </c>
      <c r="AJ1880" s="52" t="s">
        <v>164</v>
      </c>
      <c r="AK1880" s="52" t="s">
        <v>179</v>
      </c>
      <c r="AL1880" s="1537" t="s">
        <v>132</v>
      </c>
      <c r="AM1880" s="55"/>
      <c r="AN1880" s="1536">
        <v>262.0</v>
      </c>
      <c r="AO1880" s="1538">
        <v>0.22</v>
      </c>
      <c r="AP1880" s="1535" t="s">
        <v>11854</v>
      </c>
      <c r="AQ1880" s="1535" t="s">
        <v>892</v>
      </c>
      <c r="AR1880" s="144">
        <v>0.055</v>
      </c>
      <c r="AS1880" s="147" t="s">
        <v>164</v>
      </c>
      <c r="AT1880" s="1539" t="s">
        <v>179</v>
      </c>
      <c r="AU1880" s="1537" t="s">
        <v>132</v>
      </c>
      <c r="AV1880" s="1540" t="s">
        <v>11856</v>
      </c>
      <c r="AW1880" s="60" t="s">
        <v>134</v>
      </c>
      <c r="AY1880" s="41" t="s">
        <v>11857</v>
      </c>
      <c r="BA1880" s="1515" t="s">
        <v>11858</v>
      </c>
    </row>
    <row r="1881">
      <c r="A1881" s="41" t="s">
        <v>106</v>
      </c>
      <c r="B1881" s="40" t="s">
        <v>107</v>
      </c>
      <c r="C1881" s="41" t="s">
        <v>280</v>
      </c>
      <c r="E1881" s="60" t="s">
        <v>11841</v>
      </c>
      <c r="F1881" s="55" t="s">
        <v>11841</v>
      </c>
      <c r="G1881" s="1520" t="s">
        <v>283</v>
      </c>
      <c r="H1881" s="1521">
        <v>45664.0</v>
      </c>
      <c r="I1881" s="357">
        <v>45667.0</v>
      </c>
      <c r="J1881" s="1520" t="s">
        <v>11859</v>
      </c>
      <c r="K1881" s="60"/>
      <c r="L1881" s="60" t="s">
        <v>11843</v>
      </c>
      <c r="M1881" s="60" t="s">
        <v>11844</v>
      </c>
      <c r="N1881" s="60"/>
      <c r="O1881" s="145" t="str">
        <f t="shared" si="103"/>
        <v>10.1093--qje--qjr034.pdf</v>
      </c>
      <c r="P1881" s="1525" t="str">
        <f t="array" ref="P1881">HYPERLINK(INDEX('File Links'!B:B, MATCH(O1881, 'File Links'!C:C, 0)))
</f>
        <v>https://drive.google.com/file/d/1aDSm4Lq4K8IFN4JH8XXWURoEKbUjjmL3/view?usp=drivesdk</v>
      </c>
      <c r="Q1881" s="60"/>
      <c r="R1881" s="1527"/>
      <c r="S1881" s="60"/>
      <c r="T1881" s="60"/>
      <c r="U1881" s="147" t="s">
        <v>11847</v>
      </c>
      <c r="V1881" s="1250" t="s">
        <v>11860</v>
      </c>
      <c r="W1881" s="1541" t="str">
        <f t="array" ref="W1881">HYPERLINK(INDEX('File Links'!B:B, MATCH(O1881, 'File Links'!C:C, 0)))
</f>
        <v>https://drive.google.com/file/d/1aDSm4Lq4K8IFN4JH8XXWURoEKbUjjmL3/view?usp=drivesdk</v>
      </c>
      <c r="X1881" s="60"/>
      <c r="Y1881" s="147" t="s">
        <v>1820</v>
      </c>
      <c r="Z1881" s="147" t="s">
        <v>11861</v>
      </c>
      <c r="AA1881" s="147" t="s">
        <v>11862</v>
      </c>
      <c r="AB1881" s="147" t="s">
        <v>11863</v>
      </c>
      <c r="AC1881" s="147" t="s">
        <v>11864</v>
      </c>
      <c r="AD1881" s="147" t="s">
        <v>11853</v>
      </c>
      <c r="AE1881" s="144">
        <v>112.0</v>
      </c>
      <c r="AF1881" s="144">
        <v>0.32</v>
      </c>
      <c r="AG1881" s="356" t="s">
        <v>11865</v>
      </c>
      <c r="AH1881" s="147" t="s">
        <v>11866</v>
      </c>
      <c r="AI1881" s="646">
        <v>0.03</v>
      </c>
      <c r="AJ1881" s="52" t="s">
        <v>164</v>
      </c>
      <c r="AK1881" s="52" t="s">
        <v>128</v>
      </c>
      <c r="AL1881" s="1527" t="s">
        <v>129</v>
      </c>
      <c r="AM1881" s="55"/>
      <c r="AN1881" s="144">
        <v>262.0</v>
      </c>
      <c r="AO1881" s="144">
        <v>0.12</v>
      </c>
      <c r="AP1881" s="147" t="s">
        <v>208</v>
      </c>
      <c r="AQ1881" s="1250" t="s">
        <v>1580</v>
      </c>
      <c r="AR1881" s="144">
        <v>0.055</v>
      </c>
      <c r="AS1881" s="147" t="s">
        <v>164</v>
      </c>
      <c r="AT1881" s="1539" t="s">
        <v>179</v>
      </c>
      <c r="AU1881" s="1542" t="s">
        <v>129</v>
      </c>
      <c r="AV1881" s="1542"/>
      <c r="AW1881" s="60" t="s">
        <v>134</v>
      </c>
      <c r="AY1881" s="41" t="s">
        <v>11857</v>
      </c>
    </row>
    <row r="1882">
      <c r="A1882" s="115" t="s">
        <v>143</v>
      </c>
      <c r="B1882" s="41" t="s">
        <v>107</v>
      </c>
      <c r="C1882" s="41" t="s">
        <v>226</v>
      </c>
      <c r="E1882" s="60" t="s">
        <v>11867</v>
      </c>
      <c r="F1882" s="60" t="s">
        <v>11867</v>
      </c>
      <c r="G1882" s="1520" t="s">
        <v>11025</v>
      </c>
      <c r="H1882" s="1521">
        <v>45690.0</v>
      </c>
      <c r="I1882" s="60"/>
      <c r="J1882" s="1519"/>
      <c r="K1882" s="60"/>
      <c r="L1882" s="60" t="s">
        <v>11868</v>
      </c>
      <c r="M1882" s="60" t="s">
        <v>11869</v>
      </c>
      <c r="N1882" s="327">
        <v>1.0</v>
      </c>
      <c r="O1882" s="145" t="str">
        <f t="shared" si="103"/>
        <v>10.1093--qje--qjt035.pdf</v>
      </c>
      <c r="P1882" s="1525" t="str">
        <f t="array" ref="P1882">HYPERLINK(INDEX('File Links'!B:B, MATCH(O1882, 'File Links'!C:C, 0)))
</f>
        <v>https://drive.google.com/file/d/1AEIAMNY49STOE6ElNt-b8Hq1Zx5-39DC/view?usp=drivesdk</v>
      </c>
      <c r="Q1882" s="1526" t="s">
        <v>11845</v>
      </c>
      <c r="R1882" s="1527" t="s">
        <v>11870</v>
      </c>
      <c r="S1882" s="1528"/>
      <c r="T1882" s="327">
        <v>17.0</v>
      </c>
      <c r="U1882" s="147" t="s">
        <v>11847</v>
      </c>
      <c r="V1882" s="1250" t="s">
        <v>11848</v>
      </c>
      <c r="W1882" s="1529" t="s">
        <v>11871</v>
      </c>
      <c r="X1882" s="60"/>
      <c r="Y1882" s="147" t="s">
        <v>1820</v>
      </c>
      <c r="Z1882" s="350" t="s">
        <v>165</v>
      </c>
      <c r="AA1882" s="147" t="s">
        <v>11872</v>
      </c>
      <c r="AB1882" s="60" t="s">
        <v>11873</v>
      </c>
      <c r="AC1882" s="139" t="s">
        <v>11874</v>
      </c>
      <c r="AD1882" s="139" t="s">
        <v>11875</v>
      </c>
      <c r="AE1882" s="144">
        <v>42.0</v>
      </c>
      <c r="AF1882" s="149">
        <v>-0.116</v>
      </c>
      <c r="AG1882" s="139" t="s">
        <v>11876</v>
      </c>
      <c r="AH1882" s="147" t="s">
        <v>11877</v>
      </c>
      <c r="AI1882" s="144">
        <v>0.1</v>
      </c>
      <c r="AJ1882" s="147" t="s">
        <v>127</v>
      </c>
      <c r="AK1882" s="147" t="s">
        <v>179</v>
      </c>
      <c r="AL1882" s="1537" t="s">
        <v>132</v>
      </c>
      <c r="AM1882" s="60"/>
      <c r="AN1882" s="144">
        <v>144.0</v>
      </c>
      <c r="AO1882" s="149">
        <v>0.045</v>
      </c>
      <c r="AP1882" s="139" t="s">
        <v>11876</v>
      </c>
      <c r="AQ1882" s="1535" t="s">
        <v>861</v>
      </c>
      <c r="AR1882" s="144">
        <v>0.154</v>
      </c>
      <c r="AS1882" s="147" t="s">
        <v>164</v>
      </c>
      <c r="AT1882" s="1539" t="s">
        <v>179</v>
      </c>
      <c r="AU1882" s="1543" t="s">
        <v>132</v>
      </c>
      <c r="AV1882" s="1540" t="s">
        <v>11878</v>
      </c>
      <c r="AW1882" s="60" t="s">
        <v>134</v>
      </c>
      <c r="AY1882" s="41" t="s">
        <v>11857</v>
      </c>
      <c r="BA1882" s="1515" t="s">
        <v>11879</v>
      </c>
    </row>
    <row r="1883">
      <c r="A1883" s="41" t="s">
        <v>106</v>
      </c>
      <c r="B1883" s="40" t="s">
        <v>107</v>
      </c>
      <c r="C1883" s="41" t="s">
        <v>280</v>
      </c>
      <c r="E1883" s="60" t="s">
        <v>11867</v>
      </c>
      <c r="F1883" s="55" t="s">
        <v>11867</v>
      </c>
      <c r="G1883" s="1520" t="s">
        <v>283</v>
      </c>
      <c r="H1883" s="1521">
        <v>45667.0</v>
      </c>
      <c r="I1883" s="60"/>
      <c r="J1883" s="147" t="s">
        <v>11880</v>
      </c>
      <c r="K1883" s="60"/>
      <c r="L1883" s="60" t="s">
        <v>11868</v>
      </c>
      <c r="M1883" s="60" t="s">
        <v>11869</v>
      </c>
      <c r="N1883" s="60"/>
      <c r="O1883" s="145" t="str">
        <f t="shared" si="103"/>
        <v>10.1093--qje--qjt035.pdf</v>
      </c>
      <c r="P1883" s="1525" t="str">
        <f t="array" ref="P1883">HYPERLINK(INDEX('File Links'!B:B, MATCH(O1883, 'File Links'!C:C, 0)))
</f>
        <v>https://drive.google.com/file/d/1AEIAMNY49STOE6ElNt-b8Hq1Zx5-39DC/view?usp=drivesdk</v>
      </c>
      <c r="Q1883" s="60"/>
      <c r="R1883" s="1527"/>
      <c r="S1883" s="60"/>
      <c r="T1883" s="60"/>
      <c r="U1883" s="506"/>
      <c r="V1883" s="1250" t="s">
        <v>11860</v>
      </c>
      <c r="W1883" s="1541" t="str">
        <f t="array" ref="W1883">HYPERLINK(INDEX('File Links'!B:B, MATCH(O1883, 'File Links'!C:C, 0)))
</f>
        <v>https://drive.google.com/file/d/1AEIAMNY49STOE6ElNt-b8Hq1Zx5-39DC/view?usp=drivesdk</v>
      </c>
      <c r="X1883" s="60"/>
      <c r="Y1883" s="147" t="s">
        <v>1820</v>
      </c>
      <c r="Z1883" s="147" t="s">
        <v>11881</v>
      </c>
      <c r="AA1883" s="147" t="s">
        <v>11882</v>
      </c>
      <c r="AB1883" s="60" t="s">
        <v>11883</v>
      </c>
      <c r="AC1883" s="147" t="s">
        <v>11884</v>
      </c>
      <c r="AD1883" s="147" t="s">
        <v>11885</v>
      </c>
      <c r="AE1883" s="144">
        <v>42.0</v>
      </c>
      <c r="AF1883" s="144">
        <v>-0.181</v>
      </c>
      <c r="AG1883" s="147" t="s">
        <v>11886</v>
      </c>
      <c r="AH1883" s="147" t="s">
        <v>11887</v>
      </c>
      <c r="AI1883" s="646">
        <v>0.1</v>
      </c>
      <c r="AJ1883" s="52" t="s">
        <v>127</v>
      </c>
      <c r="AK1883" s="52" t="s">
        <v>179</v>
      </c>
      <c r="AL1883" s="1527" t="s">
        <v>132</v>
      </c>
      <c r="AM1883" s="55"/>
      <c r="AN1883" s="144">
        <v>144.0</v>
      </c>
      <c r="AO1883" s="144">
        <v>-0.12</v>
      </c>
      <c r="AP1883" s="147" t="s">
        <v>208</v>
      </c>
      <c r="AQ1883" s="1250" t="s">
        <v>1580</v>
      </c>
      <c r="AR1883" s="144">
        <v>0.154</v>
      </c>
      <c r="AS1883" s="147" t="s">
        <v>164</v>
      </c>
      <c r="AT1883" s="1539" t="s">
        <v>179</v>
      </c>
      <c r="AU1883" s="1542" t="s">
        <v>132</v>
      </c>
      <c r="AV1883" s="1542"/>
      <c r="AW1883" s="60" t="s">
        <v>134</v>
      </c>
      <c r="AY1883" s="41" t="s">
        <v>11857</v>
      </c>
      <c r="AZ1883" s="333"/>
    </row>
    <row r="1884">
      <c r="A1884" s="115" t="s">
        <v>143</v>
      </c>
      <c r="B1884" s="41" t="s">
        <v>107</v>
      </c>
      <c r="C1884" s="41" t="s">
        <v>226</v>
      </c>
      <c r="E1884" s="60" t="s">
        <v>11888</v>
      </c>
      <c r="F1884" s="60" t="s">
        <v>11888</v>
      </c>
      <c r="G1884" s="1520" t="s">
        <v>11025</v>
      </c>
      <c r="H1884" s="1521">
        <v>45690.0</v>
      </c>
      <c r="I1884" s="60"/>
      <c r="J1884" s="147" t="s">
        <v>11889</v>
      </c>
      <c r="K1884" s="60"/>
      <c r="L1884" s="60" t="s">
        <v>11890</v>
      </c>
      <c r="M1884" s="60" t="s">
        <v>11891</v>
      </c>
      <c r="N1884" s="327">
        <v>1.0</v>
      </c>
      <c r="O1884" s="145" t="str">
        <f t="shared" si="103"/>
        <v>10.1257--aer.101.2.470.pdf</v>
      </c>
      <c r="P1884" s="1525" t="str">
        <f t="array" ref="P1884">HYPERLINK(INDEX('File Links'!B:B, MATCH(O1884, 'File Links'!C:C, 0)))
</f>
        <v>https://drive.google.com/file/d/1nZRWE8YtR8lD6JVTIYbN9Kn9F6IO3Tol/view?usp=drivesdk</v>
      </c>
      <c r="Q1884" s="1544" t="s">
        <v>11845</v>
      </c>
      <c r="R1884" s="1527" t="s">
        <v>11892</v>
      </c>
      <c r="S1884" s="1528"/>
      <c r="T1884" s="327">
        <v>1.0</v>
      </c>
      <c r="U1884" s="147" t="s">
        <v>11847</v>
      </c>
      <c r="V1884" s="1250" t="s">
        <v>11848</v>
      </c>
      <c r="W1884" s="1529" t="s">
        <v>11893</v>
      </c>
      <c r="X1884" s="60"/>
      <c r="Y1884" s="147" t="s">
        <v>1820</v>
      </c>
      <c r="Z1884" s="350" t="s">
        <v>165</v>
      </c>
      <c r="AA1884" s="147" t="s">
        <v>11894</v>
      </c>
      <c r="AB1884" s="139" t="s">
        <v>11895</v>
      </c>
      <c r="AC1884" s="139" t="s">
        <v>11896</v>
      </c>
      <c r="AD1884" s="147" t="s">
        <v>11897</v>
      </c>
      <c r="AE1884" s="144">
        <v>120.0</v>
      </c>
      <c r="AF1884" s="144">
        <f> 1.85/(0.917 * sqrt(60*60/120))</f>
        <v>0.3683339627</v>
      </c>
      <c r="AG1884" s="139" t="s">
        <v>166</v>
      </c>
      <c r="AH1884" s="115" t="s">
        <v>11898</v>
      </c>
      <c r="AI1884" s="144">
        <v>0.05</v>
      </c>
      <c r="AJ1884" s="147" t="s">
        <v>127</v>
      </c>
      <c r="AK1884" s="147" t="s">
        <v>128</v>
      </c>
      <c r="AL1884" s="1527" t="s">
        <v>129</v>
      </c>
      <c r="AM1884" s="60"/>
      <c r="AN1884" s="144">
        <v>318.0</v>
      </c>
      <c r="AO1884" s="144">
        <f> 0.667/(0.474 * sqrt(159*159/318))</f>
        <v>0.1578206864</v>
      </c>
      <c r="AP1884" s="139" t="s">
        <v>166</v>
      </c>
      <c r="AQ1884" s="1535" t="s">
        <v>11899</v>
      </c>
      <c r="AR1884" s="144">
        <v>0.16</v>
      </c>
      <c r="AS1884" s="147" t="s">
        <v>164</v>
      </c>
      <c r="AT1884" s="1539" t="s">
        <v>179</v>
      </c>
      <c r="AU1884" s="1542" t="s">
        <v>129</v>
      </c>
      <c r="AV1884" s="1540" t="s">
        <v>11900</v>
      </c>
      <c r="AW1884" s="60" t="s">
        <v>134</v>
      </c>
      <c r="AY1884" s="41" t="s">
        <v>11857</v>
      </c>
      <c r="BA1884" s="1515" t="s">
        <v>11901</v>
      </c>
    </row>
    <row r="1885">
      <c r="A1885" s="41" t="s">
        <v>106</v>
      </c>
      <c r="B1885" s="40" t="s">
        <v>107</v>
      </c>
      <c r="C1885" s="41" t="s">
        <v>280</v>
      </c>
      <c r="E1885" s="60" t="s">
        <v>11888</v>
      </c>
      <c r="F1885" s="55" t="s">
        <v>11888</v>
      </c>
      <c r="G1885" s="1520" t="s">
        <v>283</v>
      </c>
      <c r="H1885" s="1521">
        <v>45662.0</v>
      </c>
      <c r="I1885" s="140">
        <v>45665.0</v>
      </c>
      <c r="J1885" s="147" t="s">
        <v>11902</v>
      </c>
      <c r="K1885" s="60"/>
      <c r="L1885" s="60" t="s">
        <v>11890</v>
      </c>
      <c r="M1885" s="60" t="s">
        <v>11891</v>
      </c>
      <c r="N1885" s="60"/>
      <c r="O1885" s="145" t="str">
        <f t="shared" si="103"/>
        <v>10.1257--aer.101.2.470.pdf</v>
      </c>
      <c r="P1885" s="1525" t="str">
        <f t="array" ref="P1885">HYPERLINK(INDEX('File Links'!B:B, MATCH(O1885, 'File Links'!C:C, 0)))
</f>
        <v>https://drive.google.com/file/d/1nZRWE8YtR8lD6JVTIYbN9Kn9F6IO3Tol/view?usp=drivesdk</v>
      </c>
      <c r="Q1885" s="60"/>
      <c r="R1885" s="1527"/>
      <c r="S1885" s="60"/>
      <c r="T1885" s="60"/>
      <c r="U1885" s="506"/>
      <c r="V1885" s="1250" t="s">
        <v>11860</v>
      </c>
      <c r="W1885" s="1541" t="str">
        <f t="array" ref="W1885">HYPERLINK(INDEX('File Links'!B:B, MATCH(O1885, 'File Links'!C:C, 0)))
</f>
        <v>https://drive.google.com/file/d/1nZRWE8YtR8lD6JVTIYbN9Kn9F6IO3Tol/view?usp=drivesdk</v>
      </c>
      <c r="X1885" s="60"/>
      <c r="Y1885" s="147" t="s">
        <v>1820</v>
      </c>
      <c r="Z1885" s="147" t="s">
        <v>11903</v>
      </c>
      <c r="AA1885" s="147" t="s">
        <v>11904</v>
      </c>
      <c r="AB1885" s="147" t="s">
        <v>11905</v>
      </c>
      <c r="AC1885" s="147" t="s">
        <v>11906</v>
      </c>
      <c r="AD1885" s="147" t="s">
        <v>11907</v>
      </c>
      <c r="AE1885" s="144">
        <v>120.0</v>
      </c>
      <c r="AF1885" s="144">
        <v>0.18</v>
      </c>
      <c r="AG1885" s="147" t="s">
        <v>208</v>
      </c>
      <c r="AH1885" s="60" t="s">
        <v>11908</v>
      </c>
      <c r="AI1885" s="646">
        <v>0.05</v>
      </c>
      <c r="AJ1885" s="52" t="s">
        <v>127</v>
      </c>
      <c r="AK1885" s="52" t="s">
        <v>128</v>
      </c>
      <c r="AL1885" s="60" t="s">
        <v>129</v>
      </c>
      <c r="AM1885" s="55"/>
      <c r="AN1885" s="144">
        <v>318.0</v>
      </c>
      <c r="AO1885" s="144">
        <v>0.08</v>
      </c>
      <c r="AP1885" s="147" t="s">
        <v>208</v>
      </c>
      <c r="AQ1885" s="1250" t="s">
        <v>1580</v>
      </c>
      <c r="AR1885" s="144">
        <v>0.16</v>
      </c>
      <c r="AS1885" s="147" t="s">
        <v>164</v>
      </c>
      <c r="AT1885" s="1539" t="s">
        <v>179</v>
      </c>
      <c r="AU1885" s="1542" t="s">
        <v>129</v>
      </c>
      <c r="AV1885" s="1542"/>
      <c r="AW1885" s="60" t="s">
        <v>134</v>
      </c>
      <c r="AY1885" s="41" t="s">
        <v>11857</v>
      </c>
    </row>
    <row r="1886">
      <c r="A1886" s="115" t="s">
        <v>143</v>
      </c>
      <c r="B1886" s="41" t="s">
        <v>107</v>
      </c>
      <c r="C1886" s="41" t="s">
        <v>226</v>
      </c>
      <c r="E1886" s="42" t="s">
        <v>11909</v>
      </c>
      <c r="F1886" s="42" t="s">
        <v>11909</v>
      </c>
      <c r="G1886" s="1520" t="s">
        <v>11025</v>
      </c>
      <c r="H1886" s="1521">
        <v>45690.0</v>
      </c>
      <c r="I1886" s="60"/>
      <c r="J1886" s="42"/>
      <c r="K1886" s="42"/>
      <c r="L1886" s="42" t="s">
        <v>11910</v>
      </c>
      <c r="M1886" s="42" t="s">
        <v>11911</v>
      </c>
      <c r="N1886" s="358">
        <v>1.0</v>
      </c>
      <c r="O1886" s="356" t="str">
        <f t="shared" si="103"/>
        <v>10.1257--aer.101.2.526.pdf</v>
      </c>
      <c r="P1886" s="1525" t="str">
        <f t="array" ref="P1886">HYPERLINK(INDEX('File Links'!B:B, MATCH(O1886, 'File Links'!C:C, 0)))
</f>
        <v>https://drive.google.com/file/d/1DOLllL6R7032IvCSzFDDyxUuY_nU2qkX/view?usp=drivesdk</v>
      </c>
      <c r="Q1886" s="1526" t="s">
        <v>11845</v>
      </c>
      <c r="R1886" s="1527" t="s">
        <v>11912</v>
      </c>
      <c r="S1886" s="1528"/>
      <c r="T1886" s="327">
        <v>8.0</v>
      </c>
      <c r="U1886" s="147" t="s">
        <v>11847</v>
      </c>
      <c r="V1886" s="1250" t="s">
        <v>11848</v>
      </c>
      <c r="W1886" s="1529" t="s">
        <v>11913</v>
      </c>
      <c r="X1886" s="42"/>
      <c r="Y1886" s="356" t="s">
        <v>1820</v>
      </c>
      <c r="Z1886" s="954" t="s">
        <v>11914</v>
      </c>
      <c r="AA1886" s="534" t="s">
        <v>11915</v>
      </c>
      <c r="AB1886" s="954" t="s">
        <v>11916</v>
      </c>
      <c r="AC1886" s="534" t="s">
        <v>11917</v>
      </c>
      <c r="AD1886" s="356" t="s">
        <v>11918</v>
      </c>
      <c r="AE1886" s="144">
        <v>168.0</v>
      </c>
      <c r="AF1886" s="360">
        <v>0.65</v>
      </c>
      <c r="AG1886" s="139" t="s">
        <v>11854</v>
      </c>
      <c r="AH1886" s="139" t="s">
        <v>11919</v>
      </c>
      <c r="AI1886" s="144">
        <v>0.05</v>
      </c>
      <c r="AJ1886" s="147" t="s">
        <v>127</v>
      </c>
      <c r="AK1886" s="147" t="s">
        <v>179</v>
      </c>
      <c r="AL1886" s="1537" t="s">
        <v>132</v>
      </c>
      <c r="AM1886" s="60"/>
      <c r="AN1886" s="360">
        <v>128.0</v>
      </c>
      <c r="AO1886" s="1545">
        <v>0.61</v>
      </c>
      <c r="AP1886" s="139" t="s">
        <v>11854</v>
      </c>
      <c r="AQ1886" s="1535" t="s">
        <v>210</v>
      </c>
      <c r="AR1886" s="360">
        <v>0.001</v>
      </c>
      <c r="AS1886" s="356" t="s">
        <v>164</v>
      </c>
      <c r="AT1886" s="1539" t="s">
        <v>179</v>
      </c>
      <c r="AU1886" s="1543" t="s">
        <v>132</v>
      </c>
      <c r="AV1886" s="1546" t="s">
        <v>11920</v>
      </c>
      <c r="AW1886" s="42" t="s">
        <v>134</v>
      </c>
      <c r="AY1886" s="41" t="s">
        <v>11857</v>
      </c>
      <c r="BA1886" s="1515" t="s">
        <v>11901</v>
      </c>
    </row>
    <row r="1887">
      <c r="A1887" s="41" t="s">
        <v>106</v>
      </c>
      <c r="B1887" s="40" t="s">
        <v>107</v>
      </c>
      <c r="C1887" s="41" t="s">
        <v>280</v>
      </c>
      <c r="E1887" s="42" t="s">
        <v>11909</v>
      </c>
      <c r="F1887" s="45" t="s">
        <v>11909</v>
      </c>
      <c r="G1887" s="1547" t="s">
        <v>283</v>
      </c>
      <c r="H1887" s="1548">
        <v>45662.0</v>
      </c>
      <c r="I1887" s="140">
        <v>45666.0</v>
      </c>
      <c r="J1887" s="356" t="s">
        <v>11921</v>
      </c>
      <c r="K1887" s="42"/>
      <c r="L1887" s="42" t="s">
        <v>11910</v>
      </c>
      <c r="M1887" s="42" t="s">
        <v>11911</v>
      </c>
      <c r="N1887" s="42"/>
      <c r="O1887" s="356" t="str">
        <f t="shared" si="103"/>
        <v>10.1257--aer.101.2.526.pdf</v>
      </c>
      <c r="P1887" s="1525" t="str">
        <f t="array" ref="P1887">HYPERLINK(INDEX('File Links'!B:B, MATCH(O1887, 'File Links'!C:C, 0)))
</f>
        <v>https://drive.google.com/file/d/1DOLllL6R7032IvCSzFDDyxUuY_nU2qkX/view?usp=drivesdk</v>
      </c>
      <c r="Q1887" s="42"/>
      <c r="R1887" s="1549"/>
      <c r="S1887" s="42"/>
      <c r="T1887" s="42"/>
      <c r="U1887" s="42"/>
      <c r="V1887" s="1550" t="s">
        <v>11860</v>
      </c>
      <c r="W1887" s="1541" t="str">
        <f t="array" ref="W1887">HYPERLINK(INDEX('File Links'!B:B, MATCH(O1887, 'File Links'!C:C, 0)))
</f>
        <v>https://drive.google.com/file/d/1DOLllL6R7032IvCSzFDDyxUuY_nU2qkX/view?usp=drivesdk</v>
      </c>
      <c r="X1887" s="42"/>
      <c r="Y1887" s="356" t="s">
        <v>1820</v>
      </c>
      <c r="Z1887" s="356" t="s">
        <v>11922</v>
      </c>
      <c r="AA1887" s="356" t="s">
        <v>11923</v>
      </c>
      <c r="AB1887" s="42" t="s">
        <v>11924</v>
      </c>
      <c r="AC1887" s="534" t="s">
        <v>11925</v>
      </c>
      <c r="AD1887" s="356" t="s">
        <v>11918</v>
      </c>
      <c r="AE1887" s="360">
        <v>168.0</v>
      </c>
      <c r="AF1887" s="360">
        <v>0.65</v>
      </c>
      <c r="AG1887" s="356" t="s">
        <v>11865</v>
      </c>
      <c r="AH1887" s="356" t="s">
        <v>11926</v>
      </c>
      <c r="AI1887" s="359">
        <v>0.05</v>
      </c>
      <c r="AJ1887" s="43" t="s">
        <v>127</v>
      </c>
      <c r="AK1887" s="43" t="s">
        <v>128</v>
      </c>
      <c r="AL1887" s="1549" t="s">
        <v>129</v>
      </c>
      <c r="AM1887" s="45"/>
      <c r="AN1887" s="360">
        <v>128.0</v>
      </c>
      <c r="AO1887" s="360">
        <v>0.73</v>
      </c>
      <c r="AP1887" s="356" t="s">
        <v>208</v>
      </c>
      <c r="AQ1887" s="1550" t="s">
        <v>1580</v>
      </c>
      <c r="AR1887" s="360">
        <v>0.001</v>
      </c>
      <c r="AS1887" s="356" t="s">
        <v>164</v>
      </c>
      <c r="AT1887" s="1551" t="s">
        <v>179</v>
      </c>
      <c r="AU1887" s="1552" t="s">
        <v>129</v>
      </c>
      <c r="AV1887" s="1552"/>
      <c r="AW1887" s="42" t="s">
        <v>134</v>
      </c>
      <c r="AY1887" s="41" t="s">
        <v>11857</v>
      </c>
    </row>
    <row r="1888">
      <c r="A1888" s="115" t="s">
        <v>143</v>
      </c>
      <c r="B1888" s="41" t="s">
        <v>107</v>
      </c>
      <c r="C1888" s="41" t="s">
        <v>226</v>
      </c>
      <c r="E1888" s="60" t="s">
        <v>11927</v>
      </c>
      <c r="F1888" s="60" t="s">
        <v>11927</v>
      </c>
      <c r="G1888" s="1520" t="s">
        <v>11025</v>
      </c>
      <c r="H1888" s="1521">
        <v>45690.0</v>
      </c>
      <c r="I1888" s="60"/>
      <c r="J1888" s="147" t="s">
        <v>11928</v>
      </c>
      <c r="K1888" s="60"/>
      <c r="L1888" s="60" t="s">
        <v>11929</v>
      </c>
      <c r="M1888" s="60" t="s">
        <v>11930</v>
      </c>
      <c r="N1888" s="327">
        <v>1.0</v>
      </c>
      <c r="O1888" s="145" t="str">
        <f t="shared" si="103"/>
        <v>10.1257--aer.101.2.819.pdf</v>
      </c>
      <c r="P1888" s="1525" t="str">
        <f t="array" ref="P1888">HYPERLINK(INDEX('File Links'!B:B, MATCH(O1888, 'File Links'!C:C, 0)))
</f>
        <v>https://drive.google.com/file/d/1gPKErZn0U75GIXRc3TyDKhjO1YYEA8-a/view?usp=drivesdk</v>
      </c>
      <c r="Q1888" s="1526" t="s">
        <v>11845</v>
      </c>
      <c r="R1888" s="1527" t="s">
        <v>11931</v>
      </c>
      <c r="S1888" s="1528"/>
      <c r="T1888" s="327">
        <v>12.0</v>
      </c>
      <c r="U1888" s="147" t="s">
        <v>11847</v>
      </c>
      <c r="V1888" s="1250" t="s">
        <v>11848</v>
      </c>
      <c r="W1888" s="1529" t="s">
        <v>11932</v>
      </c>
      <c r="X1888" s="60"/>
      <c r="Y1888" s="147" t="s">
        <v>1820</v>
      </c>
      <c r="Z1888" s="147" t="s">
        <v>11933</v>
      </c>
      <c r="AA1888" s="147" t="s">
        <v>11934</v>
      </c>
      <c r="AB1888" s="147" t="s">
        <v>11935</v>
      </c>
      <c r="AC1888" s="139" t="s">
        <v>11936</v>
      </c>
      <c r="AD1888" s="139" t="s">
        <v>11937</v>
      </c>
      <c r="AE1888" s="144">
        <v>120.0</v>
      </c>
      <c r="AF1888" s="144">
        <v>33.43</v>
      </c>
      <c r="AG1888" s="139" t="s">
        <v>11854</v>
      </c>
      <c r="AH1888" s="139" t="s">
        <v>11938</v>
      </c>
      <c r="AI1888" s="646">
        <v>0.01</v>
      </c>
      <c r="AJ1888" s="52" t="s">
        <v>127</v>
      </c>
      <c r="AK1888" s="147" t="s">
        <v>179</v>
      </c>
      <c r="AL1888" s="1527" t="s">
        <v>129</v>
      </c>
      <c r="AM1888" s="60"/>
      <c r="AN1888" s="144">
        <v>160.0</v>
      </c>
      <c r="AO1888" s="149">
        <v>14.23</v>
      </c>
      <c r="AP1888" s="139" t="s">
        <v>11854</v>
      </c>
      <c r="AQ1888" s="1535" t="s">
        <v>210</v>
      </c>
      <c r="AR1888" s="144">
        <v>0.142</v>
      </c>
      <c r="AS1888" s="147" t="s">
        <v>164</v>
      </c>
      <c r="AT1888" s="1539" t="s">
        <v>179</v>
      </c>
      <c r="AU1888" s="1542" t="s">
        <v>129</v>
      </c>
      <c r="AV1888" s="1540" t="s">
        <v>11939</v>
      </c>
      <c r="AW1888" s="60" t="s">
        <v>134</v>
      </c>
      <c r="AY1888" s="41" t="s">
        <v>11857</v>
      </c>
      <c r="BA1888" s="1515" t="s">
        <v>11901</v>
      </c>
    </row>
    <row r="1889">
      <c r="A1889" s="41" t="s">
        <v>106</v>
      </c>
      <c r="B1889" s="40" t="s">
        <v>107</v>
      </c>
      <c r="C1889" s="41" t="s">
        <v>280</v>
      </c>
      <c r="E1889" s="60" t="s">
        <v>11927</v>
      </c>
      <c r="F1889" s="55" t="s">
        <v>11927</v>
      </c>
      <c r="G1889" s="1520" t="s">
        <v>283</v>
      </c>
      <c r="H1889" s="1521">
        <v>45667.0</v>
      </c>
      <c r="I1889" s="60"/>
      <c r="J1889" s="147" t="s">
        <v>11940</v>
      </c>
      <c r="K1889" s="60"/>
      <c r="L1889" s="60" t="s">
        <v>11929</v>
      </c>
      <c r="M1889" s="60" t="s">
        <v>11930</v>
      </c>
      <c r="N1889" s="60"/>
      <c r="O1889" s="145" t="str">
        <f t="shared" si="103"/>
        <v>10.1257--aer.101.2.819.pdf</v>
      </c>
      <c r="P1889" s="1525" t="str">
        <f t="array" ref="P1889">HYPERLINK(INDEX('File Links'!B:B, MATCH(O1889, 'File Links'!C:C, 0)))
</f>
        <v>https://drive.google.com/file/d/1gPKErZn0U75GIXRc3TyDKhjO1YYEA8-a/view?usp=drivesdk</v>
      </c>
      <c r="Q1889" s="60"/>
      <c r="R1889" s="1527"/>
      <c r="S1889" s="60"/>
      <c r="T1889" s="60"/>
      <c r="U1889" s="506"/>
      <c r="V1889" s="1250" t="s">
        <v>11860</v>
      </c>
      <c r="W1889" s="1541" t="str">
        <f t="array" ref="W1889">HYPERLINK(INDEX('File Links'!B:B, MATCH(O1889, 'File Links'!C:C, 0)))
</f>
        <v>https://drive.google.com/file/d/1gPKErZn0U75GIXRc3TyDKhjO1YYEA8-a/view?usp=drivesdk</v>
      </c>
      <c r="X1889" s="60"/>
      <c r="Y1889" s="147" t="s">
        <v>1820</v>
      </c>
      <c r="Z1889" s="147" t="s">
        <v>11933</v>
      </c>
      <c r="AA1889" s="147" t="s">
        <v>11941</v>
      </c>
      <c r="AB1889" s="147" t="s">
        <v>11942</v>
      </c>
      <c r="AC1889" s="147" t="s">
        <v>11943</v>
      </c>
      <c r="AD1889" s="147" t="s">
        <v>11944</v>
      </c>
      <c r="AE1889" s="144">
        <v>120.0</v>
      </c>
      <c r="AF1889" s="144">
        <v>33.43</v>
      </c>
      <c r="AG1889" s="356" t="s">
        <v>11865</v>
      </c>
      <c r="AH1889" s="147" t="s">
        <v>11945</v>
      </c>
      <c r="AI1889" s="646">
        <v>0.01</v>
      </c>
      <c r="AJ1889" s="52" t="s">
        <v>127</v>
      </c>
      <c r="AK1889" s="52" t="s">
        <v>179</v>
      </c>
      <c r="AL1889" s="1527" t="s">
        <v>821</v>
      </c>
      <c r="AM1889" s="55"/>
      <c r="AN1889" s="144">
        <v>160.0</v>
      </c>
      <c r="AO1889" s="144">
        <v>0.37</v>
      </c>
      <c r="AP1889" s="147" t="s">
        <v>208</v>
      </c>
      <c r="AQ1889" s="1250" t="s">
        <v>1580</v>
      </c>
      <c r="AR1889" s="144">
        <v>0.142</v>
      </c>
      <c r="AS1889" s="147" t="s">
        <v>164</v>
      </c>
      <c r="AT1889" s="1539" t="s">
        <v>179</v>
      </c>
      <c r="AU1889" s="1542" t="s">
        <v>821</v>
      </c>
      <c r="AV1889" s="1542"/>
      <c r="AW1889" s="60" t="s">
        <v>134</v>
      </c>
      <c r="AY1889" s="41" t="s">
        <v>11857</v>
      </c>
    </row>
    <row r="1890">
      <c r="A1890" s="115" t="s">
        <v>143</v>
      </c>
      <c r="B1890" s="41" t="s">
        <v>107</v>
      </c>
      <c r="C1890" s="41" t="s">
        <v>226</v>
      </c>
      <c r="E1890" s="60" t="s">
        <v>11946</v>
      </c>
      <c r="F1890" s="60" t="s">
        <v>11946</v>
      </c>
      <c r="G1890" s="1520" t="s">
        <v>11025</v>
      </c>
      <c r="H1890" s="1521">
        <v>45690.0</v>
      </c>
      <c r="I1890" s="60"/>
      <c r="J1890" s="60"/>
      <c r="K1890" s="60"/>
      <c r="L1890" s="60" t="s">
        <v>11947</v>
      </c>
      <c r="M1890" s="60" t="s">
        <v>11948</v>
      </c>
      <c r="N1890" s="327">
        <v>2.0</v>
      </c>
      <c r="O1890" s="145" t="str">
        <f t="shared" si="103"/>
        <v>10.1257--aer.101.2.927.pdf</v>
      </c>
      <c r="P1890" s="1525" t="str">
        <f t="array" ref="P1890">HYPERLINK(INDEX('File Links'!B:B, MATCH(O1890, 'File Links'!C:C, 0)))
</f>
        <v>https://drive.google.com/file/d/1BktRBxUCABNKOmBS08ZeWLX5NwbuQmVb/view?usp=drivesdk</v>
      </c>
      <c r="Q1890" s="1526" t="s">
        <v>11845</v>
      </c>
      <c r="R1890" s="1527" t="s">
        <v>11949</v>
      </c>
      <c r="S1890" s="1528"/>
      <c r="T1890" s="327">
        <v>16.0</v>
      </c>
      <c r="U1890" s="147" t="s">
        <v>11847</v>
      </c>
      <c r="V1890" s="1250" t="s">
        <v>11848</v>
      </c>
      <c r="W1890" s="1529" t="s">
        <v>11950</v>
      </c>
      <c r="X1890" s="60"/>
      <c r="Y1890" s="147" t="s">
        <v>1820</v>
      </c>
      <c r="Z1890" s="139" t="s">
        <v>11951</v>
      </c>
      <c r="AA1890" s="60" t="s">
        <v>11952</v>
      </c>
      <c r="AB1890" s="115" t="s">
        <v>11953</v>
      </c>
      <c r="AC1890" s="139" t="s">
        <v>11954</v>
      </c>
      <c r="AD1890" s="139" t="s">
        <v>11955</v>
      </c>
      <c r="AE1890" s="144">
        <v>126.0</v>
      </c>
      <c r="AF1890" s="144">
        <v>-2.739</v>
      </c>
      <c r="AG1890" s="139" t="s">
        <v>11956</v>
      </c>
      <c r="AH1890" s="147" t="s">
        <v>11957</v>
      </c>
      <c r="AI1890" s="646">
        <v>0.01</v>
      </c>
      <c r="AJ1890" s="147" t="s">
        <v>127</v>
      </c>
      <c r="AK1890" s="147" t="s">
        <v>179</v>
      </c>
      <c r="AL1890" s="1537" t="s">
        <v>132</v>
      </c>
      <c r="AM1890" s="60"/>
      <c r="AN1890" s="144">
        <v>90.0</v>
      </c>
      <c r="AO1890" s="149">
        <v>-2.534</v>
      </c>
      <c r="AP1890" s="139" t="s">
        <v>11956</v>
      </c>
      <c r="AQ1890" s="1535" t="s">
        <v>210</v>
      </c>
      <c r="AR1890" s="144">
        <v>0.001</v>
      </c>
      <c r="AS1890" s="147" t="s">
        <v>164</v>
      </c>
      <c r="AT1890" s="1539" t="s">
        <v>179</v>
      </c>
      <c r="AU1890" s="1543" t="s">
        <v>132</v>
      </c>
      <c r="AV1890" s="1540" t="s">
        <v>11958</v>
      </c>
      <c r="AW1890" s="60" t="s">
        <v>134</v>
      </c>
      <c r="AX1890" s="41" t="s">
        <v>11959</v>
      </c>
      <c r="AY1890" s="41" t="s">
        <v>11857</v>
      </c>
      <c r="BA1890" s="1515" t="s">
        <v>11901</v>
      </c>
    </row>
    <row r="1891">
      <c r="A1891" s="41" t="s">
        <v>106</v>
      </c>
      <c r="B1891" s="40" t="s">
        <v>107</v>
      </c>
      <c r="C1891" s="41" t="s">
        <v>280</v>
      </c>
      <c r="E1891" s="60" t="s">
        <v>11946</v>
      </c>
      <c r="F1891" s="55" t="s">
        <v>11946</v>
      </c>
      <c r="G1891" s="1520" t="s">
        <v>283</v>
      </c>
      <c r="H1891" s="1521">
        <v>45667.0</v>
      </c>
      <c r="I1891" s="60"/>
      <c r="J1891" s="147" t="s">
        <v>11960</v>
      </c>
      <c r="K1891" s="60"/>
      <c r="L1891" s="60" t="s">
        <v>11947</v>
      </c>
      <c r="M1891" s="60" t="s">
        <v>11948</v>
      </c>
      <c r="N1891" s="60"/>
      <c r="O1891" s="145" t="str">
        <f t="shared" si="103"/>
        <v>10.1257--aer.101.2.927.pdf</v>
      </c>
      <c r="P1891" s="1525" t="str">
        <f t="array" ref="P1891">HYPERLINK(INDEX('File Links'!B:B, MATCH(O1891, 'File Links'!C:C, 0)))
</f>
        <v>https://drive.google.com/file/d/1BktRBxUCABNKOmBS08ZeWLX5NwbuQmVb/view?usp=drivesdk</v>
      </c>
      <c r="Q1891" s="60"/>
      <c r="R1891" s="1527"/>
      <c r="S1891" s="60"/>
      <c r="T1891" s="60"/>
      <c r="U1891" s="506"/>
      <c r="V1891" s="1250" t="s">
        <v>11860</v>
      </c>
      <c r="W1891" s="1541" t="str">
        <f t="array" ref="W1891">HYPERLINK(INDEX('File Links'!B:B, MATCH(O1891, 'File Links'!C:C, 0)))
</f>
        <v>https://drive.google.com/file/d/1BktRBxUCABNKOmBS08ZeWLX5NwbuQmVb/view?usp=drivesdk</v>
      </c>
      <c r="X1891" s="60"/>
      <c r="Y1891" s="147" t="s">
        <v>1820</v>
      </c>
      <c r="Z1891" s="139" t="s">
        <v>11951</v>
      </c>
      <c r="AA1891" s="60"/>
      <c r="AB1891" s="60"/>
      <c r="AC1891" s="147" t="s">
        <v>11961</v>
      </c>
      <c r="AD1891" s="147" t="s">
        <v>11962</v>
      </c>
      <c r="AE1891" s="144">
        <v>126.0</v>
      </c>
      <c r="AF1891" s="144">
        <v>-4.2</v>
      </c>
      <c r="AG1891" s="147" t="s">
        <v>11886</v>
      </c>
      <c r="AH1891" s="147" t="s">
        <v>11963</v>
      </c>
      <c r="AI1891" s="646">
        <v>0.01</v>
      </c>
      <c r="AJ1891" s="52" t="s">
        <v>127</v>
      </c>
      <c r="AK1891" s="52" t="s">
        <v>179</v>
      </c>
      <c r="AL1891" s="1527" t="s">
        <v>132</v>
      </c>
      <c r="AM1891" s="55"/>
      <c r="AN1891" s="144">
        <v>90.0</v>
      </c>
      <c r="AO1891" s="144">
        <v>0.3</v>
      </c>
      <c r="AP1891" s="147" t="s">
        <v>208</v>
      </c>
      <c r="AQ1891" s="1250" t="s">
        <v>1580</v>
      </c>
      <c r="AR1891" s="144">
        <v>0.001</v>
      </c>
      <c r="AS1891" s="147" t="s">
        <v>164</v>
      </c>
      <c r="AT1891" s="1539" t="s">
        <v>179</v>
      </c>
      <c r="AU1891" s="1542" t="s">
        <v>132</v>
      </c>
      <c r="AV1891" s="1542"/>
      <c r="AW1891" s="60" t="s">
        <v>134</v>
      </c>
      <c r="AY1891" s="41" t="s">
        <v>11857</v>
      </c>
      <c r="AZ1891" s="178"/>
    </row>
    <row r="1892">
      <c r="A1892" s="115" t="s">
        <v>143</v>
      </c>
      <c r="B1892" s="41" t="s">
        <v>107</v>
      </c>
      <c r="C1892" s="41" t="s">
        <v>226</v>
      </c>
      <c r="E1892" s="60" t="s">
        <v>11964</v>
      </c>
      <c r="F1892" s="60" t="s">
        <v>11964</v>
      </c>
      <c r="G1892" s="1520" t="s">
        <v>11025</v>
      </c>
      <c r="H1892" s="1521">
        <v>45690.0</v>
      </c>
      <c r="I1892" s="60"/>
      <c r="J1892" s="60"/>
      <c r="K1892" s="60"/>
      <c r="L1892" s="60" t="s">
        <v>11965</v>
      </c>
      <c r="M1892" s="60" t="s">
        <v>11966</v>
      </c>
      <c r="N1892" s="327">
        <v>1.0</v>
      </c>
      <c r="O1892" s="145" t="str">
        <f t="shared" si="103"/>
        <v>10.1257--aer.101.4.1211.pdf</v>
      </c>
      <c r="P1892" s="1525" t="str">
        <f t="array" ref="P1892">HYPERLINK(INDEX('File Links'!B:B, MATCH(O1892, 'File Links'!C:C, 0)))
</f>
        <v>https://drive.google.com/file/d/1NxbR_bwAiYFpZjIg55CMPxWtvCoOVIAQ/view?usp=drivesdk</v>
      </c>
      <c r="Q1892" s="1526" t="s">
        <v>11845</v>
      </c>
      <c r="R1892" s="1527" t="s">
        <v>11967</v>
      </c>
      <c r="S1892" s="1528"/>
      <c r="T1892" s="327">
        <v>4.0</v>
      </c>
      <c r="U1892" s="147" t="s">
        <v>11847</v>
      </c>
      <c r="V1892" s="1250" t="s">
        <v>11848</v>
      </c>
      <c r="W1892" s="1529" t="s">
        <v>11968</v>
      </c>
      <c r="X1892" s="60"/>
      <c r="Y1892" s="147" t="s">
        <v>1820</v>
      </c>
      <c r="Z1892" s="350" t="s">
        <v>165</v>
      </c>
      <c r="AA1892" s="147" t="s">
        <v>11969</v>
      </c>
      <c r="AB1892" s="139" t="s">
        <v>11970</v>
      </c>
      <c r="AC1892" s="139" t="s">
        <v>11971</v>
      </c>
      <c r="AD1892" s="139" t="s">
        <v>11972</v>
      </c>
      <c r="AE1892" s="144">
        <v>162.0</v>
      </c>
      <c r="AF1892" s="1470">
        <v>5.318181818181818</v>
      </c>
      <c r="AG1892" s="147" t="s">
        <v>722</v>
      </c>
      <c r="AH1892" s="147" t="s">
        <v>11973</v>
      </c>
      <c r="AI1892" s="149">
        <v>0.001</v>
      </c>
      <c r="AJ1892" s="147" t="s">
        <v>127</v>
      </c>
      <c r="AK1892" s="139" t="s">
        <v>128</v>
      </c>
      <c r="AL1892" s="1527" t="s">
        <v>129</v>
      </c>
      <c r="AM1892" s="60"/>
      <c r="AN1892" s="144">
        <v>264.0</v>
      </c>
      <c r="AO1892" s="149">
        <v>5.1</v>
      </c>
      <c r="AP1892" s="139" t="s">
        <v>722</v>
      </c>
      <c r="AQ1892" s="1535" t="s">
        <v>11974</v>
      </c>
      <c r="AR1892" s="144">
        <v>0.003</v>
      </c>
      <c r="AS1892" s="147" t="s">
        <v>164</v>
      </c>
      <c r="AT1892" s="1539" t="s">
        <v>179</v>
      </c>
      <c r="AU1892" s="1542" t="s">
        <v>129</v>
      </c>
      <c r="AV1892" s="1540" t="s">
        <v>11975</v>
      </c>
      <c r="AW1892" s="60" t="s">
        <v>134</v>
      </c>
      <c r="AY1892" s="41" t="s">
        <v>11857</v>
      </c>
      <c r="BA1892" s="1515" t="s">
        <v>11976</v>
      </c>
    </row>
    <row r="1893">
      <c r="A1893" s="41" t="s">
        <v>106</v>
      </c>
      <c r="B1893" s="40" t="s">
        <v>107</v>
      </c>
      <c r="C1893" s="41" t="s">
        <v>280</v>
      </c>
      <c r="E1893" s="60" t="s">
        <v>11964</v>
      </c>
      <c r="F1893" s="55" t="s">
        <v>11964</v>
      </c>
      <c r="G1893" s="1520" t="s">
        <v>283</v>
      </c>
      <c r="H1893" s="1521">
        <v>45662.0</v>
      </c>
      <c r="I1893" s="140">
        <v>45665.0</v>
      </c>
      <c r="J1893" s="147" t="s">
        <v>11977</v>
      </c>
      <c r="K1893" s="60"/>
      <c r="L1893" s="60" t="s">
        <v>11965</v>
      </c>
      <c r="M1893" s="60" t="s">
        <v>11966</v>
      </c>
      <c r="N1893" s="60"/>
      <c r="O1893" s="145" t="str">
        <f t="shared" si="103"/>
        <v>10.1257--aer.101.4.1211.pdf</v>
      </c>
      <c r="P1893" s="1525" t="str">
        <f t="array" ref="P1893">HYPERLINK(INDEX('File Links'!B:B, MATCH(O1893, 'File Links'!C:C, 0)))
</f>
        <v>https://drive.google.com/file/d/1NxbR_bwAiYFpZjIg55CMPxWtvCoOVIAQ/view?usp=drivesdk</v>
      </c>
      <c r="Q1893" s="60"/>
      <c r="R1893" s="1527"/>
      <c r="S1893" s="60"/>
      <c r="T1893" s="60"/>
      <c r="U1893" s="506"/>
      <c r="V1893" s="1250" t="s">
        <v>11860</v>
      </c>
      <c r="W1893" s="1541" t="str">
        <f t="array" ref="W1893">HYPERLINK(INDEX('File Links'!B:B, MATCH(O1893, 'File Links'!C:C, 0)))
</f>
        <v>https://drive.google.com/file/d/1NxbR_bwAiYFpZjIg55CMPxWtvCoOVIAQ/view?usp=drivesdk</v>
      </c>
      <c r="X1893" s="60"/>
      <c r="Y1893" s="147" t="s">
        <v>1820</v>
      </c>
      <c r="Z1893" s="147" t="s">
        <v>11978</v>
      </c>
      <c r="AA1893" s="147" t="s">
        <v>11979</v>
      </c>
      <c r="AB1893" s="147" t="s">
        <v>11980</v>
      </c>
      <c r="AC1893" s="147" t="s">
        <v>11981</v>
      </c>
      <c r="AD1893" s="147" t="s">
        <v>11982</v>
      </c>
      <c r="AE1893" s="144">
        <v>162.0</v>
      </c>
      <c r="AF1893" s="1470">
        <v>5.318181818181818</v>
      </c>
      <c r="AG1893" s="147" t="s">
        <v>11983</v>
      </c>
      <c r="AH1893" s="147" t="s">
        <v>11973</v>
      </c>
      <c r="AI1893" s="646">
        <v>0.01</v>
      </c>
      <c r="AJ1893" s="52" t="s">
        <v>164</v>
      </c>
      <c r="AK1893" s="52" t="s">
        <v>211</v>
      </c>
      <c r="AL1893" s="1527" t="s">
        <v>129</v>
      </c>
      <c r="AM1893" s="55"/>
      <c r="AN1893" s="144">
        <v>264.0</v>
      </c>
      <c r="AO1893" s="144">
        <v>0.36</v>
      </c>
      <c r="AP1893" s="147" t="s">
        <v>208</v>
      </c>
      <c r="AQ1893" s="1250" t="s">
        <v>1580</v>
      </c>
      <c r="AR1893" s="144">
        <v>0.003</v>
      </c>
      <c r="AS1893" s="147" t="s">
        <v>164</v>
      </c>
      <c r="AT1893" s="1539" t="s">
        <v>179</v>
      </c>
      <c r="AU1893" s="1542" t="s">
        <v>129</v>
      </c>
      <c r="AV1893" s="1542"/>
      <c r="AW1893" s="60" t="s">
        <v>134</v>
      </c>
      <c r="AY1893" s="41" t="s">
        <v>11857</v>
      </c>
      <c r="AZ1893" s="64"/>
    </row>
    <row r="1894">
      <c r="A1894" s="115" t="s">
        <v>143</v>
      </c>
      <c r="B1894" s="41" t="s">
        <v>107</v>
      </c>
      <c r="C1894" s="41" t="s">
        <v>226</v>
      </c>
      <c r="E1894" s="60" t="s">
        <v>11984</v>
      </c>
      <c r="F1894" s="60" t="s">
        <v>11984</v>
      </c>
      <c r="G1894" s="1520" t="s">
        <v>11025</v>
      </c>
      <c r="H1894" s="1521">
        <v>45690.0</v>
      </c>
      <c r="I1894" s="60"/>
      <c r="J1894" s="60"/>
      <c r="K1894" s="60"/>
      <c r="L1894" s="60" t="s">
        <v>11985</v>
      </c>
      <c r="M1894" s="60" t="s">
        <v>11986</v>
      </c>
      <c r="N1894" s="327">
        <v>1.0</v>
      </c>
      <c r="O1894" s="145" t="str">
        <f t="shared" si="103"/>
        <v>10.1257--aer.101.6.2562.pdf</v>
      </c>
      <c r="P1894" s="1525" t="str">
        <f t="array" ref="P1894">HYPERLINK(INDEX('File Links'!B:B, MATCH(O1894, 'File Links'!C:C, 0)))
</f>
        <v>https://drive.google.com/file/d/1CufoZHl_KItNfmOr5x_-4R-WsAKrS65V/view?usp=drivesdk</v>
      </c>
      <c r="Q1894" s="1526" t="s">
        <v>11845</v>
      </c>
      <c r="R1894" s="1527" t="s">
        <v>11987</v>
      </c>
      <c r="S1894" s="1528"/>
      <c r="T1894" s="327">
        <v>5.0</v>
      </c>
      <c r="U1894" s="147" t="s">
        <v>11847</v>
      </c>
      <c r="V1894" s="1250" t="s">
        <v>11848</v>
      </c>
      <c r="W1894" s="1529" t="s">
        <v>11988</v>
      </c>
      <c r="X1894" s="60"/>
      <c r="Y1894" s="147" t="s">
        <v>1820</v>
      </c>
      <c r="Z1894" s="115" t="s">
        <v>11989</v>
      </c>
      <c r="AA1894" s="139" t="s">
        <v>11990</v>
      </c>
      <c r="AB1894" s="139" t="s">
        <v>11991</v>
      </c>
      <c r="AC1894" s="139" t="s">
        <v>11992</v>
      </c>
      <c r="AD1894" s="147" t="s">
        <v>11993</v>
      </c>
      <c r="AE1894" s="144">
        <v>72.0</v>
      </c>
      <c r="AF1894" s="144">
        <v>23.8</v>
      </c>
      <c r="AG1894" s="139" t="s">
        <v>11854</v>
      </c>
      <c r="AH1894" s="147" t="s">
        <v>11994</v>
      </c>
      <c r="AI1894" s="646">
        <v>0.023</v>
      </c>
      <c r="AJ1894" s="52" t="s">
        <v>164</v>
      </c>
      <c r="AK1894" s="147" t="s">
        <v>179</v>
      </c>
      <c r="AL1894" s="1527" t="s">
        <v>132</v>
      </c>
      <c r="AM1894" s="60"/>
      <c r="AN1894" s="144">
        <v>168.0</v>
      </c>
      <c r="AO1894" s="149">
        <v>5.204</v>
      </c>
      <c r="AP1894" s="139" t="s">
        <v>11854</v>
      </c>
      <c r="AQ1894" s="1535" t="s">
        <v>861</v>
      </c>
      <c r="AR1894" s="144">
        <v>0.571</v>
      </c>
      <c r="AS1894" s="147" t="s">
        <v>164</v>
      </c>
      <c r="AT1894" s="1539" t="s">
        <v>179</v>
      </c>
      <c r="AU1894" s="1543" t="s">
        <v>132</v>
      </c>
      <c r="AV1894" s="1540" t="s">
        <v>11995</v>
      </c>
      <c r="AW1894" s="60" t="s">
        <v>134</v>
      </c>
      <c r="AY1894" s="41" t="s">
        <v>11857</v>
      </c>
      <c r="BA1894" s="1515" t="s">
        <v>11901</v>
      </c>
    </row>
    <row r="1895">
      <c r="A1895" s="41" t="s">
        <v>106</v>
      </c>
      <c r="B1895" s="40" t="s">
        <v>107</v>
      </c>
      <c r="C1895" s="41" t="s">
        <v>280</v>
      </c>
      <c r="E1895" s="60" t="s">
        <v>11984</v>
      </c>
      <c r="F1895" s="55" t="s">
        <v>11984</v>
      </c>
      <c r="G1895" s="1520" t="s">
        <v>283</v>
      </c>
      <c r="H1895" s="1521">
        <v>45662.0</v>
      </c>
      <c r="I1895" s="140">
        <v>45666.0</v>
      </c>
      <c r="J1895" s="147" t="s">
        <v>11996</v>
      </c>
      <c r="K1895" s="60"/>
      <c r="L1895" s="60" t="s">
        <v>11985</v>
      </c>
      <c r="M1895" s="60" t="s">
        <v>11986</v>
      </c>
      <c r="N1895" s="60"/>
      <c r="O1895" s="145" t="str">
        <f t="shared" si="103"/>
        <v>10.1257--aer.101.6.2562.pdf</v>
      </c>
      <c r="P1895" s="1525" t="str">
        <f t="array" ref="P1895">HYPERLINK(INDEX('File Links'!B:B, MATCH(O1895, 'File Links'!C:C, 0)))
</f>
        <v>https://drive.google.com/file/d/1CufoZHl_KItNfmOr5x_-4R-WsAKrS65V/view?usp=drivesdk</v>
      </c>
      <c r="Q1895" s="60"/>
      <c r="R1895" s="1527"/>
      <c r="S1895" s="60"/>
      <c r="T1895" s="60"/>
      <c r="U1895" s="506"/>
      <c r="V1895" s="1250" t="s">
        <v>11860</v>
      </c>
      <c r="W1895" s="1541" t="str">
        <f t="array" ref="W1895">HYPERLINK(INDEX('File Links'!B:B, MATCH(O1895, 'File Links'!C:C, 0)))
</f>
        <v>https://drive.google.com/file/d/1CufoZHl_KItNfmOr5x_-4R-WsAKrS65V/view?usp=drivesdk</v>
      </c>
      <c r="X1895" s="60"/>
      <c r="Y1895" s="147" t="s">
        <v>1820</v>
      </c>
      <c r="Z1895" s="147" t="s">
        <v>11997</v>
      </c>
      <c r="AA1895" s="147" t="s">
        <v>11998</v>
      </c>
      <c r="AB1895" s="147" t="s">
        <v>11999</v>
      </c>
      <c r="AC1895" s="147" t="s">
        <v>12000</v>
      </c>
      <c r="AD1895" s="147" t="s">
        <v>11993</v>
      </c>
      <c r="AE1895" s="144">
        <v>72.0</v>
      </c>
      <c r="AF1895" s="144">
        <v>23.8</v>
      </c>
      <c r="AG1895" s="60" t="s">
        <v>11865</v>
      </c>
      <c r="AH1895" s="147" t="s">
        <v>11994</v>
      </c>
      <c r="AI1895" s="646">
        <v>0.023</v>
      </c>
      <c r="AJ1895" s="52" t="s">
        <v>164</v>
      </c>
      <c r="AK1895" s="52" t="s">
        <v>179</v>
      </c>
      <c r="AL1895" s="1527" t="s">
        <v>132</v>
      </c>
      <c r="AM1895" s="55"/>
      <c r="AN1895" s="144">
        <v>168.0</v>
      </c>
      <c r="AO1895" s="144">
        <v>0.17</v>
      </c>
      <c r="AP1895" s="147" t="s">
        <v>208</v>
      </c>
      <c r="AQ1895" s="1250" t="s">
        <v>1580</v>
      </c>
      <c r="AR1895" s="144">
        <v>0.571</v>
      </c>
      <c r="AS1895" s="147" t="s">
        <v>164</v>
      </c>
      <c r="AT1895" s="1539" t="s">
        <v>179</v>
      </c>
      <c r="AU1895" s="1542" t="s">
        <v>132</v>
      </c>
      <c r="AV1895" s="60"/>
      <c r="AW1895" s="60" t="s">
        <v>134</v>
      </c>
      <c r="AY1895" s="41" t="s">
        <v>11857</v>
      </c>
      <c r="AZ1895" s="178"/>
    </row>
    <row r="1896">
      <c r="A1896" s="115" t="s">
        <v>143</v>
      </c>
      <c r="B1896" s="41" t="s">
        <v>107</v>
      </c>
      <c r="C1896" s="41" t="s">
        <v>226</v>
      </c>
      <c r="E1896" s="60" t="s">
        <v>12001</v>
      </c>
      <c r="F1896" s="60" t="s">
        <v>12001</v>
      </c>
      <c r="G1896" s="1520" t="s">
        <v>11025</v>
      </c>
      <c r="H1896" s="1521">
        <v>45690.0</v>
      </c>
      <c r="I1896" s="60"/>
      <c r="J1896" s="60"/>
      <c r="K1896" s="60"/>
      <c r="L1896" s="60" t="s">
        <v>12002</v>
      </c>
      <c r="M1896" s="60" t="s">
        <v>12003</v>
      </c>
      <c r="N1896" s="327">
        <v>1.0</v>
      </c>
      <c r="O1896" s="145" t="str">
        <f t="shared" si="103"/>
        <v>10.1257--aer.101.7.3109.pdf</v>
      </c>
      <c r="P1896" s="1525" t="str">
        <f t="array" ref="P1896">HYPERLINK(INDEX('File Links'!B:B, MATCH(O1896, 'File Links'!C:C, 0)))
</f>
        <v>https://drive.google.com/file/d/19J7SxgV3TKuAhMt2JaFPTLscquaGkcBh/view?usp=drivesdk</v>
      </c>
      <c r="Q1896" s="1526" t="s">
        <v>11845</v>
      </c>
      <c r="R1896" s="1527" t="s">
        <v>12004</v>
      </c>
      <c r="S1896" s="1528"/>
      <c r="T1896" s="327">
        <v>13.0</v>
      </c>
      <c r="U1896" s="147" t="s">
        <v>11847</v>
      </c>
      <c r="V1896" s="1250" t="s">
        <v>11848</v>
      </c>
      <c r="W1896" s="1529" t="s">
        <v>12005</v>
      </c>
      <c r="X1896" s="60"/>
      <c r="Y1896" s="147" t="s">
        <v>1820</v>
      </c>
      <c r="Z1896" s="115" t="s">
        <v>12006</v>
      </c>
      <c r="AA1896" s="139" t="s">
        <v>12007</v>
      </c>
      <c r="AB1896" s="147" t="s">
        <v>12008</v>
      </c>
      <c r="AC1896" s="139" t="s">
        <v>12009</v>
      </c>
      <c r="AD1896" s="147" t="s">
        <v>12010</v>
      </c>
      <c r="AE1896" s="144">
        <v>58.0</v>
      </c>
      <c r="AF1896" s="149">
        <v>2.997</v>
      </c>
      <c r="AG1896" s="139" t="s">
        <v>11854</v>
      </c>
      <c r="AH1896" s="147" t="s">
        <v>12010</v>
      </c>
      <c r="AI1896" s="144">
        <v>0.05</v>
      </c>
      <c r="AJ1896" s="147" t="s">
        <v>127</v>
      </c>
      <c r="AK1896" s="147" t="s">
        <v>179</v>
      </c>
      <c r="AL1896" s="1537" t="s">
        <v>132</v>
      </c>
      <c r="AM1896" s="60"/>
      <c r="AN1896" s="144">
        <v>131.0</v>
      </c>
      <c r="AO1896" s="149">
        <v>-0.057</v>
      </c>
      <c r="AP1896" s="139" t="s">
        <v>11854</v>
      </c>
      <c r="AQ1896" s="1535" t="s">
        <v>892</v>
      </c>
      <c r="AR1896" s="144">
        <v>0.933</v>
      </c>
      <c r="AS1896" s="147" t="s">
        <v>164</v>
      </c>
      <c r="AT1896" s="1539" t="s">
        <v>179</v>
      </c>
      <c r="AU1896" s="1543" t="s">
        <v>132</v>
      </c>
      <c r="AV1896" s="410" t="s">
        <v>12011</v>
      </c>
      <c r="AW1896" s="60" t="s">
        <v>134</v>
      </c>
      <c r="AX1896" s="41" t="s">
        <v>12012</v>
      </c>
      <c r="AY1896" s="41" t="s">
        <v>11857</v>
      </c>
      <c r="BA1896" s="1515" t="s">
        <v>11427</v>
      </c>
    </row>
    <row r="1897">
      <c r="A1897" s="41" t="s">
        <v>106</v>
      </c>
      <c r="B1897" s="40" t="s">
        <v>107</v>
      </c>
      <c r="C1897" s="41" t="s">
        <v>280</v>
      </c>
      <c r="E1897" s="60" t="s">
        <v>12001</v>
      </c>
      <c r="F1897" s="55" t="s">
        <v>12001</v>
      </c>
      <c r="G1897" s="1520" t="s">
        <v>283</v>
      </c>
      <c r="H1897" s="1521">
        <v>45667.0</v>
      </c>
      <c r="I1897" s="60"/>
      <c r="J1897" s="147" t="s">
        <v>12013</v>
      </c>
      <c r="K1897" s="60"/>
      <c r="L1897" s="60" t="s">
        <v>12002</v>
      </c>
      <c r="M1897" s="60" t="s">
        <v>12003</v>
      </c>
      <c r="N1897" s="60"/>
      <c r="O1897" s="145" t="str">
        <f t="shared" si="103"/>
        <v>10.1257--aer.101.7.3109.pdf</v>
      </c>
      <c r="P1897" s="1525" t="str">
        <f t="array" ref="P1897">HYPERLINK(INDEX('File Links'!B:B, MATCH(O1897, 'File Links'!C:C, 0)))
</f>
        <v>https://drive.google.com/file/d/19J7SxgV3TKuAhMt2JaFPTLscquaGkcBh/view?usp=drivesdk</v>
      </c>
      <c r="Q1897" s="60"/>
      <c r="R1897" s="1527"/>
      <c r="S1897" s="60"/>
      <c r="T1897" s="60"/>
      <c r="U1897" s="506"/>
      <c r="V1897" s="1250" t="s">
        <v>11860</v>
      </c>
      <c r="W1897" s="1541" t="str">
        <f t="array" ref="W1897">HYPERLINK(INDEX('File Links'!B:B, MATCH(O1897, 'File Links'!C:C, 0)))
</f>
        <v>https://drive.google.com/file/d/19J7SxgV3TKuAhMt2JaFPTLscquaGkcBh/view?usp=drivesdk</v>
      </c>
      <c r="X1897" s="60"/>
      <c r="Y1897" s="147" t="s">
        <v>1820</v>
      </c>
      <c r="Z1897" s="147" t="s">
        <v>12014</v>
      </c>
      <c r="AA1897" s="147" t="s">
        <v>12015</v>
      </c>
      <c r="AB1897" s="147" t="s">
        <v>12016</v>
      </c>
      <c r="AC1897" s="139" t="s">
        <v>12017</v>
      </c>
      <c r="AD1897" s="147" t="s">
        <v>12010</v>
      </c>
      <c r="AE1897" s="144">
        <v>58.0</v>
      </c>
      <c r="AF1897" s="144">
        <v>2.217</v>
      </c>
      <c r="AG1897" s="147" t="s">
        <v>11886</v>
      </c>
      <c r="AH1897" s="147" t="s">
        <v>12018</v>
      </c>
      <c r="AI1897" s="646">
        <v>0.05</v>
      </c>
      <c r="AJ1897" s="52" t="s">
        <v>127</v>
      </c>
      <c r="AK1897" s="52" t="s">
        <v>179</v>
      </c>
      <c r="AL1897" s="1527" t="s">
        <v>129</v>
      </c>
      <c r="AM1897" s="55"/>
      <c r="AN1897" s="144">
        <v>131.0</v>
      </c>
      <c r="AO1897" s="144">
        <v>-0.01</v>
      </c>
      <c r="AP1897" s="147" t="s">
        <v>208</v>
      </c>
      <c r="AQ1897" s="1250" t="s">
        <v>1580</v>
      </c>
      <c r="AR1897" s="144">
        <v>0.933</v>
      </c>
      <c r="AS1897" s="147" t="s">
        <v>164</v>
      </c>
      <c r="AT1897" s="1539" t="s">
        <v>128</v>
      </c>
      <c r="AU1897" s="1542" t="s">
        <v>129</v>
      </c>
      <c r="AV1897" s="60"/>
      <c r="AW1897" s="60" t="s">
        <v>134</v>
      </c>
      <c r="AY1897" s="41" t="s">
        <v>11857</v>
      </c>
    </row>
    <row r="1898" ht="20.25" customHeight="1">
      <c r="A1898" s="115" t="s">
        <v>143</v>
      </c>
      <c r="B1898" s="41" t="s">
        <v>107</v>
      </c>
      <c r="C1898" s="41" t="s">
        <v>226</v>
      </c>
      <c r="E1898" s="60" t="s">
        <v>12019</v>
      </c>
      <c r="F1898" s="60" t="s">
        <v>12019</v>
      </c>
      <c r="G1898" s="147" t="s">
        <v>11025</v>
      </c>
      <c r="H1898" s="140">
        <v>45690.0</v>
      </c>
      <c r="I1898" s="60"/>
      <c r="J1898" s="147" t="s">
        <v>11889</v>
      </c>
      <c r="K1898" s="60"/>
      <c r="L1898" s="60" t="s">
        <v>12020</v>
      </c>
      <c r="M1898" s="60" t="s">
        <v>12021</v>
      </c>
      <c r="N1898" s="327">
        <v>1.0</v>
      </c>
      <c r="O1898" s="459" t="str">
        <f t="shared" si="103"/>
        <v>10.1257--aer.102.1.337.pdf</v>
      </c>
      <c r="P1898" s="1525" t="str">
        <f t="array" ref="P1898">HYPERLINK(INDEX('File Links'!B:B, MATCH(O1898, 'File Links'!C:C, 0)))
</f>
        <v>https://drive.google.com/file/d/1hWfokltwBkoqHFEcC6Y6_dIRzbc3xn2Q/view?usp=drivesdk</v>
      </c>
      <c r="Q1898" s="1553" t="s">
        <v>11845</v>
      </c>
      <c r="R1898" s="60" t="s">
        <v>12022</v>
      </c>
      <c r="S1898" s="1528"/>
      <c r="T1898" s="327">
        <v>10.0</v>
      </c>
      <c r="U1898" s="847" t="s">
        <v>11847</v>
      </c>
      <c r="V1898" s="147" t="s">
        <v>11848</v>
      </c>
      <c r="W1898" s="1529" t="s">
        <v>12023</v>
      </c>
      <c r="X1898" s="60"/>
      <c r="Y1898" s="147" t="s">
        <v>1820</v>
      </c>
      <c r="Z1898" s="115" t="s">
        <v>12024</v>
      </c>
      <c r="AA1898" s="147" t="s">
        <v>12025</v>
      </c>
      <c r="AB1898" s="139" t="s">
        <v>12026</v>
      </c>
      <c r="AC1898" s="139" t="s">
        <v>12027</v>
      </c>
      <c r="AD1898" s="147" t="s">
        <v>12028</v>
      </c>
      <c r="AE1898" s="144">
        <v>78.0</v>
      </c>
      <c r="AF1898" s="1554">
        <v>0.643</v>
      </c>
      <c r="AG1898" s="139" t="s">
        <v>12029</v>
      </c>
      <c r="AH1898" s="139" t="s">
        <v>12030</v>
      </c>
      <c r="AI1898" s="149">
        <v>0.01</v>
      </c>
      <c r="AJ1898" s="147" t="s">
        <v>127</v>
      </c>
      <c r="AK1898" s="147" t="s">
        <v>179</v>
      </c>
      <c r="AL1898" s="60" t="s">
        <v>129</v>
      </c>
      <c r="AM1898" s="60"/>
      <c r="AN1898" s="144">
        <v>40.0</v>
      </c>
      <c r="AO1898" s="149">
        <v>0.504</v>
      </c>
      <c r="AP1898" s="139" t="s">
        <v>12029</v>
      </c>
      <c r="AQ1898" s="147" t="s">
        <v>1580</v>
      </c>
      <c r="AR1898" s="144">
        <v>0.004</v>
      </c>
      <c r="AS1898" s="147" t="s">
        <v>164</v>
      </c>
      <c r="AT1898" s="147" t="s">
        <v>179</v>
      </c>
      <c r="AU1898" s="60" t="s">
        <v>129</v>
      </c>
      <c r="AV1898" s="410" t="s">
        <v>12031</v>
      </c>
      <c r="AW1898" s="60" t="s">
        <v>134</v>
      </c>
      <c r="AY1898" s="41" t="s">
        <v>11857</v>
      </c>
      <c r="BA1898" s="1515" t="s">
        <v>12032</v>
      </c>
    </row>
    <row r="1899" ht="20.25" customHeight="1">
      <c r="A1899" s="41" t="s">
        <v>106</v>
      </c>
      <c r="B1899" s="40" t="s">
        <v>107</v>
      </c>
      <c r="C1899" s="41" t="s">
        <v>280</v>
      </c>
      <c r="E1899" s="60" t="s">
        <v>12019</v>
      </c>
      <c r="F1899" s="55" t="s">
        <v>12019</v>
      </c>
      <c r="G1899" s="147" t="s">
        <v>283</v>
      </c>
      <c r="H1899" s="140">
        <v>45664.0</v>
      </c>
      <c r="I1899" s="140">
        <v>45667.0</v>
      </c>
      <c r="J1899" s="147" t="s">
        <v>12033</v>
      </c>
      <c r="K1899" s="60"/>
      <c r="L1899" s="60" t="s">
        <v>12020</v>
      </c>
      <c r="M1899" s="60" t="s">
        <v>12021</v>
      </c>
      <c r="N1899" s="60"/>
      <c r="O1899" s="459" t="str">
        <f t="shared" si="103"/>
        <v>10.1257--aer.102.1.337.pdf</v>
      </c>
      <c r="P1899" s="48" t="str">
        <f t="array" ref="P1899">HYPERLINK(INDEX('File Links'!B:B, MATCH(O1899, 'File Links'!C:C, 0)))
</f>
        <v>https://drive.google.com/file/d/1hWfokltwBkoqHFEcC6Y6_dIRzbc3xn2Q/view?usp=drivesdk</v>
      </c>
      <c r="Q1899" s="470"/>
      <c r="R1899" s="60"/>
      <c r="S1899" s="60"/>
      <c r="T1899" s="60"/>
      <c r="U1899" s="990"/>
      <c r="V1899" s="147" t="s">
        <v>11860</v>
      </c>
      <c r="W1899" s="1541" t="str">
        <f t="array" ref="W1899">HYPERLINK(INDEX('File Links'!B:B, MATCH(O1899, 'File Links'!C:C, 0)))
</f>
        <v>https://drive.google.com/file/d/1hWfokltwBkoqHFEcC6Y6_dIRzbc3xn2Q/view?usp=drivesdk</v>
      </c>
      <c r="X1899" s="60"/>
      <c r="Y1899" s="147" t="s">
        <v>1820</v>
      </c>
      <c r="Z1899" s="139" t="s">
        <v>12034</v>
      </c>
      <c r="AA1899" s="147" t="s">
        <v>12035</v>
      </c>
      <c r="AB1899" s="147" t="s">
        <v>12036</v>
      </c>
      <c r="AC1899" s="147" t="s">
        <v>12037</v>
      </c>
      <c r="AD1899" s="147" t="s">
        <v>12028</v>
      </c>
      <c r="AE1899" s="144">
        <v>78.0</v>
      </c>
      <c r="AF1899" s="1554">
        <v>0.643</v>
      </c>
      <c r="AG1899" s="147" t="s">
        <v>181</v>
      </c>
      <c r="AH1899" s="147" t="s">
        <v>12038</v>
      </c>
      <c r="AI1899" s="646">
        <v>0.001</v>
      </c>
      <c r="AJ1899" s="52" t="s">
        <v>127</v>
      </c>
      <c r="AK1899" s="52" t="s">
        <v>179</v>
      </c>
      <c r="AL1899" s="60" t="s">
        <v>821</v>
      </c>
      <c r="AM1899" s="55"/>
      <c r="AN1899" s="144">
        <v>40.0</v>
      </c>
      <c r="AO1899" s="144">
        <v>0.44</v>
      </c>
      <c r="AP1899" s="147" t="s">
        <v>208</v>
      </c>
      <c r="AQ1899" s="147" t="s">
        <v>1580</v>
      </c>
      <c r="AR1899" s="144">
        <v>0.004</v>
      </c>
      <c r="AS1899" s="147" t="s">
        <v>164</v>
      </c>
      <c r="AT1899" s="147" t="s">
        <v>179</v>
      </c>
      <c r="AU1899" s="60" t="s">
        <v>821</v>
      </c>
      <c r="AV1899" s="60"/>
      <c r="AW1899" s="60" t="s">
        <v>134</v>
      </c>
      <c r="AY1899" s="41" t="s">
        <v>11857</v>
      </c>
      <c r="AZ1899" s="152"/>
    </row>
    <row r="1900" ht="20.25" customHeight="1">
      <c r="A1900" s="115" t="s">
        <v>143</v>
      </c>
      <c r="B1900" s="41" t="s">
        <v>107</v>
      </c>
      <c r="C1900" s="41" t="s">
        <v>226</v>
      </c>
      <c r="E1900" s="60" t="s">
        <v>12039</v>
      </c>
      <c r="F1900" s="60" t="s">
        <v>12039</v>
      </c>
      <c r="G1900" s="147" t="s">
        <v>11025</v>
      </c>
      <c r="H1900" s="140">
        <v>45690.0</v>
      </c>
      <c r="I1900" s="60"/>
      <c r="J1900" s="60"/>
      <c r="K1900" s="60"/>
      <c r="L1900" s="60" t="s">
        <v>12040</v>
      </c>
      <c r="M1900" s="60" t="s">
        <v>12041</v>
      </c>
      <c r="N1900" s="327">
        <v>1.0</v>
      </c>
      <c r="O1900" s="847" t="str">
        <f t="shared" si="103"/>
        <v>10.1257--aer.102.2.720.pdf</v>
      </c>
      <c r="P1900" s="48" t="str">
        <f t="array" ref="P1900">HYPERLINK(INDEX('File Links'!B:B, MATCH(O1900, 'File Links'!C:C, 0)))
</f>
        <v>https://drive.google.com/file/d/1CGw2aFqdeWSzTPWBi4Jhk_HVOrooYuQO/view?usp=drivesdk</v>
      </c>
      <c r="Q1900" s="1555" t="s">
        <v>11845</v>
      </c>
      <c r="R1900" s="60" t="s">
        <v>12042</v>
      </c>
      <c r="S1900" s="1528"/>
      <c r="T1900" s="327">
        <v>11.0</v>
      </c>
      <c r="U1900" s="847" t="s">
        <v>11847</v>
      </c>
      <c r="V1900" s="147" t="s">
        <v>11848</v>
      </c>
      <c r="W1900" s="1529" t="s">
        <v>12043</v>
      </c>
      <c r="X1900" s="60"/>
      <c r="Y1900" s="147" t="s">
        <v>1820</v>
      </c>
      <c r="Z1900" s="115" t="s">
        <v>12044</v>
      </c>
      <c r="AA1900" s="1556" t="s">
        <v>12045</v>
      </c>
      <c r="AB1900" s="115" t="s">
        <v>12046</v>
      </c>
      <c r="AC1900" s="139" t="s">
        <v>12047</v>
      </c>
      <c r="AD1900" s="139" t="s">
        <v>12048</v>
      </c>
      <c r="AE1900" s="144">
        <v>124.0</v>
      </c>
      <c r="AF1900" s="1470">
        <v>0.27150462314373774</v>
      </c>
      <c r="AG1900" s="147" t="s">
        <v>722</v>
      </c>
      <c r="AH1900" s="139" t="s">
        <v>12049</v>
      </c>
      <c r="AI1900" s="149">
        <v>0.016</v>
      </c>
      <c r="AJ1900" s="147" t="s">
        <v>164</v>
      </c>
      <c r="AK1900" s="147" t="s">
        <v>179</v>
      </c>
      <c r="AL1900" s="60" t="s">
        <v>129</v>
      </c>
      <c r="AM1900" s="60"/>
      <c r="AN1900" s="144">
        <v>128.0</v>
      </c>
      <c r="AO1900" s="144">
        <v>0.33</v>
      </c>
      <c r="AP1900" s="147" t="s">
        <v>208</v>
      </c>
      <c r="AQ1900" s="139" t="s">
        <v>12050</v>
      </c>
      <c r="AR1900" s="144">
        <v>0.001</v>
      </c>
      <c r="AS1900" s="147" t="s">
        <v>127</v>
      </c>
      <c r="AT1900" s="147" t="s">
        <v>179</v>
      </c>
      <c r="AU1900" s="60" t="s">
        <v>129</v>
      </c>
      <c r="AV1900" s="410" t="s">
        <v>12051</v>
      </c>
      <c r="AW1900" s="60" t="s">
        <v>134</v>
      </c>
      <c r="AY1900" s="41" t="s">
        <v>11857</v>
      </c>
      <c r="BA1900" s="1515" t="s">
        <v>12052</v>
      </c>
    </row>
    <row r="1901" ht="20.25" customHeight="1">
      <c r="A1901" s="41" t="s">
        <v>106</v>
      </c>
      <c r="B1901" s="40" t="s">
        <v>107</v>
      </c>
      <c r="C1901" s="41" t="s">
        <v>280</v>
      </c>
      <c r="E1901" s="60" t="s">
        <v>12039</v>
      </c>
      <c r="F1901" s="55" t="s">
        <v>12039</v>
      </c>
      <c r="G1901" s="147" t="s">
        <v>283</v>
      </c>
      <c r="H1901" s="140">
        <v>45664.0</v>
      </c>
      <c r="I1901" s="140">
        <v>45667.0</v>
      </c>
      <c r="J1901" s="147" t="s">
        <v>12053</v>
      </c>
      <c r="K1901" s="60"/>
      <c r="L1901" s="60" t="s">
        <v>12040</v>
      </c>
      <c r="M1901" s="60" t="s">
        <v>12041</v>
      </c>
      <c r="N1901" s="60"/>
      <c r="O1901" s="459" t="str">
        <f t="shared" si="103"/>
        <v>10.1257--aer.102.2.720.pdf</v>
      </c>
      <c r="P1901" s="48" t="str">
        <f t="array" ref="P1901">HYPERLINK(INDEX('File Links'!B:B, MATCH(O1901, 'File Links'!C:C, 0)))
</f>
        <v>https://drive.google.com/file/d/1CGw2aFqdeWSzTPWBi4Jhk_HVOrooYuQO/view?usp=drivesdk</v>
      </c>
      <c r="Q1901" s="470"/>
      <c r="R1901" s="60"/>
      <c r="S1901" s="60"/>
      <c r="T1901" s="60"/>
      <c r="U1901" s="990"/>
      <c r="V1901" s="147" t="s">
        <v>11860</v>
      </c>
      <c r="W1901" s="1541" t="str">
        <f t="array" ref="W1901">HYPERLINK(INDEX('File Links'!B:B, MATCH(O1901, 'File Links'!C:C, 0)))
</f>
        <v>https://drive.google.com/file/d/1CGw2aFqdeWSzTPWBi4Jhk_HVOrooYuQO/view?usp=drivesdk</v>
      </c>
      <c r="X1901" s="60"/>
      <c r="Y1901" s="147" t="s">
        <v>1820</v>
      </c>
      <c r="Z1901" s="147" t="s">
        <v>12054</v>
      </c>
      <c r="AA1901" s="147" t="s">
        <v>12055</v>
      </c>
      <c r="AB1901" s="147" t="s">
        <v>12056</v>
      </c>
      <c r="AC1901" s="147" t="s">
        <v>12057</v>
      </c>
      <c r="AD1901" s="147" t="s">
        <v>12058</v>
      </c>
      <c r="AE1901" s="144">
        <v>124.0</v>
      </c>
      <c r="AF1901" s="1470">
        <v>1.9999999999999996</v>
      </c>
      <c r="AG1901" s="147" t="s">
        <v>181</v>
      </c>
      <c r="AH1901" s="147" t="s">
        <v>12059</v>
      </c>
      <c r="AI1901" s="646">
        <v>0.001</v>
      </c>
      <c r="AJ1901" s="52" t="s">
        <v>127</v>
      </c>
      <c r="AK1901" s="52" t="s">
        <v>179</v>
      </c>
      <c r="AL1901" s="60" t="s">
        <v>132</v>
      </c>
      <c r="AM1901" s="55"/>
      <c r="AN1901" s="144">
        <v>128.0</v>
      </c>
      <c r="AO1901" s="144">
        <v>0.33</v>
      </c>
      <c r="AP1901" s="147" t="s">
        <v>208</v>
      </c>
      <c r="AQ1901" s="147" t="s">
        <v>1580</v>
      </c>
      <c r="AR1901" s="144">
        <v>0.001</v>
      </c>
      <c r="AS1901" s="147" t="s">
        <v>127</v>
      </c>
      <c r="AT1901" s="147" t="s">
        <v>179</v>
      </c>
      <c r="AU1901" s="60" t="s">
        <v>132</v>
      </c>
      <c r="AV1901" s="60"/>
      <c r="AW1901" s="60" t="s">
        <v>134</v>
      </c>
      <c r="AY1901" s="41" t="s">
        <v>11857</v>
      </c>
    </row>
    <row r="1902" ht="20.25" customHeight="1">
      <c r="A1902" s="115" t="s">
        <v>143</v>
      </c>
      <c r="B1902" s="41" t="s">
        <v>107</v>
      </c>
      <c r="C1902" s="41" t="s">
        <v>226</v>
      </c>
      <c r="E1902" s="60" t="s">
        <v>12060</v>
      </c>
      <c r="F1902" s="60" t="s">
        <v>12060</v>
      </c>
      <c r="G1902" s="147" t="s">
        <v>11025</v>
      </c>
      <c r="H1902" s="140">
        <v>45690.0</v>
      </c>
      <c r="I1902" s="60"/>
      <c r="J1902" s="60"/>
      <c r="K1902" s="60"/>
      <c r="L1902" s="60" t="s">
        <v>12061</v>
      </c>
      <c r="M1902" s="60" t="s">
        <v>12062</v>
      </c>
      <c r="N1902" s="327">
        <v>1.0</v>
      </c>
      <c r="O1902" s="459" t="str">
        <f t="shared" si="103"/>
        <v>10.1257--aer.102.2.834.pdf</v>
      </c>
      <c r="P1902" s="48" t="str">
        <f t="array" ref="P1902">HYPERLINK(INDEX('File Links'!B:B, MATCH(O1902, 'File Links'!C:C, 0)))
</f>
        <v>https://drive.google.com/file/d/15obABizUe2mVP6tTA7xfzSOU9zsFeGRP/view?usp=drivesdk</v>
      </c>
      <c r="Q1902" s="1553" t="s">
        <v>11845</v>
      </c>
      <c r="R1902" s="60" t="s">
        <v>12063</v>
      </c>
      <c r="S1902" s="1528"/>
      <c r="T1902" s="327">
        <v>3.0</v>
      </c>
      <c r="U1902" s="847" t="s">
        <v>11847</v>
      </c>
      <c r="V1902" s="147" t="s">
        <v>11848</v>
      </c>
      <c r="W1902" s="1529" t="s">
        <v>12064</v>
      </c>
      <c r="X1902" s="60"/>
      <c r="Y1902" s="147" t="s">
        <v>1820</v>
      </c>
      <c r="Z1902" s="350" t="s">
        <v>165</v>
      </c>
      <c r="AA1902" s="139" t="s">
        <v>12065</v>
      </c>
      <c r="AB1902" s="139" t="s">
        <v>12066</v>
      </c>
      <c r="AC1902" s="139" t="s">
        <v>12067</v>
      </c>
      <c r="AD1902" s="147" t="s">
        <v>12068</v>
      </c>
      <c r="AE1902" s="144">
        <v>216.0</v>
      </c>
      <c r="AF1902" s="149">
        <v>57.8</v>
      </c>
      <c r="AG1902" s="139" t="s">
        <v>12069</v>
      </c>
      <c r="AH1902" s="139" t="s">
        <v>12068</v>
      </c>
      <c r="AI1902" s="144">
        <v>0.007</v>
      </c>
      <c r="AJ1902" s="147" t="s">
        <v>164</v>
      </c>
      <c r="AK1902" s="147" t="s">
        <v>179</v>
      </c>
      <c r="AL1902" s="115" t="s">
        <v>132</v>
      </c>
      <c r="AM1902" s="60"/>
      <c r="AN1902" s="144">
        <v>360.0</v>
      </c>
      <c r="AO1902" s="149">
        <v>80.28</v>
      </c>
      <c r="AP1902" s="139" t="s">
        <v>12069</v>
      </c>
      <c r="AQ1902" s="139" t="s">
        <v>210</v>
      </c>
      <c r="AR1902" s="144">
        <v>0.001</v>
      </c>
      <c r="AS1902" s="147" t="s">
        <v>164</v>
      </c>
      <c r="AT1902" s="147" t="s">
        <v>179</v>
      </c>
      <c r="AU1902" s="115" t="s">
        <v>132</v>
      </c>
      <c r="AV1902" s="410" t="s">
        <v>12070</v>
      </c>
      <c r="AW1902" s="60" t="s">
        <v>134</v>
      </c>
      <c r="AY1902" s="41" t="s">
        <v>11857</v>
      </c>
      <c r="BA1902" s="1515" t="s">
        <v>12071</v>
      </c>
    </row>
    <row r="1903" ht="20.25" customHeight="1">
      <c r="A1903" s="41" t="s">
        <v>106</v>
      </c>
      <c r="B1903" s="40" t="s">
        <v>107</v>
      </c>
      <c r="C1903" s="41" t="s">
        <v>280</v>
      </c>
      <c r="E1903" s="60" t="s">
        <v>12060</v>
      </c>
      <c r="F1903" s="55" t="s">
        <v>12060</v>
      </c>
      <c r="G1903" s="147" t="s">
        <v>283</v>
      </c>
      <c r="H1903" s="140">
        <v>45662.0</v>
      </c>
      <c r="I1903" s="140">
        <v>45665.0</v>
      </c>
      <c r="J1903" s="147" t="s">
        <v>12072</v>
      </c>
      <c r="K1903" s="60"/>
      <c r="L1903" s="60" t="s">
        <v>12061</v>
      </c>
      <c r="M1903" s="60" t="s">
        <v>12062</v>
      </c>
      <c r="N1903" s="60"/>
      <c r="O1903" s="459" t="str">
        <f t="shared" si="103"/>
        <v>10.1257--aer.102.2.834.pdf</v>
      </c>
      <c r="P1903" s="48" t="str">
        <f t="array" ref="P1903">HYPERLINK(INDEX('File Links'!B:B, MATCH(O1903, 'File Links'!C:C, 0)))
</f>
        <v>https://drive.google.com/file/d/15obABizUe2mVP6tTA7xfzSOU9zsFeGRP/view?usp=drivesdk</v>
      </c>
      <c r="Q1903" s="470"/>
      <c r="R1903" s="60"/>
      <c r="S1903" s="60"/>
      <c r="T1903" s="60"/>
      <c r="U1903" s="990"/>
      <c r="V1903" s="147" t="s">
        <v>11860</v>
      </c>
      <c r="W1903" s="1541" t="str">
        <f t="array" ref="W1903">HYPERLINK(INDEX('File Links'!B:B, MATCH(O1903, 'File Links'!C:C, 0)))
</f>
        <v>https://drive.google.com/file/d/15obABizUe2mVP6tTA7xfzSOU9zsFeGRP/view?usp=drivesdk</v>
      </c>
      <c r="X1903" s="60"/>
      <c r="Y1903" s="147" t="s">
        <v>1820</v>
      </c>
      <c r="Z1903" s="147" t="s">
        <v>12073</v>
      </c>
      <c r="AA1903" s="147" t="s">
        <v>12074</v>
      </c>
      <c r="AB1903" s="147" t="s">
        <v>12075</v>
      </c>
      <c r="AC1903" s="147" t="s">
        <v>12076</v>
      </c>
      <c r="AD1903" s="147" t="s">
        <v>12068</v>
      </c>
      <c r="AE1903" s="144">
        <v>216.0</v>
      </c>
      <c r="AF1903" s="144">
        <v>5.92</v>
      </c>
      <c r="AG1903" s="147" t="s">
        <v>12077</v>
      </c>
      <c r="AH1903" s="147" t="s">
        <v>12078</v>
      </c>
      <c r="AI1903" s="646">
        <v>0.007</v>
      </c>
      <c r="AJ1903" s="52" t="s">
        <v>164</v>
      </c>
      <c r="AK1903" s="52" t="s">
        <v>128</v>
      </c>
      <c r="AL1903" s="60" t="s">
        <v>132</v>
      </c>
      <c r="AM1903" s="55"/>
      <c r="AN1903" s="144">
        <v>360.0</v>
      </c>
      <c r="AO1903" s="144">
        <v>0.66</v>
      </c>
      <c r="AP1903" s="147" t="s">
        <v>208</v>
      </c>
      <c r="AQ1903" s="147" t="s">
        <v>1580</v>
      </c>
      <c r="AR1903" s="144">
        <v>0.001</v>
      </c>
      <c r="AS1903" s="147" t="s">
        <v>164</v>
      </c>
      <c r="AT1903" s="147" t="s">
        <v>179</v>
      </c>
      <c r="AU1903" s="60" t="s">
        <v>132</v>
      </c>
      <c r="AV1903" s="60"/>
      <c r="AW1903" s="60" t="s">
        <v>134</v>
      </c>
      <c r="AY1903" s="41" t="s">
        <v>11857</v>
      </c>
      <c r="AZ1903" s="64"/>
    </row>
    <row r="1904" ht="20.25" customHeight="1">
      <c r="A1904" s="115" t="s">
        <v>143</v>
      </c>
      <c r="B1904" s="41" t="s">
        <v>107</v>
      </c>
      <c r="C1904" s="41" t="s">
        <v>226</v>
      </c>
      <c r="E1904" s="60" t="s">
        <v>12079</v>
      </c>
      <c r="F1904" s="60" t="s">
        <v>12079</v>
      </c>
      <c r="G1904" s="147" t="s">
        <v>11025</v>
      </c>
      <c r="H1904" s="140">
        <v>45690.0</v>
      </c>
      <c r="I1904" s="60"/>
      <c r="J1904" s="147" t="s">
        <v>12080</v>
      </c>
      <c r="K1904" s="60"/>
      <c r="L1904" s="60" t="s">
        <v>12081</v>
      </c>
      <c r="M1904" s="60" t="s">
        <v>12082</v>
      </c>
      <c r="N1904" s="327">
        <v>1.0</v>
      </c>
      <c r="O1904" s="459" t="str">
        <f t="shared" si="103"/>
        <v>10.1257--aer.102.2.865.pdf</v>
      </c>
      <c r="P1904" s="48" t="str">
        <f t="array" ref="P1904">HYPERLINK(INDEX('File Links'!B:B, MATCH(O1904, 'File Links'!C:C, 0)))
</f>
        <v>https://drive.google.com/file/d/1b2FC_ZxV315l7N6zoTHVU2AgAr7SbyXB/view?usp=drivesdk</v>
      </c>
      <c r="Q1904" s="1553" t="s">
        <v>11845</v>
      </c>
      <c r="R1904" s="60" t="s">
        <v>12083</v>
      </c>
      <c r="S1904" s="1528"/>
      <c r="T1904" s="327">
        <v>15.0</v>
      </c>
      <c r="U1904" s="847" t="s">
        <v>11847</v>
      </c>
      <c r="V1904" s="147" t="s">
        <v>11848</v>
      </c>
      <c r="W1904" s="1529" t="s">
        <v>12084</v>
      </c>
      <c r="X1904" s="60"/>
      <c r="Y1904" s="147" t="s">
        <v>1820</v>
      </c>
      <c r="Z1904" s="350" t="s">
        <v>165</v>
      </c>
      <c r="AA1904" s="139" t="s">
        <v>12085</v>
      </c>
      <c r="AB1904" s="139" t="s">
        <v>12086</v>
      </c>
      <c r="AC1904" s="139" t="s">
        <v>12087</v>
      </c>
      <c r="AD1904" s="147" t="s">
        <v>12088</v>
      </c>
      <c r="AE1904" s="144">
        <v>120.0</v>
      </c>
      <c r="AF1904" s="149">
        <v>0.335</v>
      </c>
      <c r="AG1904" s="139" t="s">
        <v>11854</v>
      </c>
      <c r="AH1904" s="115" t="s">
        <v>12089</v>
      </c>
      <c r="AI1904" s="144">
        <v>0.05</v>
      </c>
      <c r="AJ1904" s="147" t="s">
        <v>127</v>
      </c>
      <c r="AK1904" s="147" t="s">
        <v>179</v>
      </c>
      <c r="AL1904" s="115" t="s">
        <v>132</v>
      </c>
      <c r="AM1904" s="60"/>
      <c r="AN1904" s="144">
        <v>220.0</v>
      </c>
      <c r="AO1904" s="149">
        <v>0.108</v>
      </c>
      <c r="AP1904" s="139" t="s">
        <v>11854</v>
      </c>
      <c r="AQ1904" s="139" t="s">
        <v>861</v>
      </c>
      <c r="AR1904" s="144">
        <v>0.01</v>
      </c>
      <c r="AS1904" s="147" t="s">
        <v>164</v>
      </c>
      <c r="AT1904" s="147" t="s">
        <v>179</v>
      </c>
      <c r="AU1904" s="115" t="s">
        <v>132</v>
      </c>
      <c r="AV1904" s="410" t="s">
        <v>12090</v>
      </c>
      <c r="AW1904" s="60" t="s">
        <v>434</v>
      </c>
      <c r="AX1904" s="41" t="s">
        <v>12091</v>
      </c>
      <c r="AY1904" s="41" t="s">
        <v>11857</v>
      </c>
      <c r="BA1904" s="1515" t="s">
        <v>11976</v>
      </c>
    </row>
    <row r="1905" ht="20.25" customHeight="1">
      <c r="A1905" s="41" t="s">
        <v>106</v>
      </c>
      <c r="B1905" s="40" t="s">
        <v>107</v>
      </c>
      <c r="C1905" s="41" t="s">
        <v>280</v>
      </c>
      <c r="E1905" s="60" t="s">
        <v>12079</v>
      </c>
      <c r="F1905" s="55" t="s">
        <v>12079</v>
      </c>
      <c r="G1905" s="147" t="s">
        <v>283</v>
      </c>
      <c r="H1905" s="140">
        <v>45667.0</v>
      </c>
      <c r="I1905" s="60"/>
      <c r="J1905" s="147" t="s">
        <v>12092</v>
      </c>
      <c r="K1905" s="60"/>
      <c r="L1905" s="60" t="s">
        <v>12081</v>
      </c>
      <c r="M1905" s="60" t="s">
        <v>12082</v>
      </c>
      <c r="N1905" s="60"/>
      <c r="O1905" s="459" t="str">
        <f t="shared" si="103"/>
        <v>10.1257--aer.102.2.865.pdf</v>
      </c>
      <c r="P1905" s="48" t="str">
        <f t="array" ref="P1905">HYPERLINK(INDEX('File Links'!B:B, MATCH(O1905, 'File Links'!C:C, 0)))
</f>
        <v>https://drive.google.com/file/d/1b2FC_ZxV315l7N6zoTHVU2AgAr7SbyXB/view?usp=drivesdk</v>
      </c>
      <c r="Q1905" s="470"/>
      <c r="R1905" s="60"/>
      <c r="S1905" s="60"/>
      <c r="T1905" s="60"/>
      <c r="U1905" s="990"/>
      <c r="V1905" s="147" t="s">
        <v>11860</v>
      </c>
      <c r="W1905" s="1541" t="str">
        <f t="array" ref="W1905">HYPERLINK(INDEX('File Links'!B:B, MATCH(O1905, 'File Links'!C:C, 0)))
</f>
        <v>https://drive.google.com/file/d/1b2FC_ZxV315l7N6zoTHVU2AgAr7SbyXB/view?usp=drivesdk</v>
      </c>
      <c r="X1905" s="60"/>
      <c r="Y1905" s="147" t="s">
        <v>1820</v>
      </c>
      <c r="Z1905" s="147" t="s">
        <v>12093</v>
      </c>
      <c r="AA1905" s="147" t="s">
        <v>12094</v>
      </c>
      <c r="AB1905" s="147" t="s">
        <v>12095</v>
      </c>
      <c r="AC1905" s="147" t="s">
        <v>12096</v>
      </c>
      <c r="AD1905" s="147" t="s">
        <v>12097</v>
      </c>
      <c r="AE1905" s="144">
        <v>120.0</v>
      </c>
      <c r="AF1905" s="144">
        <v>0.035</v>
      </c>
      <c r="AG1905" s="147" t="s">
        <v>12098</v>
      </c>
      <c r="AH1905" s="60"/>
      <c r="AI1905" s="646">
        <v>0.05</v>
      </c>
      <c r="AJ1905" s="52" t="s">
        <v>127</v>
      </c>
      <c r="AK1905" s="52" t="s">
        <v>179</v>
      </c>
      <c r="AL1905" s="60" t="s">
        <v>129</v>
      </c>
      <c r="AM1905" s="55"/>
      <c r="AN1905" s="144">
        <v>220.0</v>
      </c>
      <c r="AO1905" s="144">
        <v>0.53</v>
      </c>
      <c r="AP1905" s="147" t="s">
        <v>208</v>
      </c>
      <c r="AQ1905" s="147" t="s">
        <v>1580</v>
      </c>
      <c r="AR1905" s="144">
        <v>0.01</v>
      </c>
      <c r="AS1905" s="147" t="s">
        <v>164</v>
      </c>
      <c r="AT1905" s="147" t="s">
        <v>179</v>
      </c>
      <c r="AU1905" s="60" t="s">
        <v>129</v>
      </c>
      <c r="AV1905" s="60"/>
      <c r="AW1905" s="60" t="s">
        <v>134</v>
      </c>
      <c r="AY1905" s="41" t="s">
        <v>11857</v>
      </c>
      <c r="AZ1905" s="178"/>
    </row>
    <row r="1906" ht="20.25" customHeight="1">
      <c r="A1906" s="115" t="s">
        <v>143</v>
      </c>
      <c r="B1906" s="41" t="s">
        <v>107</v>
      </c>
      <c r="C1906" s="41" t="s">
        <v>226</v>
      </c>
      <c r="E1906" s="60" t="s">
        <v>12099</v>
      </c>
      <c r="F1906" s="60" t="s">
        <v>12099</v>
      </c>
      <c r="G1906" s="147" t="s">
        <v>11025</v>
      </c>
      <c r="H1906" s="140">
        <v>45690.0</v>
      </c>
      <c r="I1906" s="60"/>
      <c r="J1906" s="60"/>
      <c r="K1906" s="115"/>
      <c r="L1906" s="60" t="s">
        <v>12100</v>
      </c>
      <c r="M1906" s="60" t="s">
        <v>12101</v>
      </c>
      <c r="N1906" s="327">
        <v>1.0</v>
      </c>
      <c r="O1906" s="459" t="str">
        <f t="shared" si="103"/>
        <v>10.1257--aer.102.5.2018.pdf</v>
      </c>
      <c r="P1906" s="48" t="str">
        <f t="array" ref="P1906">HYPERLINK(INDEX('File Links'!B:B, MATCH(O1906, 'File Links'!C:C, 0)))
</f>
        <v>https://drive.google.com/file/d/17yYMWhyDAG179mIfO09X_DXEZMxaYLjP/view?usp=drivesdk</v>
      </c>
      <c r="Q1906" s="1553" t="s">
        <v>11845</v>
      </c>
      <c r="R1906" s="60" t="s">
        <v>12102</v>
      </c>
      <c r="S1906" s="1528"/>
      <c r="T1906" s="327">
        <v>14.0</v>
      </c>
      <c r="U1906" s="847" t="s">
        <v>11847</v>
      </c>
      <c r="V1906" s="147" t="s">
        <v>11848</v>
      </c>
      <c r="W1906" s="1529" t="s">
        <v>12103</v>
      </c>
      <c r="X1906" s="60"/>
      <c r="Y1906" s="147" t="s">
        <v>1820</v>
      </c>
      <c r="Z1906" s="115" t="s">
        <v>12104</v>
      </c>
      <c r="AA1906" s="147" t="s">
        <v>12105</v>
      </c>
      <c r="AB1906" s="147" t="s">
        <v>12106</v>
      </c>
      <c r="AC1906" s="147" t="s">
        <v>12107</v>
      </c>
      <c r="AD1906" s="147" t="s">
        <v>12108</v>
      </c>
      <c r="AE1906" s="144">
        <v>288.0</v>
      </c>
      <c r="AF1906" s="1470">
        <v>5.135086696465202</v>
      </c>
      <c r="AG1906" s="147" t="s">
        <v>722</v>
      </c>
      <c r="AH1906" s="147" t="s">
        <v>12109</v>
      </c>
      <c r="AI1906" s="646">
        <v>0.01</v>
      </c>
      <c r="AJ1906" s="52" t="s">
        <v>127</v>
      </c>
      <c r="AK1906" s="147" t="s">
        <v>179</v>
      </c>
      <c r="AL1906" s="60" t="s">
        <v>129</v>
      </c>
      <c r="AM1906" s="60"/>
      <c r="AN1906" s="144">
        <v>48.0</v>
      </c>
      <c r="AO1906" s="149">
        <v>0.34</v>
      </c>
      <c r="AP1906" s="139" t="s">
        <v>208</v>
      </c>
      <c r="AQ1906" s="139" t="s">
        <v>12110</v>
      </c>
      <c r="AR1906" s="144">
        <v>0.016</v>
      </c>
      <c r="AS1906" s="147" t="s">
        <v>164</v>
      </c>
      <c r="AT1906" s="147" t="s">
        <v>179</v>
      </c>
      <c r="AU1906" s="115" t="s">
        <v>129</v>
      </c>
      <c r="AV1906" s="410" t="s">
        <v>12111</v>
      </c>
      <c r="AW1906" s="60" t="s">
        <v>134</v>
      </c>
      <c r="AY1906" s="41" t="s">
        <v>11857</v>
      </c>
      <c r="BA1906" s="1515" t="s">
        <v>12112</v>
      </c>
    </row>
    <row r="1907" ht="20.25" customHeight="1">
      <c r="A1907" s="41" t="s">
        <v>106</v>
      </c>
      <c r="B1907" s="40" t="s">
        <v>107</v>
      </c>
      <c r="C1907" s="41" t="s">
        <v>280</v>
      </c>
      <c r="E1907" s="60" t="s">
        <v>12099</v>
      </c>
      <c r="F1907" s="55" t="s">
        <v>12099</v>
      </c>
      <c r="G1907" s="147" t="s">
        <v>283</v>
      </c>
      <c r="H1907" s="140">
        <v>45667.0</v>
      </c>
      <c r="I1907" s="60"/>
      <c r="J1907" s="147" t="s">
        <v>12113</v>
      </c>
      <c r="K1907" s="60"/>
      <c r="L1907" s="60" t="s">
        <v>12100</v>
      </c>
      <c r="M1907" s="60" t="s">
        <v>12101</v>
      </c>
      <c r="N1907" s="60"/>
      <c r="O1907" s="459" t="str">
        <f t="shared" si="103"/>
        <v>10.1257--aer.102.5.2018.pdf</v>
      </c>
      <c r="P1907" s="48" t="str">
        <f t="array" ref="P1907">HYPERLINK(INDEX('File Links'!B:B, MATCH(O1907, 'File Links'!C:C, 0)))
</f>
        <v>https://drive.google.com/file/d/17yYMWhyDAG179mIfO09X_DXEZMxaYLjP/view?usp=drivesdk</v>
      </c>
      <c r="Q1907" s="470"/>
      <c r="R1907" s="60"/>
      <c r="S1907" s="60"/>
      <c r="T1907" s="60"/>
      <c r="U1907" s="990"/>
      <c r="V1907" s="147" t="s">
        <v>11860</v>
      </c>
      <c r="W1907" s="1541" t="str">
        <f t="array" ref="W1907">HYPERLINK(INDEX('File Links'!B:B, MATCH(O1907, 'File Links'!C:C, 0)))
</f>
        <v>https://drive.google.com/file/d/17yYMWhyDAG179mIfO09X_DXEZMxaYLjP/view?usp=drivesdk</v>
      </c>
      <c r="X1907" s="60"/>
      <c r="Y1907" s="147" t="s">
        <v>1820</v>
      </c>
      <c r="Z1907" s="147" t="s">
        <v>12114</v>
      </c>
      <c r="AA1907" s="147" t="s">
        <v>12115</v>
      </c>
      <c r="AB1907" s="147" t="s">
        <v>12116</v>
      </c>
      <c r="AC1907" s="147" t="s">
        <v>12117</v>
      </c>
      <c r="AD1907" s="147" t="s">
        <v>12118</v>
      </c>
      <c r="AE1907" s="144">
        <v>288.0</v>
      </c>
      <c r="AF1907" s="144">
        <v>9.34</v>
      </c>
      <c r="AG1907" s="147" t="s">
        <v>11886</v>
      </c>
      <c r="AH1907" s="147" t="s">
        <v>12119</v>
      </c>
      <c r="AI1907" s="646">
        <v>0.01</v>
      </c>
      <c r="AJ1907" s="52" t="s">
        <v>127</v>
      </c>
      <c r="AK1907" s="52" t="s">
        <v>179</v>
      </c>
      <c r="AL1907" s="60" t="s">
        <v>132</v>
      </c>
      <c r="AM1907" s="55"/>
      <c r="AN1907" s="144">
        <v>48.0</v>
      </c>
      <c r="AO1907" s="144">
        <v>0.34</v>
      </c>
      <c r="AP1907" s="147" t="s">
        <v>208</v>
      </c>
      <c r="AQ1907" s="147" t="s">
        <v>1580</v>
      </c>
      <c r="AR1907" s="144">
        <v>0.016</v>
      </c>
      <c r="AS1907" s="147" t="s">
        <v>164</v>
      </c>
      <c r="AT1907" s="147" t="s">
        <v>179</v>
      </c>
      <c r="AU1907" s="60" t="s">
        <v>821</v>
      </c>
      <c r="AV1907" s="60"/>
      <c r="AW1907" s="60" t="s">
        <v>134</v>
      </c>
      <c r="AY1907" s="41" t="s">
        <v>11857</v>
      </c>
    </row>
    <row r="1908" ht="20.25" customHeight="1">
      <c r="A1908" s="115" t="s">
        <v>143</v>
      </c>
      <c r="B1908" s="41" t="s">
        <v>107</v>
      </c>
      <c r="C1908" s="41" t="s">
        <v>226</v>
      </c>
      <c r="E1908" s="60" t="s">
        <v>12120</v>
      </c>
      <c r="F1908" s="60" t="s">
        <v>12120</v>
      </c>
      <c r="G1908" s="147" t="s">
        <v>11025</v>
      </c>
      <c r="H1908" s="140">
        <v>45690.0</v>
      </c>
      <c r="I1908" s="60"/>
      <c r="J1908" s="60"/>
      <c r="K1908" s="60"/>
      <c r="L1908" s="60" t="s">
        <v>12121</v>
      </c>
      <c r="M1908" s="60" t="s">
        <v>12122</v>
      </c>
      <c r="N1908" s="327">
        <v>1.0</v>
      </c>
      <c r="O1908" s="459" t="str">
        <f t="shared" si="103"/>
        <v>10.1257--aer.102.7.3317.pdf</v>
      </c>
      <c r="P1908" s="48" t="str">
        <f t="array" ref="P1908">HYPERLINK(INDEX('File Links'!B:B, MATCH(O1908, 'File Links'!C:C, 0)))
</f>
        <v>https://drive.google.com/file/d/1vGGh8iNvz5riiPFFfaYWDPoBsN1DieSC/view?usp=drivesdk</v>
      </c>
      <c r="Q1908" s="1553" t="s">
        <v>11845</v>
      </c>
      <c r="R1908" s="60" t="s">
        <v>12123</v>
      </c>
      <c r="S1908" s="1528"/>
      <c r="T1908" s="327">
        <v>2.0</v>
      </c>
      <c r="U1908" s="847" t="s">
        <v>11847</v>
      </c>
      <c r="V1908" s="147" t="s">
        <v>11848</v>
      </c>
      <c r="W1908" s="1529" t="s">
        <v>12124</v>
      </c>
      <c r="X1908" s="60"/>
      <c r="Y1908" s="147" t="s">
        <v>1820</v>
      </c>
      <c r="Z1908" s="115" t="s">
        <v>12125</v>
      </c>
      <c r="AA1908" s="139" t="s">
        <v>12126</v>
      </c>
      <c r="AB1908" s="139" t="s">
        <v>12127</v>
      </c>
      <c r="AC1908" s="139" t="s">
        <v>12128</v>
      </c>
      <c r="AD1908" s="147" t="s">
        <v>12129</v>
      </c>
      <c r="AE1908" s="144">
        <v>117.0</v>
      </c>
      <c r="AF1908" s="149">
        <v>2.91</v>
      </c>
      <c r="AG1908" s="139" t="s">
        <v>1006</v>
      </c>
      <c r="AH1908" s="115" t="s">
        <v>12130</v>
      </c>
      <c r="AI1908" s="646">
        <v>0.05</v>
      </c>
      <c r="AJ1908" s="147" t="s">
        <v>127</v>
      </c>
      <c r="AK1908" s="147" t="s">
        <v>179</v>
      </c>
      <c r="AL1908" s="60" t="s">
        <v>129</v>
      </c>
      <c r="AM1908" s="60"/>
      <c r="AN1908" s="144">
        <v>357.0</v>
      </c>
      <c r="AO1908" s="1350">
        <v>2.021</v>
      </c>
      <c r="AP1908" s="139" t="s">
        <v>1006</v>
      </c>
      <c r="AQ1908" s="139" t="s">
        <v>210</v>
      </c>
      <c r="AR1908" s="144">
        <v>0.012</v>
      </c>
      <c r="AS1908" s="147" t="s">
        <v>164</v>
      </c>
      <c r="AT1908" s="147" t="s">
        <v>179</v>
      </c>
      <c r="AU1908" s="60" t="s">
        <v>129</v>
      </c>
      <c r="AV1908" s="410" t="s">
        <v>12131</v>
      </c>
      <c r="AW1908" s="60" t="s">
        <v>134</v>
      </c>
      <c r="AX1908" s="41" t="s">
        <v>12132</v>
      </c>
      <c r="AY1908" s="41" t="s">
        <v>11857</v>
      </c>
      <c r="BA1908" s="1515" t="s">
        <v>11901</v>
      </c>
    </row>
    <row r="1909" ht="20.25" customHeight="1">
      <c r="A1909" s="41" t="s">
        <v>106</v>
      </c>
      <c r="B1909" s="40" t="s">
        <v>107</v>
      </c>
      <c r="C1909" s="41" t="s">
        <v>280</v>
      </c>
      <c r="E1909" s="60" t="s">
        <v>12120</v>
      </c>
      <c r="F1909" s="55" t="s">
        <v>12120</v>
      </c>
      <c r="G1909" s="147" t="s">
        <v>283</v>
      </c>
      <c r="H1909" s="140">
        <v>45662.0</v>
      </c>
      <c r="I1909" s="140">
        <v>45665.0</v>
      </c>
      <c r="J1909" s="147" t="s">
        <v>12133</v>
      </c>
      <c r="K1909" s="60"/>
      <c r="L1909" s="60" t="s">
        <v>12121</v>
      </c>
      <c r="M1909" s="60" t="s">
        <v>12122</v>
      </c>
      <c r="N1909" s="60"/>
      <c r="O1909" s="459" t="str">
        <f t="shared" si="103"/>
        <v>10.1257--aer.102.7.3317.pdf</v>
      </c>
      <c r="P1909" s="48" t="str">
        <f t="array" ref="P1909">HYPERLINK(INDEX('File Links'!B:B, MATCH(O1909, 'File Links'!C:C, 0)))
</f>
        <v>https://drive.google.com/file/d/1vGGh8iNvz5riiPFFfaYWDPoBsN1DieSC/view?usp=drivesdk</v>
      </c>
      <c r="Q1909" s="470"/>
      <c r="R1909" s="60"/>
      <c r="S1909" s="60"/>
      <c r="T1909" s="60"/>
      <c r="U1909" s="990"/>
      <c r="V1909" s="147" t="s">
        <v>11860</v>
      </c>
      <c r="W1909" s="1541" t="str">
        <f t="array" ref="W1909">HYPERLINK(INDEX('File Links'!B:B, MATCH(O1909, 'File Links'!C:C, 0)))
</f>
        <v>https://drive.google.com/file/d/1vGGh8iNvz5riiPFFfaYWDPoBsN1DieSC/view?usp=drivesdk</v>
      </c>
      <c r="X1909" s="147"/>
      <c r="Y1909" s="147" t="s">
        <v>1820</v>
      </c>
      <c r="Z1909" s="147" t="s">
        <v>12134</v>
      </c>
      <c r="AA1909" s="147" t="s">
        <v>12135</v>
      </c>
      <c r="AB1909" s="147" t="s">
        <v>12136</v>
      </c>
      <c r="AC1909" s="147" t="s">
        <v>12137</v>
      </c>
      <c r="AD1909" s="147" t="s">
        <v>12129</v>
      </c>
      <c r="AE1909" s="144">
        <v>117.0</v>
      </c>
      <c r="AF1909" s="144">
        <v>-2.914</v>
      </c>
      <c r="AG1909" s="147" t="s">
        <v>12098</v>
      </c>
      <c r="AH1909" s="60"/>
      <c r="AI1909" s="646">
        <v>0.05</v>
      </c>
      <c r="AJ1909" s="52" t="s">
        <v>127</v>
      </c>
      <c r="AK1909" s="52" t="s">
        <v>128</v>
      </c>
      <c r="AL1909" s="60" t="s">
        <v>821</v>
      </c>
      <c r="AM1909" s="55"/>
      <c r="AN1909" s="144">
        <v>357.0</v>
      </c>
      <c r="AO1909" s="327">
        <v>0.23</v>
      </c>
      <c r="AP1909" s="147" t="s">
        <v>208</v>
      </c>
      <c r="AQ1909" s="147" t="s">
        <v>1580</v>
      </c>
      <c r="AR1909" s="144">
        <v>0.012</v>
      </c>
      <c r="AS1909" s="147" t="s">
        <v>164</v>
      </c>
      <c r="AT1909" s="147" t="s">
        <v>179</v>
      </c>
      <c r="AU1909" s="60" t="s">
        <v>821</v>
      </c>
      <c r="AV1909" s="60"/>
      <c r="AW1909" s="60" t="s">
        <v>134</v>
      </c>
      <c r="AY1909" s="41" t="s">
        <v>11857</v>
      </c>
      <c r="AZ1909" s="333"/>
    </row>
    <row r="1910" ht="20.25" customHeight="1">
      <c r="A1910" s="115" t="s">
        <v>143</v>
      </c>
      <c r="B1910" s="41" t="s">
        <v>107</v>
      </c>
      <c r="C1910" s="41" t="s">
        <v>226</v>
      </c>
      <c r="E1910" s="60" t="s">
        <v>12138</v>
      </c>
      <c r="F1910" s="60" t="s">
        <v>12138</v>
      </c>
      <c r="G1910" s="147" t="s">
        <v>11025</v>
      </c>
      <c r="H1910" s="140">
        <v>45690.0</v>
      </c>
      <c r="I1910" s="60"/>
      <c r="J1910" s="60"/>
      <c r="K1910" s="60"/>
      <c r="L1910" s="60" t="s">
        <v>12139</v>
      </c>
      <c r="M1910" s="60" t="s">
        <v>12140</v>
      </c>
      <c r="N1910" s="327">
        <v>1.0</v>
      </c>
      <c r="O1910" s="459" t="str">
        <f t="shared" si="103"/>
        <v>10.1257--aer.103.4.1325.pdf</v>
      </c>
      <c r="P1910" s="48" t="str">
        <f t="array" ref="P1910">HYPERLINK(INDEX('File Links'!B:B, MATCH(O1910, 'File Links'!C:C, 0)))
</f>
        <v>https://drive.google.com/file/d/11sSauXb0HoVRgYDG9CnOlMBheFEjk0NQ/view?usp=drivesdk</v>
      </c>
      <c r="Q1910" s="1553" t="s">
        <v>11845</v>
      </c>
      <c r="R1910" s="60" t="s">
        <v>12141</v>
      </c>
      <c r="S1910" s="1528"/>
      <c r="T1910" s="327">
        <v>9.0</v>
      </c>
      <c r="U1910" s="847" t="s">
        <v>11847</v>
      </c>
      <c r="V1910" s="147" t="s">
        <v>11848</v>
      </c>
      <c r="W1910" s="1529" t="s">
        <v>12142</v>
      </c>
      <c r="X1910" s="60"/>
      <c r="Y1910" s="147" t="s">
        <v>1820</v>
      </c>
      <c r="Z1910" s="147" t="s">
        <v>12143</v>
      </c>
      <c r="AA1910" s="60" t="s">
        <v>12144</v>
      </c>
      <c r="AB1910" s="147" t="s">
        <v>12145</v>
      </c>
      <c r="AC1910" s="139" t="s">
        <v>12146</v>
      </c>
      <c r="AD1910" s="147" t="s">
        <v>12147</v>
      </c>
      <c r="AE1910" s="144">
        <v>60.0</v>
      </c>
      <c r="AF1910" s="358">
        <v>2.899</v>
      </c>
      <c r="AG1910" s="147" t="s">
        <v>722</v>
      </c>
      <c r="AH1910" s="42" t="s">
        <v>12148</v>
      </c>
      <c r="AI1910" s="144">
        <v>0.011</v>
      </c>
      <c r="AJ1910" s="147" t="s">
        <v>164</v>
      </c>
      <c r="AK1910" s="147" t="s">
        <v>179</v>
      </c>
      <c r="AL1910" s="60" t="s">
        <v>129</v>
      </c>
      <c r="AM1910" s="60"/>
      <c r="AN1910" s="144">
        <v>102.0</v>
      </c>
      <c r="AO1910" s="149">
        <v>2.737</v>
      </c>
      <c r="AP1910" s="147" t="s">
        <v>208</v>
      </c>
      <c r="AQ1910" s="139" t="s">
        <v>12149</v>
      </c>
      <c r="AR1910" s="144">
        <v>0.026</v>
      </c>
      <c r="AS1910" s="147" t="s">
        <v>164</v>
      </c>
      <c r="AT1910" s="147" t="s">
        <v>179</v>
      </c>
      <c r="AU1910" s="60" t="s">
        <v>129</v>
      </c>
      <c r="AV1910" s="410" t="s">
        <v>12150</v>
      </c>
      <c r="AW1910" s="60" t="s">
        <v>134</v>
      </c>
      <c r="AY1910" s="41" t="s">
        <v>11857</v>
      </c>
      <c r="BA1910" s="1515" t="s">
        <v>11901</v>
      </c>
    </row>
    <row r="1911" ht="20.25" customHeight="1">
      <c r="A1911" s="41" t="s">
        <v>106</v>
      </c>
      <c r="B1911" s="40" t="s">
        <v>107</v>
      </c>
      <c r="C1911" s="41" t="s">
        <v>280</v>
      </c>
      <c r="E1911" s="60" t="s">
        <v>12138</v>
      </c>
      <c r="F1911" s="55" t="s">
        <v>12138</v>
      </c>
      <c r="G1911" s="147" t="s">
        <v>283</v>
      </c>
      <c r="H1911" s="140">
        <v>45664.0</v>
      </c>
      <c r="I1911" s="140">
        <v>45667.0</v>
      </c>
      <c r="J1911" s="147" t="s">
        <v>12151</v>
      </c>
      <c r="K1911" s="60"/>
      <c r="L1911" s="60" t="s">
        <v>12139</v>
      </c>
      <c r="M1911" s="60" t="s">
        <v>12140</v>
      </c>
      <c r="N1911" s="60"/>
      <c r="O1911" s="459" t="str">
        <f t="shared" si="103"/>
        <v>10.1257--aer.103.4.1325.pdf</v>
      </c>
      <c r="P1911" s="48" t="str">
        <f t="array" ref="P1911">HYPERLINK(INDEX('File Links'!B:B, MATCH(O1911, 'File Links'!C:C, 0)))
</f>
        <v>https://drive.google.com/file/d/11sSauXb0HoVRgYDG9CnOlMBheFEjk0NQ/view?usp=drivesdk</v>
      </c>
      <c r="Q1911" s="470"/>
      <c r="R1911" s="60"/>
      <c r="S1911" s="60"/>
      <c r="T1911" s="60"/>
      <c r="U1911" s="990"/>
      <c r="V1911" s="147" t="s">
        <v>11860</v>
      </c>
      <c r="W1911" s="1541" t="str">
        <f t="array" ref="W1911">HYPERLINK(INDEX('File Links'!B:B, MATCH(O1911, 'File Links'!C:C, 0)))
</f>
        <v>https://drive.google.com/file/d/11sSauXb0HoVRgYDG9CnOlMBheFEjk0NQ/view?usp=drivesdk</v>
      </c>
      <c r="X1911" s="60"/>
      <c r="Y1911" s="147" t="s">
        <v>1820</v>
      </c>
      <c r="Z1911" s="147" t="s">
        <v>12143</v>
      </c>
      <c r="AA1911" s="60"/>
      <c r="AB1911" s="147" t="s">
        <v>12152</v>
      </c>
      <c r="AC1911" s="147" t="s">
        <v>12153</v>
      </c>
      <c r="AD1911" s="147" t="s">
        <v>12147</v>
      </c>
      <c r="AE1911" s="144">
        <v>60.0</v>
      </c>
      <c r="AF1911" s="1470">
        <v>2.8987760989718647</v>
      </c>
      <c r="AG1911" s="147" t="s">
        <v>12154</v>
      </c>
      <c r="AH1911" s="42" t="s">
        <v>12155</v>
      </c>
      <c r="AI1911" s="646">
        <v>0.011</v>
      </c>
      <c r="AJ1911" s="52" t="s">
        <v>164</v>
      </c>
      <c r="AK1911" s="52" t="s">
        <v>179</v>
      </c>
      <c r="AL1911" s="60" t="s">
        <v>821</v>
      </c>
      <c r="AM1911" s="55"/>
      <c r="AN1911" s="144">
        <v>102.0</v>
      </c>
      <c r="AO1911" s="144">
        <v>0.31</v>
      </c>
      <c r="AP1911" s="147" t="s">
        <v>208</v>
      </c>
      <c r="AQ1911" s="147" t="s">
        <v>1580</v>
      </c>
      <c r="AR1911" s="144">
        <v>0.026</v>
      </c>
      <c r="AS1911" s="147" t="s">
        <v>164</v>
      </c>
      <c r="AT1911" s="147" t="s">
        <v>179</v>
      </c>
      <c r="AU1911" s="60" t="s">
        <v>821</v>
      </c>
      <c r="AV1911" s="60"/>
      <c r="AW1911" s="60" t="s">
        <v>134</v>
      </c>
      <c r="AY1911" s="41" t="s">
        <v>11857</v>
      </c>
      <c r="AZ1911" s="152"/>
    </row>
    <row r="1912" ht="20.25" customHeight="1">
      <c r="A1912" s="115" t="s">
        <v>143</v>
      </c>
      <c r="B1912" s="41" t="s">
        <v>107</v>
      </c>
      <c r="C1912" s="41" t="s">
        <v>226</v>
      </c>
      <c r="E1912" s="60" t="s">
        <v>12156</v>
      </c>
      <c r="F1912" s="60" t="s">
        <v>12156</v>
      </c>
      <c r="G1912" s="147" t="s">
        <v>11025</v>
      </c>
      <c r="H1912" s="140">
        <v>45693.0</v>
      </c>
      <c r="I1912" s="60"/>
      <c r="J1912" s="147" t="s">
        <v>12157</v>
      </c>
      <c r="K1912" s="60"/>
      <c r="L1912" s="60" t="s">
        <v>12158</v>
      </c>
      <c r="M1912" s="60" t="s">
        <v>12159</v>
      </c>
      <c r="N1912" s="327">
        <v>1.0</v>
      </c>
      <c r="O1912" s="459" t="str">
        <f t="shared" si="103"/>
        <v>10.1257--aer.104.11.3434.pdf</v>
      </c>
      <c r="P1912" s="48" t="str">
        <f t="array" ref="P1912">HYPERLINK(INDEX('File Links'!B:B, MATCH(O1912, 'File Links'!C:C, 0)))
</f>
        <v>https://drive.google.com/file/d/1_GSFYpdpPE9KlDDSJISHSbkxPaGiv90y/view?usp=drivesdk</v>
      </c>
      <c r="Q1912" s="1553" t="s">
        <v>11845</v>
      </c>
      <c r="R1912" s="60" t="s">
        <v>12160</v>
      </c>
      <c r="S1912" s="1528"/>
      <c r="T1912" s="327">
        <v>6.0</v>
      </c>
      <c r="U1912" s="847" t="s">
        <v>11847</v>
      </c>
      <c r="V1912" s="147" t="s">
        <v>11848</v>
      </c>
      <c r="W1912" s="1529" t="s">
        <v>12161</v>
      </c>
      <c r="X1912" s="60"/>
      <c r="Y1912" s="147" t="s">
        <v>1820</v>
      </c>
      <c r="Z1912" s="115" t="s">
        <v>12162</v>
      </c>
      <c r="AA1912" s="147" t="s">
        <v>12163</v>
      </c>
      <c r="AB1912" s="139" t="s">
        <v>12164</v>
      </c>
      <c r="AC1912" s="139" t="s">
        <v>12165</v>
      </c>
      <c r="AD1912" s="60" t="s">
        <v>12166</v>
      </c>
      <c r="AE1912" s="144">
        <v>158.0</v>
      </c>
      <c r="AF1912" s="149">
        <v>0.0517</v>
      </c>
      <c r="AG1912" s="139" t="s">
        <v>11854</v>
      </c>
      <c r="AH1912" s="139" t="s">
        <v>12167</v>
      </c>
      <c r="AI1912" s="144">
        <v>0.001</v>
      </c>
      <c r="AJ1912" s="147" t="s">
        <v>164</v>
      </c>
      <c r="AK1912" s="147" t="s">
        <v>179</v>
      </c>
      <c r="AL1912" s="60" t="s">
        <v>129</v>
      </c>
      <c r="AM1912" s="60"/>
      <c r="AN1912" s="144">
        <v>156.0</v>
      </c>
      <c r="AO1912" s="149">
        <v>0.167</v>
      </c>
      <c r="AP1912" s="139" t="s">
        <v>11854</v>
      </c>
      <c r="AQ1912" s="139" t="s">
        <v>210</v>
      </c>
      <c r="AR1912" s="144">
        <v>0.001</v>
      </c>
      <c r="AS1912" s="147" t="s">
        <v>127</v>
      </c>
      <c r="AT1912" s="147" t="s">
        <v>179</v>
      </c>
      <c r="AU1912" s="60" t="s">
        <v>129</v>
      </c>
      <c r="AV1912" s="410" t="s">
        <v>12168</v>
      </c>
      <c r="AW1912" s="60" t="s">
        <v>134</v>
      </c>
      <c r="AY1912" s="41" t="s">
        <v>11857</v>
      </c>
      <c r="BA1912" s="1515" t="s">
        <v>11901</v>
      </c>
    </row>
    <row r="1913" ht="20.25" customHeight="1">
      <c r="A1913" s="41" t="s">
        <v>106</v>
      </c>
      <c r="B1913" s="40" t="s">
        <v>107</v>
      </c>
      <c r="C1913" s="41" t="s">
        <v>280</v>
      </c>
      <c r="E1913" s="60" t="s">
        <v>12156</v>
      </c>
      <c r="F1913" s="55" t="s">
        <v>12156</v>
      </c>
      <c r="G1913" s="147" t="s">
        <v>283</v>
      </c>
      <c r="H1913" s="140">
        <v>45662.0</v>
      </c>
      <c r="I1913" s="140">
        <v>45666.0</v>
      </c>
      <c r="J1913" s="147" t="s">
        <v>12169</v>
      </c>
      <c r="K1913" s="60"/>
      <c r="L1913" s="60" t="s">
        <v>12158</v>
      </c>
      <c r="M1913" s="60" t="s">
        <v>12159</v>
      </c>
      <c r="N1913" s="60"/>
      <c r="O1913" s="459" t="str">
        <f t="shared" si="103"/>
        <v>10.1257--aer.104.11.3434.pdf</v>
      </c>
      <c r="P1913" s="48" t="str">
        <f t="array" ref="P1913">HYPERLINK(INDEX('File Links'!B:B, MATCH(O1913, 'File Links'!C:C, 0)))
</f>
        <v>https://drive.google.com/file/d/1_GSFYpdpPE9KlDDSJISHSbkxPaGiv90y/view?usp=drivesdk</v>
      </c>
      <c r="Q1913" s="470"/>
      <c r="R1913" s="60"/>
      <c r="S1913" s="60"/>
      <c r="T1913" s="60"/>
      <c r="U1913" s="990"/>
      <c r="V1913" s="147" t="s">
        <v>11860</v>
      </c>
      <c r="W1913" s="1541" t="str">
        <f t="array" ref="W1913">HYPERLINK(INDEX('File Links'!B:B, MATCH(O1913, 'File Links'!C:C, 0)))
</f>
        <v>https://drive.google.com/file/d/1_GSFYpdpPE9KlDDSJISHSbkxPaGiv90y/view?usp=drivesdk</v>
      </c>
      <c r="X1913" s="60"/>
      <c r="Y1913" s="147" t="s">
        <v>1820</v>
      </c>
      <c r="Z1913" s="147" t="s">
        <v>12170</v>
      </c>
      <c r="AA1913" s="147" t="s">
        <v>12171</v>
      </c>
      <c r="AB1913" s="147" t="s">
        <v>12172</v>
      </c>
      <c r="AC1913" s="147" t="s">
        <v>12173</v>
      </c>
      <c r="AD1913" s="147" t="s">
        <v>12174</v>
      </c>
      <c r="AE1913" s="144">
        <v>158.0</v>
      </c>
      <c r="AF1913" s="144">
        <v>0.0517</v>
      </c>
      <c r="AG1913" s="139" t="s">
        <v>12175</v>
      </c>
      <c r="AH1913" s="139" t="s">
        <v>12167</v>
      </c>
      <c r="AI1913" s="646">
        <v>0.001</v>
      </c>
      <c r="AJ1913" s="52" t="s">
        <v>164</v>
      </c>
      <c r="AK1913" s="52" t="s">
        <v>179</v>
      </c>
      <c r="AL1913" s="60" t="s">
        <v>129</v>
      </c>
      <c r="AM1913" s="55"/>
      <c r="AN1913" s="144">
        <v>156.0</v>
      </c>
      <c r="AO1913" s="144">
        <v>0.27</v>
      </c>
      <c r="AP1913" s="147" t="s">
        <v>208</v>
      </c>
      <c r="AQ1913" s="147" t="s">
        <v>1580</v>
      </c>
      <c r="AR1913" s="144">
        <v>0.001</v>
      </c>
      <c r="AS1913" s="147" t="s">
        <v>127</v>
      </c>
      <c r="AT1913" s="147" t="s">
        <v>179</v>
      </c>
      <c r="AU1913" s="60" t="s">
        <v>129</v>
      </c>
      <c r="AV1913" s="60"/>
      <c r="AW1913" s="60" t="s">
        <v>134</v>
      </c>
      <c r="AY1913" s="41" t="s">
        <v>11857</v>
      </c>
      <c r="AZ1913" s="178"/>
    </row>
    <row r="1914" ht="20.25" customHeight="1">
      <c r="A1914" s="115" t="s">
        <v>143</v>
      </c>
      <c r="B1914" s="41" t="s">
        <v>107</v>
      </c>
      <c r="C1914" s="41" t="s">
        <v>226</v>
      </c>
      <c r="E1914" s="60" t="s">
        <v>12176</v>
      </c>
      <c r="F1914" s="60" t="s">
        <v>12176</v>
      </c>
      <c r="G1914" s="147" t="s">
        <v>11025</v>
      </c>
      <c r="H1914" s="140">
        <v>45690.0</v>
      </c>
      <c r="I1914" s="60"/>
      <c r="J1914" s="147" t="s">
        <v>12177</v>
      </c>
      <c r="K1914" s="60"/>
      <c r="L1914" s="60" t="s">
        <v>12178</v>
      </c>
      <c r="M1914" s="60" t="s">
        <v>12179</v>
      </c>
      <c r="N1914" s="327">
        <v>1.0</v>
      </c>
      <c r="O1914" s="459" t="str">
        <f t="shared" si="103"/>
        <v>10.1257--aer.104.6.1735.pdf</v>
      </c>
      <c r="P1914" s="48" t="str">
        <f t="array" ref="P1914">HYPERLINK(INDEX('File Links'!B:B, MATCH(O1914, 'File Links'!C:C, 0)))
</f>
        <v>https://drive.google.com/file/d/1wDNXb0olz39__EV_LKeVH7NGHiDMCeB6/view?usp=drivesdk</v>
      </c>
      <c r="Q1914" s="1553" t="s">
        <v>11845</v>
      </c>
      <c r="R1914" s="60" t="s">
        <v>12180</v>
      </c>
      <c r="S1914" s="1528"/>
      <c r="T1914" s="327">
        <v>7.0</v>
      </c>
      <c r="U1914" s="847" t="s">
        <v>11847</v>
      </c>
      <c r="V1914" s="147" t="s">
        <v>11848</v>
      </c>
      <c r="W1914" s="1529" t="s">
        <v>12181</v>
      </c>
      <c r="X1914" s="60"/>
      <c r="Y1914" s="147" t="s">
        <v>1820</v>
      </c>
      <c r="Z1914" s="350" t="s">
        <v>165</v>
      </c>
      <c r="AA1914" s="139" t="s">
        <v>12182</v>
      </c>
      <c r="AB1914" s="147" t="s">
        <v>12183</v>
      </c>
      <c r="AC1914" s="139" t="s">
        <v>12184</v>
      </c>
      <c r="AD1914" s="147" t="s">
        <v>12185</v>
      </c>
      <c r="AE1914" s="144">
        <v>54.0</v>
      </c>
      <c r="AF1914" s="1554">
        <v>0.16</v>
      </c>
      <c r="AG1914" s="139" t="s">
        <v>11854</v>
      </c>
      <c r="AH1914" s="139" t="s">
        <v>12186</v>
      </c>
      <c r="AI1914" s="144">
        <v>0.01</v>
      </c>
      <c r="AJ1914" s="147" t="s">
        <v>164</v>
      </c>
      <c r="AK1914" s="147" t="s">
        <v>179</v>
      </c>
      <c r="AL1914" s="60" t="s">
        <v>129</v>
      </c>
      <c r="AM1914" s="60"/>
      <c r="AN1914" s="144">
        <v>96.0</v>
      </c>
      <c r="AO1914" s="149">
        <v>-0.03</v>
      </c>
      <c r="AP1914" s="139" t="s">
        <v>11854</v>
      </c>
      <c r="AQ1914" s="139" t="s">
        <v>210</v>
      </c>
      <c r="AR1914" s="144">
        <v>0.674</v>
      </c>
      <c r="AS1914" s="147" t="s">
        <v>164</v>
      </c>
      <c r="AT1914" s="147" t="s">
        <v>179</v>
      </c>
      <c r="AU1914" s="60" t="s">
        <v>129</v>
      </c>
      <c r="AV1914" s="410" t="s">
        <v>12187</v>
      </c>
      <c r="AW1914" s="60" t="s">
        <v>134</v>
      </c>
      <c r="AX1914" s="41" t="s">
        <v>12188</v>
      </c>
      <c r="AY1914" s="41" t="s">
        <v>11857</v>
      </c>
    </row>
    <row r="1915" ht="20.25" customHeight="1">
      <c r="A1915" s="41" t="s">
        <v>106</v>
      </c>
      <c r="B1915" s="40" t="s">
        <v>107</v>
      </c>
      <c r="C1915" s="41" t="s">
        <v>280</v>
      </c>
      <c r="E1915" s="60" t="s">
        <v>12176</v>
      </c>
      <c r="F1915" s="55" t="s">
        <v>12176</v>
      </c>
      <c r="G1915" s="147" t="s">
        <v>283</v>
      </c>
      <c r="H1915" s="140">
        <v>45662.0</v>
      </c>
      <c r="I1915" s="140">
        <v>45666.0</v>
      </c>
      <c r="J1915" s="147" t="s">
        <v>12189</v>
      </c>
      <c r="K1915" s="60"/>
      <c r="L1915" s="60" t="s">
        <v>12178</v>
      </c>
      <c r="M1915" s="60" t="s">
        <v>12179</v>
      </c>
      <c r="N1915" s="60"/>
      <c r="O1915" s="459" t="str">
        <f t="shared" si="103"/>
        <v>10.1257--aer.104.6.1735.pdf</v>
      </c>
      <c r="P1915" s="48" t="str">
        <f t="array" ref="P1915">HYPERLINK(INDEX('File Links'!B:B, MATCH(O1915, 'File Links'!C:C, 0)))
</f>
        <v>https://drive.google.com/file/d/1wDNXb0olz39__EV_LKeVH7NGHiDMCeB6/view?usp=drivesdk</v>
      </c>
      <c r="Q1915" s="470"/>
      <c r="R1915" s="60"/>
      <c r="S1915" s="60"/>
      <c r="T1915" s="60"/>
      <c r="U1915" s="990"/>
      <c r="V1915" s="147" t="s">
        <v>11860</v>
      </c>
      <c r="W1915" s="1541" t="str">
        <f t="array" ref="W1915">HYPERLINK(INDEX('File Links'!B:B, MATCH(O1915, 'File Links'!C:C, 0)))
</f>
        <v>https://drive.google.com/file/d/1wDNXb0olz39__EV_LKeVH7NGHiDMCeB6/view?usp=drivesdk</v>
      </c>
      <c r="X1915" s="60"/>
      <c r="Y1915" s="147" t="s">
        <v>1820</v>
      </c>
      <c r="Z1915" s="147" t="s">
        <v>12190</v>
      </c>
      <c r="AA1915" s="147" t="s">
        <v>12191</v>
      </c>
      <c r="AB1915" s="147" t="s">
        <v>12192</v>
      </c>
      <c r="AC1915" s="147" t="s">
        <v>12193</v>
      </c>
      <c r="AD1915" s="147" t="s">
        <v>12185</v>
      </c>
      <c r="AE1915" s="144">
        <v>56.0</v>
      </c>
      <c r="AF1915" s="1470">
        <v>2.039636127355425</v>
      </c>
      <c r="AG1915" s="147" t="s">
        <v>11983</v>
      </c>
      <c r="AH1915" s="147" t="s">
        <v>12194</v>
      </c>
      <c r="AI1915" s="646">
        <v>0.01</v>
      </c>
      <c r="AJ1915" s="52" t="s">
        <v>164</v>
      </c>
      <c r="AK1915" s="52" t="s">
        <v>128</v>
      </c>
      <c r="AL1915" s="60" t="s">
        <v>129</v>
      </c>
      <c r="AM1915" s="55"/>
      <c r="AN1915" s="144">
        <v>96.0</v>
      </c>
      <c r="AO1915" s="144">
        <v>-0.12</v>
      </c>
      <c r="AP1915" s="147" t="s">
        <v>208</v>
      </c>
      <c r="AQ1915" s="147" t="s">
        <v>1580</v>
      </c>
      <c r="AR1915" s="144">
        <v>0.674</v>
      </c>
      <c r="AS1915" s="147" t="s">
        <v>164</v>
      </c>
      <c r="AT1915" s="147" t="s">
        <v>179</v>
      </c>
      <c r="AU1915" s="60" t="s">
        <v>129</v>
      </c>
      <c r="AV1915" s="60"/>
      <c r="AW1915" s="60" t="s">
        <v>134</v>
      </c>
      <c r="AY1915" s="41" t="s">
        <v>11857</v>
      </c>
    </row>
    <row r="1916">
      <c r="A1916" s="115" t="s">
        <v>279</v>
      </c>
      <c r="B1916" s="41" t="s">
        <v>107</v>
      </c>
      <c r="C1916" s="41" t="s">
        <v>243</v>
      </c>
      <c r="E1916" s="147" t="s">
        <v>3762</v>
      </c>
      <c r="F1916" s="147" t="s">
        <v>3763</v>
      </c>
      <c r="G1916" s="147" t="s">
        <v>244</v>
      </c>
      <c r="H1916" s="140">
        <v>45782.0</v>
      </c>
      <c r="I1916" s="60"/>
      <c r="J1916" s="147" t="s">
        <v>12195</v>
      </c>
      <c r="K1916" s="147" t="s">
        <v>3765</v>
      </c>
      <c r="L1916" s="147" t="s">
        <v>12196</v>
      </c>
      <c r="M1916" s="147" t="s">
        <v>3767</v>
      </c>
      <c r="N1916" s="147" t="s">
        <v>3511</v>
      </c>
      <c r="O1916" s="145" t="s">
        <v>3768</v>
      </c>
      <c r="P1916" s="1557" t="str">
        <f> hyperlink(vlookup(lower(M1916),'File Links'!E:F, 2, FALSE), "LINK")</f>
        <v>LINK</v>
      </c>
      <c r="Q1916" s="147" t="s">
        <v>3769</v>
      </c>
      <c r="R1916" s="147" t="s">
        <v>3770</v>
      </c>
      <c r="S1916" s="60"/>
      <c r="T1916" s="147" t="s">
        <v>3771</v>
      </c>
      <c r="U1916" s="145" t="s">
        <v>3772</v>
      </c>
      <c r="V1916" s="147" t="s">
        <v>165</v>
      </c>
      <c r="W1916" s="1558" t="str">
        <f> hyperlink(vlookup(lower(R1916),'File Links'!E:F, 2, FALSE), "LINK")</f>
        <v>LINK</v>
      </c>
      <c r="X1916" s="60"/>
      <c r="Y1916" s="147" t="s">
        <v>220</v>
      </c>
      <c r="Z1916" s="147" t="s">
        <v>7920</v>
      </c>
      <c r="AA1916" s="147" t="s">
        <v>12197</v>
      </c>
      <c r="AB1916" s="147" t="s">
        <v>12198</v>
      </c>
      <c r="AC1916" s="147" t="s">
        <v>12199</v>
      </c>
      <c r="AD1916" s="147" t="s">
        <v>601</v>
      </c>
      <c r="AE1916" s="144">
        <v>30.0</v>
      </c>
      <c r="AF1916" s="147" t="s">
        <v>3777</v>
      </c>
      <c r="AG1916" s="147" t="s">
        <v>162</v>
      </c>
      <c r="AH1916" s="147" t="s">
        <v>12200</v>
      </c>
      <c r="AI1916" s="144">
        <v>0.01</v>
      </c>
      <c r="AJ1916" s="147" t="s">
        <v>127</v>
      </c>
      <c r="AK1916" s="147" t="s">
        <v>179</v>
      </c>
      <c r="AL1916" s="60" t="s">
        <v>129</v>
      </c>
      <c r="AM1916" s="147" t="s">
        <v>129</v>
      </c>
      <c r="AN1916" s="144">
        <v>31.0</v>
      </c>
      <c r="AO1916" s="144">
        <v>2.47</v>
      </c>
      <c r="AP1916" s="147" t="s">
        <v>1051</v>
      </c>
      <c r="AQ1916" s="147" t="s">
        <v>12201</v>
      </c>
      <c r="AR1916" s="144">
        <v>0.13</v>
      </c>
      <c r="AS1916" s="147" t="s">
        <v>164</v>
      </c>
      <c r="AT1916" s="147" t="s">
        <v>179</v>
      </c>
      <c r="AU1916" s="60" t="s">
        <v>129</v>
      </c>
      <c r="AV1916" s="60" t="s">
        <v>129</v>
      </c>
      <c r="AW1916" s="60" t="s">
        <v>134</v>
      </c>
    </row>
    <row r="1917">
      <c r="A1917" s="115" t="s">
        <v>279</v>
      </c>
      <c r="B1917" s="41" t="s">
        <v>107</v>
      </c>
      <c r="C1917" s="41" t="s">
        <v>243</v>
      </c>
      <c r="E1917" s="147" t="s">
        <v>3782</v>
      </c>
      <c r="F1917" s="147" t="s">
        <v>3783</v>
      </c>
      <c r="G1917" s="147" t="s">
        <v>244</v>
      </c>
      <c r="H1917" s="140">
        <v>45782.0</v>
      </c>
      <c r="I1917" s="60"/>
      <c r="J1917" s="147" t="s">
        <v>12195</v>
      </c>
      <c r="K1917" s="147" t="s">
        <v>3765</v>
      </c>
      <c r="L1917" s="147" t="s">
        <v>12196</v>
      </c>
      <c r="M1917" s="147" t="s">
        <v>3767</v>
      </c>
      <c r="N1917" s="147" t="s">
        <v>3511</v>
      </c>
      <c r="O1917" s="145" t="s">
        <v>3768</v>
      </c>
      <c r="P1917" s="1557" t="str">
        <f> hyperlink(vlookup(lower(M1917),'File Links'!E:F, 2, FALSE), "LINK")</f>
        <v>LINK</v>
      </c>
      <c r="Q1917" s="147" t="s">
        <v>3786</v>
      </c>
      <c r="R1917" s="147" t="s">
        <v>3770</v>
      </c>
      <c r="S1917" s="60"/>
      <c r="T1917" s="147" t="s">
        <v>3787</v>
      </c>
      <c r="U1917" s="145" t="s">
        <v>3772</v>
      </c>
      <c r="V1917" s="147" t="s">
        <v>165</v>
      </c>
      <c r="W1917" s="1558" t="str">
        <f> hyperlink(vlookup(lower(R1917),'File Links'!E:F, 2, FALSE), "LINK")</f>
        <v>LINK</v>
      </c>
      <c r="X1917" s="60"/>
      <c r="Y1917" s="147" t="s">
        <v>220</v>
      </c>
      <c r="Z1917" s="147" t="s">
        <v>7920</v>
      </c>
      <c r="AA1917" s="147" t="s">
        <v>12197</v>
      </c>
      <c r="AB1917" s="147" t="s">
        <v>12198</v>
      </c>
      <c r="AC1917" s="147" t="s">
        <v>12199</v>
      </c>
      <c r="AD1917" s="147" t="s">
        <v>601</v>
      </c>
      <c r="AE1917" s="144">
        <v>30.0</v>
      </c>
      <c r="AF1917" s="147" t="s">
        <v>3777</v>
      </c>
      <c r="AG1917" s="147" t="s">
        <v>162</v>
      </c>
      <c r="AH1917" s="147" t="s">
        <v>12200</v>
      </c>
      <c r="AI1917" s="144">
        <v>0.01</v>
      </c>
      <c r="AJ1917" s="147" t="s">
        <v>127</v>
      </c>
      <c r="AK1917" s="147" t="s">
        <v>179</v>
      </c>
      <c r="AL1917" s="60" t="s">
        <v>129</v>
      </c>
      <c r="AM1917" s="147" t="s">
        <v>129</v>
      </c>
      <c r="AN1917" s="144">
        <v>40.0</v>
      </c>
      <c r="AO1917" s="144">
        <v>6.77</v>
      </c>
      <c r="AP1917" s="147" t="s">
        <v>1051</v>
      </c>
      <c r="AQ1917" s="147" t="s">
        <v>12202</v>
      </c>
      <c r="AR1917" s="144">
        <v>0.01</v>
      </c>
      <c r="AS1917" s="147" t="s">
        <v>164</v>
      </c>
      <c r="AT1917" s="147" t="s">
        <v>179</v>
      </c>
      <c r="AU1917" s="60" t="s">
        <v>129</v>
      </c>
      <c r="AV1917" s="60" t="s">
        <v>129</v>
      </c>
      <c r="AW1917" s="60" t="s">
        <v>134</v>
      </c>
    </row>
    <row r="1918">
      <c r="A1918" s="115" t="s">
        <v>279</v>
      </c>
      <c r="B1918" s="41" t="s">
        <v>107</v>
      </c>
      <c r="C1918" s="41" t="s">
        <v>243</v>
      </c>
      <c r="E1918" s="60" t="s">
        <v>3792</v>
      </c>
      <c r="F1918" s="147" t="s">
        <v>3793</v>
      </c>
      <c r="G1918" s="147" t="s">
        <v>244</v>
      </c>
      <c r="H1918" s="140">
        <v>45782.0</v>
      </c>
      <c r="I1918" s="60"/>
      <c r="J1918" s="147" t="s">
        <v>12195</v>
      </c>
      <c r="K1918" s="147" t="s">
        <v>3765</v>
      </c>
      <c r="L1918" s="147" t="s">
        <v>12196</v>
      </c>
      <c r="M1918" s="147" t="s">
        <v>3767</v>
      </c>
      <c r="N1918" s="147" t="s">
        <v>3511</v>
      </c>
      <c r="O1918" s="145" t="s">
        <v>3768</v>
      </c>
      <c r="P1918" s="1557" t="str">
        <f> hyperlink(vlookup(lower(M1918),'File Links'!E:F, 2, FALSE), "LINK")</f>
        <v>LINK</v>
      </c>
      <c r="Q1918" s="147" t="s">
        <v>12203</v>
      </c>
      <c r="R1918" s="60"/>
      <c r="S1918" s="60"/>
      <c r="T1918" s="115">
        <v>2.0</v>
      </c>
      <c r="U1918" s="145" t="s">
        <v>351</v>
      </c>
      <c r="V1918" s="147" t="s">
        <v>155</v>
      </c>
      <c r="W1918" s="1559" t="str">
        <f> hyperlink(vlookup(lower(R1918),'File Links'!E:F, 2, FALSE), "LINK")</f>
        <v>LINK</v>
      </c>
      <c r="X1918" s="60"/>
      <c r="Y1918" s="147" t="s">
        <v>220</v>
      </c>
      <c r="Z1918" s="147" t="s">
        <v>7920</v>
      </c>
      <c r="AA1918" s="147" t="s">
        <v>12197</v>
      </c>
      <c r="AB1918" s="147" t="s">
        <v>12198</v>
      </c>
      <c r="AC1918" s="147" t="s">
        <v>12199</v>
      </c>
      <c r="AD1918" s="147" t="s">
        <v>601</v>
      </c>
      <c r="AE1918" s="144">
        <v>30.0</v>
      </c>
      <c r="AF1918" s="147" t="s">
        <v>3777</v>
      </c>
      <c r="AG1918" s="147" t="s">
        <v>162</v>
      </c>
      <c r="AH1918" s="147" t="s">
        <v>12200</v>
      </c>
      <c r="AI1918" s="144">
        <v>0.01</v>
      </c>
      <c r="AJ1918" s="147" t="s">
        <v>127</v>
      </c>
      <c r="AK1918" s="147" t="s">
        <v>179</v>
      </c>
      <c r="AL1918" s="60" t="s">
        <v>129</v>
      </c>
      <c r="AM1918" s="147" t="s">
        <v>129</v>
      </c>
      <c r="AN1918" s="144">
        <v>80.0</v>
      </c>
      <c r="AO1918" s="144">
        <v>0.08</v>
      </c>
      <c r="AP1918" s="147" t="s">
        <v>1785</v>
      </c>
      <c r="AQ1918" s="147" t="s">
        <v>12204</v>
      </c>
      <c r="AR1918" s="144">
        <v>0.06</v>
      </c>
      <c r="AS1918" s="147" t="s">
        <v>164</v>
      </c>
      <c r="AT1918" s="147" t="s">
        <v>179</v>
      </c>
      <c r="AU1918" s="60" t="s">
        <v>129</v>
      </c>
      <c r="AV1918" s="60" t="s">
        <v>129</v>
      </c>
      <c r="AW1918" s="60" t="s">
        <v>134</v>
      </c>
    </row>
    <row r="1919">
      <c r="A1919" s="115" t="s">
        <v>279</v>
      </c>
      <c r="B1919" s="41" t="s">
        <v>107</v>
      </c>
      <c r="C1919" s="41" t="s">
        <v>243</v>
      </c>
      <c r="E1919" s="60" t="s">
        <v>3800</v>
      </c>
      <c r="F1919" s="147" t="s">
        <v>3801</v>
      </c>
      <c r="G1919" s="147" t="s">
        <v>244</v>
      </c>
      <c r="H1919" s="140">
        <v>45782.0</v>
      </c>
      <c r="I1919" s="60"/>
      <c r="J1919" s="147" t="s">
        <v>12195</v>
      </c>
      <c r="K1919" s="147" t="s">
        <v>3765</v>
      </c>
      <c r="L1919" s="147" t="s">
        <v>12196</v>
      </c>
      <c r="M1919" s="147" t="s">
        <v>3767</v>
      </c>
      <c r="N1919" s="147" t="s">
        <v>3511</v>
      </c>
      <c r="O1919" s="145" t="s">
        <v>3768</v>
      </c>
      <c r="P1919" s="1557" t="str">
        <f> hyperlink(vlookup(lower(M1919),'File Links'!E:F, 2, FALSE), "LINK")</f>
        <v>LINK</v>
      </c>
      <c r="Q1919" s="147" t="s">
        <v>3804</v>
      </c>
      <c r="R1919" s="60"/>
      <c r="S1919" s="60"/>
      <c r="T1919" s="115">
        <v>1.0</v>
      </c>
      <c r="U1919" s="145" t="s">
        <v>351</v>
      </c>
      <c r="V1919" s="147" t="s">
        <v>12205</v>
      </c>
      <c r="W1919" s="1559" t="str">
        <f> hyperlink(vlookup(lower(R1919),'File Links'!E:F, 2, FALSE), "LINK")</f>
        <v>LINK</v>
      </c>
      <c r="X1919" s="60"/>
      <c r="Y1919" s="147" t="s">
        <v>220</v>
      </c>
      <c r="Z1919" s="147" t="s">
        <v>7920</v>
      </c>
      <c r="AA1919" s="147" t="s">
        <v>12197</v>
      </c>
      <c r="AB1919" s="147" t="s">
        <v>12198</v>
      </c>
      <c r="AC1919" s="147" t="s">
        <v>12199</v>
      </c>
      <c r="AD1919" s="147" t="s">
        <v>601</v>
      </c>
      <c r="AE1919" s="144">
        <v>30.0</v>
      </c>
      <c r="AF1919" s="147" t="s">
        <v>3777</v>
      </c>
      <c r="AG1919" s="147" t="s">
        <v>162</v>
      </c>
      <c r="AH1919" s="147" t="s">
        <v>12200</v>
      </c>
      <c r="AI1919" s="144">
        <v>0.01</v>
      </c>
      <c r="AJ1919" s="147" t="s">
        <v>127</v>
      </c>
      <c r="AK1919" s="147" t="s">
        <v>179</v>
      </c>
      <c r="AL1919" s="60" t="s">
        <v>129</v>
      </c>
      <c r="AM1919" s="147" t="s">
        <v>129</v>
      </c>
      <c r="AN1919" s="144">
        <v>66.0</v>
      </c>
      <c r="AO1919" s="147" t="s">
        <v>12206</v>
      </c>
      <c r="AP1919" s="147" t="s">
        <v>162</v>
      </c>
      <c r="AQ1919" s="147" t="s">
        <v>12207</v>
      </c>
      <c r="AR1919" s="144">
        <v>0.38</v>
      </c>
      <c r="AS1919" s="147" t="s">
        <v>164</v>
      </c>
      <c r="AT1919" s="147" t="s">
        <v>179</v>
      </c>
      <c r="AU1919" s="60" t="s">
        <v>129</v>
      </c>
      <c r="AV1919" s="60" t="s">
        <v>129</v>
      </c>
      <c r="AW1919" s="60" t="s">
        <v>134</v>
      </c>
    </row>
    <row r="1920">
      <c r="A1920" s="115" t="s">
        <v>279</v>
      </c>
      <c r="B1920" s="41" t="s">
        <v>107</v>
      </c>
      <c r="C1920" s="41" t="s">
        <v>243</v>
      </c>
      <c r="E1920" s="60" t="s">
        <v>3837</v>
      </c>
      <c r="F1920" s="147" t="s">
        <v>3838</v>
      </c>
      <c r="G1920" s="147" t="s">
        <v>244</v>
      </c>
      <c r="H1920" s="140">
        <v>45782.0</v>
      </c>
      <c r="I1920" s="60"/>
      <c r="J1920" s="147" t="s">
        <v>12195</v>
      </c>
      <c r="K1920" s="147" t="s">
        <v>3765</v>
      </c>
      <c r="L1920" s="147" t="s">
        <v>12196</v>
      </c>
      <c r="M1920" s="147" t="s">
        <v>3767</v>
      </c>
      <c r="N1920" s="147" t="s">
        <v>3511</v>
      </c>
      <c r="O1920" s="145" t="s">
        <v>3768</v>
      </c>
      <c r="P1920" s="1557" t="str">
        <f> hyperlink(vlookup(lower(M1920),'File Links'!E:F, 2, FALSE), "LINK")</f>
        <v>LINK</v>
      </c>
      <c r="Q1920" s="147" t="s">
        <v>3841</v>
      </c>
      <c r="R1920" s="147" t="s">
        <v>3842</v>
      </c>
      <c r="S1920" s="60"/>
      <c r="T1920" s="144">
        <v>1.0</v>
      </c>
      <c r="U1920" s="145" t="s">
        <v>3843</v>
      </c>
      <c r="V1920" s="147" t="s">
        <v>165</v>
      </c>
      <c r="W1920" s="1558" t="str">
        <f> hyperlink(vlookup(lower(R1920),'File Links'!E:F, 2, FALSE), "LINK")</f>
        <v>LINK</v>
      </c>
      <c r="X1920" s="60"/>
      <c r="Y1920" s="147" t="s">
        <v>220</v>
      </c>
      <c r="Z1920" s="147" t="s">
        <v>7920</v>
      </c>
      <c r="AA1920" s="147" t="s">
        <v>12197</v>
      </c>
      <c r="AB1920" s="147" t="s">
        <v>12198</v>
      </c>
      <c r="AC1920" s="147" t="s">
        <v>12199</v>
      </c>
      <c r="AD1920" s="147" t="s">
        <v>601</v>
      </c>
      <c r="AE1920" s="144">
        <v>30.0</v>
      </c>
      <c r="AF1920" s="147" t="s">
        <v>3777</v>
      </c>
      <c r="AG1920" s="147" t="s">
        <v>162</v>
      </c>
      <c r="AH1920" s="147" t="s">
        <v>12200</v>
      </c>
      <c r="AI1920" s="144">
        <v>0.01</v>
      </c>
      <c r="AJ1920" s="147" t="s">
        <v>127</v>
      </c>
      <c r="AK1920" s="147" t="s">
        <v>179</v>
      </c>
      <c r="AL1920" s="60" t="s">
        <v>132</v>
      </c>
      <c r="AM1920" s="147" t="s">
        <v>129</v>
      </c>
      <c r="AN1920" s="144">
        <v>120.0</v>
      </c>
      <c r="AO1920" s="144">
        <v>0.01</v>
      </c>
      <c r="AP1920" s="147" t="s">
        <v>130</v>
      </c>
      <c r="AQ1920" s="147" t="s">
        <v>12208</v>
      </c>
      <c r="AR1920" s="144">
        <v>0.05</v>
      </c>
      <c r="AS1920" s="147" t="s">
        <v>329</v>
      </c>
      <c r="AT1920" s="147" t="s">
        <v>179</v>
      </c>
      <c r="AU1920" s="60" t="s">
        <v>129</v>
      </c>
      <c r="AV1920" s="60" t="s">
        <v>129</v>
      </c>
      <c r="AW1920" s="60" t="s">
        <v>134</v>
      </c>
    </row>
    <row r="1921">
      <c r="A1921" s="115" t="s">
        <v>279</v>
      </c>
      <c r="B1921" s="41" t="s">
        <v>107</v>
      </c>
      <c r="C1921" s="41" t="s">
        <v>243</v>
      </c>
      <c r="E1921" s="60" t="s">
        <v>8425</v>
      </c>
      <c r="F1921" s="147" t="s">
        <v>12209</v>
      </c>
      <c r="G1921" s="147" t="s">
        <v>244</v>
      </c>
      <c r="H1921" s="140">
        <v>45782.0</v>
      </c>
      <c r="I1921" s="60"/>
      <c r="J1921" s="147" t="s">
        <v>12210</v>
      </c>
      <c r="K1921" s="147" t="s">
        <v>3765</v>
      </c>
      <c r="L1921" s="147" t="s">
        <v>12211</v>
      </c>
      <c r="M1921" s="147" t="s">
        <v>8429</v>
      </c>
      <c r="N1921" s="144">
        <v>1.0</v>
      </c>
      <c r="O1921" s="145" t="s">
        <v>8430</v>
      </c>
      <c r="P1921" s="1557" t="str">
        <f> hyperlink(vlookup(lower(M1921),'File Links'!E:F, 2, FALSE), "LINK")</f>
        <v>LINK</v>
      </c>
      <c r="Q1921" s="147" t="s">
        <v>8431</v>
      </c>
      <c r="R1921" s="147" t="s">
        <v>8432</v>
      </c>
      <c r="S1921" s="60"/>
      <c r="T1921" s="115">
        <v>1.0</v>
      </c>
      <c r="U1921" s="145" t="s">
        <v>8433</v>
      </c>
      <c r="V1921" s="147" t="s">
        <v>155</v>
      </c>
      <c r="W1921" s="1559" t="str">
        <f> hyperlink(vlookup(lower(R1921),'File Links'!E:F, 2, FALSE), "LINK")</f>
        <v>LINK</v>
      </c>
      <c r="X1921" s="60"/>
      <c r="Y1921" s="147" t="s">
        <v>220</v>
      </c>
      <c r="Z1921" s="147" t="s">
        <v>7920</v>
      </c>
      <c r="AA1921" s="147" t="s">
        <v>12212</v>
      </c>
      <c r="AB1921" s="147" t="s">
        <v>12198</v>
      </c>
      <c r="AC1921" s="147" t="s">
        <v>12213</v>
      </c>
      <c r="AD1921" s="147" t="s">
        <v>2748</v>
      </c>
      <c r="AE1921" s="144">
        <v>86.0</v>
      </c>
      <c r="AF1921" s="144">
        <v>6.4</v>
      </c>
      <c r="AG1921" s="147" t="s">
        <v>1051</v>
      </c>
      <c r="AH1921" s="147" t="s">
        <v>12214</v>
      </c>
      <c r="AI1921" s="144">
        <v>0.01</v>
      </c>
      <c r="AJ1921" s="147" t="s">
        <v>164</v>
      </c>
      <c r="AK1921" s="147" t="s">
        <v>179</v>
      </c>
      <c r="AL1921" s="60" t="s">
        <v>129</v>
      </c>
      <c r="AM1921" s="147" t="s">
        <v>129</v>
      </c>
      <c r="AN1921" s="144">
        <v>170.0</v>
      </c>
      <c r="AO1921" s="144">
        <v>0.07</v>
      </c>
      <c r="AP1921" s="147" t="s">
        <v>166</v>
      </c>
      <c r="AQ1921" s="147" t="s">
        <v>12215</v>
      </c>
      <c r="AR1921" s="144">
        <v>0.775</v>
      </c>
      <c r="AS1921" s="147" t="s">
        <v>164</v>
      </c>
      <c r="AT1921" s="147" t="s">
        <v>179</v>
      </c>
      <c r="AU1921" s="60" t="s">
        <v>132</v>
      </c>
      <c r="AV1921" s="60" t="s">
        <v>129</v>
      </c>
      <c r="AW1921" s="60" t="s">
        <v>134</v>
      </c>
    </row>
    <row r="1922">
      <c r="A1922" s="115" t="s">
        <v>279</v>
      </c>
      <c r="B1922" s="41" t="s">
        <v>107</v>
      </c>
      <c r="C1922" s="41" t="s">
        <v>243</v>
      </c>
      <c r="E1922" s="60" t="s">
        <v>8425</v>
      </c>
      <c r="F1922" s="147" t="s">
        <v>8426</v>
      </c>
      <c r="G1922" s="147" t="s">
        <v>244</v>
      </c>
      <c r="H1922" s="140">
        <v>45783.0</v>
      </c>
      <c r="I1922" s="60"/>
      <c r="J1922" s="147" t="s">
        <v>12210</v>
      </c>
      <c r="K1922" s="147" t="s">
        <v>3765</v>
      </c>
      <c r="L1922" s="147" t="s">
        <v>12211</v>
      </c>
      <c r="M1922" s="147" t="s">
        <v>8429</v>
      </c>
      <c r="N1922" s="144">
        <v>1.0</v>
      </c>
      <c r="O1922" s="145" t="s">
        <v>8430</v>
      </c>
      <c r="P1922" s="1557" t="str">
        <f> hyperlink(vlookup(lower(M1922),'File Links'!E:F, 2, FALSE), "LINK")</f>
        <v>LINK</v>
      </c>
      <c r="Q1922" s="147" t="s">
        <v>8431</v>
      </c>
      <c r="R1922" s="147" t="s">
        <v>8432</v>
      </c>
      <c r="S1922" s="60"/>
      <c r="T1922" s="115">
        <v>1.0</v>
      </c>
      <c r="U1922" s="145" t="s">
        <v>8433</v>
      </c>
      <c r="V1922" s="147" t="s">
        <v>155</v>
      </c>
      <c r="W1922" s="1559" t="str">
        <f> hyperlink(vlookup(lower(R1922),'File Links'!E:F, 2, FALSE), "LINK")</f>
        <v>LINK</v>
      </c>
      <c r="X1922" s="60"/>
      <c r="Y1922" s="147" t="s">
        <v>220</v>
      </c>
      <c r="Z1922" s="147" t="s">
        <v>7920</v>
      </c>
      <c r="AA1922" s="147" t="s">
        <v>12216</v>
      </c>
      <c r="AB1922" s="147" t="s">
        <v>12217</v>
      </c>
      <c r="AC1922" s="147" t="s">
        <v>8443</v>
      </c>
      <c r="AD1922" s="147" t="s">
        <v>2748</v>
      </c>
      <c r="AE1922" s="144">
        <v>86.0</v>
      </c>
      <c r="AF1922" s="144">
        <v>0.36</v>
      </c>
      <c r="AG1922" s="147" t="s">
        <v>1006</v>
      </c>
      <c r="AH1922" s="147" t="s">
        <v>12218</v>
      </c>
      <c r="AI1922" s="144">
        <v>3.0E-4</v>
      </c>
      <c r="AJ1922" s="147" t="s">
        <v>164</v>
      </c>
      <c r="AK1922" s="147" t="s">
        <v>179</v>
      </c>
      <c r="AL1922" s="60" t="s">
        <v>129</v>
      </c>
      <c r="AM1922" s="147" t="s">
        <v>129</v>
      </c>
      <c r="AN1922" s="144">
        <v>170.0</v>
      </c>
      <c r="AO1922" s="144">
        <v>0.19</v>
      </c>
      <c r="AP1922" s="147" t="s">
        <v>1006</v>
      </c>
      <c r="AQ1922" s="147" t="s">
        <v>12219</v>
      </c>
      <c r="AR1922" s="144">
        <v>0.001</v>
      </c>
      <c r="AS1922" s="147" t="s">
        <v>127</v>
      </c>
      <c r="AT1922" s="147" t="s">
        <v>179</v>
      </c>
      <c r="AU1922" s="60" t="s">
        <v>132</v>
      </c>
      <c r="AV1922" s="60" t="s">
        <v>129</v>
      </c>
      <c r="AW1922" s="60" t="s">
        <v>134</v>
      </c>
    </row>
    <row r="1923">
      <c r="A1923" s="115" t="s">
        <v>279</v>
      </c>
      <c r="B1923" s="41" t="s">
        <v>107</v>
      </c>
      <c r="C1923" s="41" t="s">
        <v>243</v>
      </c>
      <c r="E1923" s="60" t="s">
        <v>8425</v>
      </c>
      <c r="F1923" s="147" t="s">
        <v>8441</v>
      </c>
      <c r="G1923" s="147" t="s">
        <v>244</v>
      </c>
      <c r="H1923" s="140">
        <v>45783.0</v>
      </c>
      <c r="I1923" s="60"/>
      <c r="J1923" s="147" t="s">
        <v>12210</v>
      </c>
      <c r="K1923" s="147" t="s">
        <v>3765</v>
      </c>
      <c r="L1923" s="147" t="s">
        <v>12211</v>
      </c>
      <c r="M1923" s="147" t="s">
        <v>8429</v>
      </c>
      <c r="N1923" s="144">
        <v>1.0</v>
      </c>
      <c r="O1923" s="145" t="s">
        <v>8430</v>
      </c>
      <c r="P1923" s="1557" t="str">
        <f> hyperlink(vlookup(lower(M1923),'File Links'!E:F, 2, FALSE), "LINK")</f>
        <v>LINK</v>
      </c>
      <c r="Q1923" s="147" t="s">
        <v>8431</v>
      </c>
      <c r="R1923" s="147" t="s">
        <v>8432</v>
      </c>
      <c r="S1923" s="60"/>
      <c r="T1923" s="115">
        <v>1.0</v>
      </c>
      <c r="U1923" s="145" t="s">
        <v>8433</v>
      </c>
      <c r="V1923" s="147" t="s">
        <v>155</v>
      </c>
      <c r="W1923" s="1559" t="str">
        <f> hyperlink(vlookup(lower(R1923),'File Links'!E:F, 2, FALSE), "LINK")</f>
        <v>LINK</v>
      </c>
      <c r="X1923" s="60"/>
      <c r="Y1923" s="147" t="s">
        <v>220</v>
      </c>
      <c r="Z1923" s="147" t="s">
        <v>7920</v>
      </c>
      <c r="AA1923" s="147" t="s">
        <v>12220</v>
      </c>
      <c r="AB1923" s="147" t="s">
        <v>12217</v>
      </c>
      <c r="AC1923" s="147" t="s">
        <v>12221</v>
      </c>
      <c r="AD1923" s="147" t="s">
        <v>2748</v>
      </c>
      <c r="AE1923" s="144">
        <v>86.0</v>
      </c>
      <c r="AF1923" s="144">
        <v>1.06</v>
      </c>
      <c r="AG1923" s="147" t="s">
        <v>1051</v>
      </c>
      <c r="AH1923" s="147" t="s">
        <v>12222</v>
      </c>
      <c r="AI1923" s="144">
        <v>0.3</v>
      </c>
      <c r="AJ1923" s="147" t="s">
        <v>164</v>
      </c>
      <c r="AK1923" s="147" t="s">
        <v>179</v>
      </c>
      <c r="AL1923" s="60" t="s">
        <v>129</v>
      </c>
      <c r="AM1923" s="147" t="s">
        <v>129</v>
      </c>
      <c r="AN1923" s="144">
        <v>170.0</v>
      </c>
      <c r="AO1923" s="144">
        <v>0.24</v>
      </c>
      <c r="AP1923" s="147" t="s">
        <v>1051</v>
      </c>
      <c r="AQ1923" s="147" t="s">
        <v>12223</v>
      </c>
      <c r="AR1923" s="144">
        <v>0.625</v>
      </c>
      <c r="AS1923" s="147" t="s">
        <v>164</v>
      </c>
      <c r="AT1923" s="147" t="s">
        <v>179</v>
      </c>
      <c r="AU1923" s="60" t="s">
        <v>132</v>
      </c>
      <c r="AV1923" s="60" t="s">
        <v>129</v>
      </c>
      <c r="AW1923" s="60" t="s">
        <v>134</v>
      </c>
    </row>
    <row r="1924" hidden="1">
      <c r="A1924" s="115" t="s">
        <v>279</v>
      </c>
      <c r="B1924" s="41" t="s">
        <v>107</v>
      </c>
      <c r="C1924" s="41" t="s">
        <v>243</v>
      </c>
      <c r="E1924" s="60" t="s">
        <v>8475</v>
      </c>
      <c r="F1924" s="147" t="s">
        <v>8476</v>
      </c>
      <c r="G1924" s="147" t="s">
        <v>244</v>
      </c>
      <c r="H1924" s="140">
        <v>45782.0</v>
      </c>
      <c r="I1924" s="60"/>
      <c r="J1924" s="147" t="s">
        <v>12224</v>
      </c>
      <c r="K1924" s="147" t="s">
        <v>3765</v>
      </c>
      <c r="L1924" s="147" t="s">
        <v>8477</v>
      </c>
      <c r="M1924" s="147" t="s">
        <v>8429</v>
      </c>
      <c r="N1924" s="144">
        <v>3.0</v>
      </c>
      <c r="O1924" s="145" t="s">
        <v>8430</v>
      </c>
      <c r="P1924" s="1557" t="str">
        <f> hyperlink(vlookup(lower(M1924),'File Links'!E:F, 2, FALSE), "LINK")</f>
        <v>LINK</v>
      </c>
      <c r="Q1924" s="642" t="s">
        <v>12225</v>
      </c>
      <c r="R1924" s="60"/>
      <c r="S1924" s="60"/>
      <c r="T1924" s="60"/>
      <c r="U1924" s="145" t="s">
        <v>351</v>
      </c>
      <c r="V1924" s="60"/>
      <c r="W1924" s="1559" t="str">
        <f> hyperlink(vlookup(lower(R1924),'File Links'!E:F, 2, FALSE), "LINK")</f>
        <v>LINK</v>
      </c>
      <c r="X1924" s="1285" t="s">
        <v>12226</v>
      </c>
      <c r="Y1924" s="147" t="s">
        <v>220</v>
      </c>
      <c r="Z1924" s="147" t="s">
        <v>7920</v>
      </c>
      <c r="AA1924" s="147" t="s">
        <v>12227</v>
      </c>
      <c r="AB1924" s="147" t="s">
        <v>12217</v>
      </c>
      <c r="AC1924" s="147" t="s">
        <v>12228</v>
      </c>
      <c r="AD1924" s="147" t="s">
        <v>12229</v>
      </c>
      <c r="AE1924" s="144">
        <v>69.0</v>
      </c>
      <c r="AF1924" s="144">
        <v>4.07</v>
      </c>
      <c r="AG1924" s="147" t="s">
        <v>1051</v>
      </c>
      <c r="AH1924" s="147" t="s">
        <v>12230</v>
      </c>
      <c r="AI1924" s="144">
        <v>0.04</v>
      </c>
      <c r="AJ1924" s="147" t="s">
        <v>164</v>
      </c>
      <c r="AK1924" s="147" t="s">
        <v>179</v>
      </c>
      <c r="AL1924" s="60"/>
      <c r="AM1924" s="147" t="s">
        <v>129</v>
      </c>
      <c r="AN1924" s="60"/>
      <c r="AO1924" s="60"/>
      <c r="AP1924" s="60"/>
      <c r="AQ1924" s="60"/>
      <c r="AR1924" s="60"/>
      <c r="AS1924" s="60"/>
      <c r="AT1924" s="60"/>
      <c r="AU1924" s="60"/>
      <c r="AV1924" s="60"/>
      <c r="AW1924" s="60"/>
    </row>
    <row r="1925" hidden="1">
      <c r="A1925" s="115" t="s">
        <v>279</v>
      </c>
      <c r="B1925" s="41" t="s">
        <v>107</v>
      </c>
      <c r="C1925" s="41" t="s">
        <v>243</v>
      </c>
      <c r="E1925" s="60" t="s">
        <v>8475</v>
      </c>
      <c r="F1925" s="147" t="s">
        <v>12231</v>
      </c>
      <c r="G1925" s="147" t="s">
        <v>244</v>
      </c>
      <c r="H1925" s="140">
        <v>45783.0</v>
      </c>
      <c r="I1925" s="60"/>
      <c r="J1925" s="147" t="s">
        <v>12224</v>
      </c>
      <c r="K1925" s="147" t="s">
        <v>3765</v>
      </c>
      <c r="L1925" s="147" t="s">
        <v>8477</v>
      </c>
      <c r="M1925" s="147" t="s">
        <v>8429</v>
      </c>
      <c r="N1925" s="144">
        <v>3.0</v>
      </c>
      <c r="O1925" s="145" t="s">
        <v>8430</v>
      </c>
      <c r="P1925" s="1557" t="str">
        <f> hyperlink(vlookup(lower(M1925),'File Links'!E:F, 2, FALSE), "LINK")</f>
        <v>LINK</v>
      </c>
      <c r="Q1925" s="642" t="s">
        <v>12225</v>
      </c>
      <c r="R1925" s="60"/>
      <c r="S1925" s="60"/>
      <c r="T1925" s="60"/>
      <c r="U1925" s="506"/>
      <c r="V1925" s="60"/>
      <c r="W1925" s="1559" t="str">
        <f> hyperlink(vlookup(lower(R1925),'File Links'!E:F, 2, FALSE), "LINK")</f>
        <v>LINK</v>
      </c>
      <c r="X1925" s="1285" t="s">
        <v>12226</v>
      </c>
      <c r="Y1925" s="147" t="s">
        <v>220</v>
      </c>
      <c r="Z1925" s="147" t="s">
        <v>7920</v>
      </c>
      <c r="AA1925" s="147" t="s">
        <v>12232</v>
      </c>
      <c r="AB1925" s="60"/>
      <c r="AC1925" s="147" t="s">
        <v>12233</v>
      </c>
      <c r="AD1925" s="147" t="s">
        <v>210</v>
      </c>
      <c r="AE1925" s="144">
        <v>69.0</v>
      </c>
      <c r="AF1925" s="144">
        <v>-0.01</v>
      </c>
      <c r="AG1925" s="147" t="s">
        <v>1006</v>
      </c>
      <c r="AH1925" s="147" t="s">
        <v>12234</v>
      </c>
      <c r="AI1925" s="144">
        <v>0.9</v>
      </c>
      <c r="AJ1925" s="147" t="s">
        <v>164</v>
      </c>
      <c r="AK1925" s="147" t="s">
        <v>179</v>
      </c>
      <c r="AL1925" s="60"/>
      <c r="AM1925" s="147" t="s">
        <v>129</v>
      </c>
      <c r="AN1925" s="60"/>
      <c r="AO1925" s="60"/>
      <c r="AP1925" s="60"/>
      <c r="AQ1925" s="60"/>
      <c r="AR1925" s="60"/>
      <c r="AS1925" s="60"/>
      <c r="AT1925" s="60"/>
      <c r="AU1925" s="60"/>
      <c r="AV1925" s="60"/>
      <c r="AW1925" s="60"/>
    </row>
    <row r="1926" hidden="1">
      <c r="A1926" s="115" t="s">
        <v>279</v>
      </c>
      <c r="B1926" s="41" t="s">
        <v>107</v>
      </c>
      <c r="C1926" s="41" t="s">
        <v>243</v>
      </c>
      <c r="E1926" s="60" t="s">
        <v>8475</v>
      </c>
      <c r="F1926" s="147" t="s">
        <v>12235</v>
      </c>
      <c r="G1926" s="147" t="s">
        <v>244</v>
      </c>
      <c r="H1926" s="140">
        <v>45783.0</v>
      </c>
      <c r="I1926" s="60"/>
      <c r="J1926" s="147" t="s">
        <v>12224</v>
      </c>
      <c r="K1926" s="147" t="s">
        <v>3765</v>
      </c>
      <c r="L1926" s="147" t="s">
        <v>8477</v>
      </c>
      <c r="M1926" s="147" t="s">
        <v>8429</v>
      </c>
      <c r="N1926" s="144">
        <v>3.0</v>
      </c>
      <c r="O1926" s="145" t="s">
        <v>8430</v>
      </c>
      <c r="P1926" s="1557" t="str">
        <f> hyperlink(vlookup(lower(M1926),'File Links'!E:F, 2, FALSE), "LINK")</f>
        <v>LINK</v>
      </c>
      <c r="Q1926" s="642" t="s">
        <v>12225</v>
      </c>
      <c r="R1926" s="60"/>
      <c r="S1926" s="60"/>
      <c r="T1926" s="60"/>
      <c r="U1926" s="506"/>
      <c r="V1926" s="60"/>
      <c r="W1926" s="1559" t="str">
        <f> hyperlink(vlookup(lower(R1926),'File Links'!E:F, 2, FALSE), "LINK")</f>
        <v>LINK</v>
      </c>
      <c r="X1926" s="1285" t="s">
        <v>12226</v>
      </c>
      <c r="Y1926" s="147" t="s">
        <v>220</v>
      </c>
      <c r="Z1926" s="147" t="s">
        <v>7920</v>
      </c>
      <c r="AA1926" s="147" t="s">
        <v>12236</v>
      </c>
      <c r="AB1926" s="60"/>
      <c r="AC1926" s="147" t="s">
        <v>12221</v>
      </c>
      <c r="AD1926" s="60"/>
      <c r="AE1926" s="144">
        <v>69.0</v>
      </c>
      <c r="AF1926" s="144">
        <v>0.01</v>
      </c>
      <c r="AG1926" s="147" t="s">
        <v>1051</v>
      </c>
      <c r="AH1926" s="147" t="s">
        <v>12237</v>
      </c>
      <c r="AI1926" s="144">
        <v>0.9</v>
      </c>
      <c r="AJ1926" s="147" t="s">
        <v>164</v>
      </c>
      <c r="AK1926" s="147" t="s">
        <v>179</v>
      </c>
      <c r="AL1926" s="60"/>
      <c r="AM1926" s="147" t="s">
        <v>129</v>
      </c>
      <c r="AN1926" s="60"/>
      <c r="AO1926" s="60"/>
      <c r="AP1926" s="60"/>
      <c r="AQ1926" s="60"/>
      <c r="AR1926" s="60"/>
      <c r="AS1926" s="60"/>
      <c r="AT1926" s="60"/>
      <c r="AU1926" s="60"/>
      <c r="AV1926" s="60"/>
      <c r="AW1926" s="60"/>
    </row>
    <row r="1927">
      <c r="A1927" s="115" t="s">
        <v>279</v>
      </c>
      <c r="B1927" s="41" t="s">
        <v>107</v>
      </c>
      <c r="C1927" s="41" t="s">
        <v>243</v>
      </c>
      <c r="E1927" s="60" t="s">
        <v>8479</v>
      </c>
      <c r="F1927" s="147" t="s">
        <v>8480</v>
      </c>
      <c r="G1927" s="147" t="s">
        <v>244</v>
      </c>
      <c r="H1927" s="140">
        <v>45782.0</v>
      </c>
      <c r="I1927" s="60"/>
      <c r="J1927" s="147" t="s">
        <v>12238</v>
      </c>
      <c r="K1927" s="147" t="s">
        <v>3765</v>
      </c>
      <c r="L1927" s="147" t="s">
        <v>8477</v>
      </c>
      <c r="M1927" s="147" t="s">
        <v>8429</v>
      </c>
      <c r="N1927" s="144">
        <v>3.0</v>
      </c>
      <c r="O1927" s="145" t="s">
        <v>8430</v>
      </c>
      <c r="P1927" s="1557" t="str">
        <f> hyperlink(vlookup(lower(M1927),'File Links'!E:F, 2, FALSE), "LINK")</f>
        <v>LINK</v>
      </c>
      <c r="Q1927" s="147" t="s">
        <v>8481</v>
      </c>
      <c r="R1927" s="147" t="s">
        <v>8432</v>
      </c>
      <c r="S1927" s="60"/>
      <c r="T1927" s="115">
        <v>2.0</v>
      </c>
      <c r="U1927" s="145" t="s">
        <v>8433</v>
      </c>
      <c r="V1927" s="147" t="s">
        <v>155</v>
      </c>
      <c r="W1927" s="1559" t="str">
        <f> hyperlink(vlookup(lower(R1927),'File Links'!E:F, 2, FALSE), "LINK")</f>
        <v>LINK</v>
      </c>
      <c r="X1927" s="60"/>
      <c r="Y1927" s="147" t="s">
        <v>220</v>
      </c>
      <c r="Z1927" s="147" t="s">
        <v>7920</v>
      </c>
      <c r="AA1927" s="147" t="s">
        <v>12227</v>
      </c>
      <c r="AB1927" s="60"/>
      <c r="AC1927" s="147" t="s">
        <v>12228</v>
      </c>
      <c r="AD1927" s="147" t="s">
        <v>12229</v>
      </c>
      <c r="AE1927" s="144">
        <v>69.0</v>
      </c>
      <c r="AF1927" s="144">
        <v>4.07</v>
      </c>
      <c r="AG1927" s="147" t="s">
        <v>1051</v>
      </c>
      <c r="AH1927" s="147" t="s">
        <v>12230</v>
      </c>
      <c r="AI1927" s="144">
        <v>0.04</v>
      </c>
      <c r="AJ1927" s="147" t="s">
        <v>164</v>
      </c>
      <c r="AK1927" s="147" t="s">
        <v>179</v>
      </c>
      <c r="AL1927" s="60" t="s">
        <v>129</v>
      </c>
      <c r="AM1927" s="147" t="s">
        <v>129</v>
      </c>
      <c r="AN1927" s="144">
        <v>194.0</v>
      </c>
      <c r="AO1927" s="144">
        <v>0.05</v>
      </c>
      <c r="AP1927" s="147" t="s">
        <v>166</v>
      </c>
      <c r="AQ1927" s="147" t="s">
        <v>12239</v>
      </c>
      <c r="AR1927" s="144">
        <v>0.363</v>
      </c>
      <c r="AS1927" s="147" t="s">
        <v>164</v>
      </c>
      <c r="AT1927" s="147" t="s">
        <v>179</v>
      </c>
      <c r="AU1927" s="60" t="s">
        <v>132</v>
      </c>
      <c r="AV1927" s="60" t="s">
        <v>129</v>
      </c>
      <c r="AW1927" s="60" t="s">
        <v>134</v>
      </c>
    </row>
    <row r="1928">
      <c r="A1928" s="115" t="s">
        <v>279</v>
      </c>
      <c r="B1928" s="41" t="s">
        <v>107</v>
      </c>
      <c r="C1928" s="41" t="s">
        <v>243</v>
      </c>
      <c r="E1928" s="60" t="s">
        <v>8479</v>
      </c>
      <c r="F1928" s="147" t="s">
        <v>12240</v>
      </c>
      <c r="G1928" s="147" t="s">
        <v>244</v>
      </c>
      <c r="H1928" s="140">
        <v>45783.0</v>
      </c>
      <c r="I1928" s="60"/>
      <c r="J1928" s="147" t="s">
        <v>12238</v>
      </c>
      <c r="K1928" s="147" t="s">
        <v>3765</v>
      </c>
      <c r="L1928" s="147" t="s">
        <v>8477</v>
      </c>
      <c r="M1928" s="147" t="s">
        <v>8429</v>
      </c>
      <c r="N1928" s="144">
        <v>3.0</v>
      </c>
      <c r="O1928" s="145" t="s">
        <v>8430</v>
      </c>
      <c r="P1928" s="1557" t="str">
        <f> hyperlink(vlookup(lower(M1928),'File Links'!E:F, 2, FALSE), "LINK")</f>
        <v>LINK</v>
      </c>
      <c r="Q1928" s="147" t="s">
        <v>8481</v>
      </c>
      <c r="R1928" s="147" t="s">
        <v>8432</v>
      </c>
      <c r="S1928" s="60"/>
      <c r="T1928" s="115">
        <v>2.0</v>
      </c>
      <c r="U1928" s="145" t="s">
        <v>8433</v>
      </c>
      <c r="V1928" s="147" t="s">
        <v>155</v>
      </c>
      <c r="W1928" s="1559" t="str">
        <f> hyperlink(vlookup(lower(R1928),'File Links'!E:F, 2, FALSE), "LINK")</f>
        <v>LINK</v>
      </c>
      <c r="X1928" s="60"/>
      <c r="Y1928" s="147" t="s">
        <v>220</v>
      </c>
      <c r="Z1928" s="147" t="s">
        <v>7920</v>
      </c>
      <c r="AA1928" s="147" t="s">
        <v>12232</v>
      </c>
      <c r="AB1928" s="147" t="s">
        <v>12217</v>
      </c>
      <c r="AC1928" s="147" t="s">
        <v>12233</v>
      </c>
      <c r="AD1928" s="60"/>
      <c r="AE1928" s="144">
        <v>69.0</v>
      </c>
      <c r="AF1928" s="144">
        <v>-0.01</v>
      </c>
      <c r="AG1928" s="147" t="s">
        <v>1006</v>
      </c>
      <c r="AH1928" s="147" t="s">
        <v>12234</v>
      </c>
      <c r="AI1928" s="144">
        <v>0.9</v>
      </c>
      <c r="AJ1928" s="147" t="s">
        <v>164</v>
      </c>
      <c r="AK1928" s="147" t="s">
        <v>179</v>
      </c>
      <c r="AL1928" s="60" t="s">
        <v>129</v>
      </c>
      <c r="AM1928" s="147" t="s">
        <v>129</v>
      </c>
      <c r="AN1928" s="144">
        <v>290.0</v>
      </c>
      <c r="AO1928" s="144">
        <v>0.37</v>
      </c>
      <c r="AP1928" s="147" t="s">
        <v>1006</v>
      </c>
      <c r="AQ1928" s="147" t="s">
        <v>12241</v>
      </c>
      <c r="AR1928" s="144">
        <v>0.001</v>
      </c>
      <c r="AS1928" s="147" t="s">
        <v>127</v>
      </c>
      <c r="AT1928" s="147" t="s">
        <v>179</v>
      </c>
      <c r="AU1928" s="60" t="s">
        <v>132</v>
      </c>
      <c r="AV1928" s="60" t="s">
        <v>129</v>
      </c>
      <c r="AW1928" s="60" t="s">
        <v>134</v>
      </c>
    </row>
    <row r="1929">
      <c r="A1929" s="115" t="s">
        <v>279</v>
      </c>
      <c r="B1929" s="41" t="s">
        <v>107</v>
      </c>
      <c r="C1929" s="41" t="s">
        <v>243</v>
      </c>
      <c r="E1929" s="60" t="s">
        <v>8479</v>
      </c>
      <c r="F1929" s="147" t="s">
        <v>12242</v>
      </c>
      <c r="G1929" s="147" t="s">
        <v>244</v>
      </c>
      <c r="H1929" s="140">
        <v>45783.0</v>
      </c>
      <c r="I1929" s="60"/>
      <c r="J1929" s="147" t="s">
        <v>12238</v>
      </c>
      <c r="K1929" s="147" t="s">
        <v>3765</v>
      </c>
      <c r="L1929" s="147" t="s">
        <v>8477</v>
      </c>
      <c r="M1929" s="147" t="s">
        <v>8429</v>
      </c>
      <c r="N1929" s="144">
        <v>3.0</v>
      </c>
      <c r="O1929" s="145" t="s">
        <v>8430</v>
      </c>
      <c r="P1929" s="1557" t="str">
        <f> hyperlink(vlookup(lower(M1929),'File Links'!E:F, 2, FALSE), "LINK")</f>
        <v>LINK</v>
      </c>
      <c r="Q1929" s="147" t="s">
        <v>8481</v>
      </c>
      <c r="R1929" s="147" t="s">
        <v>8432</v>
      </c>
      <c r="S1929" s="60"/>
      <c r="T1929" s="115">
        <v>2.0</v>
      </c>
      <c r="U1929" s="145" t="s">
        <v>8433</v>
      </c>
      <c r="V1929" s="147" t="s">
        <v>155</v>
      </c>
      <c r="W1929" s="1559" t="str">
        <f> hyperlink(vlookup(lower(R1929),'File Links'!E:F, 2, FALSE), "LINK")</f>
        <v>LINK</v>
      </c>
      <c r="X1929" s="60"/>
      <c r="Y1929" s="147" t="s">
        <v>220</v>
      </c>
      <c r="Z1929" s="147" t="s">
        <v>7920</v>
      </c>
      <c r="AA1929" s="147" t="s">
        <v>12236</v>
      </c>
      <c r="AB1929" s="147" t="s">
        <v>12217</v>
      </c>
      <c r="AC1929" s="147" t="s">
        <v>12221</v>
      </c>
      <c r="AD1929" s="60"/>
      <c r="AE1929" s="144">
        <v>69.0</v>
      </c>
      <c r="AF1929" s="144">
        <v>0.01</v>
      </c>
      <c r="AG1929" s="147" t="s">
        <v>1051</v>
      </c>
      <c r="AH1929" s="147" t="s">
        <v>12237</v>
      </c>
      <c r="AI1929" s="144">
        <v>0.9</v>
      </c>
      <c r="AJ1929" s="147" t="s">
        <v>164</v>
      </c>
      <c r="AK1929" s="147" t="s">
        <v>179</v>
      </c>
      <c r="AL1929" s="60" t="s">
        <v>129</v>
      </c>
      <c r="AM1929" s="147" t="s">
        <v>129</v>
      </c>
      <c r="AN1929" s="144">
        <v>290.0</v>
      </c>
      <c r="AO1929" s="144">
        <v>0.67</v>
      </c>
      <c r="AP1929" s="147" t="s">
        <v>1051</v>
      </c>
      <c r="AQ1929" s="147" t="s">
        <v>12243</v>
      </c>
      <c r="AR1929" s="144">
        <v>0.412</v>
      </c>
      <c r="AS1929" s="147" t="s">
        <v>164</v>
      </c>
      <c r="AT1929" s="147" t="s">
        <v>179</v>
      </c>
      <c r="AU1929" s="60" t="s">
        <v>132</v>
      </c>
      <c r="AV1929" s="60" t="s">
        <v>129</v>
      </c>
      <c r="AW1929" s="60" t="s">
        <v>134</v>
      </c>
    </row>
    <row r="1930">
      <c r="A1930" s="115" t="s">
        <v>279</v>
      </c>
      <c r="B1930" s="41" t="s">
        <v>107</v>
      </c>
      <c r="C1930" s="41" t="s">
        <v>243</v>
      </c>
      <c r="E1930" s="60" t="s">
        <v>8482</v>
      </c>
      <c r="F1930" s="147" t="s">
        <v>8483</v>
      </c>
      <c r="G1930" s="147" t="s">
        <v>244</v>
      </c>
      <c r="H1930" s="140">
        <v>45782.0</v>
      </c>
      <c r="I1930" s="60"/>
      <c r="J1930" s="147" t="s">
        <v>12244</v>
      </c>
      <c r="K1930" s="147" t="s">
        <v>3765</v>
      </c>
      <c r="L1930" s="147" t="s">
        <v>8484</v>
      </c>
      <c r="M1930" s="147" t="s">
        <v>8429</v>
      </c>
      <c r="N1930" s="144">
        <v>5.0</v>
      </c>
      <c r="O1930" s="145" t="s">
        <v>8430</v>
      </c>
      <c r="P1930" s="1557" t="str">
        <f> hyperlink(vlookup(lower(M1930),'File Links'!E:F, 2, FALSE), "LINK")</f>
        <v>LINK</v>
      </c>
      <c r="Q1930" s="147" t="s">
        <v>8485</v>
      </c>
      <c r="R1930" s="147" t="s">
        <v>8432</v>
      </c>
      <c r="S1930" s="60"/>
      <c r="T1930" s="115">
        <v>3.0</v>
      </c>
      <c r="U1930" s="145" t="s">
        <v>8433</v>
      </c>
      <c r="V1930" s="147" t="s">
        <v>155</v>
      </c>
      <c r="W1930" s="1559" t="str">
        <f> hyperlink(vlookup(lower(R1930),'File Links'!E:F, 2, FALSE), "LINK")</f>
        <v>LINK</v>
      </c>
      <c r="X1930" s="60"/>
      <c r="Y1930" s="147" t="s">
        <v>220</v>
      </c>
      <c r="Z1930" s="147" t="s">
        <v>7920</v>
      </c>
      <c r="AA1930" s="147" t="s">
        <v>12245</v>
      </c>
      <c r="AB1930" s="147" t="s">
        <v>12217</v>
      </c>
      <c r="AC1930" s="147" t="s">
        <v>12246</v>
      </c>
      <c r="AD1930" s="147" t="s">
        <v>505</v>
      </c>
      <c r="AE1930" s="144">
        <v>356.0</v>
      </c>
      <c r="AF1930" s="144">
        <v>3.1</v>
      </c>
      <c r="AG1930" s="147" t="s">
        <v>1051</v>
      </c>
      <c r="AH1930" s="147" t="s">
        <v>12247</v>
      </c>
      <c r="AI1930" s="144">
        <v>0.04</v>
      </c>
      <c r="AJ1930" s="147" t="s">
        <v>164</v>
      </c>
      <c r="AK1930" s="147" t="s">
        <v>179</v>
      </c>
      <c r="AL1930" s="60" t="s">
        <v>129</v>
      </c>
      <c r="AM1930" s="147" t="s">
        <v>129</v>
      </c>
      <c r="AN1930" s="144">
        <v>370.0</v>
      </c>
      <c r="AO1930" s="144">
        <v>0.01</v>
      </c>
      <c r="AP1930" s="147" t="s">
        <v>166</v>
      </c>
      <c r="AQ1930" s="147" t="s">
        <v>12248</v>
      </c>
      <c r="AR1930" s="144">
        <v>0.775</v>
      </c>
      <c r="AS1930" s="147" t="s">
        <v>164</v>
      </c>
      <c r="AT1930" s="147" t="s">
        <v>179</v>
      </c>
      <c r="AU1930" s="60" t="s">
        <v>132</v>
      </c>
      <c r="AV1930" s="60" t="s">
        <v>129</v>
      </c>
      <c r="AW1930" s="60" t="s">
        <v>134</v>
      </c>
    </row>
    <row r="1931">
      <c r="A1931" s="115" t="s">
        <v>279</v>
      </c>
      <c r="B1931" s="41" t="s">
        <v>107</v>
      </c>
      <c r="C1931" s="41" t="s">
        <v>243</v>
      </c>
      <c r="E1931" s="60" t="s">
        <v>8482</v>
      </c>
      <c r="F1931" s="147" t="s">
        <v>12249</v>
      </c>
      <c r="G1931" s="147" t="s">
        <v>244</v>
      </c>
      <c r="H1931" s="140">
        <v>45783.0</v>
      </c>
      <c r="I1931" s="60"/>
      <c r="J1931" s="147" t="s">
        <v>12244</v>
      </c>
      <c r="K1931" s="147" t="s">
        <v>3765</v>
      </c>
      <c r="L1931" s="147" t="s">
        <v>8484</v>
      </c>
      <c r="M1931" s="147" t="s">
        <v>8429</v>
      </c>
      <c r="N1931" s="144">
        <v>5.0</v>
      </c>
      <c r="O1931" s="145" t="s">
        <v>8430</v>
      </c>
      <c r="P1931" s="1557" t="str">
        <f> hyperlink(vlookup(lower(M1931),'File Links'!E:F, 2, FALSE), "LINK")</f>
        <v>LINK</v>
      </c>
      <c r="Q1931" s="147" t="s">
        <v>8485</v>
      </c>
      <c r="R1931" s="147" t="s">
        <v>8432</v>
      </c>
      <c r="S1931" s="60"/>
      <c r="T1931" s="115">
        <v>3.0</v>
      </c>
      <c r="U1931" s="145" t="s">
        <v>8433</v>
      </c>
      <c r="V1931" s="147" t="s">
        <v>155</v>
      </c>
      <c r="W1931" s="1559" t="str">
        <f> hyperlink(vlookup(lower(R1931),'File Links'!E:F, 2, FALSE), "LINK")</f>
        <v>LINK</v>
      </c>
      <c r="X1931" s="60"/>
      <c r="Y1931" s="147" t="s">
        <v>220</v>
      </c>
      <c r="Z1931" s="147" t="s">
        <v>7920</v>
      </c>
      <c r="AA1931" s="147" t="s">
        <v>12250</v>
      </c>
      <c r="AB1931" s="147" t="s">
        <v>12217</v>
      </c>
      <c r="AC1931" s="147" t="s">
        <v>12246</v>
      </c>
      <c r="AD1931" s="147" t="s">
        <v>505</v>
      </c>
      <c r="AE1931" s="144">
        <v>356.0</v>
      </c>
      <c r="AF1931" s="144">
        <v>0.28</v>
      </c>
      <c r="AG1931" s="147" t="s">
        <v>1006</v>
      </c>
      <c r="AH1931" s="147" t="s">
        <v>12251</v>
      </c>
      <c r="AI1931" s="144">
        <v>0.001</v>
      </c>
      <c r="AJ1931" s="147" t="s">
        <v>127</v>
      </c>
      <c r="AK1931" s="147" t="s">
        <v>179</v>
      </c>
      <c r="AL1931" s="60" t="s">
        <v>129</v>
      </c>
      <c r="AM1931" s="147" t="s">
        <v>129</v>
      </c>
      <c r="AN1931" s="144">
        <v>370.0</v>
      </c>
      <c r="AO1931" s="144">
        <v>139.37</v>
      </c>
      <c r="AP1931" s="147" t="s">
        <v>1051</v>
      </c>
      <c r="AQ1931" s="147" t="s">
        <v>12252</v>
      </c>
      <c r="AR1931" s="144">
        <v>0.001</v>
      </c>
      <c r="AS1931" s="147" t="s">
        <v>127</v>
      </c>
      <c r="AT1931" s="147" t="s">
        <v>179</v>
      </c>
      <c r="AU1931" s="60" t="s">
        <v>132</v>
      </c>
      <c r="AV1931" s="60" t="s">
        <v>129</v>
      </c>
      <c r="AW1931" s="60" t="s">
        <v>134</v>
      </c>
    </row>
    <row r="1932">
      <c r="A1932" s="115" t="s">
        <v>279</v>
      </c>
      <c r="B1932" s="41" t="s">
        <v>107</v>
      </c>
      <c r="C1932" s="41" t="s">
        <v>243</v>
      </c>
      <c r="E1932" s="60" t="s">
        <v>8482</v>
      </c>
      <c r="F1932" s="147" t="s">
        <v>12253</v>
      </c>
      <c r="G1932" s="147" t="s">
        <v>244</v>
      </c>
      <c r="H1932" s="140">
        <v>45783.0</v>
      </c>
      <c r="I1932" s="60"/>
      <c r="J1932" s="147" t="s">
        <v>12244</v>
      </c>
      <c r="K1932" s="147" t="s">
        <v>3765</v>
      </c>
      <c r="L1932" s="147" t="s">
        <v>8484</v>
      </c>
      <c r="M1932" s="147" t="s">
        <v>8429</v>
      </c>
      <c r="N1932" s="144">
        <v>5.0</v>
      </c>
      <c r="O1932" s="145" t="s">
        <v>8430</v>
      </c>
      <c r="P1932" s="1557" t="str">
        <f> hyperlink(vlookup(lower(M1932),'File Links'!E:F, 2, FALSE), "LINK")</f>
        <v>LINK</v>
      </c>
      <c r="Q1932" s="147" t="s">
        <v>8485</v>
      </c>
      <c r="R1932" s="147" t="s">
        <v>8432</v>
      </c>
      <c r="S1932" s="60"/>
      <c r="T1932" s="115">
        <v>3.0</v>
      </c>
      <c r="U1932" s="145" t="s">
        <v>8433</v>
      </c>
      <c r="V1932" s="147" t="s">
        <v>155</v>
      </c>
      <c r="W1932" s="1559" t="str">
        <f> hyperlink(vlookup(lower(R1932),'File Links'!E:F, 2, FALSE), "LINK")</f>
        <v>LINK</v>
      </c>
      <c r="X1932" s="60"/>
      <c r="Y1932" s="147" t="s">
        <v>220</v>
      </c>
      <c r="Z1932" s="147" t="s">
        <v>7920</v>
      </c>
      <c r="AA1932" s="147" t="s">
        <v>12254</v>
      </c>
      <c r="AB1932" s="147" t="s">
        <v>12217</v>
      </c>
      <c r="AC1932" s="147" t="s">
        <v>12246</v>
      </c>
      <c r="AD1932" s="147" t="s">
        <v>505</v>
      </c>
      <c r="AE1932" s="144">
        <v>356.0</v>
      </c>
      <c r="AF1932" s="144">
        <v>1.37</v>
      </c>
      <c r="AG1932" s="147" t="s">
        <v>1051</v>
      </c>
      <c r="AH1932" s="147" t="s">
        <v>12255</v>
      </c>
      <c r="AI1932" s="144">
        <v>0.25</v>
      </c>
      <c r="AJ1932" s="147" t="s">
        <v>164</v>
      </c>
      <c r="AK1932" s="147" t="s">
        <v>179</v>
      </c>
      <c r="AL1932" s="60" t="s">
        <v>129</v>
      </c>
      <c r="AM1932" s="147" t="s">
        <v>129</v>
      </c>
      <c r="AN1932" s="144">
        <v>370.0</v>
      </c>
      <c r="AO1932" s="144">
        <v>4.06</v>
      </c>
      <c r="AP1932" s="147" t="s">
        <v>1051</v>
      </c>
      <c r="AQ1932" s="147" t="s">
        <v>12256</v>
      </c>
      <c r="AR1932" s="144">
        <v>0.045</v>
      </c>
      <c r="AS1932" s="147" t="s">
        <v>164</v>
      </c>
      <c r="AT1932" s="147" t="s">
        <v>179</v>
      </c>
      <c r="AU1932" s="60" t="s">
        <v>132</v>
      </c>
      <c r="AV1932" s="60" t="s">
        <v>129</v>
      </c>
      <c r="AW1932" s="60" t="s">
        <v>134</v>
      </c>
    </row>
    <row r="1933">
      <c r="A1933" s="115" t="s">
        <v>279</v>
      </c>
      <c r="B1933" s="41" t="s">
        <v>107</v>
      </c>
      <c r="C1933" s="41" t="s">
        <v>243</v>
      </c>
      <c r="E1933" s="60" t="s">
        <v>8486</v>
      </c>
      <c r="F1933" s="147" t="s">
        <v>8487</v>
      </c>
      <c r="G1933" s="147" t="s">
        <v>244</v>
      </c>
      <c r="H1933" s="140">
        <v>45783.0</v>
      </c>
      <c r="I1933" s="60"/>
      <c r="J1933" s="147" t="s">
        <v>12257</v>
      </c>
      <c r="K1933" s="147" t="s">
        <v>3765</v>
      </c>
      <c r="L1933" s="147" t="s">
        <v>8489</v>
      </c>
      <c r="M1933" s="147" t="s">
        <v>12258</v>
      </c>
      <c r="N1933" s="60"/>
      <c r="O1933" s="145" t="s">
        <v>8491</v>
      </c>
      <c r="P1933" s="1557" t="str">
        <f> hyperlink(vlookup(lower(M1933),'File Links'!E:F, 2, FALSE), "LINK")</f>
        <v>LINK</v>
      </c>
      <c r="Q1933" s="147" t="s">
        <v>12259</v>
      </c>
      <c r="R1933" s="147" t="s">
        <v>8493</v>
      </c>
      <c r="S1933" s="60"/>
      <c r="T1933" s="115">
        <v>1.0</v>
      </c>
      <c r="U1933" s="145" t="s">
        <v>8494</v>
      </c>
      <c r="V1933" s="147" t="s">
        <v>155</v>
      </c>
      <c r="W1933" s="1558" t="str">
        <f> hyperlink(vlookup(lower(R1933),'File Links'!E:F, 2, FALSE), "LINK")</f>
        <v>LINK</v>
      </c>
      <c r="X1933" s="60"/>
      <c r="Y1933" s="147" t="s">
        <v>203</v>
      </c>
      <c r="Z1933" s="147" t="s">
        <v>3718</v>
      </c>
      <c r="AA1933" s="139" t="s">
        <v>12260</v>
      </c>
      <c r="AB1933" s="147" t="s">
        <v>12261</v>
      </c>
      <c r="AC1933" s="147" t="s">
        <v>12262</v>
      </c>
      <c r="AD1933" s="147" t="s">
        <v>494</v>
      </c>
      <c r="AE1933" s="144">
        <v>65.0</v>
      </c>
      <c r="AF1933" s="144">
        <v>0.21</v>
      </c>
      <c r="AG1933" s="147" t="s">
        <v>1785</v>
      </c>
      <c r="AH1933" s="147" t="s">
        <v>12263</v>
      </c>
      <c r="AI1933" s="1492">
        <v>0.001</v>
      </c>
      <c r="AJ1933" s="147" t="s">
        <v>127</v>
      </c>
      <c r="AK1933" s="147" t="s">
        <v>179</v>
      </c>
      <c r="AL1933" s="60" t="s">
        <v>129</v>
      </c>
      <c r="AM1933" s="147" t="s">
        <v>129</v>
      </c>
      <c r="AN1933" s="144">
        <v>70.0</v>
      </c>
      <c r="AO1933" s="144">
        <v>0.2</v>
      </c>
      <c r="AP1933" s="147" t="s">
        <v>1785</v>
      </c>
      <c r="AQ1933" s="147" t="s">
        <v>12264</v>
      </c>
      <c r="AR1933" s="144">
        <v>0.29</v>
      </c>
      <c r="AS1933" s="147" t="s">
        <v>164</v>
      </c>
      <c r="AT1933" s="147" t="s">
        <v>179</v>
      </c>
      <c r="AU1933" s="60" t="s">
        <v>129</v>
      </c>
      <c r="AV1933" s="60" t="s">
        <v>129</v>
      </c>
      <c r="AW1933" s="60" t="s">
        <v>134</v>
      </c>
    </row>
    <row r="1934">
      <c r="A1934" s="115" t="s">
        <v>279</v>
      </c>
      <c r="B1934" s="41" t="s">
        <v>107</v>
      </c>
      <c r="C1934" s="41" t="s">
        <v>3672</v>
      </c>
      <c r="E1934" s="147" t="s">
        <v>2841</v>
      </c>
      <c r="F1934" s="147" t="s">
        <v>2842</v>
      </c>
      <c r="G1934" s="147" t="s">
        <v>12265</v>
      </c>
      <c r="H1934" s="140">
        <v>45473.0</v>
      </c>
      <c r="I1934" s="140">
        <v>45681.0</v>
      </c>
      <c r="J1934" s="147" t="s">
        <v>12266</v>
      </c>
      <c r="K1934" s="60"/>
      <c r="L1934" s="303" t="s">
        <v>12267</v>
      </c>
      <c r="M1934" s="147" t="s">
        <v>2845</v>
      </c>
      <c r="N1934" s="60"/>
      <c r="O1934" s="459" t="s">
        <v>2847</v>
      </c>
      <c r="P1934" s="1560" t="str">
        <f>HYPERLINK(VLOOKUP(LOWER(M1934),'File Links'!E:F, 2, FALSE), "LINK")</f>
        <v>LINK</v>
      </c>
      <c r="Q1934" s="147" t="s">
        <v>2848</v>
      </c>
      <c r="R1934" s="147" t="s">
        <v>2849</v>
      </c>
      <c r="S1934" s="60"/>
      <c r="T1934" s="60"/>
      <c r="U1934" s="459" t="s">
        <v>2850</v>
      </c>
      <c r="V1934" s="147" t="s">
        <v>1138</v>
      </c>
      <c r="W1934" s="1559" t="str">
        <f>HYPERLINK(VLOOKUP(LOWER(R1934),'File Links'!E:F, 2, FALSE), "LINK")</f>
        <v>LINK</v>
      </c>
      <c r="X1934" s="60"/>
      <c r="Y1934" s="147" t="s">
        <v>121</v>
      </c>
      <c r="Z1934" s="329"/>
      <c r="AA1934" s="147" t="s">
        <v>12268</v>
      </c>
      <c r="AB1934" s="60"/>
      <c r="AC1934" s="147" t="s">
        <v>12269</v>
      </c>
      <c r="AD1934" s="144">
        <v>2.0</v>
      </c>
      <c r="AE1934" s="144">
        <v>1065444.0</v>
      </c>
      <c r="AF1934" s="60"/>
      <c r="AG1934" s="60"/>
      <c r="AH1934" s="147" t="s">
        <v>886</v>
      </c>
      <c r="AI1934" s="147" t="s">
        <v>165</v>
      </c>
      <c r="AJ1934" s="60"/>
      <c r="AK1934" s="60"/>
      <c r="AL1934" s="60"/>
      <c r="AM1934" s="60"/>
      <c r="AN1934" s="144">
        <v>258786.0</v>
      </c>
      <c r="AO1934" s="60"/>
      <c r="AP1934" s="60"/>
      <c r="AQ1934" s="60"/>
      <c r="AR1934" s="60"/>
      <c r="AS1934" s="60"/>
      <c r="AT1934" s="60"/>
      <c r="AU1934" s="60"/>
      <c r="AV1934" s="60"/>
      <c r="AW1934" s="60" t="s">
        <v>134</v>
      </c>
    </row>
    <row r="1935">
      <c r="A1935" s="115" t="s">
        <v>279</v>
      </c>
      <c r="B1935" s="41" t="s">
        <v>107</v>
      </c>
      <c r="C1935" s="41" t="s">
        <v>3672</v>
      </c>
      <c r="E1935" s="147" t="s">
        <v>2855</v>
      </c>
      <c r="F1935" s="147" t="s">
        <v>2856</v>
      </c>
      <c r="G1935" s="147" t="s">
        <v>12270</v>
      </c>
      <c r="H1935" s="140">
        <v>45473.0</v>
      </c>
      <c r="I1935" s="140">
        <v>45681.0</v>
      </c>
      <c r="J1935" s="60" t="s">
        <v>12266</v>
      </c>
      <c r="K1935" s="60"/>
      <c r="L1935" s="147" t="s">
        <v>2857</v>
      </c>
      <c r="M1935" s="147" t="s">
        <v>2858</v>
      </c>
      <c r="N1935" s="60"/>
      <c r="O1935" s="459" t="s">
        <v>2859</v>
      </c>
      <c r="P1935" s="1560" t="str">
        <f>HYPERLINK(VLOOKUP(LOWER(M1935),'File Links'!E:F, 2, FALSE), "LINK")</f>
        <v>LINK</v>
      </c>
      <c r="Q1935" s="147" t="s">
        <v>2848</v>
      </c>
      <c r="R1935" s="147" t="s">
        <v>2849</v>
      </c>
      <c r="S1935" s="60"/>
      <c r="T1935" s="60"/>
      <c r="U1935" s="459" t="s">
        <v>2850</v>
      </c>
      <c r="V1935" s="147" t="s">
        <v>1138</v>
      </c>
      <c r="W1935" s="1559" t="str">
        <f>HYPERLINK(VLOOKUP(LOWER(R1935),'File Links'!E:F, 2, FALSE), "LINK")</f>
        <v>LINK</v>
      </c>
      <c r="X1935" s="60"/>
      <c r="Y1935" s="147" t="s">
        <v>121</v>
      </c>
      <c r="Z1935" s="60"/>
      <c r="AA1935" s="147" t="s">
        <v>12271</v>
      </c>
      <c r="AB1935" s="115"/>
      <c r="AC1935" s="147" t="s">
        <v>12272</v>
      </c>
      <c r="AD1935" s="147" t="s">
        <v>12273</v>
      </c>
      <c r="AE1935" s="144">
        <v>4300000.0</v>
      </c>
      <c r="AF1935" s="60"/>
      <c r="AG1935" s="60"/>
      <c r="AH1935" s="147" t="s">
        <v>12274</v>
      </c>
      <c r="AI1935" s="147" t="s">
        <v>165</v>
      </c>
      <c r="AJ1935" s="60"/>
      <c r="AK1935" s="60"/>
      <c r="AL1935" s="60"/>
      <c r="AM1935" s="60"/>
      <c r="AN1935" s="144">
        <v>258786.0</v>
      </c>
      <c r="AO1935" s="60"/>
      <c r="AP1935" s="60"/>
      <c r="AQ1935" s="60"/>
      <c r="AR1935" s="60"/>
      <c r="AS1935" s="60"/>
      <c r="AT1935" s="60"/>
      <c r="AU1935" s="60"/>
      <c r="AV1935" s="60"/>
      <c r="AW1935" s="60" t="s">
        <v>134</v>
      </c>
    </row>
    <row r="1936">
      <c r="A1936" s="115" t="s">
        <v>279</v>
      </c>
      <c r="B1936" s="41" t="s">
        <v>107</v>
      </c>
      <c r="C1936" s="41" t="s">
        <v>3672</v>
      </c>
      <c r="E1936" s="1561" t="s">
        <v>2862</v>
      </c>
      <c r="F1936" s="992" t="s">
        <v>2863</v>
      </c>
      <c r="G1936" s="992" t="s">
        <v>12270</v>
      </c>
      <c r="H1936" s="1562">
        <v>45473.0</v>
      </c>
      <c r="I1936" s="1562">
        <v>45695.0</v>
      </c>
      <c r="J1936" s="992" t="s">
        <v>12275</v>
      </c>
      <c r="K1936" s="1561"/>
      <c r="L1936" s="992" t="s">
        <v>2865</v>
      </c>
      <c r="M1936" s="992" t="s">
        <v>2866</v>
      </c>
      <c r="N1936" s="1561"/>
      <c r="O1936" s="992" t="s">
        <v>2867</v>
      </c>
      <c r="P1936" s="1563" t="str">
        <f>HYPERLINK(VLOOKUP(LOWER(M1936),'File Links'!E:F, 2, FALSE), "LINK")</f>
        <v>LINK</v>
      </c>
      <c r="Q1936" s="992" t="s">
        <v>2868</v>
      </c>
      <c r="R1936" s="992" t="s">
        <v>2869</v>
      </c>
      <c r="S1936" s="1561"/>
      <c r="T1936" s="1561"/>
      <c r="U1936" s="992" t="s">
        <v>2870</v>
      </c>
      <c r="V1936" s="992" t="s">
        <v>202</v>
      </c>
      <c r="W1936" s="1564" t="str">
        <f>HYPERLINK(VLOOKUP(LOWER(R1936),'File Links'!E:F, 2, FALSE), "LINK")</f>
        <v>LINK</v>
      </c>
      <c r="X1936" s="1561"/>
      <c r="Y1936" s="992" t="s">
        <v>121</v>
      </c>
      <c r="Z1936" s="992" t="s">
        <v>12276</v>
      </c>
      <c r="AA1936" s="992" t="s">
        <v>12277</v>
      </c>
      <c r="AB1936" s="992" t="s">
        <v>12278</v>
      </c>
      <c r="AC1936" s="992" t="s">
        <v>12279</v>
      </c>
      <c r="AD1936" s="992" t="s">
        <v>12280</v>
      </c>
      <c r="AE1936" s="1565">
        <v>50.0</v>
      </c>
      <c r="AF1936" s="992" t="s">
        <v>12281</v>
      </c>
      <c r="AG1936" s="1561"/>
      <c r="AH1936" s="992" t="s">
        <v>432</v>
      </c>
      <c r="AI1936" s="1565">
        <v>0.01</v>
      </c>
      <c r="AJ1936" s="992" t="s">
        <v>164</v>
      </c>
      <c r="AK1936" s="992" t="s">
        <v>179</v>
      </c>
      <c r="AL1936" s="1561" t="s">
        <v>132</v>
      </c>
      <c r="AM1936" s="1561"/>
      <c r="AN1936" s="1565">
        <v>152.0</v>
      </c>
      <c r="AO1936" s="992" t="s">
        <v>12282</v>
      </c>
      <c r="AP1936" s="992" t="s">
        <v>162</v>
      </c>
      <c r="AQ1936" s="992" t="s">
        <v>12283</v>
      </c>
      <c r="AR1936" s="1565">
        <v>0.444</v>
      </c>
      <c r="AS1936" s="992" t="s">
        <v>164</v>
      </c>
      <c r="AT1936" s="992" t="s">
        <v>179</v>
      </c>
      <c r="AU1936" s="1561" t="s">
        <v>132</v>
      </c>
      <c r="AV1936" s="1566" t="s">
        <v>12284</v>
      </c>
      <c r="AW1936" s="1561" t="s">
        <v>142</v>
      </c>
    </row>
    <row r="1937">
      <c r="A1937" s="115" t="s">
        <v>279</v>
      </c>
      <c r="B1937" s="41" t="s">
        <v>107</v>
      </c>
      <c r="C1937" s="41" t="s">
        <v>3672</v>
      </c>
      <c r="E1937" s="1561"/>
      <c r="F1937" s="992" t="s">
        <v>2863</v>
      </c>
      <c r="G1937" s="992" t="s">
        <v>12270</v>
      </c>
      <c r="H1937" s="1562">
        <v>45473.0</v>
      </c>
      <c r="I1937" s="1562">
        <v>45695.0</v>
      </c>
      <c r="J1937" s="992" t="s">
        <v>12275</v>
      </c>
      <c r="K1937" s="1561"/>
      <c r="L1937" s="992" t="s">
        <v>2865</v>
      </c>
      <c r="M1937" s="992" t="s">
        <v>2866</v>
      </c>
      <c r="N1937" s="1561"/>
      <c r="O1937" s="992" t="s">
        <v>2867</v>
      </c>
      <c r="P1937" s="1563" t="str">
        <f>HYPERLINK(VLOOKUP(LOWER(M1937),'File Links'!E:F, 2, FALSE), "LINK")</f>
        <v>LINK</v>
      </c>
      <c r="Q1937" s="992" t="s">
        <v>2868</v>
      </c>
      <c r="R1937" s="992" t="s">
        <v>2869</v>
      </c>
      <c r="S1937" s="1561"/>
      <c r="T1937" s="1561"/>
      <c r="U1937" s="992" t="s">
        <v>2870</v>
      </c>
      <c r="V1937" s="992" t="s">
        <v>202</v>
      </c>
      <c r="W1937" s="1564" t="str">
        <f>HYPERLINK(VLOOKUP(LOWER(R1937),'File Links'!E:F, 2, FALSE), "LINK")</f>
        <v>LINK</v>
      </c>
      <c r="X1937" s="1561"/>
      <c r="Y1937" s="992" t="s">
        <v>121</v>
      </c>
      <c r="Z1937" s="992" t="s">
        <v>12276</v>
      </c>
      <c r="AA1937" s="992" t="s">
        <v>12277</v>
      </c>
      <c r="AB1937" s="992" t="s">
        <v>12278</v>
      </c>
      <c r="AC1937" s="992" t="s">
        <v>12285</v>
      </c>
      <c r="AD1937" s="992" t="s">
        <v>12280</v>
      </c>
      <c r="AE1937" s="1565">
        <v>47.0</v>
      </c>
      <c r="AF1937" s="992" t="s">
        <v>12286</v>
      </c>
      <c r="AG1937" s="1561"/>
      <c r="AH1937" s="992" t="s">
        <v>432</v>
      </c>
      <c r="AI1937" s="1565">
        <v>0.05</v>
      </c>
      <c r="AJ1937" s="992" t="s">
        <v>164</v>
      </c>
      <c r="AK1937" s="992" t="s">
        <v>179</v>
      </c>
      <c r="AL1937" s="1561" t="s">
        <v>132</v>
      </c>
      <c r="AM1937" s="1561"/>
      <c r="AN1937" s="1565">
        <v>132.0</v>
      </c>
      <c r="AO1937" s="992" t="s">
        <v>12287</v>
      </c>
      <c r="AP1937" s="992" t="s">
        <v>162</v>
      </c>
      <c r="AQ1937" s="992" t="s">
        <v>12283</v>
      </c>
      <c r="AR1937" s="1565">
        <v>0.422</v>
      </c>
      <c r="AS1937" s="992" t="s">
        <v>164</v>
      </c>
      <c r="AT1937" s="992" t="s">
        <v>179</v>
      </c>
      <c r="AU1937" s="1561" t="s">
        <v>132</v>
      </c>
      <c r="AV1937" s="1566" t="s">
        <v>12284</v>
      </c>
      <c r="AW1937" s="1561" t="s">
        <v>142</v>
      </c>
    </row>
    <row r="1938">
      <c r="A1938" s="115" t="s">
        <v>279</v>
      </c>
      <c r="B1938" s="41" t="s">
        <v>107</v>
      </c>
      <c r="C1938" s="41" t="s">
        <v>3672</v>
      </c>
      <c r="E1938" s="1561"/>
      <c r="F1938" s="992" t="s">
        <v>2863</v>
      </c>
      <c r="G1938" s="992" t="s">
        <v>12270</v>
      </c>
      <c r="H1938" s="1562">
        <v>45473.0</v>
      </c>
      <c r="I1938" s="1562">
        <v>45695.0</v>
      </c>
      <c r="J1938" s="992" t="s">
        <v>12275</v>
      </c>
      <c r="K1938" s="1561"/>
      <c r="L1938" s="992" t="s">
        <v>2865</v>
      </c>
      <c r="M1938" s="992" t="s">
        <v>2866</v>
      </c>
      <c r="N1938" s="1561"/>
      <c r="O1938" s="992" t="s">
        <v>2867</v>
      </c>
      <c r="P1938" s="1563" t="str">
        <f>HYPERLINK(VLOOKUP(LOWER(M1938),'File Links'!E:F, 2, FALSE), "LINK")</f>
        <v>LINK</v>
      </c>
      <c r="Q1938" s="992" t="s">
        <v>2868</v>
      </c>
      <c r="R1938" s="992" t="s">
        <v>2869</v>
      </c>
      <c r="S1938" s="1561"/>
      <c r="T1938" s="1561"/>
      <c r="U1938" s="992" t="s">
        <v>2870</v>
      </c>
      <c r="V1938" s="992" t="s">
        <v>202</v>
      </c>
      <c r="W1938" s="1564" t="str">
        <f>HYPERLINK(VLOOKUP(LOWER(R1938),'File Links'!E:F, 2, FALSE), "LINK")</f>
        <v>LINK</v>
      </c>
      <c r="X1938" s="1561"/>
      <c r="Y1938" s="992" t="s">
        <v>121</v>
      </c>
      <c r="Z1938" s="992" t="s">
        <v>12276</v>
      </c>
      <c r="AA1938" s="992" t="s">
        <v>12277</v>
      </c>
      <c r="AB1938" s="992" t="s">
        <v>12278</v>
      </c>
      <c r="AC1938" s="992" t="s">
        <v>12288</v>
      </c>
      <c r="AD1938" s="992" t="s">
        <v>12280</v>
      </c>
      <c r="AE1938" s="1565">
        <v>47.0</v>
      </c>
      <c r="AF1938" s="992" t="s">
        <v>12289</v>
      </c>
      <c r="AG1938" s="1561"/>
      <c r="AH1938" s="992" t="s">
        <v>432</v>
      </c>
      <c r="AI1938" s="1565">
        <v>0.004</v>
      </c>
      <c r="AJ1938" s="992" t="s">
        <v>164</v>
      </c>
      <c r="AK1938" s="992" t="s">
        <v>179</v>
      </c>
      <c r="AL1938" s="1561" t="s">
        <v>132</v>
      </c>
      <c r="AM1938" s="1561"/>
      <c r="AN1938" s="1565">
        <v>143.0</v>
      </c>
      <c r="AO1938" s="992" t="s">
        <v>12290</v>
      </c>
      <c r="AP1938" s="992" t="s">
        <v>162</v>
      </c>
      <c r="AQ1938" s="992" t="s">
        <v>12283</v>
      </c>
      <c r="AR1938" s="1565">
        <v>0.908</v>
      </c>
      <c r="AS1938" s="992" t="s">
        <v>164</v>
      </c>
      <c r="AT1938" s="992" t="s">
        <v>179</v>
      </c>
      <c r="AU1938" s="1561" t="s">
        <v>132</v>
      </c>
      <c r="AV1938" s="1566" t="s">
        <v>12284</v>
      </c>
      <c r="AW1938" s="1561" t="s">
        <v>142</v>
      </c>
    </row>
    <row r="1939">
      <c r="A1939" s="115" t="s">
        <v>279</v>
      </c>
      <c r="B1939" s="41" t="s">
        <v>107</v>
      </c>
      <c r="C1939" s="41" t="s">
        <v>3672</v>
      </c>
      <c r="E1939" s="60" t="s">
        <v>5203</v>
      </c>
      <c r="F1939" s="147" t="s">
        <v>5204</v>
      </c>
      <c r="G1939" s="147" t="s">
        <v>12270</v>
      </c>
      <c r="H1939" s="140">
        <v>45478.0</v>
      </c>
      <c r="I1939" s="140">
        <v>45681.0</v>
      </c>
      <c r="J1939" s="60"/>
      <c r="K1939" s="60"/>
      <c r="L1939" s="147" t="s">
        <v>5206</v>
      </c>
      <c r="M1939" s="147" t="s">
        <v>5207</v>
      </c>
      <c r="N1939" s="60"/>
      <c r="O1939" s="459" t="s">
        <v>5208</v>
      </c>
      <c r="P1939" s="1567" t="str">
        <f>HYPERLINK(VLOOKUP(LOWER(M1939),'File Links'!E:F, 2, FALSE), "LINK")</f>
        <v>LINK</v>
      </c>
      <c r="Q1939" s="60" t="s">
        <v>5209</v>
      </c>
      <c r="R1939" s="147" t="s">
        <v>5210</v>
      </c>
      <c r="S1939" s="60"/>
      <c r="T1939" s="806"/>
      <c r="U1939" s="140" t="s">
        <v>5211</v>
      </c>
      <c r="V1939" s="60"/>
      <c r="W1939" s="60" t="str">
        <f>HYPERLINK(VLOOKUP(LOWER(R1939),'File Links'!E:F, 2, FALSE), "LINK")</f>
        <v>LINK</v>
      </c>
      <c r="X1939" s="303" t="s">
        <v>12291</v>
      </c>
      <c r="Y1939" s="147" t="s">
        <v>1820</v>
      </c>
      <c r="Z1939" s="60"/>
      <c r="AA1939" s="990"/>
      <c r="AB1939" s="1568"/>
      <c r="AC1939" s="60"/>
      <c r="AD1939" s="60"/>
      <c r="AE1939" s="60"/>
      <c r="AF1939" s="60"/>
      <c r="AG1939" s="990"/>
      <c r="AH1939" s="1569"/>
      <c r="AI1939" s="60"/>
      <c r="AJ1939" s="60"/>
      <c r="AK1939" s="60"/>
      <c r="AL1939" s="60"/>
      <c r="AM1939" s="60"/>
      <c r="AN1939" s="60"/>
      <c r="AO1939" s="60"/>
      <c r="AP1939" s="60"/>
      <c r="AQ1939" s="60"/>
      <c r="AR1939" s="60"/>
      <c r="AS1939" s="60"/>
      <c r="AT1939" s="60"/>
      <c r="AU1939" s="60"/>
      <c r="AV1939" s="60"/>
      <c r="AW1939" s="60"/>
    </row>
    <row r="1940">
      <c r="A1940" s="115" t="s">
        <v>279</v>
      </c>
      <c r="B1940" s="41" t="s">
        <v>107</v>
      </c>
      <c r="C1940" s="41" t="s">
        <v>3672</v>
      </c>
      <c r="E1940" s="60" t="s">
        <v>5215</v>
      </c>
      <c r="F1940" s="147" t="s">
        <v>5216</v>
      </c>
      <c r="G1940" s="147" t="s">
        <v>12270</v>
      </c>
      <c r="H1940" s="140">
        <v>45478.0</v>
      </c>
      <c r="I1940" s="140">
        <v>45681.0</v>
      </c>
      <c r="J1940" s="147" t="s">
        <v>12292</v>
      </c>
      <c r="K1940" s="60"/>
      <c r="L1940" s="147" t="s">
        <v>5217</v>
      </c>
      <c r="M1940" s="147" t="s">
        <v>5218</v>
      </c>
      <c r="N1940" s="60"/>
      <c r="O1940" s="459" t="s">
        <v>5219</v>
      </c>
      <c r="P1940" s="1560" t="str">
        <f>HYPERLINK(VLOOKUP(LOWER(M1940),'File Links'!E:F, 2, FALSE), "LINK")</f>
        <v>LINK</v>
      </c>
      <c r="Q1940" s="147" t="s">
        <v>5220</v>
      </c>
      <c r="R1940" s="147" t="s">
        <v>5221</v>
      </c>
      <c r="S1940" s="60"/>
      <c r="T1940" s="60"/>
      <c r="U1940" s="459" t="s">
        <v>5222</v>
      </c>
      <c r="V1940" s="147" t="s">
        <v>11848</v>
      </c>
      <c r="W1940" s="1559" t="str">
        <f>HYPERLINK(VLOOKUP(LOWER(R1940),'File Links'!E:F, 2, FALSE), "LINK")</f>
        <v>LINK</v>
      </c>
      <c r="X1940" s="60"/>
      <c r="Y1940" s="147" t="s">
        <v>1820</v>
      </c>
      <c r="Z1940" s="60"/>
      <c r="AA1940" s="147" t="s">
        <v>12293</v>
      </c>
      <c r="AB1940" s="60"/>
      <c r="AC1940" s="147" t="s">
        <v>12294</v>
      </c>
      <c r="AD1940" s="147" t="s">
        <v>12295</v>
      </c>
      <c r="AE1940" s="144">
        <v>140.0</v>
      </c>
      <c r="AF1940" s="144">
        <v>0.031</v>
      </c>
      <c r="AG1940" s="147" t="s">
        <v>166</v>
      </c>
      <c r="AH1940" s="147" t="s">
        <v>861</v>
      </c>
      <c r="AI1940" s="144">
        <v>0.583</v>
      </c>
      <c r="AJ1940" s="147" t="s">
        <v>164</v>
      </c>
      <c r="AK1940" s="147" t="s">
        <v>179</v>
      </c>
      <c r="AL1940" s="60" t="s">
        <v>129</v>
      </c>
      <c r="AM1940" s="60"/>
      <c r="AN1940" s="144">
        <v>137.0</v>
      </c>
      <c r="AO1940" s="144">
        <v>0.14</v>
      </c>
      <c r="AP1940" s="147" t="s">
        <v>166</v>
      </c>
      <c r="AQ1940" s="147" t="s">
        <v>861</v>
      </c>
      <c r="AR1940" s="144">
        <v>0.924</v>
      </c>
      <c r="AS1940" s="147" t="s">
        <v>164</v>
      </c>
      <c r="AT1940" s="147" t="s">
        <v>179</v>
      </c>
      <c r="AU1940" s="60" t="s">
        <v>129</v>
      </c>
      <c r="AV1940" s="60"/>
      <c r="AW1940" s="60" t="s">
        <v>134</v>
      </c>
    </row>
    <row r="1941">
      <c r="A1941" s="115" t="s">
        <v>279</v>
      </c>
      <c r="B1941" s="41" t="s">
        <v>107</v>
      </c>
      <c r="C1941" s="41" t="s">
        <v>3672</v>
      </c>
      <c r="E1941" s="60"/>
      <c r="F1941" s="147" t="s">
        <v>5216</v>
      </c>
      <c r="G1941" s="147" t="s">
        <v>3673</v>
      </c>
      <c r="H1941" s="140">
        <v>45478.0</v>
      </c>
      <c r="I1941" s="140">
        <v>45681.0</v>
      </c>
      <c r="J1941" s="147" t="s">
        <v>12292</v>
      </c>
      <c r="K1941" s="60"/>
      <c r="L1941" s="147" t="s">
        <v>5217</v>
      </c>
      <c r="M1941" s="147" t="s">
        <v>5218</v>
      </c>
      <c r="N1941" s="60"/>
      <c r="O1941" s="459" t="s">
        <v>5219</v>
      </c>
      <c r="P1941" s="1560" t="str">
        <f>HYPERLINK(VLOOKUP(LOWER(M1941),'File Links'!E:F, 2, FALSE), "LINK")</f>
        <v>LINK</v>
      </c>
      <c r="Q1941" s="147" t="s">
        <v>5220</v>
      </c>
      <c r="R1941" s="147" t="s">
        <v>5221</v>
      </c>
      <c r="S1941" s="60"/>
      <c r="T1941" s="60"/>
      <c r="U1941" s="459" t="s">
        <v>5222</v>
      </c>
      <c r="V1941" s="147" t="s">
        <v>11848</v>
      </c>
      <c r="W1941" s="1559" t="str">
        <f>HYPERLINK(VLOOKUP(LOWER(R1941),'File Links'!E:F, 2, FALSE), "LINK")</f>
        <v>LINK</v>
      </c>
      <c r="X1941" s="60"/>
      <c r="Y1941" s="147" t="s">
        <v>1820</v>
      </c>
      <c r="Z1941" s="60"/>
      <c r="AA1941" s="147" t="s">
        <v>12293</v>
      </c>
      <c r="AB1941" s="60"/>
      <c r="AC1941" s="147" t="s">
        <v>12296</v>
      </c>
      <c r="AD1941" s="147" t="s">
        <v>12295</v>
      </c>
      <c r="AE1941" s="144">
        <v>70.0</v>
      </c>
      <c r="AF1941" s="144">
        <v>0.718</v>
      </c>
      <c r="AG1941" s="147" t="s">
        <v>166</v>
      </c>
      <c r="AH1941" s="147" t="s">
        <v>861</v>
      </c>
      <c r="AI1941" s="144">
        <v>0.001</v>
      </c>
      <c r="AJ1941" s="147" t="s">
        <v>164</v>
      </c>
      <c r="AK1941" s="147" t="s">
        <v>179</v>
      </c>
      <c r="AL1941" s="60" t="s">
        <v>129</v>
      </c>
      <c r="AM1941" s="60"/>
      <c r="AN1941" s="144">
        <v>74.0</v>
      </c>
      <c r="AO1941" s="144">
        <v>0.212</v>
      </c>
      <c r="AP1941" s="147" t="s">
        <v>166</v>
      </c>
      <c r="AQ1941" s="147" t="s">
        <v>861</v>
      </c>
      <c r="AR1941" s="144">
        <v>0.725</v>
      </c>
      <c r="AS1941" s="147" t="s">
        <v>164</v>
      </c>
      <c r="AT1941" s="147" t="s">
        <v>179</v>
      </c>
      <c r="AU1941" s="60" t="s">
        <v>129</v>
      </c>
      <c r="AV1941" s="60"/>
      <c r="AW1941" s="60" t="s">
        <v>134</v>
      </c>
    </row>
    <row r="1942">
      <c r="A1942" s="115" t="s">
        <v>279</v>
      </c>
      <c r="B1942" s="41" t="s">
        <v>107</v>
      </c>
      <c r="C1942" s="41" t="s">
        <v>3672</v>
      </c>
      <c r="E1942" s="60"/>
      <c r="F1942" s="147" t="s">
        <v>5216</v>
      </c>
      <c r="G1942" s="147" t="s">
        <v>3673</v>
      </c>
      <c r="H1942" s="140">
        <v>45478.0</v>
      </c>
      <c r="I1942" s="140">
        <v>45681.0</v>
      </c>
      <c r="J1942" s="147" t="s">
        <v>12292</v>
      </c>
      <c r="K1942" s="60"/>
      <c r="L1942" s="147" t="s">
        <v>5217</v>
      </c>
      <c r="M1942" s="147" t="s">
        <v>5218</v>
      </c>
      <c r="N1942" s="60"/>
      <c r="O1942" s="459" t="s">
        <v>5219</v>
      </c>
      <c r="P1942" s="1560" t="str">
        <f>HYPERLINK(VLOOKUP(LOWER(M1942),'File Links'!E:F, 2, FALSE), "LINK")</f>
        <v>LINK</v>
      </c>
      <c r="Q1942" s="147" t="s">
        <v>5220</v>
      </c>
      <c r="R1942" s="147" t="s">
        <v>5221</v>
      </c>
      <c r="S1942" s="60"/>
      <c r="T1942" s="60"/>
      <c r="U1942" s="459" t="s">
        <v>5222</v>
      </c>
      <c r="V1942" s="147" t="s">
        <v>11848</v>
      </c>
      <c r="W1942" s="1559" t="str">
        <f>HYPERLINK(VLOOKUP(LOWER(R1942),'File Links'!E:F, 2, FALSE), "LINK")</f>
        <v>LINK</v>
      </c>
      <c r="X1942" s="60"/>
      <c r="Y1942" s="147" t="s">
        <v>1820</v>
      </c>
      <c r="Z1942" s="60"/>
      <c r="AA1942" s="147" t="s">
        <v>12293</v>
      </c>
      <c r="AB1942" s="60"/>
      <c r="AC1942" s="147" t="s">
        <v>12297</v>
      </c>
      <c r="AD1942" s="147" t="s">
        <v>12295</v>
      </c>
      <c r="AE1942" s="144">
        <v>70.0</v>
      </c>
      <c r="AF1942" s="144">
        <v>0.552</v>
      </c>
      <c r="AG1942" s="147" t="s">
        <v>166</v>
      </c>
      <c r="AH1942" s="147" t="s">
        <v>861</v>
      </c>
      <c r="AI1942" s="144">
        <v>0.039</v>
      </c>
      <c r="AJ1942" s="147" t="s">
        <v>164</v>
      </c>
      <c r="AK1942" s="147" t="s">
        <v>179</v>
      </c>
      <c r="AL1942" s="60" t="s">
        <v>129</v>
      </c>
      <c r="AM1942" s="60"/>
      <c r="AN1942" s="144">
        <v>63.0</v>
      </c>
      <c r="AO1942" s="144">
        <v>0.031</v>
      </c>
      <c r="AP1942" s="147" t="s">
        <v>166</v>
      </c>
      <c r="AQ1942" s="147" t="s">
        <v>861</v>
      </c>
      <c r="AR1942" s="144">
        <v>0.927</v>
      </c>
      <c r="AS1942" s="147" t="s">
        <v>164</v>
      </c>
      <c r="AT1942" s="147" t="s">
        <v>179</v>
      </c>
      <c r="AU1942" s="60" t="s">
        <v>129</v>
      </c>
      <c r="AV1942" s="60"/>
      <c r="AW1942" s="60" t="s">
        <v>134</v>
      </c>
    </row>
    <row r="1943">
      <c r="A1943" s="115" t="s">
        <v>279</v>
      </c>
      <c r="B1943" s="41" t="s">
        <v>107</v>
      </c>
      <c r="C1943" s="41" t="s">
        <v>3672</v>
      </c>
      <c r="E1943" s="60"/>
      <c r="F1943" s="147" t="s">
        <v>5216</v>
      </c>
      <c r="G1943" s="147" t="s">
        <v>3673</v>
      </c>
      <c r="H1943" s="140">
        <v>45478.0</v>
      </c>
      <c r="I1943" s="140">
        <v>45681.0</v>
      </c>
      <c r="J1943" s="147" t="s">
        <v>12292</v>
      </c>
      <c r="K1943" s="60"/>
      <c r="L1943" s="147" t="s">
        <v>5217</v>
      </c>
      <c r="M1943" s="147" t="s">
        <v>5218</v>
      </c>
      <c r="N1943" s="60"/>
      <c r="O1943" s="459" t="s">
        <v>5219</v>
      </c>
      <c r="P1943" s="1560" t="str">
        <f>HYPERLINK(VLOOKUP(LOWER(M1943),'File Links'!E:F, 2, FALSE), "LINK")</f>
        <v>LINK</v>
      </c>
      <c r="Q1943" s="147" t="s">
        <v>5220</v>
      </c>
      <c r="R1943" s="147" t="s">
        <v>5221</v>
      </c>
      <c r="S1943" s="60"/>
      <c r="T1943" s="60"/>
      <c r="U1943" s="459" t="s">
        <v>5222</v>
      </c>
      <c r="V1943" s="147" t="s">
        <v>11848</v>
      </c>
      <c r="W1943" s="1559" t="str">
        <f>HYPERLINK(VLOOKUP(LOWER(R1943),'File Links'!E:F, 2, FALSE), "LINK")</f>
        <v>LINK</v>
      </c>
      <c r="X1943" s="60"/>
      <c r="Y1943" s="147" t="s">
        <v>1820</v>
      </c>
      <c r="Z1943" s="60"/>
      <c r="AA1943" s="147" t="s">
        <v>12293</v>
      </c>
      <c r="AB1943" s="60"/>
      <c r="AC1943" s="147" t="s">
        <v>12298</v>
      </c>
      <c r="AD1943" s="147" t="s">
        <v>12295</v>
      </c>
      <c r="AE1943" s="144">
        <v>70.0</v>
      </c>
      <c r="AF1943" s="144">
        <v>0.059</v>
      </c>
      <c r="AG1943" s="147" t="s">
        <v>166</v>
      </c>
      <c r="AH1943" s="147" t="s">
        <v>861</v>
      </c>
      <c r="AI1943" s="144">
        <v>0.594</v>
      </c>
      <c r="AJ1943" s="147" t="s">
        <v>164</v>
      </c>
      <c r="AK1943" s="147" t="s">
        <v>179</v>
      </c>
      <c r="AL1943" s="60" t="s">
        <v>129</v>
      </c>
      <c r="AM1943" s="60"/>
      <c r="AN1943" s="144">
        <v>69.0</v>
      </c>
      <c r="AO1943" s="1476" t="s">
        <v>12299</v>
      </c>
      <c r="AP1943" s="147" t="s">
        <v>166</v>
      </c>
      <c r="AQ1943" s="147" t="s">
        <v>861</v>
      </c>
      <c r="AR1943" s="144">
        <v>0.699</v>
      </c>
      <c r="AS1943" s="147" t="s">
        <v>164</v>
      </c>
      <c r="AT1943" s="147" t="s">
        <v>179</v>
      </c>
      <c r="AU1943" s="60" t="s">
        <v>129</v>
      </c>
      <c r="AV1943" s="60"/>
      <c r="AW1943" s="60" t="s">
        <v>134</v>
      </c>
    </row>
    <row r="1944">
      <c r="A1944" s="115" t="s">
        <v>279</v>
      </c>
      <c r="B1944" s="41" t="s">
        <v>107</v>
      </c>
      <c r="C1944" s="41" t="s">
        <v>3672</v>
      </c>
      <c r="E1944" s="60"/>
      <c r="F1944" s="147" t="s">
        <v>5216</v>
      </c>
      <c r="G1944" s="147" t="s">
        <v>3673</v>
      </c>
      <c r="H1944" s="140">
        <v>45478.0</v>
      </c>
      <c r="I1944" s="140">
        <v>45681.0</v>
      </c>
      <c r="J1944" s="147" t="s">
        <v>12292</v>
      </c>
      <c r="K1944" s="60"/>
      <c r="L1944" s="147" t="s">
        <v>5217</v>
      </c>
      <c r="M1944" s="147" t="s">
        <v>5218</v>
      </c>
      <c r="N1944" s="60"/>
      <c r="O1944" s="459" t="s">
        <v>5219</v>
      </c>
      <c r="P1944" s="1560" t="str">
        <f>HYPERLINK(VLOOKUP(LOWER(M1944),'File Links'!E:F, 2, FALSE), "LINK")</f>
        <v>LINK</v>
      </c>
      <c r="Q1944" s="147" t="s">
        <v>5220</v>
      </c>
      <c r="R1944" s="147" t="s">
        <v>5221</v>
      </c>
      <c r="S1944" s="60"/>
      <c r="T1944" s="60"/>
      <c r="U1944" s="459" t="s">
        <v>5222</v>
      </c>
      <c r="V1944" s="147" t="s">
        <v>11848</v>
      </c>
      <c r="W1944" s="1559" t="str">
        <f>HYPERLINK(VLOOKUP(LOWER(R1944),'File Links'!E:F, 2, FALSE), "LINK")</f>
        <v>LINK</v>
      </c>
      <c r="X1944" s="60"/>
      <c r="Y1944" s="147" t="s">
        <v>1820</v>
      </c>
      <c r="Z1944" s="60"/>
      <c r="AA1944" s="147" t="s">
        <v>12293</v>
      </c>
      <c r="AB1944" s="60"/>
      <c r="AC1944" s="147" t="s">
        <v>12300</v>
      </c>
      <c r="AD1944" s="147" t="s">
        <v>12295</v>
      </c>
      <c r="AE1944" s="144">
        <v>70.0</v>
      </c>
      <c r="AF1944" s="1476" t="s">
        <v>12301</v>
      </c>
      <c r="AG1944" s="147" t="s">
        <v>166</v>
      </c>
      <c r="AH1944" s="147" t="s">
        <v>861</v>
      </c>
      <c r="AI1944" s="144">
        <v>1.0E-4</v>
      </c>
      <c r="AJ1944" s="147" t="s">
        <v>164</v>
      </c>
      <c r="AK1944" s="147" t="s">
        <v>179</v>
      </c>
      <c r="AL1944" s="60" t="s">
        <v>129</v>
      </c>
      <c r="AM1944" s="60"/>
      <c r="AN1944" s="144">
        <v>67.0</v>
      </c>
      <c r="AO1944" s="1476" t="s">
        <v>12302</v>
      </c>
      <c r="AP1944" s="147" t="s">
        <v>166</v>
      </c>
      <c r="AQ1944" s="147" t="s">
        <v>861</v>
      </c>
      <c r="AR1944" s="144">
        <v>0.655</v>
      </c>
      <c r="AS1944" s="147" t="s">
        <v>164</v>
      </c>
      <c r="AT1944" s="147" t="s">
        <v>179</v>
      </c>
      <c r="AU1944" s="60" t="s">
        <v>129</v>
      </c>
      <c r="AV1944" s="60"/>
      <c r="AW1944" s="60" t="s">
        <v>134</v>
      </c>
    </row>
    <row r="1945">
      <c r="A1945" s="115" t="s">
        <v>279</v>
      </c>
      <c r="B1945" s="41" t="s">
        <v>107</v>
      </c>
      <c r="C1945" s="41" t="s">
        <v>3672</v>
      </c>
      <c r="E1945" s="60" t="s">
        <v>5233</v>
      </c>
      <c r="F1945" s="147" t="s">
        <v>5234</v>
      </c>
      <c r="G1945" s="147" t="s">
        <v>12270</v>
      </c>
      <c r="H1945" s="140">
        <v>45478.0</v>
      </c>
      <c r="I1945" s="140">
        <v>45681.0</v>
      </c>
      <c r="J1945" s="60"/>
      <c r="K1945" s="60"/>
      <c r="L1945" s="147" t="s">
        <v>5235</v>
      </c>
      <c r="M1945" s="147" t="s">
        <v>5236</v>
      </c>
      <c r="N1945" s="60"/>
      <c r="O1945" s="459" t="s">
        <v>5237</v>
      </c>
      <c r="P1945" s="1567" t="str">
        <f>HYPERLINK(VLOOKUP(LOWER(M1945),'File Links'!E:F, 2, FALSE), "LINK")</f>
        <v>LINK</v>
      </c>
      <c r="Q1945" s="147" t="s">
        <v>5238</v>
      </c>
      <c r="R1945" s="147" t="s">
        <v>5239</v>
      </c>
      <c r="S1945" s="60"/>
      <c r="T1945" s="60"/>
      <c r="U1945" s="459" t="s">
        <v>5240</v>
      </c>
      <c r="V1945" s="60"/>
      <c r="W1945" s="1559" t="str">
        <f>HYPERLINK(VLOOKUP(LOWER(R1945),'File Links'!E:F, 2, FALSE), "LINK")</f>
        <v>LINK</v>
      </c>
      <c r="X1945" s="147" t="s">
        <v>12303</v>
      </c>
      <c r="Y1945" s="60"/>
      <c r="Z1945" s="60"/>
      <c r="AA1945" s="60"/>
      <c r="AB1945" s="60"/>
      <c r="AC1945" s="60"/>
      <c r="AD1945" s="60"/>
      <c r="AE1945" s="60"/>
      <c r="AF1945" s="60"/>
      <c r="AG1945" s="60"/>
      <c r="AH1945" s="60"/>
      <c r="AI1945" s="60"/>
      <c r="AJ1945" s="60"/>
      <c r="AK1945" s="60"/>
      <c r="AL1945" s="60"/>
      <c r="AM1945" s="60"/>
      <c r="AN1945" s="60"/>
      <c r="AO1945" s="60"/>
      <c r="AP1945" s="60"/>
      <c r="AQ1945" s="60"/>
      <c r="AR1945" s="60"/>
      <c r="AS1945" s="60"/>
      <c r="AT1945" s="60"/>
      <c r="AU1945" s="60"/>
      <c r="AV1945" s="60"/>
      <c r="AW1945" s="60"/>
    </row>
    <row r="1946">
      <c r="A1946" s="115" t="s">
        <v>279</v>
      </c>
      <c r="B1946" s="41" t="s">
        <v>107</v>
      </c>
      <c r="C1946" s="41" t="s">
        <v>3672</v>
      </c>
      <c r="E1946" s="60" t="s">
        <v>5243</v>
      </c>
      <c r="F1946" s="147" t="s">
        <v>5244</v>
      </c>
      <c r="G1946" s="147" t="s">
        <v>12270</v>
      </c>
      <c r="H1946" s="140">
        <v>45478.0</v>
      </c>
      <c r="I1946" s="140">
        <v>45681.0</v>
      </c>
      <c r="J1946" s="147" t="s">
        <v>12304</v>
      </c>
      <c r="K1946" s="60"/>
      <c r="L1946" s="147" t="s">
        <v>5245</v>
      </c>
      <c r="M1946" s="147" t="s">
        <v>5246</v>
      </c>
      <c r="N1946" s="60"/>
      <c r="O1946" s="459" t="s">
        <v>5247</v>
      </c>
      <c r="P1946" s="1560" t="str">
        <f>HYPERLINK(VLOOKUP(LOWER(M1946),'File Links'!E:F, 2, FALSE), "LINK")</f>
        <v>LINK</v>
      </c>
      <c r="Q1946" s="147" t="s">
        <v>5248</v>
      </c>
      <c r="R1946" s="147" t="s">
        <v>5249</v>
      </c>
      <c r="S1946" s="60"/>
      <c r="T1946" s="60"/>
      <c r="U1946" s="459" t="s">
        <v>5250</v>
      </c>
      <c r="V1946" s="147" t="s">
        <v>202</v>
      </c>
      <c r="W1946" s="1559" t="str">
        <f>HYPERLINK(VLOOKUP(LOWER(R1946),'File Links'!E:F, 2, FALSE), "LINK")</f>
        <v>LINK</v>
      </c>
      <c r="X1946" s="60"/>
      <c r="Y1946" s="147" t="s">
        <v>1820</v>
      </c>
      <c r="Z1946" s="60"/>
      <c r="AA1946" s="147" t="s">
        <v>12305</v>
      </c>
      <c r="AB1946" s="60"/>
      <c r="AC1946" s="147" t="s">
        <v>12306</v>
      </c>
      <c r="AD1946" s="60"/>
      <c r="AE1946" s="144">
        <v>96560.0</v>
      </c>
      <c r="AF1946" s="147" t="s">
        <v>12307</v>
      </c>
      <c r="AG1946" s="147" t="s">
        <v>162</v>
      </c>
      <c r="AH1946" s="147" t="s">
        <v>125</v>
      </c>
      <c r="AI1946" s="144">
        <v>0.001</v>
      </c>
      <c r="AJ1946" s="147" t="s">
        <v>127</v>
      </c>
      <c r="AK1946" s="147" t="s">
        <v>179</v>
      </c>
      <c r="AL1946" s="60" t="s">
        <v>821</v>
      </c>
      <c r="AM1946" s="60"/>
      <c r="AN1946" s="144">
        <v>1212558.0</v>
      </c>
      <c r="AO1946" s="147" t="s">
        <v>165</v>
      </c>
      <c r="AP1946" s="60"/>
      <c r="AQ1946" s="60"/>
      <c r="AR1946" s="144">
        <v>0.001</v>
      </c>
      <c r="AS1946" s="147" t="s">
        <v>127</v>
      </c>
      <c r="AT1946" s="147" t="s">
        <v>179</v>
      </c>
      <c r="AU1946" s="60" t="s">
        <v>821</v>
      </c>
      <c r="AV1946" s="60"/>
      <c r="AW1946" s="60" t="s">
        <v>134</v>
      </c>
    </row>
    <row r="1947">
      <c r="A1947" s="115" t="s">
        <v>279</v>
      </c>
      <c r="B1947" s="41" t="s">
        <v>107</v>
      </c>
      <c r="C1947" s="41" t="s">
        <v>3672</v>
      </c>
      <c r="E1947" s="60"/>
      <c r="F1947" s="147" t="s">
        <v>5244</v>
      </c>
      <c r="G1947" s="147" t="s">
        <v>3673</v>
      </c>
      <c r="H1947" s="806"/>
      <c r="I1947" s="140">
        <v>45681.0</v>
      </c>
      <c r="J1947" s="147" t="s">
        <v>12308</v>
      </c>
      <c r="K1947" s="60"/>
      <c r="L1947" s="147" t="s">
        <v>5245</v>
      </c>
      <c r="M1947" s="147" t="s">
        <v>5246</v>
      </c>
      <c r="N1947" s="60"/>
      <c r="O1947" s="459" t="s">
        <v>5247</v>
      </c>
      <c r="P1947" s="1560" t="str">
        <f>HYPERLINK(VLOOKUP(LOWER(M1947),'File Links'!E:F, 2, FALSE), "LINK")</f>
        <v>LINK</v>
      </c>
      <c r="Q1947" s="147" t="s">
        <v>5248</v>
      </c>
      <c r="R1947" s="147" t="s">
        <v>5249</v>
      </c>
      <c r="S1947" s="60"/>
      <c r="T1947" s="60"/>
      <c r="U1947" s="459" t="s">
        <v>5250</v>
      </c>
      <c r="V1947" s="147" t="s">
        <v>202</v>
      </c>
      <c r="W1947" s="1559" t="str">
        <f>HYPERLINK(VLOOKUP(LOWER(R1947),'File Links'!E:F, 2, FALSE), "LINK")</f>
        <v>LINK</v>
      </c>
      <c r="X1947" s="60"/>
      <c r="Y1947" s="147" t="s">
        <v>1820</v>
      </c>
      <c r="Z1947" s="60"/>
      <c r="AA1947" s="147" t="s">
        <v>12305</v>
      </c>
      <c r="AB1947" s="60"/>
      <c r="AC1947" s="147" t="s">
        <v>12306</v>
      </c>
      <c r="AD1947" s="60"/>
      <c r="AE1947" s="144">
        <v>96560.0</v>
      </c>
      <c r="AF1947" s="147" t="s">
        <v>12307</v>
      </c>
      <c r="AG1947" s="147" t="s">
        <v>162</v>
      </c>
      <c r="AH1947" s="147" t="s">
        <v>125</v>
      </c>
      <c r="AI1947" s="144">
        <v>0.001</v>
      </c>
      <c r="AJ1947" s="147" t="s">
        <v>127</v>
      </c>
      <c r="AK1947" s="147" t="s">
        <v>179</v>
      </c>
      <c r="AL1947" s="60" t="s">
        <v>821</v>
      </c>
      <c r="AM1947" s="60"/>
      <c r="AN1947" s="144">
        <v>1396050.0</v>
      </c>
      <c r="AO1947" s="147" t="s">
        <v>165</v>
      </c>
      <c r="AP1947" s="60"/>
      <c r="AQ1947" s="60"/>
      <c r="AR1947" s="144">
        <v>0.001</v>
      </c>
      <c r="AS1947" s="147" t="s">
        <v>127</v>
      </c>
      <c r="AT1947" s="147" t="s">
        <v>179</v>
      </c>
      <c r="AU1947" s="60" t="s">
        <v>821</v>
      </c>
      <c r="AV1947" s="60"/>
      <c r="AW1947" s="60" t="s">
        <v>134</v>
      </c>
    </row>
    <row r="1948">
      <c r="A1948" s="115" t="s">
        <v>279</v>
      </c>
      <c r="B1948" s="41" t="s">
        <v>107</v>
      </c>
      <c r="C1948" s="41" t="s">
        <v>3672</v>
      </c>
      <c r="E1948" s="60"/>
      <c r="F1948" s="147" t="s">
        <v>5244</v>
      </c>
      <c r="G1948" s="147" t="s">
        <v>3673</v>
      </c>
      <c r="H1948" s="806"/>
      <c r="I1948" s="140">
        <v>45681.0</v>
      </c>
      <c r="J1948" s="147" t="s">
        <v>12309</v>
      </c>
      <c r="K1948" s="60"/>
      <c r="L1948" s="147" t="s">
        <v>5245</v>
      </c>
      <c r="M1948" s="147" t="s">
        <v>5246</v>
      </c>
      <c r="N1948" s="60"/>
      <c r="O1948" s="459" t="s">
        <v>5247</v>
      </c>
      <c r="P1948" s="1560" t="str">
        <f>HYPERLINK(VLOOKUP(LOWER(M1948),'File Links'!E:F, 2, FALSE), "LINK")</f>
        <v>LINK</v>
      </c>
      <c r="Q1948" s="147" t="s">
        <v>5248</v>
      </c>
      <c r="R1948" s="147" t="s">
        <v>5249</v>
      </c>
      <c r="S1948" s="60"/>
      <c r="T1948" s="60"/>
      <c r="U1948" s="459" t="s">
        <v>5250</v>
      </c>
      <c r="V1948" s="147" t="s">
        <v>202</v>
      </c>
      <c r="W1948" s="1559" t="str">
        <f>HYPERLINK(VLOOKUP(LOWER(R1948),'File Links'!E:F, 2, FALSE), "LINK")</f>
        <v>LINK</v>
      </c>
      <c r="X1948" s="60"/>
      <c r="Y1948" s="147" t="s">
        <v>1820</v>
      </c>
      <c r="Z1948" s="60"/>
      <c r="AA1948" s="147" t="s">
        <v>12305</v>
      </c>
      <c r="AB1948" s="60"/>
      <c r="AC1948" s="147" t="s">
        <v>12306</v>
      </c>
      <c r="AD1948" s="60"/>
      <c r="AE1948" s="144">
        <v>96560.0</v>
      </c>
      <c r="AF1948" s="147" t="s">
        <v>12307</v>
      </c>
      <c r="AG1948" s="147" t="s">
        <v>162</v>
      </c>
      <c r="AH1948" s="147" t="s">
        <v>125</v>
      </c>
      <c r="AI1948" s="144">
        <v>0.001</v>
      </c>
      <c r="AJ1948" s="147" t="s">
        <v>127</v>
      </c>
      <c r="AK1948" s="147" t="s">
        <v>179</v>
      </c>
      <c r="AL1948" s="60" t="s">
        <v>821</v>
      </c>
      <c r="AM1948" s="60"/>
      <c r="AN1948" s="144">
        <v>1697752.0</v>
      </c>
      <c r="AO1948" s="147" t="s">
        <v>165</v>
      </c>
      <c r="AP1948" s="60"/>
      <c r="AQ1948" s="60"/>
      <c r="AR1948" s="144">
        <v>0.001</v>
      </c>
      <c r="AS1948" s="147" t="s">
        <v>127</v>
      </c>
      <c r="AT1948" s="147" t="s">
        <v>179</v>
      </c>
      <c r="AU1948" s="60" t="s">
        <v>821</v>
      </c>
      <c r="AV1948" s="60"/>
      <c r="AW1948" s="60" t="s">
        <v>134</v>
      </c>
    </row>
    <row r="1949">
      <c r="A1949" s="115" t="s">
        <v>279</v>
      </c>
      <c r="B1949" s="41" t="s">
        <v>107</v>
      </c>
      <c r="C1949" s="41" t="s">
        <v>3672</v>
      </c>
      <c r="E1949" s="60"/>
      <c r="F1949" s="147" t="s">
        <v>5244</v>
      </c>
      <c r="G1949" s="147" t="s">
        <v>3673</v>
      </c>
      <c r="H1949" s="806"/>
      <c r="I1949" s="140">
        <v>45681.0</v>
      </c>
      <c r="J1949" s="147" t="s">
        <v>12310</v>
      </c>
      <c r="K1949" s="60"/>
      <c r="L1949" s="147" t="s">
        <v>5245</v>
      </c>
      <c r="M1949" s="147" t="s">
        <v>5246</v>
      </c>
      <c r="N1949" s="60"/>
      <c r="O1949" s="459" t="s">
        <v>5247</v>
      </c>
      <c r="P1949" s="1560" t="str">
        <f>HYPERLINK(VLOOKUP(LOWER(M1949),'File Links'!E:F, 2, FALSE), "LINK")</f>
        <v>LINK</v>
      </c>
      <c r="Q1949" s="147" t="s">
        <v>5248</v>
      </c>
      <c r="R1949" s="147" t="s">
        <v>5249</v>
      </c>
      <c r="S1949" s="60"/>
      <c r="T1949" s="60"/>
      <c r="U1949" s="459" t="s">
        <v>5250</v>
      </c>
      <c r="V1949" s="147" t="s">
        <v>202</v>
      </c>
      <c r="W1949" s="1559" t="str">
        <f>HYPERLINK(VLOOKUP(LOWER(R1949),'File Links'!E:F, 2, FALSE), "LINK")</f>
        <v>LINK</v>
      </c>
      <c r="X1949" s="60"/>
      <c r="Y1949" s="147" t="s">
        <v>1820</v>
      </c>
      <c r="Z1949" s="60"/>
      <c r="AA1949" s="147" t="s">
        <v>12305</v>
      </c>
      <c r="AB1949" s="60"/>
      <c r="AC1949" s="147" t="s">
        <v>12311</v>
      </c>
      <c r="AD1949" s="60"/>
      <c r="AE1949" s="144">
        <v>96560.0</v>
      </c>
      <c r="AF1949" s="147" t="s">
        <v>12312</v>
      </c>
      <c r="AG1949" s="147" t="s">
        <v>162</v>
      </c>
      <c r="AH1949" s="147" t="s">
        <v>125</v>
      </c>
      <c r="AI1949" s="144">
        <v>0.001</v>
      </c>
      <c r="AJ1949" s="147" t="s">
        <v>127</v>
      </c>
      <c r="AK1949" s="147" t="s">
        <v>179</v>
      </c>
      <c r="AL1949" s="60" t="s">
        <v>821</v>
      </c>
      <c r="AM1949" s="60"/>
      <c r="AN1949" s="144">
        <v>1212558.0</v>
      </c>
      <c r="AO1949" s="147" t="s">
        <v>165</v>
      </c>
      <c r="AP1949" s="60"/>
      <c r="AQ1949" s="60"/>
      <c r="AR1949" s="144">
        <v>0.001</v>
      </c>
      <c r="AS1949" s="147" t="s">
        <v>127</v>
      </c>
      <c r="AT1949" s="147" t="s">
        <v>179</v>
      </c>
      <c r="AU1949" s="60" t="s">
        <v>821</v>
      </c>
      <c r="AV1949" s="60"/>
      <c r="AW1949" s="60" t="s">
        <v>134</v>
      </c>
    </row>
    <row r="1950">
      <c r="A1950" s="115" t="s">
        <v>279</v>
      </c>
      <c r="B1950" s="41" t="s">
        <v>107</v>
      </c>
      <c r="C1950" s="41" t="s">
        <v>3672</v>
      </c>
      <c r="E1950" s="60"/>
      <c r="F1950" s="147" t="s">
        <v>5244</v>
      </c>
      <c r="G1950" s="147" t="s">
        <v>3673</v>
      </c>
      <c r="H1950" s="806"/>
      <c r="I1950" s="140">
        <v>45681.0</v>
      </c>
      <c r="J1950" s="147" t="s">
        <v>12308</v>
      </c>
      <c r="K1950" s="60"/>
      <c r="L1950" s="147" t="s">
        <v>5245</v>
      </c>
      <c r="M1950" s="147" t="s">
        <v>5246</v>
      </c>
      <c r="N1950" s="60"/>
      <c r="O1950" s="459" t="s">
        <v>5247</v>
      </c>
      <c r="P1950" s="1560" t="str">
        <f>HYPERLINK(VLOOKUP(LOWER(M1950),'File Links'!E:F, 2, FALSE), "LINK")</f>
        <v>LINK</v>
      </c>
      <c r="Q1950" s="147" t="s">
        <v>5248</v>
      </c>
      <c r="R1950" s="147" t="s">
        <v>5249</v>
      </c>
      <c r="S1950" s="60"/>
      <c r="T1950" s="60"/>
      <c r="U1950" s="459" t="s">
        <v>5250</v>
      </c>
      <c r="V1950" s="147" t="s">
        <v>202</v>
      </c>
      <c r="W1950" s="1559" t="str">
        <f>HYPERLINK(VLOOKUP(LOWER(R1950),'File Links'!E:F, 2, FALSE), "LINK")</f>
        <v>LINK</v>
      </c>
      <c r="X1950" s="60"/>
      <c r="Y1950" s="147" t="s">
        <v>1820</v>
      </c>
      <c r="Z1950" s="60"/>
      <c r="AA1950" s="147" t="s">
        <v>12305</v>
      </c>
      <c r="AB1950" s="60"/>
      <c r="AC1950" s="147" t="s">
        <v>12311</v>
      </c>
      <c r="AD1950" s="60"/>
      <c r="AE1950" s="144">
        <v>96560.0</v>
      </c>
      <c r="AF1950" s="147" t="s">
        <v>12312</v>
      </c>
      <c r="AG1950" s="147" t="s">
        <v>162</v>
      </c>
      <c r="AH1950" s="147" t="s">
        <v>125</v>
      </c>
      <c r="AI1950" s="144">
        <v>0.001</v>
      </c>
      <c r="AJ1950" s="147" t="s">
        <v>127</v>
      </c>
      <c r="AK1950" s="147" t="s">
        <v>179</v>
      </c>
      <c r="AL1950" s="60" t="s">
        <v>821</v>
      </c>
      <c r="AM1950" s="60"/>
      <c r="AN1950" s="144">
        <v>1396050.0</v>
      </c>
      <c r="AO1950" s="147" t="s">
        <v>165</v>
      </c>
      <c r="AP1950" s="60"/>
      <c r="AQ1950" s="60"/>
      <c r="AR1950" s="144">
        <v>0.001</v>
      </c>
      <c r="AS1950" s="147" t="s">
        <v>127</v>
      </c>
      <c r="AT1950" s="147" t="s">
        <v>179</v>
      </c>
      <c r="AU1950" s="60" t="s">
        <v>821</v>
      </c>
      <c r="AV1950" s="60"/>
      <c r="AW1950" s="60" t="s">
        <v>134</v>
      </c>
    </row>
    <row r="1951">
      <c r="A1951" s="115" t="s">
        <v>279</v>
      </c>
      <c r="B1951" s="41" t="s">
        <v>107</v>
      </c>
      <c r="C1951" s="41" t="s">
        <v>3672</v>
      </c>
      <c r="E1951" s="60"/>
      <c r="F1951" s="147" t="s">
        <v>5244</v>
      </c>
      <c r="G1951" s="147" t="s">
        <v>3673</v>
      </c>
      <c r="H1951" s="806"/>
      <c r="I1951" s="140">
        <v>45681.0</v>
      </c>
      <c r="J1951" s="147" t="s">
        <v>12309</v>
      </c>
      <c r="K1951" s="60"/>
      <c r="L1951" s="147" t="s">
        <v>5245</v>
      </c>
      <c r="M1951" s="147" t="s">
        <v>5246</v>
      </c>
      <c r="N1951" s="60"/>
      <c r="O1951" s="459" t="s">
        <v>5247</v>
      </c>
      <c r="P1951" s="1560" t="str">
        <f>HYPERLINK(VLOOKUP(LOWER(M1951),'File Links'!E:F, 2, FALSE), "LINK")</f>
        <v>LINK</v>
      </c>
      <c r="Q1951" s="147" t="s">
        <v>5248</v>
      </c>
      <c r="R1951" s="147" t="s">
        <v>5249</v>
      </c>
      <c r="S1951" s="60"/>
      <c r="T1951" s="60"/>
      <c r="U1951" s="459" t="s">
        <v>5250</v>
      </c>
      <c r="V1951" s="147" t="s">
        <v>202</v>
      </c>
      <c r="W1951" s="1559" t="str">
        <f>HYPERLINK(VLOOKUP(LOWER(R1951),'File Links'!E:F, 2, FALSE), "LINK")</f>
        <v>LINK</v>
      </c>
      <c r="X1951" s="60"/>
      <c r="Y1951" s="147" t="s">
        <v>1820</v>
      </c>
      <c r="Z1951" s="60"/>
      <c r="AA1951" s="147" t="s">
        <v>12305</v>
      </c>
      <c r="AB1951" s="60"/>
      <c r="AC1951" s="147" t="s">
        <v>12311</v>
      </c>
      <c r="AD1951" s="60"/>
      <c r="AE1951" s="144">
        <v>96560.0</v>
      </c>
      <c r="AF1951" s="147" t="s">
        <v>12312</v>
      </c>
      <c r="AG1951" s="147" t="s">
        <v>162</v>
      </c>
      <c r="AH1951" s="147" t="s">
        <v>125</v>
      </c>
      <c r="AI1951" s="144">
        <v>0.001</v>
      </c>
      <c r="AJ1951" s="147" t="s">
        <v>127</v>
      </c>
      <c r="AK1951" s="147" t="s">
        <v>179</v>
      </c>
      <c r="AL1951" s="60" t="s">
        <v>821</v>
      </c>
      <c r="AM1951" s="60"/>
      <c r="AN1951" s="144">
        <v>1697752.0</v>
      </c>
      <c r="AO1951" s="147" t="s">
        <v>165</v>
      </c>
      <c r="AP1951" s="60"/>
      <c r="AQ1951" s="60"/>
      <c r="AR1951" s="144">
        <v>0.001</v>
      </c>
      <c r="AS1951" s="147" t="s">
        <v>127</v>
      </c>
      <c r="AT1951" s="147" t="s">
        <v>179</v>
      </c>
      <c r="AU1951" s="60" t="s">
        <v>821</v>
      </c>
      <c r="AV1951" s="60"/>
      <c r="AW1951" s="60" t="s">
        <v>134</v>
      </c>
    </row>
    <row r="1952">
      <c r="A1952" s="115" t="s">
        <v>279</v>
      </c>
      <c r="B1952" s="41" t="s">
        <v>107</v>
      </c>
      <c r="C1952" s="41" t="s">
        <v>3672</v>
      </c>
      <c r="E1952" s="60"/>
      <c r="F1952" s="147" t="s">
        <v>5244</v>
      </c>
      <c r="G1952" s="147" t="s">
        <v>3673</v>
      </c>
      <c r="H1952" s="806"/>
      <c r="I1952" s="140">
        <v>45681.0</v>
      </c>
      <c r="J1952" s="147" t="s">
        <v>12310</v>
      </c>
      <c r="K1952" s="60"/>
      <c r="L1952" s="147" t="s">
        <v>5245</v>
      </c>
      <c r="M1952" s="147" t="s">
        <v>5246</v>
      </c>
      <c r="N1952" s="60"/>
      <c r="O1952" s="459" t="s">
        <v>5247</v>
      </c>
      <c r="P1952" s="1560" t="str">
        <f>HYPERLINK(VLOOKUP(LOWER(M1952),'File Links'!E:F, 2, FALSE), "LINK")</f>
        <v>LINK</v>
      </c>
      <c r="Q1952" s="147" t="s">
        <v>5248</v>
      </c>
      <c r="R1952" s="147" t="s">
        <v>5249</v>
      </c>
      <c r="S1952" s="60"/>
      <c r="T1952" s="60"/>
      <c r="U1952" s="459" t="s">
        <v>5250</v>
      </c>
      <c r="V1952" s="147" t="s">
        <v>202</v>
      </c>
      <c r="W1952" s="1559" t="str">
        <f>HYPERLINK(VLOOKUP(LOWER(R1952),'File Links'!E:F, 2, FALSE), "LINK")</f>
        <v>LINK</v>
      </c>
      <c r="X1952" s="60"/>
      <c r="Y1952" s="147" t="s">
        <v>1820</v>
      </c>
      <c r="Z1952" s="60"/>
      <c r="AA1952" s="147" t="s">
        <v>12305</v>
      </c>
      <c r="AB1952" s="60"/>
      <c r="AC1952" s="147" t="s">
        <v>12313</v>
      </c>
      <c r="AD1952" s="60"/>
      <c r="AE1952" s="144">
        <v>96560.0</v>
      </c>
      <c r="AF1952" s="147" t="s">
        <v>12314</v>
      </c>
      <c r="AG1952" s="147" t="s">
        <v>162</v>
      </c>
      <c r="AH1952" s="147" t="s">
        <v>125</v>
      </c>
      <c r="AI1952" s="144">
        <v>0.07</v>
      </c>
      <c r="AJ1952" s="147" t="s">
        <v>164</v>
      </c>
      <c r="AK1952" s="147" t="s">
        <v>179</v>
      </c>
      <c r="AL1952" s="60" t="s">
        <v>821</v>
      </c>
      <c r="AM1952" s="60"/>
      <c r="AN1952" s="144">
        <v>1212558.0</v>
      </c>
      <c r="AO1952" s="147" t="s">
        <v>165</v>
      </c>
      <c r="AP1952" s="60"/>
      <c r="AQ1952" s="60"/>
      <c r="AR1952" s="144">
        <v>0.018</v>
      </c>
      <c r="AS1952" s="147" t="s">
        <v>164</v>
      </c>
      <c r="AT1952" s="147" t="s">
        <v>179</v>
      </c>
      <c r="AU1952" s="60" t="s">
        <v>821</v>
      </c>
      <c r="AV1952" s="60"/>
      <c r="AW1952" s="60" t="s">
        <v>134</v>
      </c>
    </row>
    <row r="1953">
      <c r="A1953" s="115" t="s">
        <v>279</v>
      </c>
      <c r="B1953" s="41" t="s">
        <v>107</v>
      </c>
      <c r="C1953" s="41" t="s">
        <v>3672</v>
      </c>
      <c r="E1953" s="60"/>
      <c r="F1953" s="147" t="s">
        <v>5244</v>
      </c>
      <c r="G1953" s="147" t="s">
        <v>3673</v>
      </c>
      <c r="H1953" s="806"/>
      <c r="I1953" s="140">
        <v>45681.0</v>
      </c>
      <c r="J1953" s="147" t="s">
        <v>12308</v>
      </c>
      <c r="K1953" s="60"/>
      <c r="L1953" s="147" t="s">
        <v>5245</v>
      </c>
      <c r="M1953" s="147" t="s">
        <v>5246</v>
      </c>
      <c r="N1953" s="60"/>
      <c r="O1953" s="459" t="s">
        <v>5247</v>
      </c>
      <c r="P1953" s="1560" t="str">
        <f>HYPERLINK(VLOOKUP(LOWER(M1953),'File Links'!E:F, 2, FALSE), "LINK")</f>
        <v>LINK</v>
      </c>
      <c r="Q1953" s="147" t="s">
        <v>5248</v>
      </c>
      <c r="R1953" s="147" t="s">
        <v>5249</v>
      </c>
      <c r="S1953" s="60"/>
      <c r="T1953" s="60"/>
      <c r="U1953" s="459" t="s">
        <v>5250</v>
      </c>
      <c r="V1953" s="147" t="s">
        <v>202</v>
      </c>
      <c r="W1953" s="1559" t="str">
        <f>HYPERLINK(VLOOKUP(LOWER(R1953),'File Links'!E:F, 2, FALSE), "LINK")</f>
        <v>LINK</v>
      </c>
      <c r="X1953" s="60"/>
      <c r="Y1953" s="147" t="s">
        <v>1820</v>
      </c>
      <c r="Z1953" s="60"/>
      <c r="AA1953" s="147" t="s">
        <v>12305</v>
      </c>
      <c r="AB1953" s="60"/>
      <c r="AC1953" s="147" t="s">
        <v>12313</v>
      </c>
      <c r="AD1953" s="60"/>
      <c r="AE1953" s="144">
        <v>96560.0</v>
      </c>
      <c r="AF1953" s="147" t="s">
        <v>12314</v>
      </c>
      <c r="AG1953" s="147" t="s">
        <v>162</v>
      </c>
      <c r="AH1953" s="147" t="s">
        <v>125</v>
      </c>
      <c r="AI1953" s="144">
        <v>0.07</v>
      </c>
      <c r="AJ1953" s="147" t="s">
        <v>164</v>
      </c>
      <c r="AK1953" s="147" t="s">
        <v>179</v>
      </c>
      <c r="AL1953" s="60" t="s">
        <v>821</v>
      </c>
      <c r="AM1953" s="60"/>
      <c r="AN1953" s="144">
        <v>1396050.0</v>
      </c>
      <c r="AO1953" s="147" t="s">
        <v>165</v>
      </c>
      <c r="AP1953" s="60"/>
      <c r="AQ1953" s="60"/>
      <c r="AR1953" s="144">
        <v>0.001</v>
      </c>
      <c r="AS1953" s="147" t="s">
        <v>127</v>
      </c>
      <c r="AT1953" s="147" t="s">
        <v>179</v>
      </c>
      <c r="AU1953" s="60" t="s">
        <v>821</v>
      </c>
      <c r="AV1953" s="60"/>
      <c r="AW1953" s="60" t="s">
        <v>134</v>
      </c>
    </row>
    <row r="1954">
      <c r="A1954" s="115" t="s">
        <v>279</v>
      </c>
      <c r="B1954" s="41" t="s">
        <v>107</v>
      </c>
      <c r="C1954" s="41" t="s">
        <v>3672</v>
      </c>
      <c r="E1954" s="60"/>
      <c r="F1954" s="147" t="s">
        <v>5244</v>
      </c>
      <c r="G1954" s="147" t="s">
        <v>3673</v>
      </c>
      <c r="H1954" s="806"/>
      <c r="I1954" s="140">
        <v>45681.0</v>
      </c>
      <c r="J1954" s="147" t="s">
        <v>12309</v>
      </c>
      <c r="K1954" s="60"/>
      <c r="L1954" s="147" t="s">
        <v>5245</v>
      </c>
      <c r="M1954" s="147" t="s">
        <v>5246</v>
      </c>
      <c r="N1954" s="60"/>
      <c r="O1954" s="459" t="s">
        <v>5247</v>
      </c>
      <c r="P1954" s="1560" t="str">
        <f>HYPERLINK(VLOOKUP(LOWER(M1954),'File Links'!E:F, 2, FALSE), "LINK")</f>
        <v>LINK</v>
      </c>
      <c r="Q1954" s="147" t="s">
        <v>5248</v>
      </c>
      <c r="R1954" s="147" t="s">
        <v>5249</v>
      </c>
      <c r="S1954" s="60"/>
      <c r="T1954" s="60"/>
      <c r="U1954" s="459" t="s">
        <v>5250</v>
      </c>
      <c r="V1954" s="147" t="s">
        <v>202</v>
      </c>
      <c r="W1954" s="1559" t="str">
        <f>HYPERLINK(VLOOKUP(LOWER(R1954),'File Links'!E:F, 2, FALSE), "LINK")</f>
        <v>LINK</v>
      </c>
      <c r="X1954" s="60"/>
      <c r="Y1954" s="147" t="s">
        <v>1820</v>
      </c>
      <c r="Z1954" s="60"/>
      <c r="AA1954" s="147" t="s">
        <v>12305</v>
      </c>
      <c r="AB1954" s="60"/>
      <c r="AC1954" s="147" t="s">
        <v>12313</v>
      </c>
      <c r="AD1954" s="60"/>
      <c r="AE1954" s="144">
        <v>96560.0</v>
      </c>
      <c r="AF1954" s="147" t="s">
        <v>12314</v>
      </c>
      <c r="AG1954" s="147" t="s">
        <v>162</v>
      </c>
      <c r="AH1954" s="147" t="s">
        <v>125</v>
      </c>
      <c r="AI1954" s="144">
        <v>0.07</v>
      </c>
      <c r="AJ1954" s="147" t="s">
        <v>164</v>
      </c>
      <c r="AK1954" s="147" t="s">
        <v>179</v>
      </c>
      <c r="AL1954" s="60" t="s">
        <v>821</v>
      </c>
      <c r="AM1954" s="60"/>
      <c r="AN1954" s="144">
        <v>1697752.0</v>
      </c>
      <c r="AO1954" s="147" t="s">
        <v>165</v>
      </c>
      <c r="AP1954" s="60"/>
      <c r="AQ1954" s="60"/>
      <c r="AR1954" s="144">
        <v>0.001</v>
      </c>
      <c r="AS1954" s="147" t="s">
        <v>127</v>
      </c>
      <c r="AT1954" s="147" t="s">
        <v>179</v>
      </c>
      <c r="AU1954" s="60" t="s">
        <v>821</v>
      </c>
      <c r="AV1954" s="60"/>
      <c r="AW1954" s="60" t="s">
        <v>134</v>
      </c>
    </row>
    <row r="1955">
      <c r="A1955" s="115" t="s">
        <v>279</v>
      </c>
      <c r="B1955" s="41" t="s">
        <v>107</v>
      </c>
      <c r="C1955" s="41" t="s">
        <v>3672</v>
      </c>
      <c r="E1955" s="60"/>
      <c r="F1955" s="147" t="s">
        <v>5244</v>
      </c>
      <c r="G1955" s="147" t="s">
        <v>3673</v>
      </c>
      <c r="H1955" s="806"/>
      <c r="I1955" s="140">
        <v>45681.0</v>
      </c>
      <c r="J1955" s="147" t="s">
        <v>12310</v>
      </c>
      <c r="K1955" s="60"/>
      <c r="L1955" s="147" t="s">
        <v>5245</v>
      </c>
      <c r="M1955" s="147" t="s">
        <v>5246</v>
      </c>
      <c r="N1955" s="60"/>
      <c r="O1955" s="459" t="s">
        <v>5247</v>
      </c>
      <c r="P1955" s="1560" t="str">
        <f>HYPERLINK(VLOOKUP(LOWER(M1955),'File Links'!E:F, 2, FALSE), "LINK")</f>
        <v>LINK</v>
      </c>
      <c r="Q1955" s="147" t="s">
        <v>5248</v>
      </c>
      <c r="R1955" s="147" t="s">
        <v>5249</v>
      </c>
      <c r="S1955" s="60"/>
      <c r="T1955" s="60"/>
      <c r="U1955" s="459" t="s">
        <v>5250</v>
      </c>
      <c r="V1955" s="147" t="s">
        <v>202</v>
      </c>
      <c r="W1955" s="1559" t="str">
        <f>HYPERLINK(VLOOKUP(LOWER(R1955),'File Links'!E:F, 2, FALSE), "LINK")</f>
        <v>LINK</v>
      </c>
      <c r="X1955" s="60"/>
      <c r="Y1955" s="147" t="s">
        <v>1820</v>
      </c>
      <c r="Z1955" s="60"/>
      <c r="AA1955" s="147" t="s">
        <v>12305</v>
      </c>
      <c r="AB1955" s="60"/>
      <c r="AC1955" s="147" t="s">
        <v>12315</v>
      </c>
      <c r="AD1955" s="60"/>
      <c r="AE1955" s="144">
        <v>96560.0</v>
      </c>
      <c r="AF1955" s="147" t="s">
        <v>12316</v>
      </c>
      <c r="AG1955" s="147" t="s">
        <v>162</v>
      </c>
      <c r="AH1955" s="147" t="s">
        <v>125</v>
      </c>
      <c r="AI1955" s="144">
        <v>0.04</v>
      </c>
      <c r="AJ1955" s="147" t="s">
        <v>164</v>
      </c>
      <c r="AK1955" s="147" t="s">
        <v>179</v>
      </c>
      <c r="AL1955" s="60" t="s">
        <v>821</v>
      </c>
      <c r="AM1955" s="60"/>
      <c r="AN1955" s="144">
        <v>1212558.0</v>
      </c>
      <c r="AO1955" s="147" t="s">
        <v>165</v>
      </c>
      <c r="AP1955" s="60"/>
      <c r="AQ1955" s="60"/>
      <c r="AR1955" s="144">
        <v>0.032</v>
      </c>
      <c r="AS1955" s="147" t="s">
        <v>164</v>
      </c>
      <c r="AT1955" s="147" t="s">
        <v>179</v>
      </c>
      <c r="AU1955" s="60" t="s">
        <v>821</v>
      </c>
      <c r="AV1955" s="60"/>
      <c r="AW1955" s="60" t="s">
        <v>134</v>
      </c>
    </row>
    <row r="1956">
      <c r="A1956" s="115" t="s">
        <v>279</v>
      </c>
      <c r="B1956" s="41" t="s">
        <v>107</v>
      </c>
      <c r="C1956" s="41" t="s">
        <v>3672</v>
      </c>
      <c r="E1956" s="60"/>
      <c r="F1956" s="147" t="s">
        <v>5244</v>
      </c>
      <c r="G1956" s="147" t="s">
        <v>3673</v>
      </c>
      <c r="H1956" s="806"/>
      <c r="I1956" s="140">
        <v>45681.0</v>
      </c>
      <c r="J1956" s="147" t="s">
        <v>12308</v>
      </c>
      <c r="K1956" s="60"/>
      <c r="L1956" s="147" t="s">
        <v>5245</v>
      </c>
      <c r="M1956" s="147" t="s">
        <v>5246</v>
      </c>
      <c r="N1956" s="60"/>
      <c r="O1956" s="459" t="s">
        <v>5247</v>
      </c>
      <c r="P1956" s="1560" t="str">
        <f>HYPERLINK(VLOOKUP(LOWER(M1956),'File Links'!E:F, 2, FALSE), "LINK")</f>
        <v>LINK</v>
      </c>
      <c r="Q1956" s="147" t="s">
        <v>5248</v>
      </c>
      <c r="R1956" s="147" t="s">
        <v>5249</v>
      </c>
      <c r="S1956" s="60"/>
      <c r="T1956" s="60"/>
      <c r="U1956" s="459" t="s">
        <v>5250</v>
      </c>
      <c r="V1956" s="147" t="s">
        <v>202</v>
      </c>
      <c r="W1956" s="1559" t="str">
        <f>HYPERLINK(VLOOKUP(LOWER(R1956),'File Links'!E:F, 2, FALSE), "LINK")</f>
        <v>LINK</v>
      </c>
      <c r="X1956" s="60"/>
      <c r="Y1956" s="147" t="s">
        <v>1820</v>
      </c>
      <c r="Z1956" s="60"/>
      <c r="AA1956" s="147" t="s">
        <v>12305</v>
      </c>
      <c r="AB1956" s="60"/>
      <c r="AC1956" s="147" t="s">
        <v>12315</v>
      </c>
      <c r="AD1956" s="60"/>
      <c r="AE1956" s="144">
        <v>96560.0</v>
      </c>
      <c r="AF1956" s="147" t="s">
        <v>12316</v>
      </c>
      <c r="AG1956" s="147" t="s">
        <v>162</v>
      </c>
      <c r="AH1956" s="147" t="s">
        <v>125</v>
      </c>
      <c r="AI1956" s="144">
        <v>0.04</v>
      </c>
      <c r="AJ1956" s="147" t="s">
        <v>164</v>
      </c>
      <c r="AK1956" s="147" t="s">
        <v>179</v>
      </c>
      <c r="AL1956" s="60" t="s">
        <v>821</v>
      </c>
      <c r="AM1956" s="60"/>
      <c r="AN1956" s="144">
        <v>1396050.0</v>
      </c>
      <c r="AO1956" s="147" t="s">
        <v>165</v>
      </c>
      <c r="AP1956" s="60"/>
      <c r="AQ1956" s="60"/>
      <c r="AR1956" s="144">
        <v>0.001</v>
      </c>
      <c r="AS1956" s="147" t="s">
        <v>127</v>
      </c>
      <c r="AT1956" s="147" t="s">
        <v>179</v>
      </c>
      <c r="AU1956" s="60" t="s">
        <v>821</v>
      </c>
      <c r="AV1956" s="60"/>
      <c r="AW1956" s="60" t="s">
        <v>134</v>
      </c>
    </row>
    <row r="1957">
      <c r="A1957" s="115" t="s">
        <v>279</v>
      </c>
      <c r="B1957" s="41" t="s">
        <v>107</v>
      </c>
      <c r="C1957" s="41" t="s">
        <v>3672</v>
      </c>
      <c r="E1957" s="60"/>
      <c r="F1957" s="147" t="s">
        <v>5244</v>
      </c>
      <c r="G1957" s="147" t="s">
        <v>3673</v>
      </c>
      <c r="H1957" s="806"/>
      <c r="I1957" s="140">
        <v>45681.0</v>
      </c>
      <c r="J1957" s="147" t="s">
        <v>12309</v>
      </c>
      <c r="K1957" s="60"/>
      <c r="L1957" s="147" t="s">
        <v>5245</v>
      </c>
      <c r="M1957" s="147" t="s">
        <v>5246</v>
      </c>
      <c r="N1957" s="60"/>
      <c r="O1957" s="459" t="s">
        <v>5247</v>
      </c>
      <c r="P1957" s="1560" t="str">
        <f>HYPERLINK(VLOOKUP(LOWER(M1957),'File Links'!E:F, 2, FALSE), "LINK")</f>
        <v>LINK</v>
      </c>
      <c r="Q1957" s="147" t="s">
        <v>5248</v>
      </c>
      <c r="R1957" s="147" t="s">
        <v>5249</v>
      </c>
      <c r="S1957" s="60"/>
      <c r="T1957" s="60"/>
      <c r="U1957" s="459" t="s">
        <v>5250</v>
      </c>
      <c r="V1957" s="147" t="s">
        <v>202</v>
      </c>
      <c r="W1957" s="1559" t="str">
        <f>HYPERLINK(VLOOKUP(LOWER(R1957),'File Links'!E:F, 2, FALSE), "LINK")</f>
        <v>LINK</v>
      </c>
      <c r="X1957" s="60"/>
      <c r="Y1957" s="147" t="s">
        <v>1820</v>
      </c>
      <c r="Z1957" s="60"/>
      <c r="AA1957" s="147" t="s">
        <v>12305</v>
      </c>
      <c r="AB1957" s="60"/>
      <c r="AC1957" s="147" t="s">
        <v>12315</v>
      </c>
      <c r="AD1957" s="60"/>
      <c r="AE1957" s="144">
        <v>96560.0</v>
      </c>
      <c r="AF1957" s="147" t="s">
        <v>12316</v>
      </c>
      <c r="AG1957" s="147" t="s">
        <v>162</v>
      </c>
      <c r="AH1957" s="147" t="s">
        <v>125</v>
      </c>
      <c r="AI1957" s="144">
        <v>0.04</v>
      </c>
      <c r="AJ1957" s="147" t="s">
        <v>164</v>
      </c>
      <c r="AK1957" s="147" t="s">
        <v>179</v>
      </c>
      <c r="AL1957" s="60" t="s">
        <v>821</v>
      </c>
      <c r="AM1957" s="60"/>
      <c r="AN1957" s="144">
        <v>1697752.0</v>
      </c>
      <c r="AO1957" s="147" t="s">
        <v>165</v>
      </c>
      <c r="AP1957" s="60"/>
      <c r="AQ1957" s="60"/>
      <c r="AR1957" s="144">
        <v>0.001</v>
      </c>
      <c r="AS1957" s="147" t="s">
        <v>127</v>
      </c>
      <c r="AT1957" s="147" t="s">
        <v>179</v>
      </c>
      <c r="AU1957" s="60" t="s">
        <v>821</v>
      </c>
      <c r="AV1957" s="60"/>
      <c r="AW1957" s="60" t="s">
        <v>134</v>
      </c>
    </row>
    <row r="1958">
      <c r="A1958" s="115" t="s">
        <v>279</v>
      </c>
      <c r="B1958" s="41" t="s">
        <v>107</v>
      </c>
      <c r="C1958" s="41" t="s">
        <v>3672</v>
      </c>
      <c r="E1958" s="60" t="s">
        <v>5253</v>
      </c>
      <c r="F1958" s="147" t="s">
        <v>5254</v>
      </c>
      <c r="G1958" s="147" t="s">
        <v>12270</v>
      </c>
      <c r="H1958" s="140">
        <v>45478.0</v>
      </c>
      <c r="I1958" s="140">
        <v>45681.0</v>
      </c>
      <c r="J1958" s="60"/>
      <c r="K1958" s="60"/>
      <c r="L1958" s="147" t="s">
        <v>5256</v>
      </c>
      <c r="M1958" s="147" t="s">
        <v>5257</v>
      </c>
      <c r="N1958" s="60"/>
      <c r="O1958" s="459" t="s">
        <v>5258</v>
      </c>
      <c r="P1958" s="1567" t="str">
        <f>HYPERLINK(VLOOKUP(LOWER(M1958),'File Links'!E:F, 2, FALSE), "LINK")</f>
        <v>LINK</v>
      </c>
      <c r="Q1958" s="147" t="s">
        <v>5259</v>
      </c>
      <c r="R1958" s="147" t="s">
        <v>1819</v>
      </c>
      <c r="S1958" s="60"/>
      <c r="T1958" s="60"/>
      <c r="U1958" s="459" t="s">
        <v>5260</v>
      </c>
      <c r="V1958" s="60"/>
      <c r="W1958" s="1559" t="str">
        <f>HYPERLINK(VLOOKUP(LOWER(R1958),'File Links'!E:F, 2, FALSE), "LINK")</f>
        <v>LINK</v>
      </c>
      <c r="X1958" s="147" t="s">
        <v>12317</v>
      </c>
      <c r="Y1958" s="60"/>
      <c r="Z1958" s="60"/>
      <c r="AA1958" s="60"/>
      <c r="AB1958" s="60"/>
      <c r="AC1958" s="60"/>
      <c r="AD1958" s="60"/>
      <c r="AE1958" s="60"/>
      <c r="AF1958" s="60"/>
      <c r="AG1958" s="60"/>
      <c r="AH1958" s="60"/>
      <c r="AI1958" s="60"/>
      <c r="AJ1958" s="60"/>
      <c r="AK1958" s="60"/>
      <c r="AL1958" s="60"/>
      <c r="AM1958" s="60"/>
      <c r="AN1958" s="60"/>
      <c r="AO1958" s="60"/>
      <c r="AP1958" s="60"/>
      <c r="AQ1958" s="60"/>
      <c r="AR1958" s="60"/>
      <c r="AS1958" s="60"/>
      <c r="AT1958" s="60"/>
      <c r="AU1958" s="60"/>
      <c r="AV1958" s="60"/>
      <c r="AW1958" s="60"/>
    </row>
    <row r="1959">
      <c r="A1959" s="115" t="s">
        <v>279</v>
      </c>
      <c r="B1959" s="41" t="s">
        <v>107</v>
      </c>
      <c r="C1959" s="41" t="s">
        <v>3672</v>
      </c>
      <c r="E1959" s="60" t="s">
        <v>5287</v>
      </c>
      <c r="F1959" s="147" t="s">
        <v>5288</v>
      </c>
      <c r="G1959" s="147" t="s">
        <v>12270</v>
      </c>
      <c r="H1959" s="140">
        <v>45478.0</v>
      </c>
      <c r="I1959" s="140">
        <v>45695.0</v>
      </c>
      <c r="J1959" s="147" t="s">
        <v>12318</v>
      </c>
      <c r="K1959" s="60"/>
      <c r="L1959" s="147" t="s">
        <v>5289</v>
      </c>
      <c r="M1959" s="147" t="s">
        <v>2071</v>
      </c>
      <c r="N1959" s="60"/>
      <c r="O1959" s="459" t="s">
        <v>5290</v>
      </c>
      <c r="P1959" s="1560" t="str">
        <f>HYPERLINK(VLOOKUP(LOWER(M1959),'File Links'!E:F, 2, FALSE), "LINK")</f>
        <v>LINK</v>
      </c>
      <c r="Q1959" s="147" t="s">
        <v>5291</v>
      </c>
      <c r="R1959" s="147" t="s">
        <v>5292</v>
      </c>
      <c r="S1959" s="60"/>
      <c r="T1959" s="60"/>
      <c r="U1959" s="459" t="s">
        <v>5293</v>
      </c>
      <c r="V1959" s="147" t="s">
        <v>202</v>
      </c>
      <c r="W1959" s="1559" t="str">
        <f>HYPERLINK(VLOOKUP(LOWER(R1959),'File Links'!E:F, 2, FALSE), "LINK")</f>
        <v>LINK</v>
      </c>
      <c r="X1959" s="60"/>
      <c r="Y1959" s="147" t="s">
        <v>235</v>
      </c>
      <c r="Z1959" s="60"/>
      <c r="AA1959" s="147" t="s">
        <v>12319</v>
      </c>
      <c r="AB1959" s="60"/>
      <c r="AC1959" s="147" t="s">
        <v>12320</v>
      </c>
      <c r="AD1959" s="60"/>
      <c r="AE1959" s="144">
        <v>5167.0</v>
      </c>
      <c r="AF1959" s="147" t="s">
        <v>12321</v>
      </c>
      <c r="AG1959" s="147" t="s">
        <v>162</v>
      </c>
      <c r="AH1959" s="147" t="s">
        <v>625</v>
      </c>
      <c r="AI1959" s="147" t="s">
        <v>165</v>
      </c>
      <c r="AJ1959" s="60"/>
      <c r="AK1959" s="147" t="s">
        <v>179</v>
      </c>
      <c r="AL1959" s="60" t="s">
        <v>821</v>
      </c>
      <c r="AM1959" s="60"/>
      <c r="AN1959" s="144">
        <v>2968.0</v>
      </c>
      <c r="AO1959" s="147" t="s">
        <v>12322</v>
      </c>
      <c r="AP1959" s="147" t="s">
        <v>162</v>
      </c>
      <c r="AQ1959" s="147" t="s">
        <v>610</v>
      </c>
      <c r="AR1959" s="144">
        <v>0.04</v>
      </c>
      <c r="AS1959" s="147" t="s">
        <v>164</v>
      </c>
      <c r="AT1959" s="147" t="s">
        <v>179</v>
      </c>
      <c r="AU1959" s="60" t="s">
        <v>821</v>
      </c>
      <c r="AV1959" s="60"/>
      <c r="AW1959" s="60" t="s">
        <v>134</v>
      </c>
    </row>
    <row r="1960">
      <c r="A1960" s="115" t="s">
        <v>279</v>
      </c>
      <c r="B1960" s="41" t="s">
        <v>107</v>
      </c>
      <c r="C1960" s="41" t="s">
        <v>3672</v>
      </c>
      <c r="E1960" s="60"/>
      <c r="F1960" s="147" t="s">
        <v>5288</v>
      </c>
      <c r="G1960" s="147" t="s">
        <v>12270</v>
      </c>
      <c r="H1960" s="140">
        <v>45478.0</v>
      </c>
      <c r="I1960" s="140">
        <v>45695.0</v>
      </c>
      <c r="J1960" s="147" t="s">
        <v>12318</v>
      </c>
      <c r="K1960" s="60"/>
      <c r="L1960" s="147" t="s">
        <v>5289</v>
      </c>
      <c r="M1960" s="147" t="s">
        <v>2071</v>
      </c>
      <c r="N1960" s="60"/>
      <c r="O1960" s="459" t="s">
        <v>5290</v>
      </c>
      <c r="P1960" s="1560" t="str">
        <f>HYPERLINK(VLOOKUP(LOWER(M1960),'File Links'!E:F, 2, FALSE), "LINK")</f>
        <v>LINK</v>
      </c>
      <c r="Q1960" s="147" t="s">
        <v>5291</v>
      </c>
      <c r="R1960" s="147" t="s">
        <v>5292</v>
      </c>
      <c r="S1960" s="60"/>
      <c r="T1960" s="60"/>
      <c r="U1960" s="459" t="s">
        <v>5293</v>
      </c>
      <c r="V1960" s="147" t="s">
        <v>202</v>
      </c>
      <c r="W1960" s="1559" t="str">
        <f>HYPERLINK(VLOOKUP(LOWER(R1960),'File Links'!E:F, 2, FALSE), "LINK")</f>
        <v>LINK</v>
      </c>
      <c r="X1960" s="60"/>
      <c r="Y1960" s="147" t="s">
        <v>235</v>
      </c>
      <c r="Z1960" s="60"/>
      <c r="AA1960" s="147" t="s">
        <v>12319</v>
      </c>
      <c r="AB1960" s="60"/>
      <c r="AC1960" s="147" t="s">
        <v>12323</v>
      </c>
      <c r="AD1960" s="60"/>
      <c r="AE1960" s="144">
        <v>5167.0</v>
      </c>
      <c r="AF1960" s="147" t="s">
        <v>12324</v>
      </c>
      <c r="AG1960" s="147" t="s">
        <v>162</v>
      </c>
      <c r="AH1960" s="147" t="s">
        <v>625</v>
      </c>
      <c r="AI1960" s="144">
        <v>0.001</v>
      </c>
      <c r="AJ1960" s="147" t="s">
        <v>127</v>
      </c>
      <c r="AK1960" s="147" t="s">
        <v>179</v>
      </c>
      <c r="AL1960" s="60" t="s">
        <v>821</v>
      </c>
      <c r="AM1960" s="60"/>
      <c r="AN1960" s="144">
        <v>2968.0</v>
      </c>
      <c r="AO1960" s="147" t="s">
        <v>12325</v>
      </c>
      <c r="AP1960" s="147" t="s">
        <v>162</v>
      </c>
      <c r="AQ1960" s="147" t="s">
        <v>610</v>
      </c>
      <c r="AR1960" s="144">
        <v>0.05</v>
      </c>
      <c r="AS1960" s="147" t="s">
        <v>164</v>
      </c>
      <c r="AT1960" s="147" t="s">
        <v>179</v>
      </c>
      <c r="AU1960" s="60" t="s">
        <v>821</v>
      </c>
      <c r="AV1960" s="60"/>
      <c r="AW1960" s="60" t="s">
        <v>134</v>
      </c>
    </row>
    <row r="1961">
      <c r="A1961" s="115" t="s">
        <v>279</v>
      </c>
      <c r="B1961" s="41" t="s">
        <v>107</v>
      </c>
      <c r="C1961" s="41" t="s">
        <v>3672</v>
      </c>
      <c r="E1961" s="60"/>
      <c r="F1961" s="147" t="s">
        <v>5288</v>
      </c>
      <c r="G1961" s="147" t="s">
        <v>12270</v>
      </c>
      <c r="H1961" s="140">
        <v>45478.0</v>
      </c>
      <c r="I1961" s="140">
        <v>45695.0</v>
      </c>
      <c r="J1961" s="147" t="s">
        <v>12318</v>
      </c>
      <c r="K1961" s="60"/>
      <c r="L1961" s="147" t="s">
        <v>5289</v>
      </c>
      <c r="M1961" s="147" t="s">
        <v>2071</v>
      </c>
      <c r="N1961" s="60"/>
      <c r="O1961" s="459" t="s">
        <v>5290</v>
      </c>
      <c r="P1961" s="1560" t="str">
        <f>HYPERLINK(VLOOKUP(LOWER(M1961),'File Links'!E:F, 2, FALSE), "LINK")</f>
        <v>LINK</v>
      </c>
      <c r="Q1961" s="147" t="s">
        <v>5291</v>
      </c>
      <c r="R1961" s="147" t="s">
        <v>5292</v>
      </c>
      <c r="S1961" s="60"/>
      <c r="T1961" s="60"/>
      <c r="U1961" s="459" t="s">
        <v>5293</v>
      </c>
      <c r="V1961" s="147" t="s">
        <v>202</v>
      </c>
      <c r="W1961" s="1559" t="str">
        <f>HYPERLINK(VLOOKUP(LOWER(R1961),'File Links'!E:F, 2, FALSE), "LINK")</f>
        <v>LINK</v>
      </c>
      <c r="X1961" s="60"/>
      <c r="Y1961" s="147" t="s">
        <v>235</v>
      </c>
      <c r="Z1961" s="60"/>
      <c r="AA1961" s="147" t="s">
        <v>12319</v>
      </c>
      <c r="AB1961" s="60"/>
      <c r="AC1961" s="60" t="s">
        <v>12326</v>
      </c>
      <c r="AD1961" s="60"/>
      <c r="AE1961" s="144">
        <v>5167.0</v>
      </c>
      <c r="AF1961" s="60" t="s">
        <v>12327</v>
      </c>
      <c r="AG1961" s="147" t="s">
        <v>162</v>
      </c>
      <c r="AH1961" s="147" t="s">
        <v>625</v>
      </c>
      <c r="AI1961" s="327">
        <v>0.001</v>
      </c>
      <c r="AJ1961" s="60" t="s">
        <v>127</v>
      </c>
      <c r="AK1961" s="147" t="s">
        <v>179</v>
      </c>
      <c r="AL1961" s="60" t="s">
        <v>821</v>
      </c>
      <c r="AM1961" s="60"/>
      <c r="AN1961" s="144">
        <v>2968.0</v>
      </c>
      <c r="AO1961" s="60" t="s">
        <v>12328</v>
      </c>
      <c r="AP1961" s="60" t="s">
        <v>162</v>
      </c>
      <c r="AQ1961" s="147" t="s">
        <v>610</v>
      </c>
      <c r="AR1961" s="327">
        <v>0.001</v>
      </c>
      <c r="AS1961" s="147" t="s">
        <v>127</v>
      </c>
      <c r="AT1961" s="147" t="s">
        <v>179</v>
      </c>
      <c r="AU1961" s="60" t="s">
        <v>821</v>
      </c>
      <c r="AV1961" s="60"/>
      <c r="AW1961" s="60" t="s">
        <v>134</v>
      </c>
    </row>
    <row r="1962">
      <c r="A1962" s="115" t="s">
        <v>279</v>
      </c>
      <c r="B1962" s="41" t="s">
        <v>107</v>
      </c>
      <c r="C1962" s="41" t="s">
        <v>3672</v>
      </c>
      <c r="E1962" s="60"/>
      <c r="F1962" s="147" t="s">
        <v>5288</v>
      </c>
      <c r="G1962" s="147" t="s">
        <v>12270</v>
      </c>
      <c r="H1962" s="140">
        <v>45478.0</v>
      </c>
      <c r="I1962" s="140">
        <v>45695.0</v>
      </c>
      <c r="J1962" s="147" t="s">
        <v>12318</v>
      </c>
      <c r="K1962" s="60"/>
      <c r="L1962" s="147" t="s">
        <v>5289</v>
      </c>
      <c r="M1962" s="147" t="s">
        <v>2071</v>
      </c>
      <c r="N1962" s="60"/>
      <c r="O1962" s="459" t="s">
        <v>5290</v>
      </c>
      <c r="P1962" s="1560" t="str">
        <f>HYPERLINK(VLOOKUP(LOWER(M1962),'File Links'!E:F, 2, FALSE), "LINK")</f>
        <v>LINK</v>
      </c>
      <c r="Q1962" s="147" t="s">
        <v>5291</v>
      </c>
      <c r="R1962" s="147" t="s">
        <v>5292</v>
      </c>
      <c r="S1962" s="60"/>
      <c r="T1962" s="60"/>
      <c r="U1962" s="459" t="s">
        <v>5293</v>
      </c>
      <c r="V1962" s="147" t="s">
        <v>202</v>
      </c>
      <c r="W1962" s="1559" t="str">
        <f>HYPERLINK(VLOOKUP(LOWER(R1962),'File Links'!E:F, 2, FALSE), "LINK")</f>
        <v>LINK</v>
      </c>
      <c r="X1962" s="60"/>
      <c r="Y1962" s="147" t="s">
        <v>235</v>
      </c>
      <c r="Z1962" s="60"/>
      <c r="AA1962" s="147" t="s">
        <v>12319</v>
      </c>
      <c r="AB1962" s="60"/>
      <c r="AC1962" s="60" t="s">
        <v>12329</v>
      </c>
      <c r="AD1962" s="60"/>
      <c r="AE1962" s="144">
        <v>5167.0</v>
      </c>
      <c r="AF1962" s="147" t="s">
        <v>12330</v>
      </c>
      <c r="AG1962" s="147" t="s">
        <v>162</v>
      </c>
      <c r="AH1962" s="147" t="s">
        <v>625</v>
      </c>
      <c r="AI1962" s="144">
        <v>0.001</v>
      </c>
      <c r="AJ1962" s="147" t="s">
        <v>127</v>
      </c>
      <c r="AK1962" s="147" t="s">
        <v>179</v>
      </c>
      <c r="AL1962" s="60" t="s">
        <v>821</v>
      </c>
      <c r="AM1962" s="60"/>
      <c r="AN1962" s="144">
        <v>2968.0</v>
      </c>
      <c r="AO1962" s="60" t="s">
        <v>12331</v>
      </c>
      <c r="AP1962" s="147" t="s">
        <v>162</v>
      </c>
      <c r="AQ1962" s="147" t="s">
        <v>610</v>
      </c>
      <c r="AR1962" s="144">
        <v>0.001</v>
      </c>
      <c r="AS1962" s="147" t="s">
        <v>127</v>
      </c>
      <c r="AT1962" s="147" t="s">
        <v>179</v>
      </c>
      <c r="AU1962" s="60" t="s">
        <v>821</v>
      </c>
      <c r="AV1962" s="60"/>
      <c r="AW1962" s="60" t="s">
        <v>134</v>
      </c>
    </row>
    <row r="1963">
      <c r="A1963" s="115" t="s">
        <v>279</v>
      </c>
      <c r="B1963" s="41" t="s">
        <v>107</v>
      </c>
      <c r="C1963" s="41" t="s">
        <v>3672</v>
      </c>
      <c r="E1963" s="60"/>
      <c r="F1963" s="147" t="s">
        <v>5288</v>
      </c>
      <c r="G1963" s="147" t="s">
        <v>12270</v>
      </c>
      <c r="H1963" s="140">
        <v>45478.0</v>
      </c>
      <c r="I1963" s="140">
        <v>45695.0</v>
      </c>
      <c r="J1963" s="147" t="s">
        <v>12318</v>
      </c>
      <c r="K1963" s="60"/>
      <c r="L1963" s="147" t="s">
        <v>5289</v>
      </c>
      <c r="M1963" s="147" t="s">
        <v>2071</v>
      </c>
      <c r="N1963" s="60"/>
      <c r="O1963" s="459" t="s">
        <v>5290</v>
      </c>
      <c r="P1963" s="1560" t="str">
        <f>HYPERLINK(VLOOKUP(LOWER(M1963),'File Links'!E:F, 2, FALSE), "LINK")</f>
        <v>LINK</v>
      </c>
      <c r="Q1963" s="147" t="s">
        <v>5291</v>
      </c>
      <c r="R1963" s="147" t="s">
        <v>5292</v>
      </c>
      <c r="S1963" s="60"/>
      <c r="T1963" s="60"/>
      <c r="U1963" s="459" t="s">
        <v>5293</v>
      </c>
      <c r="V1963" s="147" t="s">
        <v>202</v>
      </c>
      <c r="W1963" s="1559" t="str">
        <f>HYPERLINK(VLOOKUP(LOWER(R1963),'File Links'!E:F, 2, FALSE), "LINK")</f>
        <v>LINK</v>
      </c>
      <c r="X1963" s="60"/>
      <c r="Y1963" s="147" t="s">
        <v>235</v>
      </c>
      <c r="Z1963" s="60"/>
      <c r="AA1963" s="147" t="s">
        <v>12319</v>
      </c>
      <c r="AB1963" s="60"/>
      <c r="AC1963" s="147" t="s">
        <v>12332</v>
      </c>
      <c r="AD1963" s="60"/>
      <c r="AE1963" s="144">
        <v>5167.0</v>
      </c>
      <c r="AF1963" s="147" t="s">
        <v>12333</v>
      </c>
      <c r="AG1963" s="147" t="s">
        <v>162</v>
      </c>
      <c r="AH1963" s="147" t="s">
        <v>625</v>
      </c>
      <c r="AI1963" s="144">
        <v>0.001</v>
      </c>
      <c r="AJ1963" s="147" t="s">
        <v>127</v>
      </c>
      <c r="AK1963" s="147" t="s">
        <v>179</v>
      </c>
      <c r="AL1963" s="60" t="s">
        <v>821</v>
      </c>
      <c r="AM1963" s="60"/>
      <c r="AN1963" s="144">
        <v>2968.0</v>
      </c>
      <c r="AO1963" s="60" t="s">
        <v>12334</v>
      </c>
      <c r="AP1963" s="147" t="s">
        <v>162</v>
      </c>
      <c r="AQ1963" s="147" t="s">
        <v>610</v>
      </c>
      <c r="AR1963" s="144">
        <v>0.006</v>
      </c>
      <c r="AS1963" s="147" t="s">
        <v>164</v>
      </c>
      <c r="AT1963" s="147" t="s">
        <v>179</v>
      </c>
      <c r="AU1963" s="60" t="s">
        <v>821</v>
      </c>
      <c r="AV1963" s="60"/>
      <c r="AW1963" s="60" t="s">
        <v>134</v>
      </c>
    </row>
    <row r="1964">
      <c r="A1964" s="115" t="s">
        <v>279</v>
      </c>
      <c r="B1964" s="41" t="s">
        <v>107</v>
      </c>
      <c r="C1964" s="41" t="s">
        <v>3672</v>
      </c>
      <c r="E1964" s="60"/>
      <c r="F1964" s="147" t="s">
        <v>5288</v>
      </c>
      <c r="G1964" s="147" t="s">
        <v>12270</v>
      </c>
      <c r="H1964" s="140">
        <v>45478.0</v>
      </c>
      <c r="I1964" s="140">
        <v>45695.0</v>
      </c>
      <c r="J1964" s="147" t="s">
        <v>12318</v>
      </c>
      <c r="K1964" s="60"/>
      <c r="L1964" s="147" t="s">
        <v>5289</v>
      </c>
      <c r="M1964" s="147" t="s">
        <v>2071</v>
      </c>
      <c r="N1964" s="60"/>
      <c r="O1964" s="459" t="s">
        <v>5290</v>
      </c>
      <c r="P1964" s="1560" t="str">
        <f>HYPERLINK(VLOOKUP(LOWER(M1964),'File Links'!E:F, 2, FALSE), "LINK")</f>
        <v>LINK</v>
      </c>
      <c r="Q1964" s="147" t="s">
        <v>5291</v>
      </c>
      <c r="R1964" s="147" t="s">
        <v>5292</v>
      </c>
      <c r="S1964" s="60"/>
      <c r="T1964" s="60"/>
      <c r="U1964" s="459" t="s">
        <v>5293</v>
      </c>
      <c r="V1964" s="147" t="s">
        <v>202</v>
      </c>
      <c r="W1964" s="1559" t="str">
        <f>HYPERLINK(VLOOKUP(LOWER(R1964),'File Links'!E:F, 2, FALSE), "LINK")</f>
        <v>LINK</v>
      </c>
      <c r="X1964" s="60"/>
      <c r="Y1964" s="147" t="s">
        <v>235</v>
      </c>
      <c r="Z1964" s="60"/>
      <c r="AA1964" s="147" t="s">
        <v>12319</v>
      </c>
      <c r="AB1964" s="60"/>
      <c r="AC1964" s="147" t="s">
        <v>12335</v>
      </c>
      <c r="AD1964" s="60"/>
      <c r="AE1964" s="144">
        <v>5167.0</v>
      </c>
      <c r="AF1964" s="147" t="s">
        <v>12336</v>
      </c>
      <c r="AG1964" s="147" t="s">
        <v>162</v>
      </c>
      <c r="AH1964" s="147" t="s">
        <v>625</v>
      </c>
      <c r="AI1964" s="144">
        <v>0.05</v>
      </c>
      <c r="AJ1964" s="147" t="s">
        <v>127</v>
      </c>
      <c r="AK1964" s="147" t="s">
        <v>179</v>
      </c>
      <c r="AL1964" s="60" t="s">
        <v>821</v>
      </c>
      <c r="AM1964" s="60"/>
      <c r="AN1964" s="144">
        <v>2968.0</v>
      </c>
      <c r="AO1964" s="60" t="s">
        <v>12337</v>
      </c>
      <c r="AP1964" s="147" t="s">
        <v>162</v>
      </c>
      <c r="AQ1964" s="147" t="s">
        <v>610</v>
      </c>
      <c r="AR1964" s="144">
        <v>0.001</v>
      </c>
      <c r="AS1964" s="147" t="s">
        <v>127</v>
      </c>
      <c r="AT1964" s="147" t="s">
        <v>179</v>
      </c>
      <c r="AU1964" s="60" t="s">
        <v>821</v>
      </c>
      <c r="AV1964" s="60"/>
      <c r="AW1964" s="60" t="s">
        <v>134</v>
      </c>
    </row>
    <row r="1965">
      <c r="A1965" s="115" t="s">
        <v>279</v>
      </c>
      <c r="B1965" s="41" t="s">
        <v>107</v>
      </c>
      <c r="C1965" s="41" t="s">
        <v>3672</v>
      </c>
      <c r="E1965" s="60"/>
      <c r="F1965" s="147" t="s">
        <v>5288</v>
      </c>
      <c r="G1965" s="147" t="s">
        <v>12270</v>
      </c>
      <c r="H1965" s="140">
        <v>45478.0</v>
      </c>
      <c r="I1965" s="140">
        <v>45695.0</v>
      </c>
      <c r="J1965" s="147" t="s">
        <v>12318</v>
      </c>
      <c r="K1965" s="60"/>
      <c r="L1965" s="147" t="s">
        <v>5289</v>
      </c>
      <c r="M1965" s="147" t="s">
        <v>2071</v>
      </c>
      <c r="N1965" s="60"/>
      <c r="O1965" s="459" t="s">
        <v>5290</v>
      </c>
      <c r="P1965" s="1560" t="str">
        <f>HYPERLINK(VLOOKUP(LOWER(M1965),'File Links'!E:F, 2, FALSE), "LINK")</f>
        <v>LINK</v>
      </c>
      <c r="Q1965" s="147" t="s">
        <v>5291</v>
      </c>
      <c r="R1965" s="147" t="s">
        <v>5292</v>
      </c>
      <c r="S1965" s="60"/>
      <c r="T1965" s="60"/>
      <c r="U1965" s="459" t="s">
        <v>5293</v>
      </c>
      <c r="V1965" s="147" t="s">
        <v>202</v>
      </c>
      <c r="W1965" s="1559" t="str">
        <f>HYPERLINK(VLOOKUP(LOWER(R1965),'File Links'!E:F, 2, FALSE), "LINK")</f>
        <v>LINK</v>
      </c>
      <c r="X1965" s="60"/>
      <c r="Y1965" s="147" t="s">
        <v>235</v>
      </c>
      <c r="Z1965" s="60"/>
      <c r="AA1965" s="147" t="s">
        <v>12319</v>
      </c>
      <c r="AB1965" s="60"/>
      <c r="AC1965" s="147" t="s">
        <v>12338</v>
      </c>
      <c r="AD1965" s="60"/>
      <c r="AE1965" s="144">
        <v>5167.0</v>
      </c>
      <c r="AF1965" s="147" t="s">
        <v>12339</v>
      </c>
      <c r="AG1965" s="147" t="s">
        <v>162</v>
      </c>
      <c r="AH1965" s="147" t="s">
        <v>625</v>
      </c>
      <c r="AI1965" s="144">
        <v>0.001</v>
      </c>
      <c r="AJ1965" s="147" t="s">
        <v>127</v>
      </c>
      <c r="AK1965" s="147" t="s">
        <v>179</v>
      </c>
      <c r="AL1965" s="60" t="s">
        <v>821</v>
      </c>
      <c r="AM1965" s="60"/>
      <c r="AN1965" s="144">
        <v>2968.0</v>
      </c>
      <c r="AO1965" s="60" t="s">
        <v>12340</v>
      </c>
      <c r="AP1965" s="147" t="s">
        <v>162</v>
      </c>
      <c r="AQ1965" s="147" t="s">
        <v>625</v>
      </c>
      <c r="AR1965" s="144">
        <v>0.001</v>
      </c>
      <c r="AS1965" s="147" t="s">
        <v>127</v>
      </c>
      <c r="AT1965" s="147" t="s">
        <v>179</v>
      </c>
      <c r="AU1965" s="60" t="s">
        <v>821</v>
      </c>
      <c r="AV1965" s="60"/>
      <c r="AW1965" s="60" t="s">
        <v>134</v>
      </c>
    </row>
    <row r="1966">
      <c r="A1966" s="115" t="s">
        <v>279</v>
      </c>
      <c r="B1966" s="41" t="s">
        <v>107</v>
      </c>
      <c r="C1966" s="41" t="s">
        <v>3672</v>
      </c>
      <c r="E1966" s="60"/>
      <c r="F1966" s="147" t="s">
        <v>5288</v>
      </c>
      <c r="G1966" s="147" t="s">
        <v>12270</v>
      </c>
      <c r="H1966" s="140">
        <v>45478.0</v>
      </c>
      <c r="I1966" s="140">
        <v>45695.0</v>
      </c>
      <c r="J1966" s="147" t="s">
        <v>12318</v>
      </c>
      <c r="K1966" s="60"/>
      <c r="L1966" s="147" t="s">
        <v>5289</v>
      </c>
      <c r="M1966" s="147" t="s">
        <v>2071</v>
      </c>
      <c r="N1966" s="60"/>
      <c r="O1966" s="459" t="s">
        <v>5290</v>
      </c>
      <c r="P1966" s="1560" t="str">
        <f>HYPERLINK(VLOOKUP(LOWER(M1966),'File Links'!E:F, 2, FALSE), "LINK")</f>
        <v>LINK</v>
      </c>
      <c r="Q1966" s="147" t="s">
        <v>5291</v>
      </c>
      <c r="R1966" s="147" t="s">
        <v>5292</v>
      </c>
      <c r="S1966" s="60"/>
      <c r="T1966" s="60"/>
      <c r="U1966" s="459" t="s">
        <v>5293</v>
      </c>
      <c r="V1966" s="147" t="s">
        <v>202</v>
      </c>
      <c r="W1966" s="1559" t="str">
        <f>HYPERLINK(VLOOKUP(LOWER(R1966),'File Links'!E:F, 2, FALSE), "LINK")</f>
        <v>LINK</v>
      </c>
      <c r="X1966" s="60"/>
      <c r="Y1966" s="147" t="s">
        <v>235</v>
      </c>
      <c r="Z1966" s="60"/>
      <c r="AA1966" s="147" t="s">
        <v>12319</v>
      </c>
      <c r="AB1966" s="60"/>
      <c r="AC1966" s="147" t="s">
        <v>12341</v>
      </c>
      <c r="AD1966" s="60"/>
      <c r="AE1966" s="144">
        <v>5167.0</v>
      </c>
      <c r="AF1966" s="147" t="s">
        <v>12342</v>
      </c>
      <c r="AG1966" s="147" t="s">
        <v>162</v>
      </c>
      <c r="AH1966" s="147" t="s">
        <v>625</v>
      </c>
      <c r="AI1966" s="144">
        <v>0.001</v>
      </c>
      <c r="AJ1966" s="147" t="s">
        <v>127</v>
      </c>
      <c r="AK1966" s="147" t="s">
        <v>179</v>
      </c>
      <c r="AL1966" s="60" t="s">
        <v>821</v>
      </c>
      <c r="AM1966" s="60"/>
      <c r="AN1966" s="144">
        <v>2968.0</v>
      </c>
      <c r="AO1966" s="60" t="s">
        <v>12343</v>
      </c>
      <c r="AP1966" s="147" t="s">
        <v>162</v>
      </c>
      <c r="AQ1966" s="147" t="s">
        <v>625</v>
      </c>
      <c r="AR1966" s="144">
        <v>0.004</v>
      </c>
      <c r="AS1966" s="147" t="s">
        <v>164</v>
      </c>
      <c r="AT1966" s="147" t="s">
        <v>179</v>
      </c>
      <c r="AU1966" s="60" t="s">
        <v>821</v>
      </c>
      <c r="AV1966" s="60"/>
      <c r="AW1966" s="60" t="s">
        <v>134</v>
      </c>
    </row>
    <row r="1967">
      <c r="A1967" s="115" t="s">
        <v>279</v>
      </c>
      <c r="B1967" s="41" t="s">
        <v>107</v>
      </c>
      <c r="C1967" s="41" t="s">
        <v>3672</v>
      </c>
      <c r="E1967" s="60"/>
      <c r="F1967" s="147" t="s">
        <v>5288</v>
      </c>
      <c r="G1967" s="147" t="s">
        <v>12270</v>
      </c>
      <c r="H1967" s="140">
        <v>45478.0</v>
      </c>
      <c r="I1967" s="140">
        <v>45695.0</v>
      </c>
      <c r="J1967" s="147" t="s">
        <v>12318</v>
      </c>
      <c r="K1967" s="60"/>
      <c r="L1967" s="147" t="s">
        <v>5289</v>
      </c>
      <c r="M1967" s="147" t="s">
        <v>2071</v>
      </c>
      <c r="N1967" s="60"/>
      <c r="O1967" s="459" t="s">
        <v>5290</v>
      </c>
      <c r="P1967" s="1560" t="str">
        <f>HYPERLINK(VLOOKUP(LOWER(M1967),'File Links'!E:F, 2, FALSE), "LINK")</f>
        <v>LINK</v>
      </c>
      <c r="Q1967" s="147" t="s">
        <v>5291</v>
      </c>
      <c r="R1967" s="147" t="s">
        <v>5292</v>
      </c>
      <c r="S1967" s="60"/>
      <c r="T1967" s="60"/>
      <c r="U1967" s="459" t="s">
        <v>5293</v>
      </c>
      <c r="V1967" s="147" t="s">
        <v>202</v>
      </c>
      <c r="W1967" s="1559" t="str">
        <f>HYPERLINK(VLOOKUP(LOWER(R1967),'File Links'!E:F, 2, FALSE), "LINK")</f>
        <v>LINK</v>
      </c>
      <c r="X1967" s="60"/>
      <c r="Y1967" s="147" t="s">
        <v>235</v>
      </c>
      <c r="Z1967" s="60"/>
      <c r="AA1967" s="147" t="s">
        <v>12319</v>
      </c>
      <c r="AB1967" s="60"/>
      <c r="AC1967" s="147" t="s">
        <v>12344</v>
      </c>
      <c r="AD1967" s="60"/>
      <c r="AE1967" s="144">
        <v>5167.0</v>
      </c>
      <c r="AF1967" s="147" t="s">
        <v>12345</v>
      </c>
      <c r="AG1967" s="147" t="s">
        <v>162</v>
      </c>
      <c r="AH1967" s="147" t="s">
        <v>625</v>
      </c>
      <c r="AI1967" s="147" t="s">
        <v>165</v>
      </c>
      <c r="AJ1967" s="60"/>
      <c r="AK1967" s="147" t="s">
        <v>179</v>
      </c>
      <c r="AL1967" s="60" t="s">
        <v>821</v>
      </c>
      <c r="AM1967" s="60"/>
      <c r="AN1967" s="144">
        <v>2968.0</v>
      </c>
      <c r="AO1967" s="60" t="s">
        <v>12346</v>
      </c>
      <c r="AP1967" s="147" t="s">
        <v>162</v>
      </c>
      <c r="AQ1967" s="147" t="s">
        <v>625</v>
      </c>
      <c r="AR1967" s="144">
        <v>0.001</v>
      </c>
      <c r="AS1967" s="147" t="s">
        <v>127</v>
      </c>
      <c r="AT1967" s="147" t="s">
        <v>179</v>
      </c>
      <c r="AU1967" s="60" t="s">
        <v>821</v>
      </c>
      <c r="AV1967" s="60"/>
      <c r="AW1967" s="60" t="s">
        <v>134</v>
      </c>
    </row>
    <row r="1968">
      <c r="A1968" s="115" t="s">
        <v>279</v>
      </c>
      <c r="B1968" s="41" t="s">
        <v>107</v>
      </c>
      <c r="C1968" s="41" t="s">
        <v>3672</v>
      </c>
      <c r="E1968" s="847" t="s">
        <v>2065</v>
      </c>
      <c r="F1968" s="847" t="s">
        <v>2066</v>
      </c>
      <c r="G1968" s="847" t="s">
        <v>12270</v>
      </c>
      <c r="H1968" s="487">
        <v>45460.0</v>
      </c>
      <c r="I1968" s="470"/>
      <c r="J1968" s="470"/>
      <c r="K1968" s="470"/>
      <c r="L1968" s="847" t="s">
        <v>2070</v>
      </c>
      <c r="M1968" s="847" t="s">
        <v>2071</v>
      </c>
      <c r="N1968" s="470"/>
      <c r="O1968" s="847" t="str">
        <f>SUBSTITUTE(LOWER(M1968), "/", "--") &amp;  ".pdf"</f>
        <v>10.1016--j.econedurev.2005.05.008.pdf</v>
      </c>
      <c r="P1968" s="1570" t="str">
        <f>HYPERLINK(VLOOKUP(LOWER(M1968),'File Links'!E:F, 2, FALSE), "LINK")</f>
        <v>LINK</v>
      </c>
      <c r="Q1968" s="847" t="s">
        <v>2072</v>
      </c>
      <c r="R1968" s="470"/>
      <c r="S1968" s="470"/>
      <c r="T1968" s="470"/>
      <c r="U1968" s="847" t="str">
        <f>HYPERLINK(VLOOKUP(LOWER(R1968),#REF!, 2, FALSE), SUBSTITUTE(LOWER(R1968), "/", "--") &amp;  ".pdf")</f>
        <v>.pdf</v>
      </c>
      <c r="V1968" s="470"/>
      <c r="W1968" s="1571" t="str">
        <f>HYPERLINK(VLOOKUP(LOWER(R1968),'File Links'!E:F, 2, FALSE), "LINK")</f>
        <v>LINK</v>
      </c>
      <c r="X1968" s="847" t="s">
        <v>12347</v>
      </c>
      <c r="Y1968" s="470"/>
      <c r="Z1968" s="470"/>
      <c r="AA1968" s="470"/>
      <c r="AB1968" s="470"/>
      <c r="AC1968" s="470"/>
      <c r="AD1968" s="470"/>
      <c r="AE1968" s="470"/>
      <c r="AF1968" s="470"/>
      <c r="AG1968" s="470"/>
      <c r="AH1968" s="470"/>
      <c r="AI1968" s="470"/>
      <c r="AJ1968" s="470"/>
      <c r="AK1968" s="470"/>
      <c r="AL1968" s="470"/>
      <c r="AM1968" s="470"/>
      <c r="AN1968" s="470"/>
      <c r="AO1968" s="470"/>
      <c r="AP1968" s="470"/>
      <c r="AQ1968" s="470"/>
      <c r="AR1968" s="470"/>
      <c r="AS1968" s="470"/>
      <c r="AT1968" s="470"/>
      <c r="AU1968" s="470"/>
      <c r="AV1968" s="470"/>
      <c r="AW1968" s="470"/>
    </row>
    <row r="1969">
      <c r="A1969" s="115"/>
      <c r="B1969" s="25"/>
      <c r="C1969" s="25"/>
      <c r="E1969" s="60"/>
      <c r="F1969" s="60"/>
      <c r="G1969" s="147"/>
      <c r="H1969" s="140"/>
      <c r="I1969" s="60"/>
      <c r="J1969" s="147"/>
      <c r="K1969" s="60"/>
      <c r="L1969" s="60"/>
      <c r="M1969" s="60"/>
      <c r="N1969" s="327"/>
      <c r="O1969" s="145"/>
      <c r="P1969" s="1572"/>
      <c r="Q1969" s="1526"/>
      <c r="R1969" s="60"/>
      <c r="S1969" s="1528"/>
      <c r="T1969" s="327"/>
      <c r="U1969" s="147"/>
      <c r="V1969" s="147"/>
      <c r="W1969" s="1455"/>
      <c r="X1969" s="60"/>
      <c r="Y1969" s="147"/>
      <c r="Z1969" s="60"/>
      <c r="AA1969" s="147"/>
      <c r="AB1969" s="147"/>
      <c r="AC1969" s="147"/>
      <c r="AD1969" s="147"/>
      <c r="AE1969" s="144"/>
      <c r="AF1969" s="144"/>
      <c r="AG1969" s="147"/>
      <c r="AH1969" s="147"/>
      <c r="AI1969" s="144"/>
      <c r="AJ1969" s="147"/>
      <c r="AK1969" s="147"/>
      <c r="AL1969" s="60"/>
      <c r="AM1969" s="60"/>
      <c r="AN1969" s="144"/>
      <c r="AO1969" s="144"/>
      <c r="AP1969" s="147"/>
      <c r="AQ1969" s="147"/>
      <c r="AR1969" s="144"/>
      <c r="AS1969" s="147"/>
      <c r="AT1969" s="147"/>
      <c r="AU1969" s="60"/>
      <c r="AV1969" s="410"/>
      <c r="AW1969" s="60"/>
    </row>
    <row r="1970">
      <c r="A1970" s="115"/>
      <c r="B1970" s="25"/>
      <c r="C1970" s="25"/>
      <c r="E1970" s="60"/>
      <c r="F1970" s="60"/>
      <c r="G1970" s="147"/>
      <c r="H1970" s="140"/>
      <c r="I1970" s="60"/>
      <c r="J1970" s="147"/>
      <c r="K1970" s="60"/>
      <c r="L1970" s="60"/>
      <c r="M1970" s="60"/>
      <c r="N1970" s="327"/>
      <c r="O1970" s="145"/>
      <c r="P1970" s="1572"/>
      <c r="Q1970" s="1526"/>
      <c r="R1970" s="60"/>
      <c r="S1970" s="1528"/>
      <c r="T1970" s="327"/>
      <c r="U1970" s="147"/>
      <c r="V1970" s="147"/>
      <c r="W1970" s="1455"/>
      <c r="X1970" s="60"/>
      <c r="Y1970" s="147"/>
      <c r="Z1970" s="60"/>
      <c r="AA1970" s="147"/>
      <c r="AB1970" s="147"/>
      <c r="AC1970" s="147"/>
      <c r="AD1970" s="147"/>
      <c r="AE1970" s="144"/>
      <c r="AF1970" s="144"/>
      <c r="AG1970" s="147"/>
      <c r="AH1970" s="147"/>
      <c r="AI1970" s="144"/>
      <c r="AJ1970" s="147"/>
      <c r="AK1970" s="147"/>
      <c r="AL1970" s="60"/>
      <c r="AM1970" s="60"/>
      <c r="AN1970" s="144"/>
      <c r="AO1970" s="144"/>
      <c r="AP1970" s="147"/>
      <c r="AQ1970" s="147"/>
      <c r="AR1970" s="144"/>
      <c r="AS1970" s="147"/>
      <c r="AT1970" s="147"/>
      <c r="AU1970" s="60"/>
      <c r="AV1970" s="410"/>
      <c r="AW1970" s="60"/>
    </row>
    <row r="1971">
      <c r="A1971" s="60"/>
      <c r="B1971" s="41"/>
      <c r="C1971" s="41"/>
      <c r="E1971" s="60"/>
      <c r="F1971" s="60"/>
      <c r="G1971" s="147"/>
      <c r="H1971" s="140"/>
      <c r="I1971" s="60"/>
      <c r="J1971" s="147"/>
      <c r="K1971" s="60"/>
      <c r="L1971" s="60"/>
      <c r="M1971" s="60"/>
      <c r="N1971" s="327"/>
      <c r="O1971" s="145"/>
      <c r="P1971" s="1572"/>
      <c r="Q1971" s="1526"/>
      <c r="R1971" s="60"/>
      <c r="S1971" s="1528"/>
      <c r="T1971" s="327"/>
      <c r="U1971" s="147"/>
      <c r="V1971" s="147"/>
      <c r="W1971" s="1455"/>
      <c r="X1971" s="60"/>
      <c r="Y1971" s="147"/>
      <c r="Z1971" s="60"/>
      <c r="AA1971" s="147"/>
      <c r="AB1971" s="147"/>
      <c r="AC1971" s="147"/>
      <c r="AD1971" s="147"/>
      <c r="AE1971" s="144"/>
      <c r="AF1971" s="144"/>
      <c r="AG1971" s="147"/>
      <c r="AH1971" s="147"/>
      <c r="AI1971" s="144"/>
      <c r="AJ1971" s="147"/>
      <c r="AK1971" s="147"/>
      <c r="AL1971" s="60"/>
      <c r="AM1971" s="60"/>
      <c r="AN1971" s="144"/>
      <c r="AO1971" s="144"/>
      <c r="AP1971" s="147"/>
      <c r="AQ1971" s="147"/>
      <c r="AR1971" s="144"/>
      <c r="AS1971" s="147"/>
      <c r="AT1971" s="147"/>
      <c r="AU1971" s="60"/>
      <c r="AV1971" s="410"/>
      <c r="AW1971" s="60"/>
    </row>
    <row r="1972">
      <c r="A1972" s="60"/>
      <c r="B1972" s="41"/>
      <c r="C1972" s="41"/>
      <c r="E1972" s="60"/>
      <c r="F1972" s="60"/>
      <c r="G1972" s="147"/>
      <c r="H1972" s="140"/>
      <c r="I1972" s="60"/>
      <c r="J1972" s="147"/>
      <c r="K1972" s="60"/>
      <c r="L1972" s="60"/>
      <c r="M1972" s="60"/>
      <c r="N1972" s="327"/>
      <c r="O1972" s="145"/>
      <c r="P1972" s="1572"/>
      <c r="Q1972" s="1526"/>
      <c r="R1972" s="60"/>
      <c r="S1972" s="1528"/>
      <c r="T1972" s="327"/>
      <c r="U1972" s="147"/>
      <c r="V1972" s="147"/>
      <c r="W1972" s="1455"/>
      <c r="X1972" s="60"/>
      <c r="Y1972" s="147"/>
      <c r="Z1972" s="60"/>
      <c r="AA1972" s="147"/>
      <c r="AB1972" s="147"/>
      <c r="AC1972" s="147"/>
      <c r="AD1972" s="147"/>
      <c r="AE1972" s="144"/>
      <c r="AF1972" s="144"/>
      <c r="AG1972" s="147"/>
      <c r="AH1972" s="147"/>
      <c r="AI1972" s="144"/>
      <c r="AJ1972" s="147"/>
      <c r="AK1972" s="147"/>
      <c r="AL1972" s="60"/>
      <c r="AM1972" s="60"/>
      <c r="AN1972" s="144"/>
      <c r="AO1972" s="144"/>
      <c r="AP1972" s="147"/>
      <c r="AQ1972" s="147"/>
      <c r="AR1972" s="144"/>
      <c r="AS1972" s="147"/>
      <c r="AT1972" s="147"/>
      <c r="AU1972" s="60"/>
      <c r="AV1972" s="410"/>
      <c r="AW1972" s="60"/>
    </row>
    <row r="1973">
      <c r="A1973" s="60"/>
      <c r="B1973" s="41"/>
      <c r="C1973" s="41"/>
      <c r="E1973" s="60"/>
      <c r="F1973" s="60"/>
      <c r="G1973" s="147"/>
      <c r="H1973" s="140"/>
      <c r="I1973" s="60"/>
      <c r="J1973" s="147"/>
      <c r="K1973" s="60"/>
      <c r="L1973" s="60"/>
      <c r="M1973" s="60"/>
      <c r="N1973" s="327"/>
      <c r="O1973" s="145"/>
      <c r="P1973" s="1572"/>
      <c r="Q1973" s="1526"/>
      <c r="R1973" s="60"/>
      <c r="S1973" s="1528"/>
      <c r="T1973" s="327"/>
      <c r="U1973" s="147"/>
      <c r="V1973" s="147"/>
      <c r="W1973" s="1455"/>
      <c r="X1973" s="60"/>
      <c r="Y1973" s="147"/>
      <c r="Z1973" s="60"/>
      <c r="AA1973" s="147"/>
      <c r="AB1973" s="147"/>
      <c r="AC1973" s="147"/>
      <c r="AD1973" s="147"/>
      <c r="AE1973" s="144"/>
      <c r="AF1973" s="144"/>
      <c r="AG1973" s="147"/>
      <c r="AH1973" s="147"/>
      <c r="AI1973" s="144"/>
      <c r="AJ1973" s="147"/>
      <c r="AK1973" s="147"/>
      <c r="AL1973" s="60"/>
      <c r="AM1973" s="60"/>
      <c r="AN1973" s="144"/>
      <c r="AO1973" s="144"/>
      <c r="AP1973" s="147"/>
      <c r="AQ1973" s="147"/>
      <c r="AR1973" s="144"/>
      <c r="AS1973" s="147"/>
      <c r="AT1973" s="147"/>
      <c r="AU1973" s="60"/>
      <c r="AV1973" s="410"/>
      <c r="AW1973" s="60"/>
    </row>
    <row r="1974">
      <c r="A1974" s="60"/>
      <c r="B1974" s="41"/>
      <c r="C1974" s="41"/>
      <c r="E1974" s="60"/>
      <c r="F1974" s="60"/>
      <c r="G1974" s="147"/>
      <c r="H1974" s="140"/>
      <c r="I1974" s="60"/>
      <c r="J1974" s="147"/>
      <c r="K1974" s="60"/>
      <c r="L1974" s="60"/>
      <c r="M1974" s="60"/>
      <c r="N1974" s="327"/>
      <c r="O1974" s="145"/>
      <c r="P1974" s="1572"/>
      <c r="Q1974" s="1526"/>
      <c r="R1974" s="60"/>
      <c r="S1974" s="1528"/>
      <c r="T1974" s="327"/>
      <c r="U1974" s="147"/>
      <c r="V1974" s="147"/>
      <c r="W1974" s="1455"/>
      <c r="X1974" s="60"/>
      <c r="Y1974" s="147"/>
      <c r="Z1974" s="60"/>
      <c r="AA1974" s="147"/>
      <c r="AB1974" s="147"/>
      <c r="AC1974" s="147"/>
      <c r="AD1974" s="147"/>
      <c r="AE1974" s="144"/>
      <c r="AF1974" s="144"/>
      <c r="AG1974" s="147"/>
      <c r="AH1974" s="147"/>
      <c r="AI1974" s="144"/>
      <c r="AJ1974" s="147"/>
      <c r="AK1974" s="147"/>
      <c r="AL1974" s="60"/>
      <c r="AM1974" s="60"/>
      <c r="AN1974" s="144"/>
      <c r="AO1974" s="144"/>
      <c r="AP1974" s="147"/>
      <c r="AQ1974" s="147"/>
      <c r="AR1974" s="144"/>
      <c r="AS1974" s="147"/>
      <c r="AT1974" s="147"/>
      <c r="AU1974" s="60"/>
      <c r="AV1974" s="410"/>
      <c r="AW1974" s="60"/>
    </row>
    <row r="1975">
      <c r="A1975" s="60"/>
      <c r="B1975" s="41"/>
      <c r="C1975" s="41"/>
      <c r="E1975" s="60"/>
      <c r="F1975" s="60"/>
      <c r="G1975" s="147"/>
      <c r="H1975" s="140"/>
      <c r="I1975" s="60"/>
      <c r="J1975" s="147"/>
      <c r="K1975" s="60"/>
      <c r="L1975" s="60"/>
      <c r="M1975" s="60"/>
      <c r="N1975" s="327"/>
      <c r="O1975" s="145"/>
      <c r="P1975" s="1572"/>
      <c r="Q1975" s="1526"/>
      <c r="R1975" s="60"/>
      <c r="S1975" s="1528"/>
      <c r="T1975" s="327"/>
      <c r="U1975" s="147"/>
      <c r="V1975" s="147"/>
      <c r="W1975" s="1455"/>
      <c r="X1975" s="60"/>
      <c r="Y1975" s="147"/>
      <c r="Z1975" s="60"/>
      <c r="AA1975" s="147"/>
      <c r="AB1975" s="147"/>
      <c r="AC1975" s="147"/>
      <c r="AD1975" s="147"/>
      <c r="AE1975" s="144"/>
      <c r="AF1975" s="144"/>
      <c r="AG1975" s="147"/>
      <c r="AH1975" s="147"/>
      <c r="AI1975" s="144"/>
      <c r="AJ1975" s="147"/>
      <c r="AK1975" s="147"/>
      <c r="AL1975" s="60"/>
      <c r="AM1975" s="60"/>
      <c r="AN1975" s="144"/>
      <c r="AO1975" s="144"/>
      <c r="AP1975" s="147"/>
      <c r="AQ1975" s="147"/>
      <c r="AR1975" s="144"/>
      <c r="AS1975" s="147"/>
      <c r="AT1975" s="147"/>
      <c r="AU1975" s="60"/>
      <c r="AV1975" s="410"/>
      <c r="AW1975" s="60"/>
    </row>
    <row r="1976">
      <c r="A1976" s="60"/>
      <c r="B1976" s="41"/>
      <c r="C1976" s="41"/>
      <c r="E1976" s="60"/>
      <c r="F1976" s="60"/>
      <c r="G1976" s="147"/>
      <c r="H1976" s="140"/>
      <c r="I1976" s="60"/>
      <c r="J1976" s="147"/>
      <c r="K1976" s="60"/>
      <c r="L1976" s="60"/>
      <c r="M1976" s="60"/>
      <c r="N1976" s="327"/>
      <c r="O1976" s="145"/>
      <c r="P1976" s="1572"/>
      <c r="Q1976" s="1526"/>
      <c r="R1976" s="60"/>
      <c r="S1976" s="1528"/>
      <c r="T1976" s="327"/>
      <c r="U1976" s="147"/>
      <c r="V1976" s="147"/>
      <c r="W1976" s="1455"/>
      <c r="X1976" s="60"/>
      <c r="Y1976" s="147"/>
      <c r="Z1976" s="60"/>
      <c r="AA1976" s="147"/>
      <c r="AB1976" s="147"/>
      <c r="AC1976" s="147"/>
      <c r="AD1976" s="147"/>
      <c r="AE1976" s="144"/>
      <c r="AF1976" s="144"/>
      <c r="AG1976" s="147"/>
      <c r="AH1976" s="147"/>
      <c r="AI1976" s="144"/>
      <c r="AJ1976" s="147"/>
      <c r="AK1976" s="147"/>
      <c r="AL1976" s="60"/>
      <c r="AM1976" s="60"/>
      <c r="AN1976" s="144"/>
      <c r="AO1976" s="144"/>
      <c r="AP1976" s="147"/>
      <c r="AQ1976" s="147"/>
      <c r="AR1976" s="144"/>
      <c r="AS1976" s="147"/>
      <c r="AT1976" s="147"/>
      <c r="AU1976" s="60"/>
      <c r="AV1976" s="410"/>
      <c r="AW1976" s="60"/>
    </row>
    <row r="1977">
      <c r="A1977" s="60"/>
      <c r="B1977" s="41"/>
      <c r="C1977" s="41"/>
      <c r="E1977" s="60"/>
      <c r="F1977" s="60"/>
      <c r="G1977" s="147"/>
      <c r="H1977" s="140"/>
      <c r="I1977" s="60"/>
      <c r="J1977" s="147"/>
      <c r="K1977" s="60"/>
      <c r="L1977" s="60"/>
      <c r="M1977" s="60"/>
      <c r="N1977" s="327"/>
      <c r="O1977" s="145"/>
      <c r="P1977" s="1572"/>
      <c r="Q1977" s="1526"/>
      <c r="R1977" s="60"/>
      <c r="S1977" s="1528"/>
      <c r="T1977" s="327"/>
      <c r="U1977" s="147"/>
      <c r="V1977" s="147"/>
      <c r="W1977" s="1455"/>
      <c r="X1977" s="60"/>
      <c r="Y1977" s="147"/>
      <c r="Z1977" s="60"/>
      <c r="AA1977" s="147"/>
      <c r="AB1977" s="147"/>
      <c r="AC1977" s="147"/>
      <c r="AD1977" s="147"/>
      <c r="AE1977" s="144"/>
      <c r="AF1977" s="144"/>
      <c r="AG1977" s="147"/>
      <c r="AH1977" s="147"/>
      <c r="AI1977" s="144"/>
      <c r="AJ1977" s="147"/>
      <c r="AK1977" s="147"/>
      <c r="AL1977" s="60"/>
      <c r="AM1977" s="60"/>
      <c r="AN1977" s="144"/>
      <c r="AO1977" s="144"/>
      <c r="AP1977" s="147"/>
      <c r="AQ1977" s="147"/>
      <c r="AR1977" s="144"/>
      <c r="AS1977" s="147"/>
      <c r="AT1977" s="147"/>
      <c r="AU1977" s="60"/>
      <c r="AV1977" s="410"/>
      <c r="AW1977" s="60"/>
    </row>
    <row r="1978">
      <c r="A1978" s="60"/>
      <c r="B1978" s="41"/>
      <c r="C1978" s="41"/>
      <c r="E1978" s="60"/>
      <c r="F1978" s="60"/>
      <c r="G1978" s="147"/>
      <c r="H1978" s="140"/>
      <c r="I1978" s="60"/>
      <c r="J1978" s="147"/>
      <c r="K1978" s="60"/>
      <c r="L1978" s="60"/>
      <c r="M1978" s="60"/>
      <c r="N1978" s="327"/>
      <c r="O1978" s="145"/>
      <c r="P1978" s="1572"/>
      <c r="Q1978" s="1526"/>
      <c r="R1978" s="60"/>
      <c r="S1978" s="1528"/>
      <c r="T1978" s="327"/>
      <c r="U1978" s="147"/>
      <c r="V1978" s="147"/>
      <c r="W1978" s="1455"/>
      <c r="X1978" s="60"/>
      <c r="Y1978" s="147"/>
      <c r="Z1978" s="60"/>
      <c r="AA1978" s="147"/>
      <c r="AB1978" s="147"/>
      <c r="AC1978" s="147"/>
      <c r="AD1978" s="147"/>
      <c r="AE1978" s="144"/>
      <c r="AF1978" s="144"/>
      <c r="AG1978" s="147"/>
      <c r="AH1978" s="147"/>
      <c r="AI1978" s="144"/>
      <c r="AJ1978" s="147"/>
      <c r="AK1978" s="147"/>
      <c r="AL1978" s="60"/>
      <c r="AM1978" s="60"/>
      <c r="AN1978" s="144"/>
      <c r="AO1978" s="144"/>
      <c r="AP1978" s="147"/>
      <c r="AQ1978" s="147"/>
      <c r="AR1978" s="144"/>
      <c r="AS1978" s="147"/>
      <c r="AT1978" s="147"/>
      <c r="AU1978" s="60"/>
      <c r="AV1978" s="410"/>
      <c r="AW1978" s="60"/>
    </row>
    <row r="1979">
      <c r="A1979" s="60"/>
      <c r="B1979" s="41"/>
      <c r="C1979" s="41"/>
      <c r="E1979" s="60"/>
      <c r="F1979" s="60"/>
      <c r="G1979" s="147"/>
      <c r="H1979" s="140"/>
      <c r="I1979" s="60"/>
      <c r="J1979" s="147"/>
      <c r="K1979" s="60"/>
      <c r="L1979" s="60"/>
      <c r="M1979" s="60"/>
      <c r="N1979" s="327"/>
      <c r="O1979" s="145"/>
      <c r="P1979" s="1572"/>
      <c r="Q1979" s="1526"/>
      <c r="R1979" s="60"/>
      <c r="S1979" s="1528"/>
      <c r="T1979" s="327"/>
      <c r="U1979" s="147"/>
      <c r="V1979" s="147"/>
      <c r="W1979" s="1455"/>
      <c r="X1979" s="60"/>
      <c r="Y1979" s="147"/>
      <c r="Z1979" s="60"/>
      <c r="AA1979" s="147"/>
      <c r="AB1979" s="147"/>
      <c r="AC1979" s="147"/>
      <c r="AD1979" s="147"/>
      <c r="AE1979" s="144"/>
      <c r="AF1979" s="144"/>
      <c r="AG1979" s="147"/>
      <c r="AH1979" s="147"/>
      <c r="AI1979" s="144"/>
      <c r="AJ1979" s="147"/>
      <c r="AK1979" s="147"/>
      <c r="AL1979" s="60"/>
      <c r="AM1979" s="60"/>
      <c r="AN1979" s="144"/>
      <c r="AO1979" s="144"/>
      <c r="AP1979" s="147"/>
      <c r="AQ1979" s="147"/>
      <c r="AR1979" s="144"/>
      <c r="AS1979" s="147"/>
      <c r="AT1979" s="147"/>
      <c r="AU1979" s="60"/>
      <c r="AV1979" s="410"/>
      <c r="AW1979" s="60"/>
    </row>
    <row r="1980">
      <c r="A1980" s="60"/>
      <c r="B1980" s="41"/>
      <c r="C1980" s="41"/>
      <c r="E1980" s="60"/>
      <c r="F1980" s="60"/>
      <c r="G1980" s="147"/>
      <c r="H1980" s="140"/>
      <c r="I1980" s="60"/>
      <c r="J1980" s="147"/>
      <c r="K1980" s="60"/>
      <c r="L1980" s="60"/>
      <c r="M1980" s="60"/>
      <c r="N1980" s="327"/>
      <c r="O1980" s="145"/>
      <c r="P1980" s="1572"/>
      <c r="Q1980" s="1526"/>
      <c r="R1980" s="60"/>
      <c r="S1980" s="1528"/>
      <c r="T1980" s="327"/>
      <c r="U1980" s="147"/>
      <c r="V1980" s="147"/>
      <c r="W1980" s="1455"/>
      <c r="X1980" s="60"/>
      <c r="Y1980" s="147"/>
      <c r="Z1980" s="60"/>
      <c r="AA1980" s="147"/>
      <c r="AB1980" s="147"/>
      <c r="AC1980" s="147"/>
      <c r="AD1980" s="147"/>
      <c r="AE1980" s="144"/>
      <c r="AF1980" s="144"/>
      <c r="AG1980" s="147"/>
      <c r="AH1980" s="147"/>
      <c r="AI1980" s="144"/>
      <c r="AJ1980" s="147"/>
      <c r="AK1980" s="147"/>
      <c r="AL1980" s="60"/>
      <c r="AM1980" s="60"/>
      <c r="AN1980" s="144"/>
      <c r="AO1980" s="144"/>
      <c r="AP1980" s="147"/>
      <c r="AQ1980" s="147"/>
      <c r="AR1980" s="144"/>
      <c r="AS1980" s="147"/>
      <c r="AT1980" s="147"/>
      <c r="AU1980" s="60"/>
      <c r="AV1980" s="410"/>
      <c r="AW1980" s="60"/>
    </row>
    <row r="1981">
      <c r="A1981" s="60"/>
      <c r="B1981" s="41"/>
      <c r="C1981" s="41"/>
      <c r="E1981" s="60"/>
      <c r="F1981" s="60"/>
      <c r="G1981" s="147"/>
      <c r="H1981" s="140"/>
      <c r="I1981" s="60"/>
      <c r="J1981" s="147"/>
      <c r="K1981" s="60"/>
      <c r="L1981" s="60"/>
      <c r="M1981" s="60"/>
      <c r="N1981" s="327"/>
      <c r="O1981" s="145"/>
      <c r="P1981" s="1572"/>
      <c r="Q1981" s="1526"/>
      <c r="R1981" s="60"/>
      <c r="S1981" s="1528"/>
      <c r="T1981" s="327"/>
      <c r="U1981" s="147"/>
      <c r="V1981" s="147"/>
      <c r="W1981" s="1455"/>
      <c r="X1981" s="60"/>
      <c r="Y1981" s="147"/>
      <c r="Z1981" s="60"/>
      <c r="AA1981" s="147"/>
      <c r="AB1981" s="147"/>
      <c r="AC1981" s="147"/>
      <c r="AD1981" s="147"/>
      <c r="AE1981" s="144"/>
      <c r="AF1981" s="144"/>
      <c r="AG1981" s="147"/>
      <c r="AH1981" s="147"/>
      <c r="AI1981" s="144"/>
      <c r="AJ1981" s="147"/>
      <c r="AK1981" s="147"/>
      <c r="AL1981" s="60"/>
      <c r="AM1981" s="60"/>
      <c r="AN1981" s="144"/>
      <c r="AO1981" s="144"/>
      <c r="AP1981" s="147"/>
      <c r="AQ1981" s="147"/>
      <c r="AR1981" s="144"/>
      <c r="AS1981" s="147"/>
      <c r="AT1981" s="147"/>
      <c r="AU1981" s="60"/>
      <c r="AV1981" s="410"/>
      <c r="AW1981" s="60"/>
    </row>
    <row r="1982">
      <c r="A1982" s="60"/>
      <c r="B1982" s="41"/>
      <c r="C1982" s="41"/>
      <c r="E1982" s="60"/>
      <c r="F1982" s="60"/>
      <c r="G1982" s="147"/>
      <c r="H1982" s="140"/>
      <c r="I1982" s="60"/>
      <c r="J1982" s="147"/>
      <c r="K1982" s="60"/>
      <c r="L1982" s="60"/>
      <c r="M1982" s="60"/>
      <c r="N1982" s="327"/>
      <c r="O1982" s="145"/>
      <c r="P1982" s="1572"/>
      <c r="Q1982" s="1526"/>
      <c r="R1982" s="60"/>
      <c r="S1982" s="1528"/>
      <c r="T1982" s="327"/>
      <c r="U1982" s="147"/>
      <c r="V1982" s="147"/>
      <c r="W1982" s="1455"/>
      <c r="X1982" s="60"/>
      <c r="Y1982" s="147"/>
      <c r="Z1982" s="60"/>
      <c r="AA1982" s="147"/>
      <c r="AB1982" s="147"/>
      <c r="AC1982" s="147"/>
      <c r="AD1982" s="147"/>
      <c r="AE1982" s="144"/>
      <c r="AF1982" s="144"/>
      <c r="AG1982" s="147"/>
      <c r="AH1982" s="147"/>
      <c r="AI1982" s="144"/>
      <c r="AJ1982" s="147"/>
      <c r="AK1982" s="147"/>
      <c r="AL1982" s="60"/>
      <c r="AM1982" s="60"/>
      <c r="AN1982" s="144"/>
      <c r="AO1982" s="144"/>
      <c r="AP1982" s="147"/>
      <c r="AQ1982" s="147"/>
      <c r="AR1982" s="144"/>
      <c r="AS1982" s="147"/>
      <c r="AT1982" s="147"/>
      <c r="AU1982" s="60"/>
      <c r="AV1982" s="410"/>
      <c r="AW1982" s="60"/>
    </row>
    <row r="1983">
      <c r="A1983" s="60"/>
      <c r="B1983" s="41"/>
      <c r="C1983" s="41"/>
      <c r="E1983" s="60"/>
      <c r="F1983" s="60"/>
      <c r="G1983" s="147"/>
      <c r="H1983" s="140"/>
      <c r="I1983" s="60"/>
      <c r="J1983" s="147"/>
      <c r="K1983" s="60"/>
      <c r="L1983" s="60"/>
      <c r="M1983" s="60"/>
      <c r="N1983" s="327"/>
      <c r="O1983" s="145"/>
      <c r="P1983" s="1572"/>
      <c r="Q1983" s="1526"/>
      <c r="R1983" s="60"/>
      <c r="S1983" s="1528"/>
      <c r="T1983" s="327"/>
      <c r="U1983" s="147"/>
      <c r="V1983" s="147"/>
      <c r="W1983" s="1455"/>
      <c r="X1983" s="60"/>
      <c r="Y1983" s="147"/>
      <c r="Z1983" s="60"/>
      <c r="AA1983" s="147"/>
      <c r="AB1983" s="147"/>
      <c r="AC1983" s="147"/>
      <c r="AD1983" s="147"/>
      <c r="AE1983" s="144"/>
      <c r="AF1983" s="144"/>
      <c r="AG1983" s="147"/>
      <c r="AH1983" s="147"/>
      <c r="AI1983" s="144"/>
      <c r="AJ1983" s="147"/>
      <c r="AK1983" s="147"/>
      <c r="AL1983" s="60"/>
      <c r="AM1983" s="60"/>
      <c r="AN1983" s="144"/>
      <c r="AO1983" s="144"/>
      <c r="AP1983" s="147"/>
      <c r="AQ1983" s="147"/>
      <c r="AR1983" s="144"/>
      <c r="AS1983" s="147"/>
      <c r="AT1983" s="147"/>
      <c r="AU1983" s="60"/>
      <c r="AV1983" s="410"/>
      <c r="AW1983" s="60"/>
    </row>
    <row r="1984">
      <c r="A1984" s="60"/>
      <c r="B1984" s="41"/>
      <c r="C1984" s="41"/>
      <c r="E1984" s="60"/>
      <c r="F1984" s="60"/>
      <c r="G1984" s="147"/>
      <c r="H1984" s="140"/>
      <c r="I1984" s="60"/>
      <c r="J1984" s="147"/>
      <c r="K1984" s="60"/>
      <c r="L1984" s="60"/>
      <c r="M1984" s="60"/>
      <c r="N1984" s="327"/>
      <c r="O1984" s="145"/>
      <c r="P1984" s="1572"/>
      <c r="Q1984" s="1526"/>
      <c r="R1984" s="60"/>
      <c r="S1984" s="1528"/>
      <c r="T1984" s="327"/>
      <c r="U1984" s="147"/>
      <c r="V1984" s="147"/>
      <c r="W1984" s="1455"/>
      <c r="X1984" s="60"/>
      <c r="Y1984" s="147"/>
      <c r="Z1984" s="60"/>
      <c r="AA1984" s="147"/>
      <c r="AB1984" s="147"/>
      <c r="AC1984" s="147"/>
      <c r="AD1984" s="147"/>
      <c r="AE1984" s="144"/>
      <c r="AF1984" s="144"/>
      <c r="AG1984" s="147"/>
      <c r="AH1984" s="147"/>
      <c r="AI1984" s="144"/>
      <c r="AJ1984" s="147"/>
      <c r="AK1984" s="147"/>
      <c r="AL1984" s="60"/>
      <c r="AM1984" s="60"/>
      <c r="AN1984" s="144"/>
      <c r="AO1984" s="144"/>
      <c r="AP1984" s="147"/>
      <c r="AQ1984" s="147"/>
      <c r="AR1984" s="144"/>
      <c r="AS1984" s="147"/>
      <c r="AT1984" s="147"/>
      <c r="AU1984" s="60"/>
      <c r="AV1984" s="410"/>
      <c r="AW1984" s="60"/>
    </row>
    <row r="1985">
      <c r="A1985" s="60"/>
      <c r="B1985" s="41"/>
      <c r="C1985" s="41"/>
      <c r="E1985" s="60"/>
      <c r="F1985" s="60"/>
      <c r="G1985" s="147"/>
      <c r="H1985" s="140"/>
      <c r="I1985" s="60"/>
      <c r="J1985" s="147"/>
      <c r="K1985" s="60"/>
      <c r="L1985" s="60"/>
      <c r="M1985" s="60"/>
      <c r="N1985" s="327"/>
      <c r="O1985" s="145"/>
      <c r="P1985" s="1572"/>
      <c r="Q1985" s="1526"/>
      <c r="R1985" s="60"/>
      <c r="S1985" s="1528"/>
      <c r="T1985" s="327"/>
      <c r="U1985" s="147"/>
      <c r="V1985" s="147"/>
      <c r="W1985" s="1455"/>
      <c r="X1985" s="60"/>
      <c r="Y1985" s="147"/>
      <c r="Z1985" s="60"/>
      <c r="AA1985" s="147"/>
      <c r="AB1985" s="147"/>
      <c r="AC1985" s="147"/>
      <c r="AD1985" s="147"/>
      <c r="AE1985" s="144"/>
      <c r="AF1985" s="144"/>
      <c r="AG1985" s="147"/>
      <c r="AH1985" s="147"/>
      <c r="AI1985" s="144"/>
      <c r="AJ1985" s="147"/>
      <c r="AK1985" s="147"/>
      <c r="AL1985" s="60"/>
      <c r="AM1985" s="60"/>
      <c r="AN1985" s="144"/>
      <c r="AO1985" s="144"/>
      <c r="AP1985" s="147"/>
      <c r="AQ1985" s="147"/>
      <c r="AR1985" s="144"/>
      <c r="AS1985" s="147"/>
      <c r="AT1985" s="147"/>
      <c r="AU1985" s="60"/>
      <c r="AV1985" s="410"/>
      <c r="AW1985" s="60"/>
    </row>
    <row r="1986">
      <c r="A1986" s="60"/>
      <c r="B1986" s="41"/>
      <c r="C1986" s="41"/>
      <c r="E1986" s="60"/>
      <c r="F1986" s="60"/>
      <c r="G1986" s="147"/>
      <c r="H1986" s="140"/>
      <c r="I1986" s="60"/>
      <c r="J1986" s="147"/>
      <c r="K1986" s="60"/>
      <c r="L1986" s="60"/>
      <c r="M1986" s="60"/>
      <c r="N1986" s="327"/>
      <c r="O1986" s="145"/>
      <c r="P1986" s="1572"/>
      <c r="Q1986" s="1526"/>
      <c r="R1986" s="60"/>
      <c r="S1986" s="1528"/>
      <c r="T1986" s="327"/>
      <c r="U1986" s="147"/>
      <c r="V1986" s="147"/>
      <c r="W1986" s="1455"/>
      <c r="X1986" s="60"/>
      <c r="Y1986" s="147"/>
      <c r="Z1986" s="60"/>
      <c r="AA1986" s="147"/>
      <c r="AB1986" s="147"/>
      <c r="AC1986" s="147"/>
      <c r="AD1986" s="147"/>
      <c r="AE1986" s="144"/>
      <c r="AF1986" s="144"/>
      <c r="AG1986" s="147"/>
      <c r="AH1986" s="147"/>
      <c r="AI1986" s="144"/>
      <c r="AJ1986" s="147"/>
      <c r="AK1986" s="147"/>
      <c r="AL1986" s="60"/>
      <c r="AM1986" s="60"/>
      <c r="AN1986" s="144"/>
      <c r="AO1986" s="144"/>
      <c r="AP1986" s="147"/>
      <c r="AQ1986" s="147"/>
      <c r="AR1986" s="144"/>
      <c r="AS1986" s="147"/>
      <c r="AT1986" s="147"/>
      <c r="AU1986" s="60"/>
      <c r="AV1986" s="410"/>
      <c r="AW1986" s="60"/>
    </row>
    <row r="1987">
      <c r="A1987" s="60"/>
      <c r="B1987" s="41"/>
      <c r="C1987" s="41"/>
      <c r="E1987" s="60"/>
      <c r="F1987" s="60"/>
      <c r="G1987" s="147"/>
      <c r="H1987" s="140"/>
      <c r="I1987" s="60"/>
      <c r="J1987" s="147"/>
      <c r="K1987" s="60"/>
      <c r="L1987" s="60"/>
      <c r="M1987" s="60"/>
      <c r="N1987" s="327"/>
      <c r="O1987" s="145"/>
      <c r="P1987" s="1572"/>
      <c r="Q1987" s="1526"/>
      <c r="R1987" s="60"/>
      <c r="S1987" s="1528"/>
      <c r="T1987" s="327"/>
      <c r="U1987" s="147"/>
      <c r="V1987" s="147"/>
      <c r="W1987" s="1455"/>
      <c r="X1987" s="60"/>
      <c r="Y1987" s="147"/>
      <c r="Z1987" s="60"/>
      <c r="AA1987" s="147"/>
      <c r="AB1987" s="147"/>
      <c r="AC1987" s="147"/>
      <c r="AD1987" s="147"/>
      <c r="AE1987" s="144"/>
      <c r="AF1987" s="144"/>
      <c r="AG1987" s="147"/>
      <c r="AH1987" s="147"/>
      <c r="AI1987" s="144"/>
      <c r="AJ1987" s="147"/>
      <c r="AK1987" s="147"/>
      <c r="AL1987" s="60"/>
      <c r="AM1987" s="60"/>
      <c r="AN1987" s="144"/>
      <c r="AO1987" s="144"/>
      <c r="AP1987" s="147"/>
      <c r="AQ1987" s="147"/>
      <c r="AR1987" s="144"/>
      <c r="AS1987" s="147"/>
      <c r="AT1987" s="147"/>
      <c r="AU1987" s="60"/>
      <c r="AV1987" s="410"/>
      <c r="AW1987" s="60"/>
    </row>
    <row r="1988">
      <c r="A1988" s="60"/>
      <c r="B1988" s="41"/>
      <c r="C1988" s="41"/>
      <c r="E1988" s="60"/>
      <c r="F1988" s="60"/>
      <c r="G1988" s="147"/>
      <c r="H1988" s="140"/>
      <c r="I1988" s="60"/>
      <c r="J1988" s="147"/>
      <c r="K1988" s="60"/>
      <c r="L1988" s="60"/>
      <c r="M1988" s="60"/>
      <c r="N1988" s="327"/>
      <c r="O1988" s="145"/>
      <c r="P1988" s="1572"/>
      <c r="Q1988" s="1526"/>
      <c r="R1988" s="60"/>
      <c r="S1988" s="1528"/>
      <c r="T1988" s="327"/>
      <c r="U1988" s="147"/>
      <c r="V1988" s="147"/>
      <c r="W1988" s="1455"/>
      <c r="X1988" s="60"/>
      <c r="Y1988" s="147"/>
      <c r="Z1988" s="60"/>
      <c r="AA1988" s="147"/>
      <c r="AB1988" s="147"/>
      <c r="AC1988" s="147"/>
      <c r="AD1988" s="147"/>
      <c r="AE1988" s="144"/>
      <c r="AF1988" s="144"/>
      <c r="AG1988" s="147"/>
      <c r="AH1988" s="147"/>
      <c r="AI1988" s="144"/>
      <c r="AJ1988" s="147"/>
      <c r="AK1988" s="147"/>
      <c r="AL1988" s="60"/>
      <c r="AM1988" s="60"/>
      <c r="AN1988" s="144"/>
      <c r="AO1988" s="144"/>
      <c r="AP1988" s="147"/>
      <c r="AQ1988" s="147"/>
      <c r="AR1988" s="144"/>
      <c r="AS1988" s="147"/>
      <c r="AT1988" s="147"/>
      <c r="AU1988" s="60"/>
      <c r="AV1988" s="410"/>
      <c r="AW1988" s="60"/>
    </row>
    <row r="1989">
      <c r="A1989" s="60"/>
      <c r="B1989" s="41"/>
      <c r="C1989" s="41"/>
      <c r="E1989" s="60"/>
      <c r="F1989" s="60"/>
      <c r="G1989" s="147"/>
      <c r="H1989" s="140"/>
      <c r="I1989" s="60"/>
      <c r="J1989" s="147"/>
      <c r="K1989" s="60"/>
      <c r="L1989" s="60"/>
      <c r="M1989" s="60"/>
      <c r="N1989" s="327"/>
      <c r="O1989" s="145"/>
      <c r="P1989" s="1572"/>
      <c r="Q1989" s="1526"/>
      <c r="R1989" s="60"/>
      <c r="S1989" s="1528"/>
      <c r="T1989" s="327"/>
      <c r="U1989" s="147"/>
      <c r="V1989" s="147"/>
      <c r="W1989" s="1455"/>
      <c r="X1989" s="60"/>
      <c r="Y1989" s="147"/>
      <c r="Z1989" s="60"/>
      <c r="AA1989" s="147"/>
      <c r="AB1989" s="147"/>
      <c r="AC1989" s="147"/>
      <c r="AD1989" s="147"/>
      <c r="AE1989" s="144"/>
      <c r="AF1989" s="144"/>
      <c r="AG1989" s="147"/>
      <c r="AH1989" s="147"/>
      <c r="AI1989" s="144"/>
      <c r="AJ1989" s="147"/>
      <c r="AK1989" s="147"/>
      <c r="AL1989" s="60"/>
      <c r="AM1989" s="60"/>
      <c r="AN1989" s="144"/>
      <c r="AO1989" s="144"/>
      <c r="AP1989" s="147"/>
      <c r="AQ1989" s="147"/>
      <c r="AR1989" s="144"/>
      <c r="AS1989" s="147"/>
      <c r="AT1989" s="147"/>
      <c r="AU1989" s="60"/>
      <c r="AV1989" s="410"/>
      <c r="AW1989" s="60"/>
    </row>
    <row r="1990">
      <c r="A1990" s="60"/>
      <c r="B1990" s="41"/>
      <c r="C1990" s="41"/>
      <c r="E1990" s="60"/>
      <c r="F1990" s="60"/>
      <c r="G1990" s="147"/>
      <c r="H1990" s="140"/>
      <c r="I1990" s="60"/>
      <c r="J1990" s="147"/>
      <c r="K1990" s="60"/>
      <c r="L1990" s="60"/>
      <c r="M1990" s="60"/>
      <c r="N1990" s="327"/>
      <c r="O1990" s="145"/>
      <c r="P1990" s="1572"/>
      <c r="Q1990" s="1526"/>
      <c r="R1990" s="60"/>
      <c r="S1990" s="1528"/>
      <c r="T1990" s="327"/>
      <c r="U1990" s="147"/>
      <c r="V1990" s="147"/>
      <c r="W1990" s="1455"/>
      <c r="X1990" s="60"/>
      <c r="Y1990" s="147"/>
      <c r="Z1990" s="60"/>
      <c r="AA1990" s="147"/>
      <c r="AB1990" s="147"/>
      <c r="AC1990" s="147"/>
      <c r="AD1990" s="147"/>
      <c r="AE1990" s="144"/>
      <c r="AF1990" s="144"/>
      <c r="AG1990" s="147"/>
      <c r="AH1990" s="147"/>
      <c r="AI1990" s="144"/>
      <c r="AJ1990" s="147"/>
      <c r="AK1990" s="147"/>
      <c r="AL1990" s="60"/>
      <c r="AM1990" s="60"/>
      <c r="AN1990" s="144"/>
      <c r="AO1990" s="144"/>
      <c r="AP1990" s="147"/>
      <c r="AQ1990" s="147"/>
      <c r="AR1990" s="144"/>
      <c r="AS1990" s="147"/>
      <c r="AT1990" s="147"/>
      <c r="AU1990" s="60"/>
      <c r="AV1990" s="410"/>
      <c r="AW1990" s="60"/>
    </row>
    <row r="1991">
      <c r="A1991" s="60"/>
      <c r="B1991" s="41"/>
      <c r="C1991" s="41"/>
      <c r="E1991" s="60"/>
      <c r="F1991" s="60"/>
      <c r="G1991" s="147"/>
      <c r="H1991" s="140"/>
      <c r="I1991" s="60"/>
      <c r="J1991" s="147"/>
      <c r="K1991" s="60"/>
      <c r="L1991" s="60"/>
      <c r="M1991" s="60"/>
      <c r="N1991" s="327"/>
      <c r="O1991" s="145"/>
      <c r="P1991" s="1572"/>
      <c r="Q1991" s="1526"/>
      <c r="R1991" s="60"/>
      <c r="S1991" s="1528"/>
      <c r="T1991" s="327"/>
      <c r="U1991" s="147"/>
      <c r="V1991" s="147"/>
      <c r="W1991" s="1455"/>
      <c r="X1991" s="60"/>
      <c r="Y1991" s="147"/>
      <c r="Z1991" s="60"/>
      <c r="AA1991" s="147"/>
      <c r="AB1991" s="147"/>
      <c r="AC1991" s="147"/>
      <c r="AD1991" s="147"/>
      <c r="AE1991" s="144"/>
      <c r="AF1991" s="144"/>
      <c r="AG1991" s="147"/>
      <c r="AH1991" s="147"/>
      <c r="AI1991" s="144"/>
      <c r="AJ1991" s="147"/>
      <c r="AK1991" s="147"/>
      <c r="AL1991" s="60"/>
      <c r="AM1991" s="60"/>
      <c r="AN1991" s="144"/>
      <c r="AO1991" s="144"/>
      <c r="AP1991" s="147"/>
      <c r="AQ1991" s="147"/>
      <c r="AR1991" s="144"/>
      <c r="AS1991" s="147"/>
      <c r="AT1991" s="147"/>
      <c r="AU1991" s="60"/>
      <c r="AV1991" s="410"/>
      <c r="AW1991" s="60"/>
    </row>
    <row r="1992">
      <c r="A1992" s="60"/>
      <c r="B1992" s="41"/>
      <c r="C1992" s="41"/>
      <c r="E1992" s="60"/>
      <c r="F1992" s="60"/>
      <c r="G1992" s="147"/>
      <c r="H1992" s="140"/>
      <c r="I1992" s="60"/>
      <c r="J1992" s="147"/>
      <c r="K1992" s="60"/>
      <c r="L1992" s="60"/>
      <c r="M1992" s="60"/>
      <c r="N1992" s="327"/>
      <c r="O1992" s="145"/>
      <c r="P1992" s="1572"/>
      <c r="Q1992" s="1526"/>
      <c r="R1992" s="60"/>
      <c r="S1992" s="1528"/>
      <c r="T1992" s="327"/>
      <c r="U1992" s="147"/>
      <c r="V1992" s="147"/>
      <c r="W1992" s="1455"/>
      <c r="X1992" s="60"/>
      <c r="Y1992" s="147"/>
      <c r="Z1992" s="60"/>
      <c r="AA1992" s="147"/>
      <c r="AB1992" s="147"/>
      <c r="AC1992" s="147"/>
      <c r="AD1992" s="147"/>
      <c r="AE1992" s="144"/>
      <c r="AF1992" s="144"/>
      <c r="AG1992" s="147"/>
      <c r="AH1992" s="147"/>
      <c r="AI1992" s="144"/>
      <c r="AJ1992" s="147"/>
      <c r="AK1992" s="147"/>
      <c r="AL1992" s="60"/>
      <c r="AM1992" s="60"/>
      <c r="AN1992" s="144"/>
      <c r="AO1992" s="144"/>
      <c r="AP1992" s="147"/>
      <c r="AQ1992" s="147"/>
      <c r="AR1992" s="144"/>
      <c r="AS1992" s="147"/>
      <c r="AT1992" s="147"/>
      <c r="AU1992" s="60"/>
      <c r="AV1992" s="410"/>
      <c r="AW1992" s="60"/>
    </row>
    <row r="1993">
      <c r="A1993" s="60"/>
      <c r="B1993" s="41"/>
      <c r="C1993" s="41"/>
      <c r="E1993" s="60"/>
      <c r="F1993" s="60"/>
      <c r="G1993" s="147"/>
      <c r="H1993" s="140"/>
      <c r="I1993" s="60"/>
      <c r="J1993" s="147"/>
      <c r="K1993" s="60"/>
      <c r="L1993" s="60"/>
      <c r="M1993" s="60"/>
      <c r="N1993" s="327"/>
      <c r="O1993" s="145"/>
      <c r="P1993" s="1572"/>
      <c r="Q1993" s="1526"/>
      <c r="R1993" s="60"/>
      <c r="S1993" s="1528"/>
      <c r="T1993" s="327"/>
      <c r="U1993" s="147"/>
      <c r="V1993" s="147"/>
      <c r="W1993" s="1455"/>
      <c r="X1993" s="60"/>
      <c r="Y1993" s="147"/>
      <c r="Z1993" s="60"/>
      <c r="AA1993" s="147"/>
      <c r="AB1993" s="147"/>
      <c r="AC1993" s="147"/>
      <c r="AD1993" s="147"/>
      <c r="AE1993" s="144"/>
      <c r="AF1993" s="144"/>
      <c r="AG1993" s="147"/>
      <c r="AH1993" s="147"/>
      <c r="AI1993" s="144"/>
      <c r="AJ1993" s="147"/>
      <c r="AK1993" s="147"/>
      <c r="AL1993" s="60"/>
      <c r="AM1993" s="60"/>
      <c r="AN1993" s="144"/>
      <c r="AO1993" s="144"/>
      <c r="AP1993" s="147"/>
      <c r="AQ1993" s="147"/>
      <c r="AR1993" s="144"/>
      <c r="AS1993" s="147"/>
      <c r="AT1993" s="147"/>
      <c r="AU1993" s="60"/>
      <c r="AV1993" s="410"/>
      <c r="AW1993" s="60"/>
    </row>
    <row r="1994">
      <c r="A1994" s="60"/>
      <c r="B1994" s="41"/>
      <c r="C1994" s="41"/>
      <c r="E1994" s="60"/>
      <c r="F1994" s="60"/>
      <c r="G1994" s="147"/>
      <c r="H1994" s="140"/>
      <c r="I1994" s="60"/>
      <c r="J1994" s="147"/>
      <c r="K1994" s="60"/>
      <c r="L1994" s="60"/>
      <c r="M1994" s="60"/>
      <c r="N1994" s="327"/>
      <c r="O1994" s="145"/>
      <c r="P1994" s="1572"/>
      <c r="Q1994" s="1526"/>
      <c r="R1994" s="60"/>
      <c r="S1994" s="1528"/>
      <c r="T1994" s="327"/>
      <c r="U1994" s="147"/>
      <c r="V1994" s="147"/>
      <c r="W1994" s="1455"/>
      <c r="X1994" s="60"/>
      <c r="Y1994" s="147"/>
      <c r="Z1994" s="60"/>
      <c r="AA1994" s="147"/>
      <c r="AB1994" s="147"/>
      <c r="AC1994" s="147"/>
      <c r="AD1994" s="147"/>
      <c r="AE1994" s="144"/>
      <c r="AF1994" s="144"/>
      <c r="AG1994" s="147"/>
      <c r="AH1994" s="147"/>
      <c r="AI1994" s="144"/>
      <c r="AJ1994" s="147"/>
      <c r="AK1994" s="147"/>
      <c r="AL1994" s="60"/>
      <c r="AM1994" s="60"/>
      <c r="AN1994" s="144"/>
      <c r="AO1994" s="144"/>
      <c r="AP1994" s="147"/>
      <c r="AQ1994" s="147"/>
      <c r="AR1994" s="144"/>
      <c r="AS1994" s="147"/>
      <c r="AT1994" s="147"/>
      <c r="AU1994" s="60"/>
      <c r="AV1994" s="410"/>
      <c r="AW1994" s="60"/>
    </row>
    <row r="1995">
      <c r="A1995" s="60"/>
      <c r="B1995" s="41"/>
      <c r="C1995" s="41"/>
      <c r="E1995" s="60"/>
      <c r="F1995" s="60"/>
      <c r="G1995" s="147"/>
      <c r="H1995" s="140"/>
      <c r="I1995" s="60"/>
      <c r="J1995" s="147"/>
      <c r="K1995" s="60"/>
      <c r="L1995" s="60"/>
      <c r="M1995" s="60"/>
      <c r="N1995" s="327"/>
      <c r="O1995" s="145"/>
      <c r="P1995" s="1572"/>
      <c r="Q1995" s="1526"/>
      <c r="R1995" s="60"/>
      <c r="S1995" s="1528"/>
      <c r="T1995" s="327"/>
      <c r="U1995" s="147"/>
      <c r="V1995" s="147"/>
      <c r="W1995" s="1455"/>
      <c r="X1995" s="60"/>
      <c r="Y1995" s="147"/>
      <c r="Z1995" s="60"/>
      <c r="AA1995" s="147"/>
      <c r="AB1995" s="147"/>
      <c r="AC1995" s="147"/>
      <c r="AD1995" s="147"/>
      <c r="AE1995" s="144"/>
      <c r="AF1995" s="144"/>
      <c r="AG1995" s="147"/>
      <c r="AH1995" s="147"/>
      <c r="AI1995" s="144"/>
      <c r="AJ1995" s="147"/>
      <c r="AK1995" s="147"/>
      <c r="AL1995" s="60"/>
      <c r="AM1995" s="60"/>
      <c r="AN1995" s="144"/>
      <c r="AO1995" s="144"/>
      <c r="AP1995" s="147"/>
      <c r="AQ1995" s="147"/>
      <c r="AR1995" s="144"/>
      <c r="AS1995" s="147"/>
      <c r="AT1995" s="147"/>
      <c r="AU1995" s="60"/>
      <c r="AV1995" s="410"/>
      <c r="AW1995" s="60"/>
    </row>
    <row r="1996">
      <c r="A1996" s="60"/>
      <c r="B1996" s="41"/>
      <c r="C1996" s="41"/>
      <c r="E1996" s="60"/>
      <c r="F1996" s="60"/>
      <c r="G1996" s="147"/>
      <c r="H1996" s="140"/>
      <c r="I1996" s="60"/>
      <c r="J1996" s="147"/>
      <c r="K1996" s="60"/>
      <c r="L1996" s="60"/>
      <c r="M1996" s="60"/>
      <c r="N1996" s="327"/>
      <c r="O1996" s="145"/>
      <c r="P1996" s="1572"/>
      <c r="Q1996" s="1526"/>
      <c r="R1996" s="60"/>
      <c r="S1996" s="1528"/>
      <c r="T1996" s="327"/>
      <c r="U1996" s="147"/>
      <c r="V1996" s="147"/>
      <c r="W1996" s="1455"/>
      <c r="X1996" s="60"/>
      <c r="Y1996" s="147"/>
      <c r="Z1996" s="60"/>
      <c r="AA1996" s="147"/>
      <c r="AB1996" s="147"/>
      <c r="AC1996" s="147"/>
      <c r="AD1996" s="147"/>
      <c r="AE1996" s="144"/>
      <c r="AF1996" s="144"/>
      <c r="AG1996" s="147"/>
      <c r="AH1996" s="147"/>
      <c r="AI1996" s="144"/>
      <c r="AJ1996" s="147"/>
      <c r="AK1996" s="147"/>
      <c r="AL1996" s="60"/>
      <c r="AM1996" s="60"/>
      <c r="AN1996" s="144"/>
      <c r="AO1996" s="144"/>
      <c r="AP1996" s="147"/>
      <c r="AQ1996" s="147"/>
      <c r="AR1996" s="144"/>
      <c r="AS1996" s="147"/>
      <c r="AT1996" s="147"/>
      <c r="AU1996" s="60"/>
      <c r="AV1996" s="410"/>
      <c r="AW1996" s="60"/>
    </row>
    <row r="1997">
      <c r="A1997" s="60"/>
      <c r="B1997" s="41"/>
      <c r="C1997" s="41"/>
      <c r="E1997" s="60"/>
      <c r="F1997" s="60"/>
      <c r="G1997" s="147"/>
      <c r="H1997" s="140"/>
      <c r="I1997" s="60"/>
      <c r="J1997" s="147"/>
      <c r="K1997" s="60"/>
      <c r="L1997" s="60"/>
      <c r="M1997" s="60"/>
      <c r="N1997" s="327"/>
      <c r="O1997" s="145"/>
      <c r="P1997" s="1572"/>
      <c r="Q1997" s="1526"/>
      <c r="R1997" s="60"/>
      <c r="S1997" s="1528"/>
      <c r="T1997" s="327"/>
      <c r="U1997" s="147"/>
      <c r="V1997" s="147"/>
      <c r="W1997" s="1455"/>
      <c r="X1997" s="60"/>
      <c r="Y1997" s="147"/>
      <c r="Z1997" s="60"/>
      <c r="AA1997" s="147"/>
      <c r="AB1997" s="147"/>
      <c r="AC1997" s="147"/>
      <c r="AD1997" s="147"/>
      <c r="AE1997" s="144"/>
      <c r="AF1997" s="144"/>
      <c r="AG1997" s="147"/>
      <c r="AH1997" s="147"/>
      <c r="AI1997" s="144"/>
      <c r="AJ1997" s="147"/>
      <c r="AK1997" s="147"/>
      <c r="AL1997" s="60"/>
      <c r="AM1997" s="60"/>
      <c r="AN1997" s="144"/>
      <c r="AO1997" s="144"/>
      <c r="AP1997" s="147"/>
      <c r="AQ1997" s="147"/>
      <c r="AR1997" s="144"/>
      <c r="AS1997" s="147"/>
      <c r="AT1997" s="147"/>
      <c r="AU1997" s="60"/>
      <c r="AV1997" s="410"/>
      <c r="AW1997" s="60"/>
    </row>
    <row r="1998">
      <c r="A1998" s="60"/>
      <c r="B1998" s="41"/>
      <c r="C1998" s="41"/>
      <c r="E1998" s="60"/>
      <c r="F1998" s="60"/>
      <c r="G1998" s="147"/>
      <c r="H1998" s="140"/>
      <c r="I1998" s="60"/>
      <c r="J1998" s="147"/>
      <c r="K1998" s="60"/>
      <c r="L1998" s="60"/>
      <c r="M1998" s="60"/>
      <c r="N1998" s="327"/>
      <c r="O1998" s="145"/>
      <c r="P1998" s="1572"/>
      <c r="Q1998" s="1526"/>
      <c r="R1998" s="60"/>
      <c r="S1998" s="1528"/>
      <c r="T1998" s="327"/>
      <c r="U1998" s="147"/>
      <c r="V1998" s="147"/>
      <c r="W1998" s="1455"/>
      <c r="X1998" s="60"/>
      <c r="Y1998" s="147"/>
      <c r="Z1998" s="60"/>
      <c r="AA1998" s="147"/>
      <c r="AB1998" s="147"/>
      <c r="AC1998" s="147"/>
      <c r="AD1998" s="147"/>
      <c r="AE1998" s="144"/>
      <c r="AF1998" s="144"/>
      <c r="AG1998" s="147"/>
      <c r="AH1998" s="147"/>
      <c r="AI1998" s="144"/>
      <c r="AJ1998" s="147"/>
      <c r="AK1998" s="147"/>
      <c r="AL1998" s="60"/>
      <c r="AM1998" s="60"/>
      <c r="AN1998" s="144"/>
      <c r="AO1998" s="144"/>
      <c r="AP1998" s="147"/>
      <c r="AQ1998" s="147"/>
      <c r="AR1998" s="144"/>
      <c r="AS1998" s="147"/>
      <c r="AT1998" s="147"/>
      <c r="AU1998" s="60"/>
      <c r="AV1998" s="410"/>
      <c r="AW1998" s="60"/>
    </row>
    <row r="1999">
      <c r="A1999" s="60"/>
      <c r="B1999" s="41"/>
      <c r="C1999" s="41"/>
      <c r="E1999" s="60"/>
      <c r="F1999" s="60"/>
      <c r="G1999" s="147"/>
      <c r="H1999" s="140"/>
      <c r="I1999" s="60"/>
      <c r="J1999" s="147"/>
      <c r="K1999" s="60"/>
      <c r="L1999" s="60"/>
      <c r="M1999" s="60"/>
      <c r="N1999" s="327"/>
      <c r="O1999" s="145"/>
      <c r="P1999" s="1572"/>
      <c r="Q1999" s="1526"/>
      <c r="R1999" s="60"/>
      <c r="S1999" s="1528"/>
      <c r="T1999" s="327"/>
      <c r="U1999" s="147"/>
      <c r="V1999" s="147"/>
      <c r="W1999" s="1455"/>
      <c r="X1999" s="60"/>
      <c r="Y1999" s="147"/>
      <c r="Z1999" s="60"/>
      <c r="AA1999" s="147"/>
      <c r="AB1999" s="147"/>
      <c r="AC1999" s="147"/>
      <c r="AD1999" s="147"/>
      <c r="AE1999" s="144"/>
      <c r="AF1999" s="144"/>
      <c r="AG1999" s="147"/>
      <c r="AH1999" s="147"/>
      <c r="AI1999" s="144"/>
      <c r="AJ1999" s="147"/>
      <c r="AK1999" s="147"/>
      <c r="AL1999" s="60"/>
      <c r="AM1999" s="60"/>
      <c r="AN1999" s="144"/>
      <c r="AO1999" s="144"/>
      <c r="AP1999" s="147"/>
      <c r="AQ1999" s="147"/>
      <c r="AR1999" s="144"/>
      <c r="AS1999" s="147"/>
      <c r="AT1999" s="147"/>
      <c r="AU1999" s="60"/>
      <c r="AV1999" s="410"/>
      <c r="AW1999" s="60"/>
    </row>
    <row r="2000">
      <c r="A2000" s="60"/>
      <c r="B2000" s="41"/>
      <c r="C2000" s="41"/>
      <c r="E2000" s="60"/>
      <c r="F2000" s="60"/>
      <c r="G2000" s="147"/>
      <c r="H2000" s="140"/>
      <c r="I2000" s="60"/>
      <c r="J2000" s="147"/>
      <c r="K2000" s="60"/>
      <c r="L2000" s="60"/>
      <c r="M2000" s="60"/>
      <c r="N2000" s="327"/>
      <c r="O2000" s="145"/>
      <c r="P2000" s="1572"/>
      <c r="Q2000" s="1526"/>
      <c r="R2000" s="60"/>
      <c r="S2000" s="1528"/>
      <c r="T2000" s="327"/>
      <c r="U2000" s="147"/>
      <c r="V2000" s="147"/>
      <c r="W2000" s="1455"/>
      <c r="X2000" s="60"/>
      <c r="Y2000" s="147"/>
      <c r="Z2000" s="60"/>
      <c r="AA2000" s="147"/>
      <c r="AB2000" s="147"/>
      <c r="AC2000" s="147"/>
      <c r="AD2000" s="147"/>
      <c r="AE2000" s="144"/>
      <c r="AF2000" s="144"/>
      <c r="AG2000" s="147"/>
      <c r="AH2000" s="147"/>
      <c r="AI2000" s="144"/>
      <c r="AJ2000" s="147"/>
      <c r="AK2000" s="147"/>
      <c r="AL2000" s="60"/>
      <c r="AM2000" s="60"/>
      <c r="AN2000" s="144"/>
      <c r="AO2000" s="144"/>
      <c r="AP2000" s="147"/>
      <c r="AQ2000" s="147"/>
      <c r="AR2000" s="144"/>
      <c r="AS2000" s="147"/>
      <c r="AT2000" s="147"/>
      <c r="AU2000" s="60"/>
      <c r="AV2000" s="410"/>
      <c r="AW2000" s="60"/>
    </row>
    <row r="2001">
      <c r="A2001" s="60"/>
      <c r="B2001" s="41"/>
      <c r="C2001" s="41"/>
      <c r="E2001" s="60"/>
      <c r="F2001" s="60"/>
      <c r="G2001" s="147"/>
      <c r="H2001" s="140"/>
      <c r="I2001" s="60"/>
      <c r="J2001" s="147"/>
      <c r="K2001" s="60"/>
      <c r="L2001" s="60"/>
      <c r="M2001" s="60"/>
      <c r="N2001" s="327"/>
      <c r="O2001" s="145"/>
      <c r="P2001" s="1572"/>
      <c r="Q2001" s="1526"/>
      <c r="R2001" s="60"/>
      <c r="S2001" s="1528"/>
      <c r="T2001" s="327"/>
      <c r="U2001" s="147"/>
      <c r="V2001" s="147"/>
      <c r="W2001" s="1455"/>
      <c r="X2001" s="60"/>
      <c r="Y2001" s="147"/>
      <c r="Z2001" s="60"/>
      <c r="AA2001" s="147"/>
      <c r="AB2001" s="147"/>
      <c r="AC2001" s="147"/>
      <c r="AD2001" s="147"/>
      <c r="AE2001" s="144"/>
      <c r="AF2001" s="144"/>
      <c r="AG2001" s="147"/>
      <c r="AH2001" s="147"/>
      <c r="AI2001" s="144"/>
      <c r="AJ2001" s="147"/>
      <c r="AK2001" s="147"/>
      <c r="AL2001" s="60"/>
      <c r="AM2001" s="60"/>
      <c r="AN2001" s="144"/>
      <c r="AO2001" s="144"/>
      <c r="AP2001" s="147"/>
      <c r="AQ2001" s="147"/>
      <c r="AR2001" s="144"/>
      <c r="AS2001" s="147"/>
      <c r="AT2001" s="147"/>
      <c r="AU2001" s="60"/>
      <c r="AV2001" s="410"/>
      <c r="AW2001" s="60"/>
    </row>
    <row r="2002">
      <c r="A2002" s="60"/>
      <c r="B2002" s="41"/>
      <c r="C2002" s="41"/>
      <c r="E2002" s="60"/>
      <c r="F2002" s="60"/>
      <c r="G2002" s="147"/>
      <c r="H2002" s="140"/>
      <c r="I2002" s="60"/>
      <c r="J2002" s="147"/>
      <c r="K2002" s="60"/>
      <c r="L2002" s="60"/>
      <c r="M2002" s="60"/>
      <c r="N2002" s="327"/>
      <c r="O2002" s="145"/>
      <c r="P2002" s="1572"/>
      <c r="Q2002" s="1526"/>
      <c r="R2002" s="60"/>
      <c r="S2002" s="1528"/>
      <c r="T2002" s="327"/>
      <c r="U2002" s="147"/>
      <c r="V2002" s="147"/>
      <c r="W2002" s="1455"/>
      <c r="X2002" s="60"/>
      <c r="Y2002" s="147"/>
      <c r="Z2002" s="60"/>
      <c r="AA2002" s="147"/>
      <c r="AB2002" s="147"/>
      <c r="AC2002" s="147"/>
      <c r="AD2002" s="147"/>
      <c r="AE2002" s="144"/>
      <c r="AF2002" s="144"/>
      <c r="AG2002" s="147"/>
      <c r="AH2002" s="147"/>
      <c r="AI2002" s="144"/>
      <c r="AJ2002" s="147"/>
      <c r="AK2002" s="147"/>
      <c r="AL2002" s="60"/>
      <c r="AM2002" s="60"/>
      <c r="AN2002" s="144"/>
      <c r="AO2002" s="144"/>
      <c r="AP2002" s="147"/>
      <c r="AQ2002" s="147"/>
      <c r="AR2002" s="144"/>
      <c r="AS2002" s="147"/>
      <c r="AT2002" s="147"/>
      <c r="AU2002" s="60"/>
      <c r="AV2002" s="410"/>
      <c r="AW2002" s="60"/>
    </row>
    <row r="2003">
      <c r="A2003" s="60"/>
      <c r="B2003" s="41"/>
      <c r="C2003" s="41"/>
      <c r="E2003" s="60"/>
      <c r="F2003" s="60"/>
      <c r="G2003" s="147"/>
      <c r="H2003" s="140"/>
      <c r="I2003" s="60"/>
      <c r="J2003" s="147"/>
      <c r="K2003" s="60"/>
      <c r="L2003" s="60"/>
      <c r="M2003" s="60"/>
      <c r="N2003" s="327"/>
      <c r="O2003" s="145"/>
      <c r="P2003" s="1572"/>
      <c r="Q2003" s="1526"/>
      <c r="R2003" s="60"/>
      <c r="S2003" s="1528"/>
      <c r="T2003" s="327"/>
      <c r="U2003" s="147"/>
      <c r="V2003" s="147"/>
      <c r="W2003" s="1455"/>
      <c r="X2003" s="60"/>
      <c r="Y2003" s="147"/>
      <c r="Z2003" s="60"/>
      <c r="AA2003" s="147"/>
      <c r="AB2003" s="147"/>
      <c r="AC2003" s="147"/>
      <c r="AD2003" s="147"/>
      <c r="AE2003" s="144"/>
      <c r="AF2003" s="144"/>
      <c r="AG2003" s="147"/>
      <c r="AH2003" s="147"/>
      <c r="AI2003" s="144"/>
      <c r="AJ2003" s="147"/>
      <c r="AK2003" s="147"/>
      <c r="AL2003" s="60"/>
      <c r="AM2003" s="60"/>
      <c r="AN2003" s="144"/>
      <c r="AO2003" s="144"/>
      <c r="AP2003" s="147"/>
      <c r="AQ2003" s="147"/>
      <c r="AR2003" s="144"/>
      <c r="AS2003" s="147"/>
      <c r="AT2003" s="147"/>
      <c r="AU2003" s="60"/>
      <c r="AV2003" s="410"/>
      <c r="AW2003" s="60"/>
    </row>
    <row r="2004">
      <c r="A2004" s="60"/>
      <c r="B2004" s="41"/>
      <c r="C2004" s="41"/>
      <c r="E2004" s="60"/>
      <c r="F2004" s="60"/>
      <c r="G2004" s="147"/>
      <c r="H2004" s="140"/>
      <c r="I2004" s="60"/>
      <c r="J2004" s="147"/>
      <c r="K2004" s="60"/>
      <c r="L2004" s="60"/>
      <c r="M2004" s="60"/>
      <c r="N2004" s="327"/>
      <c r="O2004" s="145"/>
      <c r="P2004" s="1572"/>
      <c r="Q2004" s="1526"/>
      <c r="R2004" s="60"/>
      <c r="S2004" s="1528"/>
      <c r="T2004" s="327"/>
      <c r="U2004" s="147"/>
      <c r="V2004" s="147"/>
      <c r="W2004" s="1455"/>
      <c r="X2004" s="60"/>
      <c r="Y2004" s="147"/>
      <c r="Z2004" s="60"/>
      <c r="AA2004" s="147"/>
      <c r="AB2004" s="147"/>
      <c r="AC2004" s="147"/>
      <c r="AD2004" s="147"/>
      <c r="AE2004" s="144"/>
      <c r="AF2004" s="144"/>
      <c r="AG2004" s="147"/>
      <c r="AH2004" s="147"/>
      <c r="AI2004" s="144"/>
      <c r="AJ2004" s="147"/>
      <c r="AK2004" s="147"/>
      <c r="AL2004" s="60"/>
      <c r="AM2004" s="60"/>
      <c r="AN2004" s="144"/>
      <c r="AO2004" s="144"/>
      <c r="AP2004" s="147"/>
      <c r="AQ2004" s="147"/>
      <c r="AR2004" s="144"/>
      <c r="AS2004" s="147"/>
      <c r="AT2004" s="147"/>
      <c r="AU2004" s="60"/>
      <c r="AV2004" s="410"/>
      <c r="AW2004" s="60"/>
    </row>
    <row r="2005">
      <c r="A2005" s="60"/>
      <c r="B2005" s="41"/>
      <c r="C2005" s="41"/>
      <c r="E2005" s="60"/>
      <c r="F2005" s="60"/>
      <c r="G2005" s="147"/>
      <c r="H2005" s="140"/>
      <c r="I2005" s="60"/>
      <c r="J2005" s="147"/>
      <c r="K2005" s="60"/>
      <c r="L2005" s="60"/>
      <c r="M2005" s="60"/>
      <c r="N2005" s="327"/>
      <c r="O2005" s="145"/>
      <c r="P2005" s="1572"/>
      <c r="Q2005" s="1526"/>
      <c r="R2005" s="60"/>
      <c r="S2005" s="1528"/>
      <c r="T2005" s="327"/>
      <c r="U2005" s="147"/>
      <c r="V2005" s="147"/>
      <c r="W2005" s="1455"/>
      <c r="X2005" s="60"/>
      <c r="Y2005" s="147"/>
      <c r="Z2005" s="60"/>
      <c r="AA2005" s="147"/>
      <c r="AB2005" s="147"/>
      <c r="AC2005" s="147"/>
      <c r="AD2005" s="147"/>
      <c r="AE2005" s="144"/>
      <c r="AF2005" s="144"/>
      <c r="AG2005" s="147"/>
      <c r="AH2005" s="147"/>
      <c r="AI2005" s="144"/>
      <c r="AJ2005" s="147"/>
      <c r="AK2005" s="147"/>
      <c r="AL2005" s="60"/>
      <c r="AM2005" s="60"/>
      <c r="AN2005" s="144"/>
      <c r="AO2005" s="144"/>
      <c r="AP2005" s="147"/>
      <c r="AQ2005" s="147"/>
      <c r="AR2005" s="144"/>
      <c r="AS2005" s="147"/>
      <c r="AT2005" s="147"/>
      <c r="AU2005" s="60"/>
      <c r="AV2005" s="410"/>
      <c r="AW2005" s="60"/>
    </row>
    <row r="2006">
      <c r="A2006" s="60"/>
      <c r="B2006" s="41"/>
      <c r="C2006" s="41"/>
      <c r="E2006" s="60"/>
      <c r="F2006" s="60"/>
      <c r="G2006" s="147"/>
      <c r="H2006" s="140"/>
      <c r="I2006" s="60"/>
      <c r="J2006" s="147"/>
      <c r="K2006" s="60"/>
      <c r="L2006" s="60"/>
      <c r="M2006" s="60"/>
      <c r="N2006" s="327"/>
      <c r="O2006" s="145"/>
      <c r="P2006" s="1572"/>
      <c r="Q2006" s="1526"/>
      <c r="R2006" s="60"/>
      <c r="S2006" s="1528"/>
      <c r="T2006" s="327"/>
      <c r="U2006" s="147"/>
      <c r="V2006" s="147"/>
      <c r="W2006" s="1455"/>
      <c r="X2006" s="60"/>
      <c r="Y2006" s="147"/>
      <c r="Z2006" s="60"/>
      <c r="AA2006" s="147"/>
      <c r="AB2006" s="147"/>
      <c r="AC2006" s="147"/>
      <c r="AD2006" s="147"/>
      <c r="AE2006" s="144"/>
      <c r="AF2006" s="144"/>
      <c r="AG2006" s="147"/>
      <c r="AH2006" s="147"/>
      <c r="AI2006" s="144"/>
      <c r="AJ2006" s="147"/>
      <c r="AK2006" s="147"/>
      <c r="AL2006" s="60"/>
      <c r="AM2006" s="60"/>
      <c r="AN2006" s="144"/>
      <c r="AO2006" s="144"/>
      <c r="AP2006" s="147"/>
      <c r="AQ2006" s="147"/>
      <c r="AR2006" s="144"/>
      <c r="AS2006" s="147"/>
      <c r="AT2006" s="147"/>
      <c r="AU2006" s="60"/>
      <c r="AV2006" s="410"/>
      <c r="AW2006" s="60"/>
    </row>
    <row r="2007">
      <c r="A2007" s="60"/>
      <c r="B2007" s="41"/>
      <c r="C2007" s="41"/>
      <c r="E2007" s="60"/>
      <c r="F2007" s="60"/>
      <c r="G2007" s="147"/>
      <c r="H2007" s="140"/>
      <c r="I2007" s="60"/>
      <c r="J2007" s="147"/>
      <c r="K2007" s="60"/>
      <c r="L2007" s="60"/>
      <c r="M2007" s="60"/>
      <c r="N2007" s="327"/>
      <c r="O2007" s="145"/>
      <c r="P2007" s="1572"/>
      <c r="Q2007" s="1526"/>
      <c r="R2007" s="60"/>
      <c r="S2007" s="1528"/>
      <c r="T2007" s="327"/>
      <c r="U2007" s="147"/>
      <c r="V2007" s="147"/>
      <c r="W2007" s="1455"/>
      <c r="X2007" s="60"/>
      <c r="Y2007" s="147"/>
      <c r="Z2007" s="60"/>
      <c r="AA2007" s="147"/>
      <c r="AB2007" s="147"/>
      <c r="AC2007" s="147"/>
      <c r="AD2007" s="147"/>
      <c r="AE2007" s="144"/>
      <c r="AF2007" s="144"/>
      <c r="AG2007" s="147"/>
      <c r="AH2007" s="147"/>
      <c r="AI2007" s="144"/>
      <c r="AJ2007" s="147"/>
      <c r="AK2007" s="147"/>
      <c r="AL2007" s="60"/>
      <c r="AM2007" s="60"/>
      <c r="AN2007" s="144"/>
      <c r="AO2007" s="144"/>
      <c r="AP2007" s="147"/>
      <c r="AQ2007" s="147"/>
      <c r="AR2007" s="144"/>
      <c r="AS2007" s="147"/>
      <c r="AT2007" s="147"/>
      <c r="AU2007" s="60"/>
      <c r="AV2007" s="410"/>
      <c r="AW2007" s="60"/>
    </row>
    <row r="2008">
      <c r="A2008" s="60"/>
      <c r="B2008" s="41"/>
      <c r="C2008" s="41"/>
      <c r="E2008" s="60"/>
      <c r="F2008" s="60"/>
      <c r="G2008" s="147"/>
      <c r="H2008" s="140"/>
      <c r="I2008" s="60"/>
      <c r="J2008" s="147"/>
      <c r="K2008" s="60"/>
      <c r="L2008" s="60"/>
      <c r="M2008" s="60"/>
      <c r="N2008" s="327"/>
      <c r="O2008" s="145"/>
      <c r="P2008" s="1572"/>
      <c r="Q2008" s="1526"/>
      <c r="R2008" s="60"/>
      <c r="S2008" s="1528"/>
      <c r="T2008" s="327"/>
      <c r="U2008" s="147"/>
      <c r="V2008" s="147"/>
      <c r="W2008" s="1455"/>
      <c r="X2008" s="60"/>
      <c r="Y2008" s="147"/>
      <c r="Z2008" s="60"/>
      <c r="AA2008" s="147"/>
      <c r="AB2008" s="147"/>
      <c r="AC2008" s="147"/>
      <c r="AD2008" s="147"/>
      <c r="AE2008" s="144"/>
      <c r="AF2008" s="144"/>
      <c r="AG2008" s="147"/>
      <c r="AH2008" s="147"/>
      <c r="AI2008" s="144"/>
      <c r="AJ2008" s="147"/>
      <c r="AK2008" s="147"/>
      <c r="AL2008" s="60"/>
      <c r="AM2008" s="60"/>
      <c r="AN2008" s="144"/>
      <c r="AO2008" s="144"/>
      <c r="AP2008" s="147"/>
      <c r="AQ2008" s="147"/>
      <c r="AR2008" s="144"/>
      <c r="AS2008" s="147"/>
      <c r="AT2008" s="147"/>
      <c r="AU2008" s="60"/>
      <c r="AV2008" s="410"/>
      <c r="AW2008" s="60"/>
    </row>
    <row r="2009">
      <c r="A2009" s="60"/>
      <c r="B2009" s="41"/>
      <c r="C2009" s="41"/>
      <c r="E2009" s="60"/>
      <c r="F2009" s="60"/>
      <c r="G2009" s="147"/>
      <c r="H2009" s="140"/>
      <c r="I2009" s="60"/>
      <c r="J2009" s="147"/>
      <c r="K2009" s="60"/>
      <c r="L2009" s="60"/>
      <c r="M2009" s="60"/>
      <c r="N2009" s="327"/>
      <c r="O2009" s="145"/>
      <c r="P2009" s="1572"/>
      <c r="Q2009" s="1526"/>
      <c r="R2009" s="60"/>
      <c r="S2009" s="1528"/>
      <c r="T2009" s="327"/>
      <c r="U2009" s="147"/>
      <c r="V2009" s="147"/>
      <c r="W2009" s="1455"/>
      <c r="X2009" s="60"/>
      <c r="Y2009" s="147"/>
      <c r="Z2009" s="60"/>
      <c r="AA2009" s="147"/>
      <c r="AB2009" s="147"/>
      <c r="AC2009" s="147"/>
      <c r="AD2009" s="147"/>
      <c r="AE2009" s="144"/>
      <c r="AF2009" s="144"/>
      <c r="AG2009" s="147"/>
      <c r="AH2009" s="147"/>
      <c r="AI2009" s="144"/>
      <c r="AJ2009" s="147"/>
      <c r="AK2009" s="147"/>
      <c r="AL2009" s="60"/>
      <c r="AM2009" s="60"/>
      <c r="AN2009" s="144"/>
      <c r="AO2009" s="144"/>
      <c r="AP2009" s="147"/>
      <c r="AQ2009" s="147"/>
      <c r="AR2009" s="144"/>
      <c r="AS2009" s="147"/>
      <c r="AT2009" s="147"/>
      <c r="AU2009" s="60"/>
      <c r="AV2009" s="410"/>
      <c r="AW2009" s="60"/>
    </row>
    <row r="2010">
      <c r="A2010" s="60"/>
      <c r="B2010" s="41"/>
      <c r="C2010" s="41"/>
      <c r="E2010" s="60"/>
      <c r="F2010" s="60"/>
      <c r="G2010" s="147"/>
      <c r="H2010" s="140"/>
      <c r="I2010" s="60"/>
      <c r="J2010" s="147"/>
      <c r="K2010" s="60"/>
      <c r="L2010" s="60"/>
      <c r="M2010" s="60"/>
      <c r="N2010" s="327"/>
      <c r="O2010" s="145"/>
      <c r="P2010" s="1572"/>
      <c r="Q2010" s="1526"/>
      <c r="R2010" s="60"/>
      <c r="S2010" s="1528"/>
      <c r="T2010" s="327"/>
      <c r="U2010" s="147"/>
      <c r="V2010" s="147"/>
      <c r="W2010" s="1455"/>
      <c r="X2010" s="60"/>
      <c r="Y2010" s="147"/>
      <c r="Z2010" s="60"/>
      <c r="AA2010" s="147"/>
      <c r="AB2010" s="147"/>
      <c r="AC2010" s="147"/>
      <c r="AD2010" s="147"/>
      <c r="AE2010" s="144"/>
      <c r="AF2010" s="144"/>
      <c r="AG2010" s="147"/>
      <c r="AH2010" s="147"/>
      <c r="AI2010" s="144"/>
      <c r="AJ2010" s="147"/>
      <c r="AK2010" s="147"/>
      <c r="AL2010" s="60"/>
      <c r="AM2010" s="60"/>
      <c r="AN2010" s="144"/>
      <c r="AO2010" s="144"/>
      <c r="AP2010" s="147"/>
      <c r="AQ2010" s="147"/>
      <c r="AR2010" s="144"/>
      <c r="AS2010" s="147"/>
      <c r="AT2010" s="147"/>
      <c r="AU2010" s="60"/>
      <c r="AV2010" s="410"/>
      <c r="AW2010" s="60"/>
    </row>
    <row r="2011">
      <c r="A2011" s="60"/>
      <c r="B2011" s="41"/>
      <c r="C2011" s="41"/>
      <c r="E2011" s="60"/>
      <c r="F2011" s="60"/>
      <c r="G2011" s="147"/>
      <c r="H2011" s="140"/>
      <c r="I2011" s="60"/>
      <c r="J2011" s="147"/>
      <c r="K2011" s="60"/>
      <c r="L2011" s="60"/>
      <c r="M2011" s="60"/>
      <c r="N2011" s="327"/>
      <c r="O2011" s="145"/>
      <c r="P2011" s="1572"/>
      <c r="Q2011" s="1526"/>
      <c r="R2011" s="60"/>
      <c r="S2011" s="1528"/>
      <c r="T2011" s="327"/>
      <c r="U2011" s="147"/>
      <c r="V2011" s="147"/>
      <c r="W2011" s="1455"/>
      <c r="X2011" s="60"/>
      <c r="Y2011" s="147"/>
      <c r="Z2011" s="60"/>
      <c r="AA2011" s="147"/>
      <c r="AB2011" s="147"/>
      <c r="AC2011" s="147"/>
      <c r="AD2011" s="147"/>
      <c r="AE2011" s="144"/>
      <c r="AF2011" s="144"/>
      <c r="AG2011" s="147"/>
      <c r="AH2011" s="147"/>
      <c r="AI2011" s="144"/>
      <c r="AJ2011" s="147"/>
      <c r="AK2011" s="147"/>
      <c r="AL2011" s="60"/>
      <c r="AM2011" s="60"/>
      <c r="AN2011" s="144"/>
      <c r="AO2011" s="144"/>
      <c r="AP2011" s="147"/>
      <c r="AQ2011" s="147"/>
      <c r="AR2011" s="144"/>
      <c r="AS2011" s="147"/>
      <c r="AT2011" s="147"/>
      <c r="AU2011" s="60"/>
      <c r="AV2011" s="410"/>
      <c r="AW2011" s="60"/>
    </row>
    <row r="2012">
      <c r="A2012" s="60"/>
      <c r="B2012" s="41"/>
      <c r="C2012" s="41"/>
      <c r="E2012" s="60"/>
      <c r="F2012" s="60"/>
      <c r="G2012" s="147"/>
      <c r="H2012" s="140"/>
      <c r="I2012" s="60"/>
      <c r="J2012" s="147"/>
      <c r="K2012" s="60"/>
      <c r="L2012" s="60"/>
      <c r="M2012" s="60"/>
      <c r="N2012" s="327"/>
      <c r="O2012" s="145"/>
      <c r="P2012" s="1572"/>
      <c r="Q2012" s="1526"/>
      <c r="R2012" s="60"/>
      <c r="S2012" s="1528"/>
      <c r="T2012" s="327"/>
      <c r="U2012" s="147"/>
      <c r="V2012" s="147"/>
      <c r="W2012" s="1455"/>
      <c r="X2012" s="60"/>
      <c r="Y2012" s="147"/>
      <c r="Z2012" s="60"/>
      <c r="AA2012" s="147"/>
      <c r="AB2012" s="147"/>
      <c r="AC2012" s="147"/>
      <c r="AD2012" s="147"/>
      <c r="AE2012" s="144"/>
      <c r="AF2012" s="144"/>
      <c r="AG2012" s="147"/>
      <c r="AH2012" s="147"/>
      <c r="AI2012" s="144"/>
      <c r="AJ2012" s="147"/>
      <c r="AK2012" s="147"/>
      <c r="AL2012" s="60"/>
      <c r="AM2012" s="60"/>
      <c r="AN2012" s="144"/>
      <c r="AO2012" s="144"/>
      <c r="AP2012" s="147"/>
      <c r="AQ2012" s="147"/>
      <c r="AR2012" s="144"/>
      <c r="AS2012" s="147"/>
      <c r="AT2012" s="147"/>
      <c r="AU2012" s="60"/>
      <c r="AV2012" s="410"/>
      <c r="AW2012" s="60"/>
    </row>
    <row r="2013">
      <c r="A2013" s="60"/>
      <c r="B2013" s="41"/>
      <c r="C2013" s="41"/>
      <c r="E2013" s="60"/>
      <c r="F2013" s="60"/>
      <c r="G2013" s="147"/>
      <c r="H2013" s="140"/>
      <c r="I2013" s="60"/>
      <c r="J2013" s="147"/>
      <c r="K2013" s="60"/>
      <c r="L2013" s="60"/>
      <c r="M2013" s="60"/>
      <c r="N2013" s="327"/>
      <c r="O2013" s="145"/>
      <c r="P2013" s="1572"/>
      <c r="Q2013" s="1526"/>
      <c r="R2013" s="60"/>
      <c r="S2013" s="1528"/>
      <c r="T2013" s="327"/>
      <c r="U2013" s="147"/>
      <c r="V2013" s="147"/>
      <c r="W2013" s="1455"/>
      <c r="X2013" s="60"/>
      <c r="Y2013" s="147"/>
      <c r="Z2013" s="60"/>
      <c r="AA2013" s="147"/>
      <c r="AB2013" s="147"/>
      <c r="AC2013" s="147"/>
      <c r="AD2013" s="147"/>
      <c r="AE2013" s="144"/>
      <c r="AF2013" s="144"/>
      <c r="AG2013" s="147"/>
      <c r="AH2013" s="147"/>
      <c r="AI2013" s="144"/>
      <c r="AJ2013" s="147"/>
      <c r="AK2013" s="147"/>
      <c r="AL2013" s="60"/>
      <c r="AM2013" s="60"/>
      <c r="AN2013" s="144"/>
      <c r="AO2013" s="144"/>
      <c r="AP2013" s="147"/>
      <c r="AQ2013" s="147"/>
      <c r="AR2013" s="144"/>
      <c r="AS2013" s="147"/>
      <c r="AT2013" s="147"/>
      <c r="AU2013" s="60"/>
      <c r="AV2013" s="410"/>
      <c r="AW2013" s="60"/>
    </row>
    <row r="2014">
      <c r="A2014" s="60"/>
      <c r="B2014" s="41"/>
      <c r="C2014" s="41"/>
      <c r="E2014" s="60"/>
      <c r="F2014" s="60"/>
      <c r="G2014" s="147"/>
      <c r="H2014" s="140"/>
      <c r="I2014" s="60"/>
      <c r="J2014" s="147"/>
      <c r="K2014" s="60"/>
      <c r="L2014" s="60"/>
      <c r="M2014" s="60"/>
      <c r="N2014" s="327"/>
      <c r="O2014" s="145"/>
      <c r="P2014" s="1572"/>
      <c r="Q2014" s="1526"/>
      <c r="R2014" s="60"/>
      <c r="S2014" s="1528"/>
      <c r="T2014" s="327"/>
      <c r="U2014" s="147"/>
      <c r="V2014" s="147"/>
      <c r="W2014" s="1455"/>
      <c r="X2014" s="60"/>
      <c r="Y2014" s="147"/>
      <c r="Z2014" s="60"/>
      <c r="AA2014" s="147"/>
      <c r="AB2014" s="147"/>
      <c r="AC2014" s="147"/>
      <c r="AD2014" s="147"/>
      <c r="AE2014" s="144"/>
      <c r="AF2014" s="144"/>
      <c r="AG2014" s="147"/>
      <c r="AH2014" s="147"/>
      <c r="AI2014" s="144"/>
      <c r="AJ2014" s="147"/>
      <c r="AK2014" s="147"/>
      <c r="AL2014" s="60"/>
      <c r="AM2014" s="60"/>
      <c r="AN2014" s="144"/>
      <c r="AO2014" s="144"/>
      <c r="AP2014" s="147"/>
      <c r="AQ2014" s="147"/>
      <c r="AR2014" s="144"/>
      <c r="AS2014" s="147"/>
      <c r="AT2014" s="147"/>
      <c r="AU2014" s="60"/>
      <c r="AV2014" s="410"/>
      <c r="AW2014" s="60"/>
    </row>
    <row r="2015">
      <c r="A2015" s="60"/>
      <c r="B2015" s="41"/>
      <c r="C2015" s="41"/>
      <c r="E2015" s="60"/>
      <c r="F2015" s="60"/>
      <c r="G2015" s="147"/>
      <c r="H2015" s="140"/>
      <c r="I2015" s="60"/>
      <c r="J2015" s="147"/>
      <c r="K2015" s="60"/>
      <c r="L2015" s="60"/>
      <c r="M2015" s="60"/>
      <c r="N2015" s="327"/>
      <c r="O2015" s="145"/>
      <c r="P2015" s="1572"/>
      <c r="Q2015" s="1526"/>
      <c r="R2015" s="60"/>
      <c r="S2015" s="1528"/>
      <c r="T2015" s="327"/>
      <c r="U2015" s="147"/>
      <c r="V2015" s="147"/>
      <c r="W2015" s="1455"/>
      <c r="X2015" s="60"/>
      <c r="Y2015" s="147"/>
      <c r="Z2015" s="60"/>
      <c r="AA2015" s="147"/>
      <c r="AB2015" s="147"/>
      <c r="AC2015" s="147"/>
      <c r="AD2015" s="147"/>
      <c r="AE2015" s="144"/>
      <c r="AF2015" s="144"/>
      <c r="AG2015" s="147"/>
      <c r="AH2015" s="147"/>
      <c r="AI2015" s="144"/>
      <c r="AJ2015" s="147"/>
      <c r="AK2015" s="147"/>
      <c r="AL2015" s="60"/>
      <c r="AM2015" s="60"/>
      <c r="AN2015" s="144"/>
      <c r="AO2015" s="144"/>
      <c r="AP2015" s="147"/>
      <c r="AQ2015" s="147"/>
      <c r="AR2015" s="144"/>
      <c r="AS2015" s="147"/>
      <c r="AT2015" s="147"/>
      <c r="AU2015" s="60"/>
      <c r="AV2015" s="410"/>
      <c r="AW2015" s="60"/>
    </row>
    <row r="2016">
      <c r="A2016" s="60"/>
      <c r="B2016" s="41"/>
      <c r="C2016" s="41"/>
      <c r="E2016" s="60"/>
      <c r="F2016" s="60"/>
      <c r="G2016" s="147"/>
      <c r="H2016" s="140"/>
      <c r="I2016" s="60"/>
      <c r="J2016" s="147"/>
      <c r="K2016" s="60"/>
      <c r="L2016" s="60"/>
      <c r="M2016" s="60"/>
      <c r="N2016" s="327"/>
      <c r="O2016" s="145"/>
      <c r="P2016" s="1572"/>
      <c r="Q2016" s="1526"/>
      <c r="R2016" s="60"/>
      <c r="S2016" s="1528"/>
      <c r="T2016" s="327"/>
      <c r="U2016" s="147"/>
      <c r="V2016" s="147"/>
      <c r="W2016" s="1455"/>
      <c r="X2016" s="60"/>
      <c r="Y2016" s="147"/>
      <c r="Z2016" s="60"/>
      <c r="AA2016" s="147"/>
      <c r="AB2016" s="147"/>
      <c r="AC2016" s="147"/>
      <c r="AD2016" s="147"/>
      <c r="AE2016" s="144"/>
      <c r="AF2016" s="144"/>
      <c r="AG2016" s="147"/>
      <c r="AH2016" s="147"/>
      <c r="AI2016" s="144"/>
      <c r="AJ2016" s="147"/>
      <c r="AK2016" s="147"/>
      <c r="AL2016" s="60"/>
      <c r="AM2016" s="60"/>
      <c r="AN2016" s="144"/>
      <c r="AO2016" s="144"/>
      <c r="AP2016" s="147"/>
      <c r="AQ2016" s="147"/>
      <c r="AR2016" s="144"/>
      <c r="AS2016" s="147"/>
      <c r="AT2016" s="147"/>
      <c r="AU2016" s="60"/>
      <c r="AV2016" s="410"/>
      <c r="AW2016" s="60"/>
    </row>
    <row r="2017">
      <c r="A2017" s="60"/>
      <c r="B2017" s="41"/>
      <c r="C2017" s="41"/>
      <c r="E2017" s="60"/>
      <c r="F2017" s="60"/>
      <c r="G2017" s="147"/>
      <c r="H2017" s="140"/>
      <c r="I2017" s="60"/>
      <c r="J2017" s="147"/>
      <c r="K2017" s="60"/>
      <c r="L2017" s="60"/>
      <c r="M2017" s="60"/>
      <c r="N2017" s="327"/>
      <c r="O2017" s="145"/>
      <c r="P2017" s="1572"/>
      <c r="Q2017" s="1526"/>
      <c r="R2017" s="60"/>
      <c r="S2017" s="1528"/>
      <c r="T2017" s="327"/>
      <c r="U2017" s="147"/>
      <c r="V2017" s="147"/>
      <c r="W2017" s="1455"/>
      <c r="X2017" s="60"/>
      <c r="Y2017" s="147"/>
      <c r="Z2017" s="60"/>
      <c r="AA2017" s="147"/>
      <c r="AB2017" s="147"/>
      <c r="AC2017" s="147"/>
      <c r="AD2017" s="147"/>
      <c r="AE2017" s="144"/>
      <c r="AF2017" s="144"/>
      <c r="AG2017" s="147"/>
      <c r="AH2017" s="147"/>
      <c r="AI2017" s="144"/>
      <c r="AJ2017" s="147"/>
      <c r="AK2017" s="147"/>
      <c r="AL2017" s="60"/>
      <c r="AM2017" s="60"/>
      <c r="AN2017" s="144"/>
      <c r="AO2017" s="144"/>
      <c r="AP2017" s="147"/>
      <c r="AQ2017" s="147"/>
      <c r="AR2017" s="144"/>
      <c r="AS2017" s="147"/>
      <c r="AT2017" s="147"/>
      <c r="AU2017" s="60"/>
      <c r="AV2017" s="410"/>
      <c r="AW2017" s="60"/>
    </row>
    <row r="2018">
      <c r="A2018" s="60"/>
      <c r="B2018" s="41"/>
      <c r="C2018" s="41"/>
      <c r="E2018" s="60"/>
      <c r="F2018" s="60"/>
      <c r="G2018" s="147"/>
      <c r="H2018" s="140"/>
      <c r="I2018" s="60"/>
      <c r="J2018" s="147"/>
      <c r="K2018" s="60"/>
      <c r="L2018" s="60"/>
      <c r="M2018" s="60"/>
      <c r="N2018" s="327"/>
      <c r="O2018" s="145"/>
      <c r="P2018" s="1572"/>
      <c r="Q2018" s="1526"/>
      <c r="R2018" s="60"/>
      <c r="S2018" s="1528"/>
      <c r="T2018" s="327"/>
      <c r="U2018" s="147"/>
      <c r="V2018" s="147"/>
      <c r="W2018" s="1455"/>
      <c r="X2018" s="60"/>
      <c r="Y2018" s="147"/>
      <c r="Z2018" s="60"/>
      <c r="AA2018" s="147"/>
      <c r="AB2018" s="147"/>
      <c r="AC2018" s="147"/>
      <c r="AD2018" s="147"/>
      <c r="AE2018" s="144"/>
      <c r="AF2018" s="144"/>
      <c r="AG2018" s="147"/>
      <c r="AH2018" s="147"/>
      <c r="AI2018" s="144"/>
      <c r="AJ2018" s="147"/>
      <c r="AK2018" s="147"/>
      <c r="AL2018" s="60"/>
      <c r="AM2018" s="60"/>
      <c r="AN2018" s="144"/>
      <c r="AO2018" s="144"/>
      <c r="AP2018" s="147"/>
      <c r="AQ2018" s="147"/>
      <c r="AR2018" s="144"/>
      <c r="AS2018" s="147"/>
      <c r="AT2018" s="147"/>
      <c r="AU2018" s="60"/>
      <c r="AV2018" s="410"/>
      <c r="AW2018" s="60"/>
    </row>
    <row r="2019">
      <c r="A2019" s="60"/>
      <c r="B2019" s="41"/>
      <c r="C2019" s="41"/>
      <c r="E2019" s="60"/>
      <c r="F2019" s="60"/>
      <c r="G2019" s="147"/>
      <c r="H2019" s="140"/>
      <c r="I2019" s="60"/>
      <c r="J2019" s="147"/>
      <c r="K2019" s="60"/>
      <c r="L2019" s="60"/>
      <c r="M2019" s="60"/>
      <c r="N2019" s="327"/>
      <c r="O2019" s="145"/>
      <c r="P2019" s="1572"/>
      <c r="Q2019" s="1526"/>
      <c r="R2019" s="60"/>
      <c r="S2019" s="1528"/>
      <c r="T2019" s="327"/>
      <c r="U2019" s="147"/>
      <c r="V2019" s="147"/>
      <c r="W2019" s="1455"/>
      <c r="X2019" s="60"/>
      <c r="Y2019" s="147"/>
      <c r="Z2019" s="60"/>
      <c r="AA2019" s="147"/>
      <c r="AB2019" s="147"/>
      <c r="AC2019" s="147"/>
      <c r="AD2019" s="147"/>
      <c r="AE2019" s="144"/>
      <c r="AF2019" s="144"/>
      <c r="AG2019" s="147"/>
      <c r="AH2019" s="147"/>
      <c r="AI2019" s="144"/>
      <c r="AJ2019" s="147"/>
      <c r="AK2019" s="147"/>
      <c r="AL2019" s="60"/>
      <c r="AM2019" s="60"/>
      <c r="AN2019" s="144"/>
      <c r="AO2019" s="144"/>
      <c r="AP2019" s="147"/>
      <c r="AQ2019" s="147"/>
      <c r="AR2019" s="144"/>
      <c r="AS2019" s="147"/>
      <c r="AT2019" s="147"/>
      <c r="AU2019" s="60"/>
      <c r="AV2019" s="410"/>
      <c r="AW2019" s="60"/>
    </row>
    <row r="2020">
      <c r="A2020" s="60"/>
      <c r="B2020" s="41"/>
      <c r="C2020" s="41"/>
      <c r="E2020" s="60"/>
      <c r="F2020" s="60"/>
      <c r="G2020" s="147"/>
      <c r="H2020" s="140"/>
      <c r="I2020" s="60"/>
      <c r="J2020" s="147"/>
      <c r="K2020" s="60"/>
      <c r="L2020" s="60"/>
      <c r="M2020" s="60"/>
      <c r="N2020" s="327"/>
      <c r="O2020" s="145"/>
      <c r="P2020" s="1572"/>
      <c r="Q2020" s="1526"/>
      <c r="R2020" s="60"/>
      <c r="S2020" s="1528"/>
      <c r="T2020" s="327"/>
      <c r="U2020" s="147"/>
      <c r="V2020" s="147"/>
      <c r="W2020" s="1455"/>
      <c r="X2020" s="60"/>
      <c r="Y2020" s="147"/>
      <c r="Z2020" s="60"/>
      <c r="AA2020" s="147"/>
      <c r="AB2020" s="147"/>
      <c r="AC2020" s="147"/>
      <c r="AD2020" s="147"/>
      <c r="AE2020" s="144"/>
      <c r="AF2020" s="144"/>
      <c r="AG2020" s="147"/>
      <c r="AH2020" s="147"/>
      <c r="AI2020" s="144"/>
      <c r="AJ2020" s="147"/>
      <c r="AK2020" s="147"/>
      <c r="AL2020" s="60"/>
      <c r="AM2020" s="60"/>
      <c r="AN2020" s="144"/>
      <c r="AO2020" s="144"/>
      <c r="AP2020" s="147"/>
      <c r="AQ2020" s="147"/>
      <c r="AR2020" s="144"/>
      <c r="AS2020" s="147"/>
      <c r="AT2020" s="147"/>
      <c r="AU2020" s="60"/>
      <c r="AV2020" s="410"/>
      <c r="AW2020" s="60"/>
    </row>
    <row r="2021">
      <c r="A2021" s="60"/>
      <c r="B2021" s="41"/>
      <c r="C2021" s="41"/>
      <c r="E2021" s="60"/>
      <c r="F2021" s="60"/>
      <c r="G2021" s="147"/>
      <c r="H2021" s="140"/>
      <c r="I2021" s="60"/>
      <c r="J2021" s="147"/>
      <c r="K2021" s="60"/>
      <c r="L2021" s="60"/>
      <c r="M2021" s="60"/>
      <c r="N2021" s="327"/>
      <c r="O2021" s="145"/>
      <c r="P2021" s="1572"/>
      <c r="Q2021" s="1526"/>
      <c r="R2021" s="60"/>
      <c r="S2021" s="1528"/>
      <c r="T2021" s="327"/>
      <c r="U2021" s="147"/>
      <c r="V2021" s="147"/>
      <c r="W2021" s="1455"/>
      <c r="X2021" s="60"/>
      <c r="Y2021" s="147"/>
      <c r="Z2021" s="60"/>
      <c r="AA2021" s="147"/>
      <c r="AB2021" s="147"/>
      <c r="AC2021" s="147"/>
      <c r="AD2021" s="147"/>
      <c r="AE2021" s="144"/>
      <c r="AF2021" s="144"/>
      <c r="AG2021" s="147"/>
      <c r="AH2021" s="147"/>
      <c r="AI2021" s="144"/>
      <c r="AJ2021" s="147"/>
      <c r="AK2021" s="147"/>
      <c r="AL2021" s="60"/>
      <c r="AM2021" s="60"/>
      <c r="AN2021" s="144"/>
      <c r="AO2021" s="144"/>
      <c r="AP2021" s="147"/>
      <c r="AQ2021" s="147"/>
      <c r="AR2021" s="144"/>
      <c r="AS2021" s="147"/>
      <c r="AT2021" s="147"/>
      <c r="AU2021" s="60"/>
      <c r="AV2021" s="410"/>
      <c r="AW2021" s="60"/>
    </row>
    <row r="2022">
      <c r="A2022" s="60"/>
      <c r="B2022" s="41"/>
      <c r="C2022" s="41"/>
      <c r="E2022" s="60"/>
      <c r="F2022" s="60"/>
      <c r="G2022" s="147"/>
      <c r="H2022" s="140"/>
      <c r="I2022" s="60"/>
      <c r="J2022" s="147"/>
      <c r="K2022" s="60"/>
      <c r="L2022" s="60"/>
      <c r="M2022" s="60"/>
      <c r="N2022" s="327"/>
      <c r="O2022" s="145"/>
      <c r="P2022" s="1572"/>
      <c r="Q2022" s="1526"/>
      <c r="R2022" s="60"/>
      <c r="S2022" s="1528"/>
      <c r="T2022" s="327"/>
      <c r="U2022" s="147"/>
      <c r="V2022" s="147"/>
      <c r="W2022" s="1455"/>
      <c r="X2022" s="60"/>
      <c r="Y2022" s="147"/>
      <c r="Z2022" s="60"/>
      <c r="AA2022" s="147"/>
      <c r="AB2022" s="147"/>
      <c r="AC2022" s="147"/>
      <c r="AD2022" s="147"/>
      <c r="AE2022" s="144"/>
      <c r="AF2022" s="144"/>
      <c r="AG2022" s="147"/>
      <c r="AH2022" s="147"/>
      <c r="AI2022" s="144"/>
      <c r="AJ2022" s="147"/>
      <c r="AK2022" s="147"/>
      <c r="AL2022" s="60"/>
      <c r="AM2022" s="60"/>
      <c r="AN2022" s="144"/>
      <c r="AO2022" s="144"/>
      <c r="AP2022" s="147"/>
      <c r="AQ2022" s="147"/>
      <c r="AR2022" s="144"/>
      <c r="AS2022" s="147"/>
      <c r="AT2022" s="147"/>
      <c r="AU2022" s="60"/>
      <c r="AV2022" s="410"/>
      <c r="AW2022" s="60"/>
    </row>
    <row r="2023">
      <c r="A2023" s="60"/>
      <c r="B2023" s="41"/>
      <c r="C2023" s="41"/>
      <c r="E2023" s="60"/>
      <c r="F2023" s="60"/>
      <c r="G2023" s="147"/>
      <c r="H2023" s="140"/>
      <c r="I2023" s="60"/>
      <c r="J2023" s="147"/>
      <c r="K2023" s="60"/>
      <c r="L2023" s="60"/>
      <c r="M2023" s="60"/>
      <c r="N2023" s="327"/>
      <c r="O2023" s="145"/>
      <c r="P2023" s="1572"/>
      <c r="Q2023" s="1526"/>
      <c r="R2023" s="60"/>
      <c r="S2023" s="1528"/>
      <c r="T2023" s="327"/>
      <c r="U2023" s="147"/>
      <c r="V2023" s="147"/>
      <c r="W2023" s="1455"/>
      <c r="X2023" s="60"/>
      <c r="Y2023" s="147"/>
      <c r="Z2023" s="60"/>
      <c r="AA2023" s="147"/>
      <c r="AB2023" s="147"/>
      <c r="AC2023" s="147"/>
      <c r="AD2023" s="147"/>
      <c r="AE2023" s="144"/>
      <c r="AF2023" s="144"/>
      <c r="AG2023" s="147"/>
      <c r="AH2023" s="147"/>
      <c r="AI2023" s="144"/>
      <c r="AJ2023" s="147"/>
      <c r="AK2023" s="147"/>
      <c r="AL2023" s="60"/>
      <c r="AM2023" s="60"/>
      <c r="AN2023" s="144"/>
      <c r="AO2023" s="144"/>
      <c r="AP2023" s="147"/>
      <c r="AQ2023" s="147"/>
      <c r="AR2023" s="144"/>
      <c r="AS2023" s="147"/>
      <c r="AT2023" s="147"/>
      <c r="AU2023" s="60"/>
      <c r="AV2023" s="410"/>
      <c r="AW2023" s="60"/>
    </row>
    <row r="2024">
      <c r="A2024" s="60"/>
      <c r="B2024" s="41"/>
      <c r="C2024" s="41"/>
      <c r="E2024" s="60"/>
      <c r="F2024" s="60"/>
      <c r="G2024" s="147"/>
      <c r="H2024" s="140"/>
      <c r="I2024" s="60"/>
      <c r="J2024" s="147"/>
      <c r="K2024" s="60"/>
      <c r="L2024" s="60"/>
      <c r="M2024" s="60"/>
      <c r="N2024" s="327"/>
      <c r="O2024" s="145"/>
      <c r="P2024" s="1572"/>
      <c r="Q2024" s="1526"/>
      <c r="R2024" s="60"/>
      <c r="S2024" s="1528"/>
      <c r="T2024" s="327"/>
      <c r="U2024" s="147"/>
      <c r="V2024" s="147"/>
      <c r="W2024" s="1455"/>
      <c r="X2024" s="60"/>
      <c r="Y2024" s="147"/>
      <c r="Z2024" s="60"/>
      <c r="AA2024" s="147"/>
      <c r="AB2024" s="147"/>
      <c r="AC2024" s="147"/>
      <c r="AD2024" s="147"/>
      <c r="AE2024" s="144"/>
      <c r="AF2024" s="144"/>
      <c r="AG2024" s="147"/>
      <c r="AH2024" s="147"/>
      <c r="AI2024" s="144"/>
      <c r="AJ2024" s="147"/>
      <c r="AK2024" s="147"/>
      <c r="AL2024" s="60"/>
      <c r="AM2024" s="60"/>
      <c r="AN2024" s="144"/>
      <c r="AO2024" s="144"/>
      <c r="AP2024" s="147"/>
      <c r="AQ2024" s="147"/>
      <c r="AR2024" s="144"/>
      <c r="AS2024" s="147"/>
      <c r="AT2024" s="147"/>
      <c r="AU2024" s="60"/>
      <c r="AV2024" s="410"/>
      <c r="AW2024" s="60"/>
    </row>
    <row r="2025">
      <c r="A2025" s="60"/>
      <c r="B2025" s="41"/>
      <c r="C2025" s="41"/>
      <c r="E2025" s="60"/>
      <c r="F2025" s="60"/>
      <c r="G2025" s="147"/>
      <c r="H2025" s="140"/>
      <c r="I2025" s="60"/>
      <c r="J2025" s="147"/>
      <c r="K2025" s="60"/>
      <c r="L2025" s="60"/>
      <c r="M2025" s="60"/>
      <c r="N2025" s="327"/>
      <c r="O2025" s="145"/>
      <c r="P2025" s="1572"/>
      <c r="Q2025" s="1526"/>
      <c r="R2025" s="60"/>
      <c r="S2025" s="1528"/>
      <c r="T2025" s="327"/>
      <c r="U2025" s="147"/>
      <c r="V2025" s="147"/>
      <c r="W2025" s="1455"/>
      <c r="X2025" s="60"/>
      <c r="Y2025" s="147"/>
      <c r="Z2025" s="60"/>
      <c r="AA2025" s="147"/>
      <c r="AB2025" s="147"/>
      <c r="AC2025" s="147"/>
      <c r="AD2025" s="147"/>
      <c r="AE2025" s="144"/>
      <c r="AF2025" s="144"/>
      <c r="AG2025" s="147"/>
      <c r="AH2025" s="147"/>
      <c r="AI2025" s="144"/>
      <c r="AJ2025" s="147"/>
      <c r="AK2025" s="147"/>
      <c r="AL2025" s="60"/>
      <c r="AM2025" s="60"/>
      <c r="AN2025" s="144"/>
      <c r="AO2025" s="144"/>
      <c r="AP2025" s="147"/>
      <c r="AQ2025" s="147"/>
      <c r="AR2025" s="144"/>
      <c r="AS2025" s="147"/>
      <c r="AT2025" s="147"/>
      <c r="AU2025" s="60"/>
      <c r="AV2025" s="410"/>
      <c r="AW2025" s="60"/>
    </row>
    <row r="2026">
      <c r="A2026" s="60"/>
      <c r="B2026" s="41"/>
      <c r="C2026" s="41"/>
      <c r="E2026" s="60"/>
      <c r="F2026" s="60"/>
      <c r="G2026" s="147"/>
      <c r="H2026" s="140"/>
      <c r="I2026" s="60"/>
      <c r="J2026" s="147"/>
      <c r="K2026" s="60"/>
      <c r="L2026" s="60"/>
      <c r="M2026" s="60"/>
      <c r="N2026" s="327"/>
      <c r="O2026" s="145"/>
      <c r="P2026" s="1572"/>
      <c r="Q2026" s="1526"/>
      <c r="R2026" s="60"/>
      <c r="S2026" s="1528"/>
      <c r="T2026" s="327"/>
      <c r="U2026" s="147"/>
      <c r="V2026" s="147"/>
      <c r="W2026" s="1455"/>
      <c r="X2026" s="60"/>
      <c r="Y2026" s="147"/>
      <c r="Z2026" s="60"/>
      <c r="AA2026" s="147"/>
      <c r="AB2026" s="147"/>
      <c r="AC2026" s="147"/>
      <c r="AD2026" s="147"/>
      <c r="AE2026" s="144"/>
      <c r="AF2026" s="144"/>
      <c r="AG2026" s="147"/>
      <c r="AH2026" s="147"/>
      <c r="AI2026" s="144"/>
      <c r="AJ2026" s="147"/>
      <c r="AK2026" s="147"/>
      <c r="AL2026" s="60"/>
      <c r="AM2026" s="60"/>
      <c r="AN2026" s="144"/>
      <c r="AO2026" s="144"/>
      <c r="AP2026" s="147"/>
      <c r="AQ2026" s="147"/>
      <c r="AR2026" s="144"/>
      <c r="AS2026" s="147"/>
      <c r="AT2026" s="147"/>
      <c r="AU2026" s="60"/>
      <c r="AV2026" s="410"/>
      <c r="AW2026" s="60"/>
    </row>
    <row r="2027">
      <c r="A2027" s="60"/>
      <c r="B2027" s="41"/>
      <c r="C2027" s="41"/>
      <c r="E2027" s="60"/>
      <c r="F2027" s="60"/>
      <c r="G2027" s="147"/>
      <c r="H2027" s="140"/>
      <c r="I2027" s="60"/>
      <c r="J2027" s="147"/>
      <c r="K2027" s="60"/>
      <c r="L2027" s="60"/>
      <c r="M2027" s="60"/>
      <c r="N2027" s="327"/>
      <c r="O2027" s="145"/>
      <c r="P2027" s="1572"/>
      <c r="Q2027" s="1526"/>
      <c r="R2027" s="60"/>
      <c r="S2027" s="1528"/>
      <c r="T2027" s="327"/>
      <c r="U2027" s="147"/>
      <c r="V2027" s="147"/>
      <c r="W2027" s="1455"/>
      <c r="X2027" s="60"/>
      <c r="Y2027" s="147"/>
      <c r="Z2027" s="60"/>
      <c r="AA2027" s="147"/>
      <c r="AB2027" s="147"/>
      <c r="AC2027" s="147"/>
      <c r="AD2027" s="147"/>
      <c r="AE2027" s="144"/>
      <c r="AF2027" s="144"/>
      <c r="AG2027" s="147"/>
      <c r="AH2027" s="147"/>
      <c r="AI2027" s="144"/>
      <c r="AJ2027" s="147"/>
      <c r="AK2027" s="147"/>
      <c r="AL2027" s="60"/>
      <c r="AM2027" s="60"/>
      <c r="AN2027" s="144"/>
      <c r="AO2027" s="144"/>
      <c r="AP2027" s="147"/>
      <c r="AQ2027" s="147"/>
      <c r="AR2027" s="144"/>
      <c r="AS2027" s="147"/>
      <c r="AT2027" s="147"/>
      <c r="AU2027" s="60"/>
      <c r="AV2027" s="410"/>
      <c r="AW2027" s="60"/>
    </row>
    <row r="2028">
      <c r="A2028" s="60"/>
      <c r="B2028" s="41"/>
      <c r="C2028" s="41"/>
      <c r="E2028" s="60"/>
      <c r="F2028" s="60"/>
      <c r="G2028" s="147"/>
      <c r="H2028" s="140"/>
      <c r="I2028" s="60"/>
      <c r="J2028" s="147"/>
      <c r="K2028" s="60"/>
      <c r="L2028" s="60"/>
      <c r="M2028" s="60"/>
      <c r="N2028" s="327"/>
      <c r="O2028" s="145"/>
      <c r="P2028" s="1572"/>
      <c r="Q2028" s="1526"/>
      <c r="R2028" s="60"/>
      <c r="S2028" s="1528"/>
      <c r="T2028" s="327"/>
      <c r="U2028" s="147"/>
      <c r="V2028" s="147"/>
      <c r="W2028" s="1455"/>
      <c r="X2028" s="60"/>
      <c r="Y2028" s="147"/>
      <c r="Z2028" s="60"/>
      <c r="AA2028" s="147"/>
      <c r="AB2028" s="147"/>
      <c r="AC2028" s="147"/>
      <c r="AD2028" s="147"/>
      <c r="AE2028" s="144"/>
      <c r="AF2028" s="144"/>
      <c r="AG2028" s="147"/>
      <c r="AH2028" s="147"/>
      <c r="AI2028" s="144"/>
      <c r="AJ2028" s="147"/>
      <c r="AK2028" s="147"/>
      <c r="AL2028" s="60"/>
      <c r="AM2028" s="60"/>
      <c r="AN2028" s="144"/>
      <c r="AO2028" s="144"/>
      <c r="AP2028" s="147"/>
      <c r="AQ2028" s="147"/>
      <c r="AR2028" s="144"/>
      <c r="AS2028" s="147"/>
      <c r="AT2028" s="147"/>
      <c r="AU2028" s="60"/>
      <c r="AV2028" s="410"/>
      <c r="AW2028" s="60"/>
    </row>
    <row r="2029">
      <c r="A2029" s="60"/>
      <c r="B2029" s="41"/>
      <c r="C2029" s="41"/>
      <c r="E2029" s="60"/>
      <c r="F2029" s="60"/>
      <c r="G2029" s="147"/>
      <c r="H2029" s="140"/>
      <c r="I2029" s="60"/>
      <c r="J2029" s="147"/>
      <c r="K2029" s="60"/>
      <c r="L2029" s="60"/>
      <c r="M2029" s="60"/>
      <c r="N2029" s="327"/>
      <c r="O2029" s="145"/>
      <c r="P2029" s="1572"/>
      <c r="Q2029" s="1526"/>
      <c r="R2029" s="60"/>
      <c r="S2029" s="1528"/>
      <c r="T2029" s="327"/>
      <c r="U2029" s="147"/>
      <c r="V2029" s="147"/>
      <c r="W2029" s="1455"/>
      <c r="X2029" s="60"/>
      <c r="Y2029" s="147"/>
      <c r="Z2029" s="60"/>
      <c r="AA2029" s="147"/>
      <c r="AB2029" s="147"/>
      <c r="AC2029" s="147"/>
      <c r="AD2029" s="147"/>
      <c r="AE2029" s="144"/>
      <c r="AF2029" s="144"/>
      <c r="AG2029" s="147"/>
      <c r="AH2029" s="147"/>
      <c r="AI2029" s="144"/>
      <c r="AJ2029" s="147"/>
      <c r="AK2029" s="147"/>
      <c r="AL2029" s="60"/>
      <c r="AM2029" s="60"/>
      <c r="AN2029" s="144"/>
      <c r="AO2029" s="144"/>
      <c r="AP2029" s="147"/>
      <c r="AQ2029" s="147"/>
      <c r="AR2029" s="144"/>
      <c r="AS2029" s="147"/>
      <c r="AT2029" s="147"/>
      <c r="AU2029" s="60"/>
      <c r="AV2029" s="410"/>
      <c r="AW2029" s="60"/>
    </row>
    <row r="2030">
      <c r="A2030" s="60"/>
      <c r="B2030" s="41"/>
      <c r="C2030" s="41"/>
      <c r="E2030" s="60"/>
      <c r="F2030" s="60"/>
      <c r="G2030" s="147"/>
      <c r="H2030" s="140"/>
      <c r="I2030" s="60"/>
      <c r="J2030" s="147"/>
      <c r="K2030" s="60"/>
      <c r="L2030" s="60"/>
      <c r="M2030" s="60"/>
      <c r="N2030" s="327"/>
      <c r="O2030" s="145"/>
      <c r="P2030" s="1572"/>
      <c r="Q2030" s="1526"/>
      <c r="R2030" s="60"/>
      <c r="S2030" s="1528"/>
      <c r="T2030" s="327"/>
      <c r="U2030" s="147"/>
      <c r="V2030" s="147"/>
      <c r="W2030" s="1455"/>
      <c r="X2030" s="60"/>
      <c r="Y2030" s="147"/>
      <c r="Z2030" s="60"/>
      <c r="AA2030" s="147"/>
      <c r="AB2030" s="147"/>
      <c r="AC2030" s="147"/>
      <c r="AD2030" s="147"/>
      <c r="AE2030" s="144"/>
      <c r="AF2030" s="144"/>
      <c r="AG2030" s="147"/>
      <c r="AH2030" s="147"/>
      <c r="AI2030" s="144"/>
      <c r="AJ2030" s="147"/>
      <c r="AK2030" s="147"/>
      <c r="AL2030" s="60"/>
      <c r="AM2030" s="60"/>
      <c r="AN2030" s="144"/>
      <c r="AO2030" s="144"/>
      <c r="AP2030" s="147"/>
      <c r="AQ2030" s="147"/>
      <c r="AR2030" s="144"/>
      <c r="AS2030" s="147"/>
      <c r="AT2030" s="147"/>
      <c r="AU2030" s="60"/>
      <c r="AV2030" s="410"/>
      <c r="AW2030" s="60"/>
    </row>
    <row r="2031">
      <c r="A2031" s="60"/>
      <c r="B2031" s="41"/>
      <c r="C2031" s="41"/>
      <c r="E2031" s="60"/>
      <c r="F2031" s="60"/>
      <c r="G2031" s="147"/>
      <c r="H2031" s="140"/>
      <c r="I2031" s="60"/>
      <c r="J2031" s="147"/>
      <c r="K2031" s="60"/>
      <c r="L2031" s="60"/>
      <c r="M2031" s="60"/>
      <c r="N2031" s="327"/>
      <c r="O2031" s="145"/>
      <c r="P2031" s="1572"/>
      <c r="Q2031" s="1526"/>
      <c r="R2031" s="60"/>
      <c r="S2031" s="1528"/>
      <c r="T2031" s="327"/>
      <c r="U2031" s="147"/>
      <c r="V2031" s="147"/>
      <c r="W2031" s="1455"/>
      <c r="X2031" s="60"/>
      <c r="Y2031" s="147"/>
      <c r="Z2031" s="60"/>
      <c r="AA2031" s="147"/>
      <c r="AB2031" s="147"/>
      <c r="AC2031" s="147"/>
      <c r="AD2031" s="147"/>
      <c r="AE2031" s="144"/>
      <c r="AF2031" s="144"/>
      <c r="AG2031" s="147"/>
      <c r="AH2031" s="147"/>
      <c r="AI2031" s="144"/>
      <c r="AJ2031" s="147"/>
      <c r="AK2031" s="147"/>
      <c r="AL2031" s="60"/>
      <c r="AM2031" s="60"/>
      <c r="AN2031" s="144"/>
      <c r="AO2031" s="144"/>
      <c r="AP2031" s="147"/>
      <c r="AQ2031" s="147"/>
      <c r="AR2031" s="144"/>
      <c r="AS2031" s="147"/>
      <c r="AT2031" s="147"/>
      <c r="AU2031" s="60"/>
      <c r="AV2031" s="410"/>
      <c r="AW2031" s="60"/>
    </row>
    <row r="2032">
      <c r="A2032" s="60"/>
      <c r="B2032" s="41"/>
      <c r="C2032" s="41"/>
      <c r="E2032" s="60"/>
      <c r="F2032" s="60"/>
      <c r="G2032" s="147"/>
      <c r="H2032" s="140"/>
      <c r="I2032" s="60"/>
      <c r="J2032" s="147"/>
      <c r="K2032" s="60"/>
      <c r="L2032" s="60"/>
      <c r="M2032" s="60"/>
      <c r="N2032" s="327"/>
      <c r="O2032" s="145"/>
      <c r="P2032" s="1572"/>
      <c r="Q2032" s="1526"/>
      <c r="R2032" s="60"/>
      <c r="S2032" s="1528"/>
      <c r="T2032" s="327"/>
      <c r="U2032" s="147"/>
      <c r="V2032" s="147"/>
      <c r="W2032" s="1455"/>
      <c r="X2032" s="60"/>
      <c r="Y2032" s="147"/>
      <c r="Z2032" s="60"/>
      <c r="AA2032" s="147"/>
      <c r="AB2032" s="147"/>
      <c r="AC2032" s="147"/>
      <c r="AD2032" s="147"/>
      <c r="AE2032" s="144"/>
      <c r="AF2032" s="144"/>
      <c r="AG2032" s="147"/>
      <c r="AH2032" s="147"/>
      <c r="AI2032" s="144"/>
      <c r="AJ2032" s="147"/>
      <c r="AK2032" s="147"/>
      <c r="AL2032" s="60"/>
      <c r="AM2032" s="60"/>
      <c r="AN2032" s="144"/>
      <c r="AO2032" s="144"/>
      <c r="AP2032" s="147"/>
      <c r="AQ2032" s="147"/>
      <c r="AR2032" s="144"/>
      <c r="AS2032" s="147"/>
      <c r="AT2032" s="147"/>
      <c r="AU2032" s="60"/>
      <c r="AV2032" s="410"/>
      <c r="AW2032" s="60"/>
    </row>
    <row r="2033">
      <c r="A2033" s="60"/>
      <c r="B2033" s="41"/>
      <c r="C2033" s="41"/>
      <c r="E2033" s="60"/>
      <c r="F2033" s="60"/>
      <c r="G2033" s="147"/>
      <c r="H2033" s="140"/>
      <c r="I2033" s="60"/>
      <c r="J2033" s="147"/>
      <c r="K2033" s="60"/>
      <c r="L2033" s="60"/>
      <c r="M2033" s="60"/>
      <c r="N2033" s="327"/>
      <c r="O2033" s="145"/>
      <c r="P2033" s="1572"/>
      <c r="Q2033" s="1526"/>
      <c r="R2033" s="60"/>
      <c r="S2033" s="1528"/>
      <c r="T2033" s="327"/>
      <c r="U2033" s="147"/>
      <c r="V2033" s="147"/>
      <c r="W2033" s="1455"/>
      <c r="X2033" s="60"/>
      <c r="Y2033" s="147"/>
      <c r="Z2033" s="60"/>
      <c r="AA2033" s="147"/>
      <c r="AB2033" s="147"/>
      <c r="AC2033" s="147"/>
      <c r="AD2033" s="147"/>
      <c r="AE2033" s="144"/>
      <c r="AF2033" s="144"/>
      <c r="AG2033" s="147"/>
      <c r="AH2033" s="147"/>
      <c r="AI2033" s="144"/>
      <c r="AJ2033" s="147"/>
      <c r="AK2033" s="147"/>
      <c r="AL2033" s="60"/>
      <c r="AM2033" s="60"/>
      <c r="AN2033" s="144"/>
      <c r="AO2033" s="144"/>
      <c r="AP2033" s="147"/>
      <c r="AQ2033" s="147"/>
      <c r="AR2033" s="144"/>
      <c r="AS2033" s="147"/>
      <c r="AT2033" s="147"/>
      <c r="AU2033" s="60"/>
      <c r="AV2033" s="410"/>
      <c r="AW2033" s="60"/>
    </row>
    <row r="2034">
      <c r="A2034" s="60"/>
      <c r="B2034" s="41"/>
      <c r="C2034" s="41"/>
      <c r="E2034" s="60"/>
      <c r="F2034" s="60"/>
      <c r="G2034" s="147"/>
      <c r="H2034" s="140"/>
      <c r="I2034" s="60"/>
      <c r="J2034" s="147"/>
      <c r="K2034" s="60"/>
      <c r="L2034" s="60"/>
      <c r="M2034" s="60"/>
      <c r="N2034" s="327"/>
      <c r="O2034" s="145"/>
      <c r="P2034" s="1572"/>
      <c r="Q2034" s="1526"/>
      <c r="R2034" s="60"/>
      <c r="S2034" s="1528"/>
      <c r="T2034" s="327"/>
      <c r="U2034" s="147"/>
      <c r="V2034" s="147"/>
      <c r="W2034" s="1455"/>
      <c r="X2034" s="60"/>
      <c r="Y2034" s="147"/>
      <c r="Z2034" s="60"/>
      <c r="AA2034" s="147"/>
      <c r="AB2034" s="147"/>
      <c r="AC2034" s="147"/>
      <c r="AD2034" s="147"/>
      <c r="AE2034" s="144"/>
      <c r="AF2034" s="144"/>
      <c r="AG2034" s="147"/>
      <c r="AH2034" s="147"/>
      <c r="AI2034" s="144"/>
      <c r="AJ2034" s="147"/>
      <c r="AK2034" s="147"/>
      <c r="AL2034" s="60"/>
      <c r="AM2034" s="60"/>
      <c r="AN2034" s="144"/>
      <c r="AO2034" s="144"/>
      <c r="AP2034" s="147"/>
      <c r="AQ2034" s="147"/>
      <c r="AR2034" s="144"/>
      <c r="AS2034" s="147"/>
      <c r="AT2034" s="147"/>
      <c r="AU2034" s="60"/>
      <c r="AV2034" s="410"/>
      <c r="AW2034" s="60"/>
    </row>
    <row r="2035">
      <c r="A2035" s="60"/>
      <c r="B2035" s="41"/>
      <c r="C2035" s="41"/>
      <c r="E2035" s="60"/>
      <c r="F2035" s="60"/>
      <c r="G2035" s="147"/>
      <c r="H2035" s="140"/>
      <c r="I2035" s="60"/>
      <c r="J2035" s="147"/>
      <c r="K2035" s="60"/>
      <c r="L2035" s="60"/>
      <c r="M2035" s="60"/>
      <c r="N2035" s="327"/>
      <c r="O2035" s="145"/>
      <c r="P2035" s="1572"/>
      <c r="Q2035" s="1526"/>
      <c r="R2035" s="60"/>
      <c r="S2035" s="1528"/>
      <c r="T2035" s="327"/>
      <c r="U2035" s="147"/>
      <c r="V2035" s="147"/>
      <c r="W2035" s="1455"/>
      <c r="X2035" s="60"/>
      <c r="Y2035" s="147"/>
      <c r="Z2035" s="60"/>
      <c r="AA2035" s="147"/>
      <c r="AB2035" s="147"/>
      <c r="AC2035" s="147"/>
      <c r="AD2035" s="147"/>
      <c r="AE2035" s="144"/>
      <c r="AF2035" s="144"/>
      <c r="AG2035" s="147"/>
      <c r="AH2035" s="147"/>
      <c r="AI2035" s="144"/>
      <c r="AJ2035" s="147"/>
      <c r="AK2035" s="147"/>
      <c r="AL2035" s="60"/>
      <c r="AM2035" s="60"/>
      <c r="AN2035" s="144"/>
      <c r="AO2035" s="144"/>
      <c r="AP2035" s="147"/>
      <c r="AQ2035" s="147"/>
      <c r="AR2035" s="144"/>
      <c r="AS2035" s="147"/>
      <c r="AT2035" s="147"/>
      <c r="AU2035" s="60"/>
      <c r="AV2035" s="410"/>
      <c r="AW2035" s="60"/>
    </row>
    <row r="2036">
      <c r="A2036" s="60"/>
      <c r="B2036" s="41"/>
      <c r="C2036" s="41"/>
      <c r="E2036" s="60"/>
      <c r="F2036" s="60"/>
      <c r="G2036" s="147"/>
      <c r="H2036" s="140"/>
      <c r="I2036" s="60"/>
      <c r="J2036" s="147"/>
      <c r="K2036" s="60"/>
      <c r="L2036" s="60"/>
      <c r="M2036" s="60"/>
      <c r="N2036" s="327"/>
      <c r="O2036" s="145"/>
      <c r="P2036" s="1572"/>
      <c r="Q2036" s="1526"/>
      <c r="R2036" s="60"/>
      <c r="S2036" s="1528"/>
      <c r="T2036" s="327"/>
      <c r="U2036" s="147"/>
      <c r="V2036" s="147"/>
      <c r="W2036" s="1455"/>
      <c r="X2036" s="60"/>
      <c r="Y2036" s="147"/>
      <c r="Z2036" s="60"/>
      <c r="AA2036" s="147"/>
      <c r="AB2036" s="147"/>
      <c r="AC2036" s="147"/>
      <c r="AD2036" s="147"/>
      <c r="AE2036" s="144"/>
      <c r="AF2036" s="144"/>
      <c r="AG2036" s="147"/>
      <c r="AH2036" s="147"/>
      <c r="AI2036" s="144"/>
      <c r="AJ2036" s="147"/>
      <c r="AK2036" s="147"/>
      <c r="AL2036" s="60"/>
      <c r="AM2036" s="60"/>
      <c r="AN2036" s="144"/>
      <c r="AO2036" s="144"/>
      <c r="AP2036" s="147"/>
      <c r="AQ2036" s="147"/>
      <c r="AR2036" s="144"/>
      <c r="AS2036" s="147"/>
      <c r="AT2036" s="147"/>
      <c r="AU2036" s="60"/>
      <c r="AV2036" s="410"/>
      <c r="AW2036" s="60"/>
    </row>
    <row r="2037">
      <c r="A2037" s="60"/>
      <c r="B2037" s="41"/>
      <c r="C2037" s="41"/>
      <c r="E2037" s="60"/>
      <c r="F2037" s="60"/>
      <c r="G2037" s="147"/>
      <c r="H2037" s="140"/>
      <c r="I2037" s="60"/>
      <c r="J2037" s="147"/>
      <c r="K2037" s="60"/>
      <c r="L2037" s="60"/>
      <c r="M2037" s="60"/>
      <c r="N2037" s="327"/>
      <c r="O2037" s="145"/>
      <c r="P2037" s="1572"/>
      <c r="Q2037" s="1526"/>
      <c r="R2037" s="60"/>
      <c r="S2037" s="1528"/>
      <c r="T2037" s="327"/>
      <c r="U2037" s="147"/>
      <c r="V2037" s="147"/>
      <c r="W2037" s="1455"/>
      <c r="X2037" s="60"/>
      <c r="Y2037" s="147"/>
      <c r="Z2037" s="60"/>
      <c r="AA2037" s="147"/>
      <c r="AB2037" s="147"/>
      <c r="AC2037" s="147"/>
      <c r="AD2037" s="147"/>
      <c r="AE2037" s="144"/>
      <c r="AF2037" s="144"/>
      <c r="AG2037" s="147"/>
      <c r="AH2037" s="147"/>
      <c r="AI2037" s="144"/>
      <c r="AJ2037" s="147"/>
      <c r="AK2037" s="147"/>
      <c r="AL2037" s="60"/>
      <c r="AM2037" s="60"/>
      <c r="AN2037" s="144"/>
      <c r="AO2037" s="144"/>
      <c r="AP2037" s="147"/>
      <c r="AQ2037" s="147"/>
      <c r="AR2037" s="144"/>
      <c r="AS2037" s="147"/>
      <c r="AT2037" s="147"/>
      <c r="AU2037" s="60"/>
      <c r="AV2037" s="410"/>
      <c r="AW2037" s="60"/>
    </row>
    <row r="2038">
      <c r="A2038" s="60"/>
      <c r="B2038" s="41"/>
      <c r="C2038" s="41"/>
      <c r="E2038" s="60"/>
      <c r="F2038" s="60"/>
      <c r="G2038" s="147"/>
      <c r="H2038" s="140"/>
      <c r="I2038" s="60"/>
      <c r="J2038" s="147"/>
      <c r="K2038" s="60"/>
      <c r="L2038" s="60"/>
      <c r="M2038" s="60"/>
      <c r="N2038" s="327"/>
      <c r="O2038" s="145"/>
      <c r="P2038" s="1572"/>
      <c r="Q2038" s="1526"/>
      <c r="R2038" s="60"/>
      <c r="S2038" s="1528"/>
      <c r="T2038" s="327"/>
      <c r="U2038" s="147"/>
      <c r="V2038" s="147"/>
      <c r="W2038" s="1455"/>
      <c r="X2038" s="60"/>
      <c r="Y2038" s="147"/>
      <c r="Z2038" s="60"/>
      <c r="AA2038" s="147"/>
      <c r="AB2038" s="147"/>
      <c r="AC2038" s="147"/>
      <c r="AD2038" s="147"/>
      <c r="AE2038" s="144"/>
      <c r="AF2038" s="144"/>
      <c r="AG2038" s="147"/>
      <c r="AH2038" s="147"/>
      <c r="AI2038" s="144"/>
      <c r="AJ2038" s="147"/>
      <c r="AK2038" s="147"/>
      <c r="AL2038" s="60"/>
      <c r="AM2038" s="60"/>
      <c r="AN2038" s="144"/>
      <c r="AO2038" s="144"/>
      <c r="AP2038" s="147"/>
      <c r="AQ2038" s="147"/>
      <c r="AR2038" s="144"/>
      <c r="AS2038" s="147"/>
      <c r="AT2038" s="147"/>
      <c r="AU2038" s="60"/>
      <c r="AV2038" s="410"/>
      <c r="AW2038" s="60"/>
    </row>
    <row r="2039">
      <c r="A2039" s="60"/>
      <c r="B2039" s="41"/>
      <c r="C2039" s="41"/>
      <c r="E2039" s="60"/>
      <c r="F2039" s="60"/>
      <c r="G2039" s="147"/>
      <c r="H2039" s="140"/>
      <c r="I2039" s="60"/>
      <c r="J2039" s="147"/>
      <c r="K2039" s="60"/>
      <c r="L2039" s="60"/>
      <c r="M2039" s="60"/>
      <c r="N2039" s="327"/>
      <c r="O2039" s="145"/>
      <c r="P2039" s="1572"/>
      <c r="Q2039" s="1526"/>
      <c r="R2039" s="60"/>
      <c r="S2039" s="1528"/>
      <c r="T2039" s="327"/>
      <c r="U2039" s="147"/>
      <c r="V2039" s="147"/>
      <c r="W2039" s="1455"/>
      <c r="X2039" s="60"/>
      <c r="Y2039" s="147"/>
      <c r="Z2039" s="60"/>
      <c r="AA2039" s="147"/>
      <c r="AB2039" s="147"/>
      <c r="AC2039" s="147"/>
      <c r="AD2039" s="147"/>
      <c r="AE2039" s="144"/>
      <c r="AF2039" s="144"/>
      <c r="AG2039" s="147"/>
      <c r="AH2039" s="147"/>
      <c r="AI2039" s="144"/>
      <c r="AJ2039" s="147"/>
      <c r="AK2039" s="147"/>
      <c r="AL2039" s="60"/>
      <c r="AM2039" s="60"/>
      <c r="AN2039" s="144"/>
      <c r="AO2039" s="144"/>
      <c r="AP2039" s="147"/>
      <c r="AQ2039" s="147"/>
      <c r="AR2039" s="144"/>
      <c r="AS2039" s="147"/>
      <c r="AT2039" s="147"/>
      <c r="AU2039" s="60"/>
      <c r="AV2039" s="410"/>
      <c r="AW2039" s="60"/>
    </row>
    <row r="2040">
      <c r="A2040" s="60"/>
      <c r="B2040" s="41"/>
      <c r="C2040" s="41"/>
      <c r="E2040" s="60"/>
      <c r="F2040" s="60"/>
      <c r="G2040" s="147"/>
      <c r="H2040" s="140"/>
      <c r="I2040" s="60"/>
      <c r="J2040" s="147"/>
      <c r="K2040" s="60"/>
      <c r="L2040" s="60"/>
      <c r="M2040" s="60"/>
      <c r="N2040" s="327"/>
      <c r="O2040" s="145"/>
      <c r="P2040" s="1572"/>
      <c r="Q2040" s="1526"/>
      <c r="R2040" s="60"/>
      <c r="S2040" s="1528"/>
      <c r="T2040" s="327"/>
      <c r="U2040" s="147"/>
      <c r="V2040" s="147"/>
      <c r="W2040" s="1455"/>
      <c r="X2040" s="60"/>
      <c r="Y2040" s="147"/>
      <c r="Z2040" s="60"/>
      <c r="AA2040" s="147"/>
      <c r="AB2040" s="147"/>
      <c r="AC2040" s="147"/>
      <c r="AD2040" s="147"/>
      <c r="AE2040" s="144"/>
      <c r="AF2040" s="144"/>
      <c r="AG2040" s="147"/>
      <c r="AH2040" s="147"/>
      <c r="AI2040" s="144"/>
      <c r="AJ2040" s="147"/>
      <c r="AK2040" s="147"/>
      <c r="AL2040" s="60"/>
      <c r="AM2040" s="60"/>
      <c r="AN2040" s="144"/>
      <c r="AO2040" s="144"/>
      <c r="AP2040" s="147"/>
      <c r="AQ2040" s="147"/>
      <c r="AR2040" s="144"/>
      <c r="AS2040" s="147"/>
      <c r="AT2040" s="147"/>
      <c r="AU2040" s="60"/>
      <c r="AV2040" s="410"/>
      <c r="AW2040" s="60"/>
    </row>
    <row r="2041">
      <c r="A2041" s="60"/>
      <c r="B2041" s="41"/>
      <c r="C2041" s="41"/>
      <c r="E2041" s="60"/>
      <c r="F2041" s="60"/>
      <c r="G2041" s="147"/>
      <c r="H2041" s="140"/>
      <c r="I2041" s="60"/>
      <c r="J2041" s="147"/>
      <c r="K2041" s="60"/>
      <c r="L2041" s="60"/>
      <c r="M2041" s="60"/>
      <c r="N2041" s="327"/>
      <c r="O2041" s="145"/>
      <c r="P2041" s="1572"/>
      <c r="Q2041" s="1526"/>
      <c r="R2041" s="60"/>
      <c r="S2041" s="1528"/>
      <c r="T2041" s="327"/>
      <c r="U2041" s="147"/>
      <c r="V2041" s="147"/>
      <c r="W2041" s="1455"/>
      <c r="X2041" s="60"/>
      <c r="Y2041" s="147"/>
      <c r="Z2041" s="60"/>
      <c r="AA2041" s="147"/>
      <c r="AB2041" s="147"/>
      <c r="AC2041" s="147"/>
      <c r="AD2041" s="147"/>
      <c r="AE2041" s="144"/>
      <c r="AF2041" s="144"/>
      <c r="AG2041" s="147"/>
      <c r="AH2041" s="147"/>
      <c r="AI2041" s="144"/>
      <c r="AJ2041" s="147"/>
      <c r="AK2041" s="147"/>
      <c r="AL2041" s="60"/>
      <c r="AM2041" s="60"/>
      <c r="AN2041" s="144"/>
      <c r="AO2041" s="144"/>
      <c r="AP2041" s="147"/>
      <c r="AQ2041" s="147"/>
      <c r="AR2041" s="144"/>
      <c r="AS2041" s="147"/>
      <c r="AT2041" s="147"/>
      <c r="AU2041" s="60"/>
      <c r="AV2041" s="410"/>
      <c r="AW2041" s="60"/>
    </row>
    <row r="2042">
      <c r="A2042" s="60"/>
      <c r="B2042" s="41"/>
      <c r="C2042" s="41"/>
      <c r="E2042" s="60"/>
      <c r="F2042" s="60"/>
      <c r="G2042" s="147"/>
      <c r="H2042" s="140"/>
      <c r="I2042" s="60"/>
      <c r="J2042" s="147"/>
      <c r="K2042" s="60"/>
      <c r="L2042" s="60"/>
      <c r="M2042" s="60"/>
      <c r="N2042" s="327"/>
      <c r="O2042" s="145"/>
      <c r="P2042" s="1572"/>
      <c r="Q2042" s="1526"/>
      <c r="R2042" s="60"/>
      <c r="S2042" s="1528"/>
      <c r="T2042" s="327"/>
      <c r="U2042" s="147"/>
      <c r="V2042" s="147"/>
      <c r="W2042" s="1455"/>
      <c r="X2042" s="60"/>
      <c r="Y2042" s="147"/>
      <c r="Z2042" s="60"/>
      <c r="AA2042" s="147"/>
      <c r="AB2042" s="147"/>
      <c r="AC2042" s="147"/>
      <c r="AD2042" s="147"/>
      <c r="AE2042" s="144"/>
      <c r="AF2042" s="144"/>
      <c r="AG2042" s="147"/>
      <c r="AH2042" s="147"/>
      <c r="AI2042" s="144"/>
      <c r="AJ2042" s="147"/>
      <c r="AK2042" s="147"/>
      <c r="AL2042" s="60"/>
      <c r="AM2042" s="60"/>
      <c r="AN2042" s="144"/>
      <c r="AO2042" s="144"/>
      <c r="AP2042" s="147"/>
      <c r="AQ2042" s="147"/>
      <c r="AR2042" s="144"/>
      <c r="AS2042" s="147"/>
      <c r="AT2042" s="147"/>
      <c r="AU2042" s="60"/>
      <c r="AV2042" s="410"/>
      <c r="AW2042" s="60"/>
    </row>
    <row r="2043">
      <c r="A2043" s="60"/>
      <c r="B2043" s="41"/>
      <c r="C2043" s="41"/>
      <c r="E2043" s="60"/>
      <c r="F2043" s="60"/>
      <c r="G2043" s="147"/>
      <c r="H2043" s="140"/>
      <c r="I2043" s="60"/>
      <c r="J2043" s="147"/>
      <c r="K2043" s="60"/>
      <c r="L2043" s="60"/>
      <c r="M2043" s="60"/>
      <c r="N2043" s="327"/>
      <c r="O2043" s="145"/>
      <c r="P2043" s="1572"/>
      <c r="Q2043" s="1526"/>
      <c r="R2043" s="60"/>
      <c r="S2043" s="1528"/>
      <c r="T2043" s="327"/>
      <c r="U2043" s="147"/>
      <c r="V2043" s="147"/>
      <c r="W2043" s="1455"/>
      <c r="X2043" s="60"/>
      <c r="Y2043" s="147"/>
      <c r="Z2043" s="60"/>
      <c r="AA2043" s="147"/>
      <c r="AB2043" s="147"/>
      <c r="AC2043" s="147"/>
      <c r="AD2043" s="147"/>
      <c r="AE2043" s="144"/>
      <c r="AF2043" s="144"/>
      <c r="AG2043" s="147"/>
      <c r="AH2043" s="147"/>
      <c r="AI2043" s="144"/>
      <c r="AJ2043" s="147"/>
      <c r="AK2043" s="147"/>
      <c r="AL2043" s="60"/>
      <c r="AM2043" s="60"/>
      <c r="AN2043" s="144"/>
      <c r="AO2043" s="144"/>
      <c r="AP2043" s="147"/>
      <c r="AQ2043" s="147"/>
      <c r="AR2043" s="144"/>
      <c r="AS2043" s="147"/>
      <c r="AT2043" s="147"/>
      <c r="AU2043" s="60"/>
      <c r="AV2043" s="410"/>
      <c r="AW2043" s="60"/>
    </row>
    <row r="2044">
      <c r="A2044" s="60"/>
      <c r="B2044" s="41"/>
      <c r="C2044" s="41"/>
      <c r="E2044" s="60"/>
      <c r="F2044" s="60"/>
      <c r="G2044" s="147"/>
      <c r="H2044" s="140"/>
      <c r="I2044" s="60"/>
      <c r="J2044" s="147"/>
      <c r="K2044" s="60"/>
      <c r="L2044" s="60"/>
      <c r="M2044" s="60"/>
      <c r="N2044" s="327"/>
      <c r="O2044" s="145"/>
      <c r="P2044" s="1572"/>
      <c r="Q2044" s="1526"/>
      <c r="R2044" s="60"/>
      <c r="S2044" s="1528"/>
      <c r="T2044" s="327"/>
      <c r="U2044" s="147"/>
      <c r="V2044" s="147"/>
      <c r="W2044" s="1455"/>
      <c r="X2044" s="60"/>
      <c r="Y2044" s="147"/>
      <c r="Z2044" s="60"/>
      <c r="AA2044" s="147"/>
      <c r="AB2044" s="147"/>
      <c r="AC2044" s="147"/>
      <c r="AD2044" s="147"/>
      <c r="AE2044" s="144"/>
      <c r="AF2044" s="144"/>
      <c r="AG2044" s="147"/>
      <c r="AH2044" s="147"/>
      <c r="AI2044" s="144"/>
      <c r="AJ2044" s="147"/>
      <c r="AK2044" s="147"/>
      <c r="AL2044" s="60"/>
      <c r="AM2044" s="60"/>
      <c r="AN2044" s="144"/>
      <c r="AO2044" s="144"/>
      <c r="AP2044" s="147"/>
      <c r="AQ2044" s="147"/>
      <c r="AR2044" s="144"/>
      <c r="AS2044" s="147"/>
      <c r="AT2044" s="147"/>
      <c r="AU2044" s="60"/>
      <c r="AV2044" s="410"/>
      <c r="AW2044" s="60"/>
    </row>
    <row r="2045">
      <c r="A2045" s="60"/>
      <c r="B2045" s="41"/>
      <c r="C2045" s="41"/>
      <c r="E2045" s="60"/>
      <c r="F2045" s="60"/>
      <c r="G2045" s="147"/>
      <c r="H2045" s="140"/>
      <c r="I2045" s="60"/>
      <c r="J2045" s="147"/>
      <c r="K2045" s="60"/>
      <c r="L2045" s="60"/>
      <c r="M2045" s="60"/>
      <c r="N2045" s="327"/>
      <c r="O2045" s="145"/>
      <c r="P2045" s="1572"/>
      <c r="Q2045" s="1526"/>
      <c r="R2045" s="60"/>
      <c r="S2045" s="1528"/>
      <c r="T2045" s="327"/>
      <c r="U2045" s="147"/>
      <c r="V2045" s="147"/>
      <c r="W2045" s="1455"/>
      <c r="X2045" s="60"/>
      <c r="Y2045" s="147"/>
      <c r="Z2045" s="60"/>
      <c r="AA2045" s="147"/>
      <c r="AB2045" s="147"/>
      <c r="AC2045" s="147"/>
      <c r="AD2045" s="147"/>
      <c r="AE2045" s="144"/>
      <c r="AF2045" s="144"/>
      <c r="AG2045" s="147"/>
      <c r="AH2045" s="147"/>
      <c r="AI2045" s="144"/>
      <c r="AJ2045" s="147"/>
      <c r="AK2045" s="147"/>
      <c r="AL2045" s="60"/>
      <c r="AM2045" s="60"/>
      <c r="AN2045" s="144"/>
      <c r="AO2045" s="144"/>
      <c r="AP2045" s="147"/>
      <c r="AQ2045" s="147"/>
      <c r="AR2045" s="144"/>
      <c r="AS2045" s="147"/>
      <c r="AT2045" s="147"/>
      <c r="AU2045" s="60"/>
      <c r="AV2045" s="410"/>
      <c r="AW2045" s="60"/>
    </row>
    <row r="2046">
      <c r="A2046" s="60"/>
      <c r="B2046" s="41"/>
      <c r="C2046" s="41"/>
      <c r="E2046" s="60"/>
      <c r="F2046" s="60"/>
      <c r="G2046" s="147"/>
      <c r="H2046" s="140"/>
      <c r="I2046" s="60"/>
      <c r="J2046" s="147"/>
      <c r="K2046" s="60"/>
      <c r="L2046" s="60"/>
      <c r="M2046" s="60"/>
      <c r="N2046" s="327"/>
      <c r="O2046" s="145"/>
      <c r="P2046" s="1572"/>
      <c r="Q2046" s="1526"/>
      <c r="R2046" s="60"/>
      <c r="S2046" s="1528"/>
      <c r="T2046" s="327"/>
      <c r="U2046" s="147"/>
      <c r="V2046" s="147"/>
      <c r="W2046" s="1455"/>
      <c r="X2046" s="60"/>
      <c r="Y2046" s="147"/>
      <c r="Z2046" s="60"/>
      <c r="AA2046" s="147"/>
      <c r="AB2046" s="147"/>
      <c r="AC2046" s="147"/>
      <c r="AD2046" s="147"/>
      <c r="AE2046" s="144"/>
      <c r="AF2046" s="144"/>
      <c r="AG2046" s="147"/>
      <c r="AH2046" s="147"/>
      <c r="AI2046" s="144"/>
      <c r="AJ2046" s="147"/>
      <c r="AK2046" s="147"/>
      <c r="AL2046" s="60"/>
      <c r="AM2046" s="60"/>
      <c r="AN2046" s="144"/>
      <c r="AO2046" s="144"/>
      <c r="AP2046" s="147"/>
      <c r="AQ2046" s="147"/>
      <c r="AR2046" s="144"/>
      <c r="AS2046" s="147"/>
      <c r="AT2046" s="147"/>
      <c r="AU2046" s="60"/>
      <c r="AV2046" s="410"/>
      <c r="AW2046" s="60"/>
    </row>
    <row r="2047">
      <c r="A2047" s="60"/>
      <c r="B2047" s="41"/>
      <c r="C2047" s="41"/>
      <c r="E2047" s="60"/>
      <c r="F2047" s="60"/>
      <c r="G2047" s="147"/>
      <c r="H2047" s="140"/>
      <c r="I2047" s="60"/>
      <c r="J2047" s="147"/>
      <c r="K2047" s="60"/>
      <c r="L2047" s="60"/>
      <c r="M2047" s="60"/>
      <c r="N2047" s="327"/>
      <c r="O2047" s="145"/>
      <c r="P2047" s="1572"/>
      <c r="Q2047" s="1526"/>
      <c r="R2047" s="60"/>
      <c r="S2047" s="1528"/>
      <c r="T2047" s="327"/>
      <c r="U2047" s="147"/>
      <c r="V2047" s="147"/>
      <c r="W2047" s="1455"/>
      <c r="X2047" s="60"/>
      <c r="Y2047" s="147"/>
      <c r="Z2047" s="60"/>
      <c r="AA2047" s="147"/>
      <c r="AB2047" s="147"/>
      <c r="AC2047" s="147"/>
      <c r="AD2047" s="147"/>
      <c r="AE2047" s="144"/>
      <c r="AF2047" s="144"/>
      <c r="AG2047" s="147"/>
      <c r="AH2047" s="147"/>
      <c r="AI2047" s="144"/>
      <c r="AJ2047" s="147"/>
      <c r="AK2047" s="147"/>
      <c r="AL2047" s="60"/>
      <c r="AM2047" s="60"/>
      <c r="AN2047" s="144"/>
      <c r="AO2047" s="144"/>
      <c r="AP2047" s="147"/>
      <c r="AQ2047" s="147"/>
      <c r="AR2047" s="144"/>
      <c r="AS2047" s="147"/>
      <c r="AT2047" s="147"/>
      <c r="AU2047" s="60"/>
      <c r="AV2047" s="410"/>
      <c r="AW2047" s="60"/>
    </row>
    <row r="2048">
      <c r="A2048" s="60"/>
      <c r="B2048" s="41"/>
      <c r="C2048" s="41"/>
      <c r="E2048" s="60"/>
      <c r="F2048" s="60"/>
      <c r="G2048" s="147"/>
      <c r="H2048" s="140"/>
      <c r="I2048" s="60"/>
      <c r="J2048" s="147"/>
      <c r="K2048" s="60"/>
      <c r="L2048" s="60"/>
      <c r="M2048" s="60"/>
      <c r="N2048" s="327"/>
      <c r="O2048" s="145"/>
      <c r="P2048" s="1572"/>
      <c r="Q2048" s="1526"/>
      <c r="R2048" s="60"/>
      <c r="S2048" s="1528"/>
      <c r="T2048" s="327"/>
      <c r="U2048" s="147"/>
      <c r="V2048" s="147"/>
      <c r="W2048" s="1455"/>
      <c r="X2048" s="60"/>
      <c r="Y2048" s="147"/>
      <c r="Z2048" s="60"/>
      <c r="AA2048" s="147"/>
      <c r="AB2048" s="147"/>
      <c r="AC2048" s="147"/>
      <c r="AD2048" s="147"/>
      <c r="AE2048" s="144"/>
      <c r="AF2048" s="144"/>
      <c r="AG2048" s="147"/>
      <c r="AH2048" s="147"/>
      <c r="AI2048" s="144"/>
      <c r="AJ2048" s="147"/>
      <c r="AK2048" s="147"/>
      <c r="AL2048" s="60"/>
      <c r="AM2048" s="60"/>
      <c r="AN2048" s="144"/>
      <c r="AO2048" s="144"/>
      <c r="AP2048" s="147"/>
      <c r="AQ2048" s="147"/>
      <c r="AR2048" s="144"/>
      <c r="AS2048" s="147"/>
      <c r="AT2048" s="147"/>
      <c r="AU2048" s="60"/>
      <c r="AV2048" s="410"/>
      <c r="AW2048" s="60"/>
    </row>
    <row r="2049">
      <c r="A2049" s="60"/>
      <c r="B2049" s="41"/>
      <c r="C2049" s="41"/>
      <c r="E2049" s="60"/>
      <c r="F2049" s="60"/>
      <c r="G2049" s="147"/>
      <c r="H2049" s="140"/>
      <c r="I2049" s="60"/>
      <c r="J2049" s="147"/>
      <c r="K2049" s="60"/>
      <c r="L2049" s="60"/>
      <c r="M2049" s="60"/>
      <c r="N2049" s="327"/>
      <c r="O2049" s="145"/>
      <c r="P2049" s="1572"/>
      <c r="Q2049" s="1526"/>
      <c r="R2049" s="60"/>
      <c r="S2049" s="1528"/>
      <c r="T2049" s="327"/>
      <c r="U2049" s="147"/>
      <c r="V2049" s="147"/>
      <c r="W2049" s="1455"/>
      <c r="X2049" s="60"/>
      <c r="Y2049" s="147"/>
      <c r="Z2049" s="60"/>
      <c r="AA2049" s="147"/>
      <c r="AB2049" s="147"/>
      <c r="AC2049" s="147"/>
      <c r="AD2049" s="147"/>
      <c r="AE2049" s="144"/>
      <c r="AF2049" s="144"/>
      <c r="AG2049" s="147"/>
      <c r="AH2049" s="147"/>
      <c r="AI2049" s="144"/>
      <c r="AJ2049" s="147"/>
      <c r="AK2049" s="147"/>
      <c r="AL2049" s="60"/>
      <c r="AM2049" s="60"/>
      <c r="AN2049" s="144"/>
      <c r="AO2049" s="144"/>
      <c r="AP2049" s="147"/>
      <c r="AQ2049" s="147"/>
      <c r="AR2049" s="144"/>
      <c r="AS2049" s="147"/>
      <c r="AT2049" s="147"/>
      <c r="AU2049" s="60"/>
      <c r="AV2049" s="410"/>
      <c r="AW2049" s="60"/>
    </row>
    <row r="2050">
      <c r="A2050" s="60"/>
      <c r="B2050" s="41"/>
      <c r="C2050" s="41"/>
      <c r="E2050" s="60"/>
      <c r="F2050" s="60"/>
      <c r="G2050" s="147"/>
      <c r="H2050" s="140"/>
      <c r="I2050" s="60"/>
      <c r="J2050" s="147"/>
      <c r="K2050" s="60"/>
      <c r="L2050" s="60"/>
      <c r="M2050" s="60"/>
      <c r="N2050" s="327"/>
      <c r="O2050" s="145"/>
      <c r="P2050" s="1572"/>
      <c r="Q2050" s="1526"/>
      <c r="R2050" s="60"/>
      <c r="S2050" s="1528"/>
      <c r="T2050" s="327"/>
      <c r="U2050" s="147"/>
      <c r="V2050" s="147"/>
      <c r="W2050" s="1455"/>
      <c r="X2050" s="60"/>
      <c r="Y2050" s="147"/>
      <c r="Z2050" s="60"/>
      <c r="AA2050" s="147"/>
      <c r="AB2050" s="147"/>
      <c r="AC2050" s="147"/>
      <c r="AD2050" s="147"/>
      <c r="AE2050" s="144"/>
      <c r="AF2050" s="144"/>
      <c r="AG2050" s="147"/>
      <c r="AH2050" s="147"/>
      <c r="AI2050" s="144"/>
      <c r="AJ2050" s="147"/>
      <c r="AK2050" s="147"/>
      <c r="AL2050" s="60"/>
      <c r="AM2050" s="60"/>
      <c r="AN2050" s="144"/>
      <c r="AO2050" s="144"/>
      <c r="AP2050" s="147"/>
      <c r="AQ2050" s="147"/>
      <c r="AR2050" s="144"/>
      <c r="AS2050" s="147"/>
      <c r="AT2050" s="147"/>
      <c r="AU2050" s="60"/>
      <c r="AV2050" s="410"/>
      <c r="AW2050" s="60"/>
    </row>
    <row r="2051">
      <c r="A2051" s="60"/>
      <c r="B2051" s="41"/>
      <c r="C2051" s="41"/>
      <c r="E2051" s="60"/>
      <c r="F2051" s="60"/>
      <c r="G2051" s="147"/>
      <c r="H2051" s="140"/>
      <c r="I2051" s="60"/>
      <c r="J2051" s="147"/>
      <c r="K2051" s="60"/>
      <c r="L2051" s="60"/>
      <c r="M2051" s="60"/>
      <c r="N2051" s="327"/>
      <c r="O2051" s="145"/>
      <c r="P2051" s="1572"/>
      <c r="Q2051" s="1526"/>
      <c r="R2051" s="60"/>
      <c r="S2051" s="1528"/>
      <c r="T2051" s="327"/>
      <c r="U2051" s="147"/>
      <c r="V2051" s="147"/>
      <c r="W2051" s="1455"/>
      <c r="X2051" s="60"/>
      <c r="Y2051" s="147"/>
      <c r="Z2051" s="60"/>
      <c r="AA2051" s="147"/>
      <c r="AB2051" s="147"/>
      <c r="AC2051" s="147"/>
      <c r="AD2051" s="147"/>
      <c r="AE2051" s="144"/>
      <c r="AF2051" s="144"/>
      <c r="AG2051" s="147"/>
      <c r="AH2051" s="147"/>
      <c r="AI2051" s="144"/>
      <c r="AJ2051" s="147"/>
      <c r="AK2051" s="147"/>
      <c r="AL2051" s="60"/>
      <c r="AM2051" s="60"/>
      <c r="AN2051" s="144"/>
      <c r="AO2051" s="144"/>
      <c r="AP2051" s="147"/>
      <c r="AQ2051" s="147"/>
      <c r="AR2051" s="144"/>
      <c r="AS2051" s="147"/>
      <c r="AT2051" s="147"/>
      <c r="AU2051" s="60"/>
      <c r="AV2051" s="410"/>
      <c r="AW2051" s="60"/>
    </row>
    <row r="2052">
      <c r="A2052" s="60"/>
      <c r="B2052" s="41"/>
      <c r="C2052" s="41"/>
      <c r="E2052" s="60"/>
      <c r="F2052" s="60"/>
      <c r="G2052" s="147"/>
      <c r="H2052" s="140"/>
      <c r="I2052" s="60"/>
      <c r="J2052" s="147"/>
      <c r="K2052" s="60"/>
      <c r="L2052" s="60"/>
      <c r="M2052" s="60"/>
      <c r="N2052" s="327"/>
      <c r="O2052" s="145"/>
      <c r="P2052" s="1572"/>
      <c r="Q2052" s="1526"/>
      <c r="R2052" s="60"/>
      <c r="S2052" s="1528"/>
      <c r="T2052" s="327"/>
      <c r="U2052" s="147"/>
      <c r="V2052" s="147"/>
      <c r="W2052" s="1455"/>
      <c r="X2052" s="60"/>
      <c r="Y2052" s="147"/>
      <c r="Z2052" s="60"/>
      <c r="AA2052" s="147"/>
      <c r="AB2052" s="147"/>
      <c r="AC2052" s="147"/>
      <c r="AD2052" s="147"/>
      <c r="AE2052" s="144"/>
      <c r="AF2052" s="144"/>
      <c r="AG2052" s="147"/>
      <c r="AH2052" s="147"/>
      <c r="AI2052" s="144"/>
      <c r="AJ2052" s="147"/>
      <c r="AK2052" s="147"/>
      <c r="AL2052" s="60"/>
      <c r="AM2052" s="60"/>
      <c r="AN2052" s="144"/>
      <c r="AO2052" s="144"/>
      <c r="AP2052" s="147"/>
      <c r="AQ2052" s="147"/>
      <c r="AR2052" s="144"/>
      <c r="AS2052" s="147"/>
      <c r="AT2052" s="147"/>
      <c r="AU2052" s="60"/>
      <c r="AV2052" s="410"/>
      <c r="AW2052" s="60"/>
    </row>
    <row r="2053">
      <c r="A2053" s="60"/>
      <c r="B2053" s="41"/>
      <c r="C2053" s="41"/>
      <c r="E2053" s="60"/>
      <c r="F2053" s="60"/>
      <c r="G2053" s="147"/>
      <c r="H2053" s="140"/>
      <c r="I2053" s="60"/>
      <c r="J2053" s="147"/>
      <c r="K2053" s="60"/>
      <c r="L2053" s="60"/>
      <c r="M2053" s="60"/>
      <c r="N2053" s="327"/>
      <c r="O2053" s="145"/>
      <c r="P2053" s="1572"/>
      <c r="Q2053" s="1526"/>
      <c r="R2053" s="60"/>
      <c r="S2053" s="1528"/>
      <c r="T2053" s="327"/>
      <c r="U2053" s="147"/>
      <c r="V2053" s="147"/>
      <c r="W2053" s="1455"/>
      <c r="X2053" s="60"/>
      <c r="Y2053" s="147"/>
      <c r="Z2053" s="60"/>
      <c r="AA2053" s="147"/>
      <c r="AB2053" s="147"/>
      <c r="AC2053" s="147"/>
      <c r="AD2053" s="147"/>
      <c r="AE2053" s="144"/>
      <c r="AF2053" s="144"/>
      <c r="AG2053" s="147"/>
      <c r="AH2053" s="147"/>
      <c r="AI2053" s="144"/>
      <c r="AJ2053" s="147"/>
      <c r="AK2053" s="147"/>
      <c r="AL2053" s="60"/>
      <c r="AM2053" s="60"/>
      <c r="AN2053" s="144"/>
      <c r="AO2053" s="144"/>
      <c r="AP2053" s="147"/>
      <c r="AQ2053" s="147"/>
      <c r="AR2053" s="144"/>
      <c r="AS2053" s="147"/>
      <c r="AT2053" s="147"/>
      <c r="AU2053" s="60"/>
      <c r="AV2053" s="410"/>
      <c r="AW2053" s="60"/>
    </row>
    <row r="2054">
      <c r="A2054" s="60"/>
      <c r="B2054" s="41"/>
      <c r="C2054" s="41"/>
      <c r="E2054" s="60"/>
      <c r="F2054" s="60"/>
      <c r="G2054" s="147"/>
      <c r="H2054" s="140"/>
      <c r="I2054" s="60"/>
      <c r="J2054" s="147"/>
      <c r="K2054" s="60"/>
      <c r="L2054" s="60"/>
      <c r="M2054" s="60"/>
      <c r="N2054" s="327"/>
      <c r="O2054" s="145"/>
      <c r="P2054" s="1572"/>
      <c r="Q2054" s="1526"/>
      <c r="R2054" s="60"/>
      <c r="S2054" s="1528"/>
      <c r="T2054" s="327"/>
      <c r="U2054" s="147"/>
      <c r="V2054" s="147"/>
      <c r="W2054" s="1455"/>
      <c r="X2054" s="60"/>
      <c r="Y2054" s="147"/>
      <c r="Z2054" s="60"/>
      <c r="AA2054" s="147"/>
      <c r="AB2054" s="147"/>
      <c r="AC2054" s="147"/>
      <c r="AD2054" s="147"/>
      <c r="AE2054" s="144"/>
      <c r="AF2054" s="144"/>
      <c r="AG2054" s="147"/>
      <c r="AH2054" s="147"/>
      <c r="AI2054" s="144"/>
      <c r="AJ2054" s="147"/>
      <c r="AK2054" s="147"/>
      <c r="AL2054" s="60"/>
      <c r="AM2054" s="60"/>
      <c r="AN2054" s="144"/>
      <c r="AO2054" s="144"/>
      <c r="AP2054" s="147"/>
      <c r="AQ2054" s="147"/>
      <c r="AR2054" s="144"/>
      <c r="AS2054" s="147"/>
      <c r="AT2054" s="147"/>
      <c r="AU2054" s="60"/>
      <c r="AV2054" s="410"/>
      <c r="AW2054" s="60"/>
    </row>
    <row r="2055">
      <c r="A2055" s="60"/>
      <c r="B2055" s="41"/>
      <c r="C2055" s="41"/>
      <c r="E2055" s="60"/>
      <c r="F2055" s="60"/>
      <c r="G2055" s="147"/>
      <c r="H2055" s="140"/>
      <c r="I2055" s="60"/>
      <c r="J2055" s="147"/>
      <c r="K2055" s="60"/>
      <c r="L2055" s="60"/>
      <c r="M2055" s="60"/>
      <c r="N2055" s="327"/>
      <c r="O2055" s="145"/>
      <c r="P2055" s="1572"/>
      <c r="Q2055" s="1526"/>
      <c r="R2055" s="60"/>
      <c r="S2055" s="1528"/>
      <c r="T2055" s="327"/>
      <c r="U2055" s="147"/>
      <c r="V2055" s="147"/>
      <c r="W2055" s="1455"/>
      <c r="X2055" s="60"/>
      <c r="Y2055" s="147"/>
      <c r="Z2055" s="60"/>
      <c r="AA2055" s="147"/>
      <c r="AB2055" s="147"/>
      <c r="AC2055" s="147"/>
      <c r="AD2055" s="147"/>
      <c r="AE2055" s="144"/>
      <c r="AF2055" s="144"/>
      <c r="AG2055" s="147"/>
      <c r="AH2055" s="147"/>
      <c r="AI2055" s="144"/>
      <c r="AJ2055" s="147"/>
      <c r="AK2055" s="147"/>
      <c r="AL2055" s="60"/>
      <c r="AM2055" s="60"/>
      <c r="AN2055" s="144"/>
      <c r="AO2055" s="144"/>
      <c r="AP2055" s="147"/>
      <c r="AQ2055" s="147"/>
      <c r="AR2055" s="144"/>
      <c r="AS2055" s="147"/>
      <c r="AT2055" s="147"/>
      <c r="AU2055" s="60"/>
      <c r="AV2055" s="410"/>
      <c r="AW2055" s="60"/>
    </row>
    <row r="2056">
      <c r="A2056" s="60"/>
      <c r="B2056" s="41"/>
      <c r="C2056" s="41"/>
      <c r="E2056" s="60"/>
      <c r="F2056" s="60"/>
      <c r="G2056" s="147"/>
      <c r="H2056" s="140"/>
      <c r="I2056" s="60"/>
      <c r="J2056" s="147"/>
      <c r="K2056" s="60"/>
      <c r="L2056" s="60"/>
      <c r="M2056" s="60"/>
      <c r="N2056" s="327"/>
      <c r="O2056" s="145"/>
      <c r="P2056" s="1572"/>
      <c r="Q2056" s="1526"/>
      <c r="R2056" s="60"/>
      <c r="S2056" s="1528"/>
      <c r="T2056" s="327"/>
      <c r="U2056" s="147"/>
      <c r="V2056" s="147"/>
      <c r="W2056" s="1455"/>
      <c r="X2056" s="60"/>
      <c r="Y2056" s="147"/>
      <c r="Z2056" s="60"/>
      <c r="AA2056" s="147"/>
      <c r="AB2056" s="147"/>
      <c r="AC2056" s="147"/>
      <c r="AD2056" s="147"/>
      <c r="AE2056" s="144"/>
      <c r="AF2056" s="144"/>
      <c r="AG2056" s="147"/>
      <c r="AH2056" s="147"/>
      <c r="AI2056" s="144"/>
      <c r="AJ2056" s="147"/>
      <c r="AK2056" s="147"/>
      <c r="AL2056" s="60"/>
      <c r="AM2056" s="60"/>
      <c r="AN2056" s="144"/>
      <c r="AO2056" s="144"/>
      <c r="AP2056" s="147"/>
      <c r="AQ2056" s="147"/>
      <c r="AR2056" s="144"/>
      <c r="AS2056" s="147"/>
      <c r="AT2056" s="147"/>
      <c r="AU2056" s="60"/>
      <c r="AV2056" s="410"/>
      <c r="AW2056" s="60"/>
    </row>
    <row r="2057">
      <c r="A2057" s="60"/>
      <c r="B2057" s="41"/>
      <c r="C2057" s="41"/>
      <c r="E2057" s="60"/>
      <c r="F2057" s="60"/>
      <c r="G2057" s="147"/>
      <c r="H2057" s="140"/>
      <c r="I2057" s="60"/>
      <c r="J2057" s="147"/>
      <c r="K2057" s="60"/>
      <c r="L2057" s="60"/>
      <c r="M2057" s="60"/>
      <c r="N2057" s="327"/>
      <c r="O2057" s="145"/>
      <c r="P2057" s="1572"/>
      <c r="Q2057" s="1526"/>
      <c r="R2057" s="60"/>
      <c r="S2057" s="1528"/>
      <c r="T2057" s="327"/>
      <c r="U2057" s="147"/>
      <c r="V2057" s="147"/>
      <c r="W2057" s="1455"/>
      <c r="X2057" s="60"/>
      <c r="Y2057" s="147"/>
      <c r="Z2057" s="60"/>
      <c r="AA2057" s="147"/>
      <c r="AB2057" s="147"/>
      <c r="AC2057" s="147"/>
      <c r="AD2057" s="147"/>
      <c r="AE2057" s="144"/>
      <c r="AF2057" s="144"/>
      <c r="AG2057" s="147"/>
      <c r="AH2057" s="147"/>
      <c r="AI2057" s="144"/>
      <c r="AJ2057" s="147"/>
      <c r="AK2057" s="147"/>
      <c r="AL2057" s="60"/>
      <c r="AM2057" s="60"/>
      <c r="AN2057" s="144"/>
      <c r="AO2057" s="144"/>
      <c r="AP2057" s="147"/>
      <c r="AQ2057" s="147"/>
      <c r="AR2057" s="144"/>
      <c r="AS2057" s="147"/>
      <c r="AT2057" s="147"/>
      <c r="AU2057" s="60"/>
      <c r="AV2057" s="410"/>
      <c r="AW2057" s="60"/>
    </row>
    <row r="2058">
      <c r="A2058" s="60"/>
      <c r="B2058" s="41"/>
      <c r="C2058" s="41"/>
      <c r="E2058" s="60"/>
      <c r="F2058" s="60"/>
      <c r="G2058" s="147"/>
      <c r="H2058" s="140"/>
      <c r="I2058" s="60"/>
      <c r="J2058" s="147"/>
      <c r="K2058" s="60"/>
      <c r="L2058" s="60"/>
      <c r="M2058" s="60"/>
      <c r="N2058" s="327"/>
      <c r="O2058" s="145"/>
      <c r="P2058" s="1572"/>
      <c r="Q2058" s="1526"/>
      <c r="R2058" s="60"/>
      <c r="S2058" s="1528"/>
      <c r="T2058" s="327"/>
      <c r="U2058" s="147"/>
      <c r="V2058" s="147"/>
      <c r="W2058" s="1455"/>
      <c r="X2058" s="60"/>
      <c r="Y2058" s="147"/>
      <c r="Z2058" s="60"/>
      <c r="AA2058" s="147"/>
      <c r="AB2058" s="147"/>
      <c r="AC2058" s="147"/>
      <c r="AD2058" s="147"/>
      <c r="AE2058" s="144"/>
      <c r="AF2058" s="144"/>
      <c r="AG2058" s="147"/>
      <c r="AH2058" s="147"/>
      <c r="AI2058" s="144"/>
      <c r="AJ2058" s="147"/>
      <c r="AK2058" s="147"/>
      <c r="AL2058" s="60"/>
      <c r="AM2058" s="60"/>
      <c r="AN2058" s="144"/>
      <c r="AO2058" s="144"/>
      <c r="AP2058" s="147"/>
      <c r="AQ2058" s="147"/>
      <c r="AR2058" s="144"/>
      <c r="AS2058" s="147"/>
      <c r="AT2058" s="147"/>
      <c r="AU2058" s="60"/>
      <c r="AV2058" s="410"/>
      <c r="AW2058" s="60"/>
    </row>
    <row r="2059">
      <c r="A2059" s="60"/>
      <c r="B2059" s="41"/>
      <c r="C2059" s="41"/>
      <c r="E2059" s="60"/>
      <c r="F2059" s="60"/>
      <c r="G2059" s="147"/>
      <c r="H2059" s="140"/>
      <c r="I2059" s="60"/>
      <c r="J2059" s="147"/>
      <c r="K2059" s="60"/>
      <c r="L2059" s="60"/>
      <c r="M2059" s="60"/>
      <c r="N2059" s="327"/>
      <c r="O2059" s="145"/>
      <c r="P2059" s="1572"/>
      <c r="Q2059" s="1526"/>
      <c r="R2059" s="60"/>
      <c r="S2059" s="1528"/>
      <c r="T2059" s="327"/>
      <c r="U2059" s="147"/>
      <c r="V2059" s="147"/>
      <c r="W2059" s="1455"/>
      <c r="X2059" s="60"/>
      <c r="Y2059" s="147"/>
      <c r="Z2059" s="60"/>
      <c r="AA2059" s="147"/>
      <c r="AB2059" s="147"/>
      <c r="AC2059" s="147"/>
      <c r="AD2059" s="147"/>
      <c r="AE2059" s="144"/>
      <c r="AF2059" s="144"/>
      <c r="AG2059" s="147"/>
      <c r="AH2059" s="147"/>
      <c r="AI2059" s="144"/>
      <c r="AJ2059" s="147"/>
      <c r="AK2059" s="147"/>
      <c r="AL2059" s="60"/>
      <c r="AM2059" s="60"/>
      <c r="AN2059" s="144"/>
      <c r="AO2059" s="144"/>
      <c r="AP2059" s="147"/>
      <c r="AQ2059" s="147"/>
      <c r="AR2059" s="144"/>
      <c r="AS2059" s="147"/>
      <c r="AT2059" s="147"/>
      <c r="AU2059" s="60"/>
      <c r="AV2059" s="410"/>
      <c r="AW2059" s="60"/>
    </row>
    <row r="2060">
      <c r="A2060" s="60"/>
      <c r="B2060" s="41"/>
      <c r="C2060" s="41"/>
      <c r="E2060" s="60"/>
      <c r="F2060" s="60"/>
      <c r="G2060" s="147"/>
      <c r="H2060" s="140"/>
      <c r="I2060" s="60"/>
      <c r="J2060" s="147"/>
      <c r="K2060" s="60"/>
      <c r="L2060" s="60"/>
      <c r="M2060" s="60"/>
      <c r="N2060" s="327"/>
      <c r="O2060" s="145"/>
      <c r="P2060" s="1572"/>
      <c r="Q2060" s="1526"/>
      <c r="R2060" s="60"/>
      <c r="S2060" s="1528"/>
      <c r="T2060" s="327"/>
      <c r="U2060" s="147"/>
      <c r="V2060" s="147"/>
      <c r="W2060" s="1455"/>
      <c r="X2060" s="60"/>
      <c r="Y2060" s="147"/>
      <c r="Z2060" s="60"/>
      <c r="AA2060" s="147"/>
      <c r="AB2060" s="147"/>
      <c r="AC2060" s="147"/>
      <c r="AD2060" s="147"/>
      <c r="AE2060" s="144"/>
      <c r="AF2060" s="144"/>
      <c r="AG2060" s="147"/>
      <c r="AH2060" s="147"/>
      <c r="AI2060" s="144"/>
      <c r="AJ2060" s="147"/>
      <c r="AK2060" s="147"/>
      <c r="AL2060" s="60"/>
      <c r="AM2060" s="60"/>
      <c r="AN2060" s="144"/>
      <c r="AO2060" s="144"/>
      <c r="AP2060" s="147"/>
      <c r="AQ2060" s="147"/>
      <c r="AR2060" s="144"/>
      <c r="AS2060" s="147"/>
      <c r="AT2060" s="147"/>
      <c r="AU2060" s="60"/>
      <c r="AV2060" s="410"/>
      <c r="AW2060" s="60"/>
    </row>
    <row r="2061">
      <c r="A2061" s="60"/>
      <c r="B2061" s="41"/>
      <c r="C2061" s="41"/>
      <c r="E2061" s="60"/>
      <c r="F2061" s="60"/>
      <c r="G2061" s="147"/>
      <c r="H2061" s="140"/>
      <c r="I2061" s="60"/>
      <c r="J2061" s="147"/>
      <c r="K2061" s="60"/>
      <c r="L2061" s="60"/>
      <c r="M2061" s="60"/>
      <c r="N2061" s="327"/>
      <c r="O2061" s="145"/>
      <c r="P2061" s="1572"/>
      <c r="Q2061" s="1526"/>
      <c r="R2061" s="60"/>
      <c r="S2061" s="1528"/>
      <c r="T2061" s="327"/>
      <c r="U2061" s="147"/>
      <c r="V2061" s="147"/>
      <c r="W2061" s="1455"/>
      <c r="X2061" s="60"/>
      <c r="Y2061" s="147"/>
      <c r="Z2061" s="60"/>
      <c r="AA2061" s="147"/>
      <c r="AB2061" s="147"/>
      <c r="AC2061" s="147"/>
      <c r="AD2061" s="147"/>
      <c r="AE2061" s="144"/>
      <c r="AF2061" s="144"/>
      <c r="AG2061" s="147"/>
      <c r="AH2061" s="147"/>
      <c r="AI2061" s="144"/>
      <c r="AJ2061" s="147"/>
      <c r="AK2061" s="147"/>
      <c r="AL2061" s="60"/>
      <c r="AM2061" s="60"/>
      <c r="AN2061" s="144"/>
      <c r="AO2061" s="144"/>
      <c r="AP2061" s="147"/>
      <c r="AQ2061" s="147"/>
      <c r="AR2061" s="144"/>
      <c r="AS2061" s="147"/>
      <c r="AT2061" s="147"/>
      <c r="AU2061" s="60"/>
      <c r="AV2061" s="410"/>
      <c r="AW2061" s="60"/>
    </row>
    <row r="2062">
      <c r="A2062" s="60"/>
      <c r="B2062" s="41"/>
      <c r="C2062" s="41"/>
      <c r="E2062" s="60"/>
      <c r="F2062" s="60"/>
      <c r="G2062" s="147"/>
      <c r="H2062" s="140"/>
      <c r="I2062" s="60"/>
      <c r="J2062" s="147"/>
      <c r="K2062" s="60"/>
      <c r="L2062" s="60"/>
      <c r="M2062" s="60"/>
      <c r="N2062" s="327"/>
      <c r="O2062" s="145"/>
      <c r="P2062" s="1572"/>
      <c r="Q2062" s="1526"/>
      <c r="R2062" s="60"/>
      <c r="S2062" s="1528"/>
      <c r="T2062" s="327"/>
      <c r="U2062" s="147"/>
      <c r="V2062" s="147"/>
      <c r="W2062" s="1455"/>
      <c r="X2062" s="60"/>
      <c r="Y2062" s="147"/>
      <c r="Z2062" s="60"/>
      <c r="AA2062" s="147"/>
      <c r="AB2062" s="147"/>
      <c r="AC2062" s="147"/>
      <c r="AD2062" s="147"/>
      <c r="AE2062" s="144"/>
      <c r="AF2062" s="144"/>
      <c r="AG2062" s="147"/>
      <c r="AH2062" s="147"/>
      <c r="AI2062" s="144"/>
      <c r="AJ2062" s="147"/>
      <c r="AK2062" s="147"/>
      <c r="AL2062" s="60"/>
      <c r="AM2062" s="60"/>
      <c r="AN2062" s="144"/>
      <c r="AO2062" s="144"/>
      <c r="AP2062" s="147"/>
      <c r="AQ2062" s="147"/>
      <c r="AR2062" s="144"/>
      <c r="AS2062" s="147"/>
      <c r="AT2062" s="147"/>
      <c r="AU2062" s="60"/>
      <c r="AV2062" s="410"/>
      <c r="AW2062" s="60"/>
    </row>
    <row r="2063">
      <c r="A2063" s="60"/>
      <c r="B2063" s="41"/>
      <c r="C2063" s="41"/>
      <c r="E2063" s="60"/>
      <c r="F2063" s="60"/>
      <c r="G2063" s="147"/>
      <c r="H2063" s="140"/>
      <c r="I2063" s="60"/>
      <c r="J2063" s="147"/>
      <c r="K2063" s="60"/>
      <c r="L2063" s="60"/>
      <c r="M2063" s="60"/>
      <c r="N2063" s="327"/>
      <c r="O2063" s="145"/>
      <c r="P2063" s="1572"/>
      <c r="Q2063" s="1526"/>
      <c r="R2063" s="60"/>
      <c r="S2063" s="1528"/>
      <c r="T2063" s="327"/>
      <c r="U2063" s="147"/>
      <c r="V2063" s="147"/>
      <c r="W2063" s="1455"/>
      <c r="X2063" s="60"/>
      <c r="Y2063" s="147"/>
      <c r="Z2063" s="60"/>
      <c r="AA2063" s="147"/>
      <c r="AB2063" s="147"/>
      <c r="AC2063" s="147"/>
      <c r="AD2063" s="147"/>
      <c r="AE2063" s="144"/>
      <c r="AF2063" s="144"/>
      <c r="AG2063" s="147"/>
      <c r="AH2063" s="147"/>
      <c r="AI2063" s="144"/>
      <c r="AJ2063" s="147"/>
      <c r="AK2063" s="147"/>
      <c r="AL2063" s="60"/>
      <c r="AM2063" s="60"/>
      <c r="AN2063" s="144"/>
      <c r="AO2063" s="144"/>
      <c r="AP2063" s="147"/>
      <c r="AQ2063" s="147"/>
      <c r="AR2063" s="144"/>
      <c r="AS2063" s="147"/>
      <c r="AT2063" s="147"/>
      <c r="AU2063" s="60"/>
      <c r="AV2063" s="410"/>
      <c r="AW2063" s="60"/>
    </row>
    <row r="2064">
      <c r="A2064" s="60"/>
      <c r="B2064" s="41"/>
      <c r="C2064" s="41"/>
      <c r="E2064" s="60"/>
      <c r="F2064" s="60"/>
      <c r="G2064" s="147"/>
      <c r="H2064" s="140"/>
      <c r="I2064" s="60"/>
      <c r="J2064" s="147"/>
      <c r="K2064" s="60"/>
      <c r="L2064" s="60"/>
      <c r="M2064" s="60"/>
      <c r="N2064" s="327"/>
      <c r="O2064" s="145"/>
      <c r="P2064" s="1572"/>
      <c r="Q2064" s="1526"/>
      <c r="R2064" s="60"/>
      <c r="S2064" s="1528"/>
      <c r="T2064" s="327"/>
      <c r="U2064" s="147"/>
      <c r="V2064" s="147"/>
      <c r="W2064" s="1455"/>
      <c r="X2064" s="60"/>
      <c r="Y2064" s="147"/>
      <c r="Z2064" s="60"/>
      <c r="AA2064" s="147"/>
      <c r="AB2064" s="147"/>
      <c r="AC2064" s="147"/>
      <c r="AD2064" s="147"/>
      <c r="AE2064" s="144"/>
      <c r="AF2064" s="144"/>
      <c r="AG2064" s="147"/>
      <c r="AH2064" s="147"/>
      <c r="AI2064" s="144"/>
      <c r="AJ2064" s="147"/>
      <c r="AK2064" s="147"/>
      <c r="AL2064" s="60"/>
      <c r="AM2064" s="60"/>
      <c r="AN2064" s="144"/>
      <c r="AO2064" s="144"/>
      <c r="AP2064" s="147"/>
      <c r="AQ2064" s="147"/>
      <c r="AR2064" s="144"/>
      <c r="AS2064" s="147"/>
      <c r="AT2064" s="147"/>
      <c r="AU2064" s="60"/>
      <c r="AV2064" s="410"/>
      <c r="AW2064" s="60"/>
    </row>
    <row r="2065">
      <c r="A2065" s="60"/>
      <c r="B2065" s="41"/>
      <c r="C2065" s="41"/>
      <c r="E2065" s="60"/>
      <c r="F2065" s="60"/>
      <c r="G2065" s="147"/>
      <c r="H2065" s="140"/>
      <c r="I2065" s="60"/>
      <c r="J2065" s="147"/>
      <c r="K2065" s="60"/>
      <c r="L2065" s="60"/>
      <c r="M2065" s="60"/>
      <c r="N2065" s="327"/>
      <c r="O2065" s="145"/>
      <c r="P2065" s="1572"/>
      <c r="Q2065" s="1526"/>
      <c r="R2065" s="60"/>
      <c r="S2065" s="1528"/>
      <c r="T2065" s="327"/>
      <c r="U2065" s="147"/>
      <c r="V2065" s="147"/>
      <c r="W2065" s="1455"/>
      <c r="X2065" s="60"/>
      <c r="Y2065" s="147"/>
      <c r="Z2065" s="60"/>
      <c r="AA2065" s="147"/>
      <c r="AB2065" s="147"/>
      <c r="AC2065" s="147"/>
      <c r="AD2065" s="147"/>
      <c r="AE2065" s="144"/>
      <c r="AF2065" s="144"/>
      <c r="AG2065" s="147"/>
      <c r="AH2065" s="147"/>
      <c r="AI2065" s="144"/>
      <c r="AJ2065" s="147"/>
      <c r="AK2065" s="147"/>
      <c r="AL2065" s="60"/>
      <c r="AM2065" s="60"/>
      <c r="AN2065" s="144"/>
      <c r="AO2065" s="144"/>
      <c r="AP2065" s="147"/>
      <c r="AQ2065" s="147"/>
      <c r="AR2065" s="144"/>
      <c r="AS2065" s="147"/>
      <c r="AT2065" s="147"/>
      <c r="AU2065" s="60"/>
      <c r="AV2065" s="410"/>
      <c r="AW2065" s="60"/>
    </row>
    <row r="2066">
      <c r="A2066" s="60"/>
      <c r="B2066" s="41"/>
      <c r="C2066" s="41"/>
      <c r="E2066" s="60"/>
      <c r="F2066" s="60"/>
      <c r="G2066" s="147"/>
      <c r="H2066" s="140"/>
      <c r="I2066" s="60"/>
      <c r="J2066" s="147"/>
      <c r="K2066" s="60"/>
      <c r="L2066" s="60"/>
      <c r="M2066" s="60"/>
      <c r="N2066" s="327"/>
      <c r="O2066" s="145"/>
      <c r="P2066" s="1572"/>
      <c r="Q2066" s="1526"/>
      <c r="R2066" s="60"/>
      <c r="S2066" s="1528"/>
      <c r="T2066" s="327"/>
      <c r="U2066" s="147"/>
      <c r="V2066" s="147"/>
      <c r="W2066" s="1455"/>
      <c r="X2066" s="60"/>
      <c r="Y2066" s="147"/>
      <c r="Z2066" s="60"/>
      <c r="AA2066" s="147"/>
      <c r="AB2066" s="147"/>
      <c r="AC2066" s="147"/>
      <c r="AD2066" s="147"/>
      <c r="AE2066" s="144"/>
      <c r="AF2066" s="144"/>
      <c r="AG2066" s="147"/>
      <c r="AH2066" s="147"/>
      <c r="AI2066" s="144"/>
      <c r="AJ2066" s="147"/>
      <c r="AK2066" s="147"/>
      <c r="AL2066" s="60"/>
      <c r="AM2066" s="60"/>
      <c r="AN2066" s="144"/>
      <c r="AO2066" s="144"/>
      <c r="AP2066" s="147"/>
      <c r="AQ2066" s="147"/>
      <c r="AR2066" s="144"/>
      <c r="AS2066" s="147"/>
      <c r="AT2066" s="147"/>
      <c r="AU2066" s="60"/>
      <c r="AV2066" s="410"/>
      <c r="AW2066" s="60"/>
    </row>
    <row r="2067">
      <c r="A2067" s="60"/>
      <c r="B2067" s="41"/>
      <c r="C2067" s="41"/>
      <c r="E2067" s="60"/>
      <c r="F2067" s="60"/>
      <c r="G2067" s="147"/>
      <c r="H2067" s="140"/>
      <c r="I2067" s="60"/>
      <c r="J2067" s="147"/>
      <c r="K2067" s="60"/>
      <c r="L2067" s="60"/>
      <c r="M2067" s="60"/>
      <c r="N2067" s="327"/>
      <c r="O2067" s="145"/>
      <c r="P2067" s="1572"/>
      <c r="Q2067" s="1526"/>
      <c r="R2067" s="60"/>
      <c r="S2067" s="1528"/>
      <c r="T2067" s="327"/>
      <c r="U2067" s="147"/>
      <c r="V2067" s="147"/>
      <c r="W2067" s="1455"/>
      <c r="X2067" s="60"/>
      <c r="Y2067" s="147"/>
      <c r="Z2067" s="60"/>
      <c r="AA2067" s="147"/>
      <c r="AB2067" s="147"/>
      <c r="AC2067" s="147"/>
      <c r="AD2067" s="147"/>
      <c r="AE2067" s="144"/>
      <c r="AF2067" s="144"/>
      <c r="AG2067" s="147"/>
      <c r="AH2067" s="147"/>
      <c r="AI2067" s="144"/>
      <c r="AJ2067" s="147"/>
      <c r="AK2067" s="147"/>
      <c r="AL2067" s="60"/>
      <c r="AM2067" s="60"/>
      <c r="AN2067" s="144"/>
      <c r="AO2067" s="144"/>
      <c r="AP2067" s="147"/>
      <c r="AQ2067" s="147"/>
      <c r="AR2067" s="144"/>
      <c r="AS2067" s="147"/>
      <c r="AT2067" s="147"/>
      <c r="AU2067" s="60"/>
      <c r="AV2067" s="410"/>
      <c r="AW2067" s="60"/>
    </row>
    <row r="2068">
      <c r="A2068" s="60"/>
      <c r="B2068" s="41"/>
      <c r="C2068" s="41"/>
      <c r="E2068" s="60"/>
      <c r="F2068" s="60"/>
      <c r="G2068" s="147"/>
      <c r="H2068" s="140"/>
      <c r="I2068" s="60"/>
      <c r="J2068" s="147"/>
      <c r="K2068" s="60"/>
      <c r="L2068" s="60"/>
      <c r="M2068" s="60"/>
      <c r="N2068" s="327"/>
      <c r="O2068" s="145"/>
      <c r="P2068" s="1572"/>
      <c r="Q2068" s="1526"/>
      <c r="R2068" s="60"/>
      <c r="S2068" s="1528"/>
      <c r="T2068" s="327"/>
      <c r="U2068" s="147"/>
      <c r="V2068" s="147"/>
      <c r="W2068" s="1455"/>
      <c r="X2068" s="60"/>
      <c r="Y2068" s="147"/>
      <c r="Z2068" s="60"/>
      <c r="AA2068" s="147"/>
      <c r="AB2068" s="147"/>
      <c r="AC2068" s="147"/>
      <c r="AD2068" s="147"/>
      <c r="AE2068" s="144"/>
      <c r="AF2068" s="144"/>
      <c r="AG2068" s="147"/>
      <c r="AH2068" s="147"/>
      <c r="AI2068" s="144"/>
      <c r="AJ2068" s="147"/>
      <c r="AK2068" s="147"/>
      <c r="AL2068" s="60"/>
      <c r="AM2068" s="60"/>
      <c r="AN2068" s="144"/>
      <c r="AO2068" s="144"/>
      <c r="AP2068" s="147"/>
      <c r="AQ2068" s="147"/>
      <c r="AR2068" s="144"/>
      <c r="AS2068" s="147"/>
      <c r="AT2068" s="147"/>
      <c r="AU2068" s="60"/>
      <c r="AV2068" s="410"/>
      <c r="AW2068" s="60"/>
    </row>
    <row r="2069">
      <c r="A2069" s="60"/>
      <c r="B2069" s="41"/>
      <c r="C2069" s="41"/>
      <c r="E2069" s="60"/>
      <c r="F2069" s="60"/>
      <c r="G2069" s="147"/>
      <c r="H2069" s="140"/>
      <c r="I2069" s="60"/>
      <c r="J2069" s="147"/>
      <c r="K2069" s="60"/>
      <c r="L2069" s="60"/>
      <c r="M2069" s="60"/>
      <c r="N2069" s="327"/>
      <c r="O2069" s="145"/>
      <c r="P2069" s="1572"/>
      <c r="Q2069" s="1526"/>
      <c r="R2069" s="60"/>
      <c r="S2069" s="1528"/>
      <c r="T2069" s="327"/>
      <c r="U2069" s="147"/>
      <c r="V2069" s="147"/>
      <c r="W2069" s="1455"/>
      <c r="X2069" s="60"/>
      <c r="Y2069" s="147"/>
      <c r="Z2069" s="60"/>
      <c r="AA2069" s="147"/>
      <c r="AB2069" s="147"/>
      <c r="AC2069" s="147"/>
      <c r="AD2069" s="147"/>
      <c r="AE2069" s="144"/>
      <c r="AF2069" s="144"/>
      <c r="AG2069" s="147"/>
      <c r="AH2069" s="147"/>
      <c r="AI2069" s="144"/>
      <c r="AJ2069" s="147"/>
      <c r="AK2069" s="147"/>
      <c r="AL2069" s="60"/>
      <c r="AM2069" s="60"/>
      <c r="AN2069" s="144"/>
      <c r="AO2069" s="144"/>
      <c r="AP2069" s="147"/>
      <c r="AQ2069" s="147"/>
      <c r="AR2069" s="144"/>
      <c r="AS2069" s="147"/>
      <c r="AT2069" s="147"/>
      <c r="AU2069" s="60"/>
      <c r="AV2069" s="410"/>
      <c r="AW2069" s="60"/>
    </row>
    <row r="2070">
      <c r="A2070" s="60"/>
      <c r="B2070" s="41"/>
      <c r="C2070" s="41"/>
      <c r="E2070" s="60"/>
      <c r="F2070" s="60"/>
      <c r="G2070" s="147"/>
      <c r="H2070" s="140"/>
      <c r="I2070" s="60"/>
      <c r="J2070" s="147"/>
      <c r="K2070" s="60"/>
      <c r="L2070" s="60"/>
      <c r="M2070" s="60"/>
      <c r="N2070" s="327"/>
      <c r="O2070" s="145"/>
      <c r="P2070" s="1572"/>
      <c r="Q2070" s="1526"/>
      <c r="R2070" s="60"/>
      <c r="S2070" s="1528"/>
      <c r="T2070" s="327"/>
      <c r="U2070" s="147"/>
      <c r="V2070" s="147"/>
      <c r="W2070" s="1455"/>
      <c r="X2070" s="60"/>
      <c r="Y2070" s="147"/>
      <c r="Z2070" s="60"/>
      <c r="AA2070" s="147"/>
      <c r="AB2070" s="147"/>
      <c r="AC2070" s="147"/>
      <c r="AD2070" s="147"/>
      <c r="AE2070" s="144"/>
      <c r="AF2070" s="144"/>
      <c r="AG2070" s="147"/>
      <c r="AH2070" s="147"/>
      <c r="AI2070" s="144"/>
      <c r="AJ2070" s="147"/>
      <c r="AK2070" s="147"/>
      <c r="AL2070" s="60"/>
      <c r="AM2070" s="60"/>
      <c r="AN2070" s="144"/>
      <c r="AO2070" s="144"/>
      <c r="AP2070" s="147"/>
      <c r="AQ2070" s="147"/>
      <c r="AR2070" s="144"/>
      <c r="AS2070" s="147"/>
      <c r="AT2070" s="147"/>
      <c r="AU2070" s="60"/>
      <c r="AV2070" s="410"/>
      <c r="AW2070" s="60"/>
    </row>
    <row r="2071">
      <c r="A2071" s="60"/>
      <c r="B2071" s="41"/>
      <c r="C2071" s="41"/>
      <c r="E2071" s="60"/>
      <c r="F2071" s="60"/>
      <c r="G2071" s="147"/>
      <c r="H2071" s="140"/>
      <c r="I2071" s="60"/>
      <c r="J2071" s="147"/>
      <c r="K2071" s="60"/>
      <c r="L2071" s="60"/>
      <c r="M2071" s="60"/>
      <c r="N2071" s="327"/>
      <c r="O2071" s="145"/>
      <c r="P2071" s="1572"/>
      <c r="Q2071" s="1526"/>
      <c r="R2071" s="60"/>
      <c r="S2071" s="1528"/>
      <c r="T2071" s="327"/>
      <c r="U2071" s="147"/>
      <c r="V2071" s="147"/>
      <c r="W2071" s="1455"/>
      <c r="X2071" s="60"/>
      <c r="Y2071" s="147"/>
      <c r="Z2071" s="60"/>
      <c r="AA2071" s="147"/>
      <c r="AB2071" s="147"/>
      <c r="AC2071" s="147"/>
      <c r="AD2071" s="147"/>
      <c r="AE2071" s="144"/>
      <c r="AF2071" s="144"/>
      <c r="AG2071" s="147"/>
      <c r="AH2071" s="147"/>
      <c r="AI2071" s="144"/>
      <c r="AJ2071" s="147"/>
      <c r="AK2071" s="147"/>
      <c r="AL2071" s="60"/>
      <c r="AM2071" s="60"/>
      <c r="AN2071" s="144"/>
      <c r="AO2071" s="144"/>
      <c r="AP2071" s="147"/>
      <c r="AQ2071" s="147"/>
      <c r="AR2071" s="144"/>
      <c r="AS2071" s="147"/>
      <c r="AT2071" s="147"/>
      <c r="AU2071" s="60"/>
      <c r="AV2071" s="410"/>
      <c r="AW2071" s="60"/>
    </row>
    <row r="2072">
      <c r="A2072" s="60"/>
      <c r="B2072" s="41"/>
      <c r="C2072" s="41"/>
      <c r="E2072" s="60"/>
      <c r="F2072" s="60"/>
      <c r="G2072" s="147"/>
      <c r="H2072" s="140"/>
      <c r="I2072" s="60"/>
      <c r="J2072" s="147"/>
      <c r="K2072" s="60"/>
      <c r="L2072" s="60"/>
      <c r="M2072" s="60"/>
      <c r="N2072" s="327"/>
      <c r="O2072" s="145"/>
      <c r="P2072" s="1572"/>
      <c r="Q2072" s="1526"/>
      <c r="R2072" s="60"/>
      <c r="S2072" s="1528"/>
      <c r="T2072" s="327"/>
      <c r="U2072" s="147"/>
      <c r="V2072" s="147"/>
      <c r="W2072" s="1455"/>
      <c r="X2072" s="60"/>
      <c r="Y2072" s="147"/>
      <c r="Z2072" s="60"/>
      <c r="AA2072" s="147"/>
      <c r="AB2072" s="147"/>
      <c r="AC2072" s="147"/>
      <c r="AD2072" s="147"/>
      <c r="AE2072" s="144"/>
      <c r="AF2072" s="144"/>
      <c r="AG2072" s="147"/>
      <c r="AH2072" s="147"/>
      <c r="AI2072" s="144"/>
      <c r="AJ2072" s="147"/>
      <c r="AK2072" s="147"/>
      <c r="AL2072" s="60"/>
      <c r="AM2072" s="60"/>
      <c r="AN2072" s="144"/>
      <c r="AO2072" s="144"/>
      <c r="AP2072" s="147"/>
      <c r="AQ2072" s="147"/>
      <c r="AR2072" s="144"/>
      <c r="AS2072" s="147"/>
      <c r="AT2072" s="147"/>
      <c r="AU2072" s="60"/>
      <c r="AV2072" s="410"/>
      <c r="AW2072" s="60"/>
    </row>
    <row r="2073">
      <c r="A2073" s="60"/>
      <c r="B2073" s="41"/>
      <c r="C2073" s="41"/>
      <c r="E2073" s="60"/>
      <c r="F2073" s="60"/>
      <c r="G2073" s="147"/>
      <c r="H2073" s="140"/>
      <c r="I2073" s="60"/>
      <c r="J2073" s="147"/>
      <c r="K2073" s="60"/>
      <c r="L2073" s="60"/>
      <c r="M2073" s="60"/>
      <c r="N2073" s="327"/>
      <c r="O2073" s="145"/>
      <c r="P2073" s="1572"/>
      <c r="Q2073" s="1526"/>
      <c r="R2073" s="60"/>
      <c r="S2073" s="1528"/>
      <c r="T2073" s="327"/>
      <c r="U2073" s="147"/>
      <c r="V2073" s="147"/>
      <c r="W2073" s="1455"/>
      <c r="X2073" s="60"/>
      <c r="Y2073" s="147"/>
      <c r="Z2073" s="60"/>
      <c r="AA2073" s="147"/>
      <c r="AB2073" s="147"/>
      <c r="AC2073" s="147"/>
      <c r="AD2073" s="147"/>
      <c r="AE2073" s="144"/>
      <c r="AF2073" s="144"/>
      <c r="AG2073" s="147"/>
      <c r="AH2073" s="147"/>
      <c r="AI2073" s="144"/>
      <c r="AJ2073" s="147"/>
      <c r="AK2073" s="147"/>
      <c r="AL2073" s="60"/>
      <c r="AM2073" s="60"/>
      <c r="AN2073" s="144"/>
      <c r="AO2073" s="144"/>
      <c r="AP2073" s="147"/>
      <c r="AQ2073" s="147"/>
      <c r="AR2073" s="144"/>
      <c r="AS2073" s="147"/>
      <c r="AT2073" s="147"/>
      <c r="AU2073" s="60"/>
      <c r="AV2073" s="410"/>
      <c r="AW2073" s="60"/>
    </row>
    <row r="2074">
      <c r="A2074" s="60"/>
      <c r="B2074" s="41"/>
      <c r="C2074" s="41"/>
      <c r="E2074" s="60"/>
      <c r="F2074" s="60"/>
      <c r="G2074" s="147"/>
      <c r="H2074" s="140"/>
      <c r="I2074" s="60"/>
      <c r="J2074" s="147"/>
      <c r="K2074" s="60"/>
      <c r="L2074" s="60"/>
      <c r="M2074" s="60"/>
      <c r="N2074" s="327"/>
      <c r="O2074" s="145"/>
      <c r="P2074" s="1572"/>
      <c r="Q2074" s="1526"/>
      <c r="R2074" s="60"/>
      <c r="S2074" s="1528"/>
      <c r="T2074" s="327"/>
      <c r="U2074" s="147"/>
      <c r="V2074" s="147"/>
      <c r="W2074" s="1455"/>
      <c r="X2074" s="60"/>
      <c r="Y2074" s="147"/>
      <c r="Z2074" s="60"/>
      <c r="AA2074" s="147"/>
      <c r="AB2074" s="147"/>
      <c r="AC2074" s="147"/>
      <c r="AD2074" s="147"/>
      <c r="AE2074" s="144"/>
      <c r="AF2074" s="144"/>
      <c r="AG2074" s="147"/>
      <c r="AH2074" s="147"/>
      <c r="AI2074" s="144"/>
      <c r="AJ2074" s="147"/>
      <c r="AK2074" s="147"/>
      <c r="AL2074" s="60"/>
      <c r="AM2074" s="60"/>
      <c r="AN2074" s="144"/>
      <c r="AO2074" s="144"/>
      <c r="AP2074" s="147"/>
      <c r="AQ2074" s="147"/>
      <c r="AR2074" s="144"/>
      <c r="AS2074" s="147"/>
      <c r="AT2074" s="147"/>
      <c r="AU2074" s="60"/>
      <c r="AV2074" s="410"/>
      <c r="AW2074" s="60"/>
    </row>
    <row r="2075">
      <c r="A2075" s="60"/>
      <c r="B2075" s="41"/>
      <c r="C2075" s="41"/>
      <c r="E2075" s="60"/>
      <c r="F2075" s="60"/>
      <c r="G2075" s="147"/>
      <c r="H2075" s="140"/>
      <c r="I2075" s="60"/>
      <c r="J2075" s="147"/>
      <c r="K2075" s="60"/>
      <c r="L2075" s="60"/>
      <c r="M2075" s="60"/>
      <c r="N2075" s="327"/>
      <c r="O2075" s="145"/>
      <c r="P2075" s="1572"/>
      <c r="Q2075" s="1526"/>
      <c r="R2075" s="60"/>
      <c r="S2075" s="1528"/>
      <c r="T2075" s="327"/>
      <c r="U2075" s="147"/>
      <c r="V2075" s="147"/>
      <c r="W2075" s="1455"/>
      <c r="X2075" s="60"/>
      <c r="Y2075" s="147"/>
      <c r="Z2075" s="60"/>
      <c r="AA2075" s="147"/>
      <c r="AB2075" s="147"/>
      <c r="AC2075" s="147"/>
      <c r="AD2075" s="147"/>
      <c r="AE2075" s="144"/>
      <c r="AF2075" s="144"/>
      <c r="AG2075" s="147"/>
      <c r="AH2075" s="147"/>
      <c r="AI2075" s="144"/>
      <c r="AJ2075" s="147"/>
      <c r="AK2075" s="147"/>
      <c r="AL2075" s="60"/>
      <c r="AM2075" s="60"/>
      <c r="AN2075" s="144"/>
      <c r="AO2075" s="144"/>
      <c r="AP2075" s="147"/>
      <c r="AQ2075" s="147"/>
      <c r="AR2075" s="144"/>
      <c r="AS2075" s="147"/>
      <c r="AT2075" s="147"/>
      <c r="AU2075" s="60"/>
      <c r="AV2075" s="410"/>
      <c r="AW2075" s="60"/>
    </row>
    <row r="2076">
      <c r="A2076" s="60"/>
      <c r="B2076" s="41"/>
      <c r="C2076" s="41"/>
      <c r="E2076" s="60"/>
      <c r="F2076" s="60"/>
      <c r="G2076" s="147"/>
      <c r="H2076" s="140"/>
      <c r="I2076" s="60"/>
      <c r="J2076" s="147"/>
      <c r="K2076" s="60"/>
      <c r="L2076" s="60"/>
      <c r="M2076" s="60"/>
      <c r="N2076" s="327"/>
      <c r="O2076" s="145"/>
      <c r="P2076" s="1572"/>
      <c r="Q2076" s="1526"/>
      <c r="R2076" s="60"/>
      <c r="S2076" s="1528"/>
      <c r="T2076" s="327"/>
      <c r="U2076" s="147"/>
      <c r="V2076" s="147"/>
      <c r="W2076" s="1455"/>
      <c r="X2076" s="60"/>
      <c r="Y2076" s="147"/>
      <c r="Z2076" s="60"/>
      <c r="AA2076" s="147"/>
      <c r="AB2076" s="147"/>
      <c r="AC2076" s="147"/>
      <c r="AD2076" s="147"/>
      <c r="AE2076" s="144"/>
      <c r="AF2076" s="144"/>
      <c r="AG2076" s="147"/>
      <c r="AH2076" s="147"/>
      <c r="AI2076" s="144"/>
      <c r="AJ2076" s="147"/>
      <c r="AK2076" s="147"/>
      <c r="AL2076" s="60"/>
      <c r="AM2076" s="60"/>
      <c r="AN2076" s="144"/>
      <c r="AO2076" s="144"/>
      <c r="AP2076" s="147"/>
      <c r="AQ2076" s="147"/>
      <c r="AR2076" s="144"/>
      <c r="AS2076" s="147"/>
      <c r="AT2076" s="147"/>
      <c r="AU2076" s="60"/>
      <c r="AV2076" s="410"/>
      <c r="AW2076" s="60"/>
    </row>
    <row r="2077">
      <c r="A2077" s="60"/>
      <c r="B2077" s="41"/>
      <c r="C2077" s="41"/>
      <c r="E2077" s="60"/>
      <c r="F2077" s="60"/>
      <c r="G2077" s="147"/>
      <c r="H2077" s="140"/>
      <c r="I2077" s="60"/>
      <c r="J2077" s="147"/>
      <c r="K2077" s="60"/>
      <c r="L2077" s="60"/>
      <c r="M2077" s="60"/>
      <c r="N2077" s="327"/>
      <c r="O2077" s="145"/>
      <c r="P2077" s="1572"/>
      <c r="Q2077" s="1526"/>
      <c r="R2077" s="60"/>
      <c r="S2077" s="1528"/>
      <c r="T2077" s="327"/>
      <c r="U2077" s="147"/>
      <c r="V2077" s="147"/>
      <c r="W2077" s="1455"/>
      <c r="X2077" s="60"/>
      <c r="Y2077" s="147"/>
      <c r="Z2077" s="60"/>
      <c r="AA2077" s="147"/>
      <c r="AB2077" s="147"/>
      <c r="AC2077" s="147"/>
      <c r="AD2077" s="147"/>
      <c r="AE2077" s="144"/>
      <c r="AF2077" s="144"/>
      <c r="AG2077" s="147"/>
      <c r="AH2077" s="147"/>
      <c r="AI2077" s="144"/>
      <c r="AJ2077" s="147"/>
      <c r="AK2077" s="147"/>
      <c r="AL2077" s="60"/>
      <c r="AM2077" s="60"/>
      <c r="AN2077" s="144"/>
      <c r="AO2077" s="144"/>
      <c r="AP2077" s="147"/>
      <c r="AQ2077" s="147"/>
      <c r="AR2077" s="144"/>
      <c r="AS2077" s="147"/>
      <c r="AT2077" s="147"/>
      <c r="AU2077" s="60"/>
      <c r="AV2077" s="410"/>
      <c r="AW2077" s="60"/>
    </row>
    <row r="2078">
      <c r="A2078" s="60"/>
      <c r="B2078" s="41"/>
      <c r="C2078" s="41"/>
      <c r="E2078" s="60"/>
      <c r="F2078" s="60"/>
      <c r="G2078" s="147"/>
      <c r="H2078" s="140"/>
      <c r="I2078" s="60"/>
      <c r="J2078" s="147"/>
      <c r="K2078" s="60"/>
      <c r="L2078" s="60"/>
      <c r="M2078" s="60"/>
      <c r="N2078" s="327"/>
      <c r="O2078" s="145"/>
      <c r="P2078" s="1572"/>
      <c r="Q2078" s="1526"/>
      <c r="R2078" s="60"/>
      <c r="S2078" s="1528"/>
      <c r="T2078" s="327"/>
      <c r="U2078" s="147"/>
      <c r="V2078" s="147"/>
      <c r="W2078" s="1455"/>
      <c r="X2078" s="60"/>
      <c r="Y2078" s="147"/>
      <c r="Z2078" s="60"/>
      <c r="AA2078" s="147"/>
      <c r="AB2078" s="147"/>
      <c r="AC2078" s="147"/>
      <c r="AD2078" s="147"/>
      <c r="AE2078" s="144"/>
      <c r="AF2078" s="144"/>
      <c r="AG2078" s="147"/>
      <c r="AH2078" s="147"/>
      <c r="AI2078" s="144"/>
      <c r="AJ2078" s="147"/>
      <c r="AK2078" s="147"/>
      <c r="AL2078" s="60"/>
      <c r="AM2078" s="60"/>
      <c r="AN2078" s="144"/>
      <c r="AO2078" s="144"/>
      <c r="AP2078" s="147"/>
      <c r="AQ2078" s="147"/>
      <c r="AR2078" s="144"/>
      <c r="AS2078" s="147"/>
      <c r="AT2078" s="147"/>
      <c r="AU2078" s="60"/>
      <c r="AV2078" s="410"/>
      <c r="AW2078" s="60"/>
    </row>
    <row r="2079">
      <c r="A2079" s="60"/>
      <c r="B2079" s="41"/>
      <c r="C2079" s="41"/>
      <c r="E2079" s="60"/>
      <c r="F2079" s="60"/>
      <c r="G2079" s="147"/>
      <c r="H2079" s="140"/>
      <c r="I2079" s="60"/>
      <c r="J2079" s="147"/>
      <c r="K2079" s="60"/>
      <c r="L2079" s="60"/>
      <c r="M2079" s="60"/>
      <c r="N2079" s="327"/>
      <c r="O2079" s="145"/>
      <c r="P2079" s="1572"/>
      <c r="Q2079" s="1526"/>
      <c r="R2079" s="60"/>
      <c r="S2079" s="1528"/>
      <c r="T2079" s="327"/>
      <c r="U2079" s="147"/>
      <c r="V2079" s="147"/>
      <c r="W2079" s="1455"/>
      <c r="X2079" s="60"/>
      <c r="Y2079" s="147"/>
      <c r="Z2079" s="60"/>
      <c r="AA2079" s="147"/>
      <c r="AB2079" s="147"/>
      <c r="AC2079" s="147"/>
      <c r="AD2079" s="147"/>
      <c r="AE2079" s="144"/>
      <c r="AF2079" s="144"/>
      <c r="AG2079" s="147"/>
      <c r="AH2079" s="147"/>
      <c r="AI2079" s="144"/>
      <c r="AJ2079" s="147"/>
      <c r="AK2079" s="147"/>
      <c r="AL2079" s="60"/>
      <c r="AM2079" s="60"/>
      <c r="AN2079" s="144"/>
      <c r="AO2079" s="144"/>
      <c r="AP2079" s="147"/>
      <c r="AQ2079" s="147"/>
      <c r="AR2079" s="144"/>
      <c r="AS2079" s="147"/>
      <c r="AT2079" s="147"/>
      <c r="AU2079" s="60"/>
      <c r="AV2079" s="410"/>
      <c r="AW2079" s="60"/>
    </row>
    <row r="2080">
      <c r="A2080" s="60"/>
      <c r="B2080" s="41"/>
      <c r="C2080" s="41"/>
      <c r="E2080" s="60"/>
      <c r="F2080" s="60"/>
      <c r="G2080" s="147"/>
      <c r="H2080" s="140"/>
      <c r="I2080" s="60"/>
      <c r="J2080" s="147"/>
      <c r="K2080" s="60"/>
      <c r="L2080" s="60"/>
      <c r="M2080" s="60"/>
      <c r="N2080" s="327"/>
      <c r="O2080" s="145"/>
      <c r="P2080" s="1572"/>
      <c r="Q2080" s="1526"/>
      <c r="R2080" s="60"/>
      <c r="S2080" s="1528"/>
      <c r="T2080" s="327"/>
      <c r="U2080" s="147"/>
      <c r="V2080" s="147"/>
      <c r="W2080" s="1455"/>
      <c r="X2080" s="60"/>
      <c r="Y2080" s="147"/>
      <c r="Z2080" s="60"/>
      <c r="AA2080" s="147"/>
      <c r="AB2080" s="147"/>
      <c r="AC2080" s="147"/>
      <c r="AD2080" s="147"/>
      <c r="AE2080" s="144"/>
      <c r="AF2080" s="144"/>
      <c r="AG2080" s="147"/>
      <c r="AH2080" s="147"/>
      <c r="AI2080" s="144"/>
      <c r="AJ2080" s="147"/>
      <c r="AK2080" s="147"/>
      <c r="AL2080" s="60"/>
      <c r="AM2080" s="60"/>
      <c r="AN2080" s="144"/>
      <c r="AO2080" s="144"/>
      <c r="AP2080" s="147"/>
      <c r="AQ2080" s="147"/>
      <c r="AR2080" s="144"/>
      <c r="AS2080" s="147"/>
      <c r="AT2080" s="147"/>
      <c r="AU2080" s="60"/>
      <c r="AV2080" s="410"/>
      <c r="AW2080" s="60"/>
    </row>
    <row r="2081">
      <c r="A2081" s="60"/>
      <c r="B2081" s="41"/>
      <c r="C2081" s="41"/>
      <c r="E2081" s="60"/>
      <c r="F2081" s="60"/>
      <c r="G2081" s="147"/>
      <c r="H2081" s="140"/>
      <c r="I2081" s="60"/>
      <c r="J2081" s="147"/>
      <c r="K2081" s="60"/>
      <c r="L2081" s="60"/>
      <c r="M2081" s="60"/>
      <c r="N2081" s="327"/>
      <c r="O2081" s="145"/>
      <c r="P2081" s="1572"/>
      <c r="Q2081" s="1526"/>
      <c r="R2081" s="60"/>
      <c r="S2081" s="1528"/>
      <c r="T2081" s="327"/>
      <c r="U2081" s="147"/>
      <c r="V2081" s="147"/>
      <c r="W2081" s="1455"/>
      <c r="X2081" s="60"/>
      <c r="Y2081" s="147"/>
      <c r="Z2081" s="60"/>
      <c r="AA2081" s="147"/>
      <c r="AB2081" s="147"/>
      <c r="AC2081" s="147"/>
      <c r="AD2081" s="147"/>
      <c r="AE2081" s="144"/>
      <c r="AF2081" s="144"/>
      <c r="AG2081" s="147"/>
      <c r="AH2081" s="147"/>
      <c r="AI2081" s="144"/>
      <c r="AJ2081" s="147"/>
      <c r="AK2081" s="147"/>
      <c r="AL2081" s="60"/>
      <c r="AM2081" s="60"/>
      <c r="AN2081" s="144"/>
      <c r="AO2081" s="144"/>
      <c r="AP2081" s="147"/>
      <c r="AQ2081" s="147"/>
      <c r="AR2081" s="144"/>
      <c r="AS2081" s="147"/>
      <c r="AT2081" s="147"/>
      <c r="AU2081" s="60"/>
      <c r="AV2081" s="410"/>
      <c r="AW2081" s="60"/>
    </row>
    <row r="2082">
      <c r="A2082" s="60"/>
      <c r="B2082" s="41"/>
      <c r="C2082" s="41"/>
      <c r="E2082" s="60"/>
      <c r="F2082" s="60"/>
      <c r="G2082" s="147"/>
      <c r="H2082" s="140"/>
      <c r="I2082" s="60"/>
      <c r="J2082" s="147"/>
      <c r="K2082" s="60"/>
      <c r="L2082" s="60"/>
      <c r="M2082" s="60"/>
      <c r="N2082" s="327"/>
      <c r="O2082" s="145"/>
      <c r="P2082" s="1572"/>
      <c r="Q2082" s="1526"/>
      <c r="R2082" s="60"/>
      <c r="S2082" s="1528"/>
      <c r="T2082" s="327"/>
      <c r="U2082" s="147"/>
      <c r="V2082" s="147"/>
      <c r="W2082" s="1455"/>
      <c r="X2082" s="60"/>
      <c r="Y2082" s="147"/>
      <c r="Z2082" s="60"/>
      <c r="AA2082" s="147"/>
      <c r="AB2082" s="147"/>
      <c r="AC2082" s="147"/>
      <c r="AD2082" s="147"/>
      <c r="AE2082" s="144"/>
      <c r="AF2082" s="144"/>
      <c r="AG2082" s="147"/>
      <c r="AH2082" s="147"/>
      <c r="AI2082" s="144"/>
      <c r="AJ2082" s="147"/>
      <c r="AK2082" s="147"/>
      <c r="AL2082" s="60"/>
      <c r="AM2082" s="60"/>
      <c r="AN2082" s="144"/>
      <c r="AO2082" s="144"/>
      <c r="AP2082" s="147"/>
      <c r="AQ2082" s="147"/>
      <c r="AR2082" s="144"/>
      <c r="AS2082" s="147"/>
      <c r="AT2082" s="147"/>
      <c r="AU2082" s="60"/>
      <c r="AV2082" s="410"/>
      <c r="AW2082" s="60"/>
    </row>
    <row r="2083">
      <c r="A2083" s="60"/>
      <c r="B2083" s="41"/>
      <c r="C2083" s="41"/>
      <c r="E2083" s="60"/>
      <c r="F2083" s="60"/>
      <c r="G2083" s="147"/>
      <c r="H2083" s="140"/>
      <c r="I2083" s="60"/>
      <c r="J2083" s="147"/>
      <c r="K2083" s="60"/>
      <c r="L2083" s="60"/>
      <c r="M2083" s="60"/>
      <c r="N2083" s="327"/>
      <c r="O2083" s="145"/>
      <c r="P2083" s="1572"/>
      <c r="Q2083" s="1526"/>
      <c r="R2083" s="60"/>
      <c r="S2083" s="1528"/>
      <c r="T2083" s="327"/>
      <c r="U2083" s="147"/>
      <c r="V2083" s="147"/>
      <c r="W2083" s="1455"/>
      <c r="X2083" s="60"/>
      <c r="Y2083" s="147"/>
      <c r="Z2083" s="60"/>
      <c r="AA2083" s="147"/>
      <c r="AB2083" s="147"/>
      <c r="AC2083" s="147"/>
      <c r="AD2083" s="147"/>
      <c r="AE2083" s="144"/>
      <c r="AF2083" s="144"/>
      <c r="AG2083" s="147"/>
      <c r="AH2083" s="147"/>
      <c r="AI2083" s="144"/>
      <c r="AJ2083" s="147"/>
      <c r="AK2083" s="147"/>
      <c r="AL2083" s="60"/>
      <c r="AM2083" s="60"/>
      <c r="AN2083" s="144"/>
      <c r="AO2083" s="144"/>
      <c r="AP2083" s="147"/>
      <c r="AQ2083" s="147"/>
      <c r="AR2083" s="144"/>
      <c r="AS2083" s="147"/>
      <c r="AT2083" s="147"/>
      <c r="AU2083" s="60"/>
      <c r="AV2083" s="410"/>
      <c r="AW2083" s="60"/>
    </row>
    <row r="2084">
      <c r="A2084" s="60"/>
      <c r="B2084" s="41"/>
      <c r="C2084" s="41"/>
      <c r="E2084" s="60"/>
      <c r="F2084" s="60"/>
      <c r="G2084" s="147"/>
      <c r="H2084" s="140"/>
      <c r="I2084" s="60"/>
      <c r="J2084" s="147"/>
      <c r="K2084" s="60"/>
      <c r="L2084" s="60"/>
      <c r="M2084" s="60"/>
      <c r="N2084" s="327"/>
      <c r="O2084" s="145"/>
      <c r="P2084" s="1572"/>
      <c r="Q2084" s="1526"/>
      <c r="R2084" s="60"/>
      <c r="S2084" s="1528"/>
      <c r="T2084" s="327"/>
      <c r="U2084" s="147"/>
      <c r="V2084" s="147"/>
      <c r="W2084" s="1455"/>
      <c r="X2084" s="60"/>
      <c r="Y2084" s="147"/>
      <c r="Z2084" s="60"/>
      <c r="AA2084" s="147"/>
      <c r="AB2084" s="147"/>
      <c r="AC2084" s="147"/>
      <c r="AD2084" s="147"/>
      <c r="AE2084" s="144"/>
      <c r="AF2084" s="144"/>
      <c r="AG2084" s="147"/>
      <c r="AH2084" s="147"/>
      <c r="AI2084" s="144"/>
      <c r="AJ2084" s="147"/>
      <c r="AK2084" s="147"/>
      <c r="AL2084" s="60"/>
      <c r="AM2084" s="60"/>
      <c r="AN2084" s="144"/>
      <c r="AO2084" s="144"/>
      <c r="AP2084" s="147"/>
      <c r="AQ2084" s="147"/>
      <c r="AR2084" s="144"/>
      <c r="AS2084" s="147"/>
      <c r="AT2084" s="147"/>
      <c r="AU2084" s="60"/>
      <c r="AV2084" s="410"/>
      <c r="AW2084" s="60"/>
    </row>
    <row r="2085">
      <c r="A2085" s="60"/>
      <c r="B2085" s="41"/>
      <c r="C2085" s="41"/>
      <c r="E2085" s="60"/>
      <c r="F2085" s="60"/>
      <c r="G2085" s="147"/>
      <c r="H2085" s="140"/>
      <c r="I2085" s="60"/>
      <c r="J2085" s="147"/>
      <c r="K2085" s="60"/>
      <c r="L2085" s="60"/>
      <c r="M2085" s="60"/>
      <c r="N2085" s="327"/>
      <c r="O2085" s="145"/>
      <c r="P2085" s="1572"/>
      <c r="Q2085" s="1526"/>
      <c r="R2085" s="60"/>
      <c r="S2085" s="1528"/>
      <c r="T2085" s="327"/>
      <c r="U2085" s="147"/>
      <c r="V2085" s="147"/>
      <c r="W2085" s="1455"/>
      <c r="X2085" s="60"/>
      <c r="Y2085" s="147"/>
      <c r="Z2085" s="60"/>
      <c r="AA2085" s="147"/>
      <c r="AB2085" s="147"/>
      <c r="AC2085" s="147"/>
      <c r="AD2085" s="147"/>
      <c r="AE2085" s="144"/>
      <c r="AF2085" s="144"/>
      <c r="AG2085" s="147"/>
      <c r="AH2085" s="147"/>
      <c r="AI2085" s="144"/>
      <c r="AJ2085" s="147"/>
      <c r="AK2085" s="147"/>
      <c r="AL2085" s="60"/>
      <c r="AM2085" s="60"/>
      <c r="AN2085" s="144"/>
      <c r="AO2085" s="144"/>
      <c r="AP2085" s="147"/>
      <c r="AQ2085" s="147"/>
      <c r="AR2085" s="144"/>
      <c r="AS2085" s="147"/>
      <c r="AT2085" s="147"/>
      <c r="AU2085" s="60"/>
      <c r="AV2085" s="410"/>
      <c r="AW2085" s="60"/>
    </row>
    <row r="2086">
      <c r="A2086" s="60"/>
      <c r="B2086" s="41"/>
      <c r="C2086" s="41"/>
      <c r="E2086" s="60"/>
      <c r="F2086" s="60"/>
      <c r="G2086" s="147"/>
      <c r="H2086" s="140"/>
      <c r="I2086" s="60"/>
      <c r="J2086" s="147"/>
      <c r="K2086" s="60"/>
      <c r="L2086" s="60"/>
      <c r="M2086" s="60"/>
      <c r="N2086" s="327"/>
      <c r="O2086" s="145"/>
      <c r="P2086" s="1572"/>
      <c r="Q2086" s="1526"/>
      <c r="R2086" s="60"/>
      <c r="S2086" s="1528"/>
      <c r="T2086" s="327"/>
      <c r="U2086" s="147"/>
      <c r="V2086" s="147"/>
      <c r="W2086" s="1455"/>
      <c r="X2086" s="60"/>
      <c r="Y2086" s="147"/>
      <c r="Z2086" s="60"/>
      <c r="AA2086" s="147"/>
      <c r="AB2086" s="147"/>
      <c r="AC2086" s="147"/>
      <c r="AD2086" s="147"/>
      <c r="AE2086" s="144"/>
      <c r="AF2086" s="144"/>
      <c r="AG2086" s="147"/>
      <c r="AH2086" s="147"/>
      <c r="AI2086" s="144"/>
      <c r="AJ2086" s="147"/>
      <c r="AK2086" s="147"/>
      <c r="AL2086" s="60"/>
      <c r="AM2086" s="60"/>
      <c r="AN2086" s="144"/>
      <c r="AO2086" s="144"/>
      <c r="AP2086" s="147"/>
      <c r="AQ2086" s="147"/>
      <c r="AR2086" s="144"/>
      <c r="AS2086" s="147"/>
      <c r="AT2086" s="147"/>
      <c r="AU2086" s="60"/>
      <c r="AV2086" s="410"/>
      <c r="AW2086" s="60"/>
    </row>
    <row r="2087">
      <c r="A2087" s="60"/>
      <c r="B2087" s="41"/>
      <c r="C2087" s="41"/>
      <c r="E2087" s="60"/>
      <c r="F2087" s="60"/>
      <c r="G2087" s="147"/>
      <c r="H2087" s="140"/>
      <c r="I2087" s="60"/>
      <c r="J2087" s="147"/>
      <c r="K2087" s="60"/>
      <c r="L2087" s="60"/>
      <c r="M2087" s="60"/>
      <c r="N2087" s="327"/>
      <c r="O2087" s="145"/>
      <c r="P2087" s="1572"/>
      <c r="Q2087" s="1526"/>
      <c r="R2087" s="60"/>
      <c r="S2087" s="1528"/>
      <c r="T2087" s="327"/>
      <c r="U2087" s="147"/>
      <c r="V2087" s="147"/>
      <c r="W2087" s="1455"/>
      <c r="X2087" s="60"/>
      <c r="Y2087" s="147"/>
      <c r="Z2087" s="60"/>
      <c r="AA2087" s="147"/>
      <c r="AB2087" s="147"/>
      <c r="AC2087" s="147"/>
      <c r="AD2087" s="147"/>
      <c r="AE2087" s="144"/>
      <c r="AF2087" s="144"/>
      <c r="AG2087" s="147"/>
      <c r="AH2087" s="147"/>
      <c r="AI2087" s="144"/>
      <c r="AJ2087" s="147"/>
      <c r="AK2087" s="147"/>
      <c r="AL2087" s="60"/>
      <c r="AM2087" s="60"/>
      <c r="AN2087" s="144"/>
      <c r="AO2087" s="144"/>
      <c r="AP2087" s="147"/>
      <c r="AQ2087" s="147"/>
      <c r="AR2087" s="144"/>
      <c r="AS2087" s="147"/>
      <c r="AT2087" s="147"/>
      <c r="AU2087" s="60"/>
      <c r="AV2087" s="410"/>
      <c r="AW2087" s="60"/>
    </row>
    <row r="2088">
      <c r="A2088" s="60"/>
      <c r="B2088" s="41"/>
      <c r="C2088" s="41"/>
      <c r="E2088" s="60"/>
      <c r="F2088" s="60"/>
      <c r="G2088" s="147"/>
      <c r="H2088" s="140"/>
      <c r="I2088" s="60"/>
      <c r="J2088" s="147"/>
      <c r="K2088" s="60"/>
      <c r="L2088" s="60"/>
      <c r="M2088" s="60"/>
      <c r="N2088" s="327"/>
      <c r="O2088" s="145"/>
      <c r="P2088" s="1572"/>
      <c r="Q2088" s="1526"/>
      <c r="R2088" s="60"/>
      <c r="S2088" s="1528"/>
      <c r="T2088" s="327"/>
      <c r="U2088" s="147"/>
      <c r="V2088" s="147"/>
      <c r="W2088" s="1455"/>
      <c r="X2088" s="60"/>
      <c r="Y2088" s="147"/>
      <c r="Z2088" s="60"/>
      <c r="AA2088" s="147"/>
      <c r="AB2088" s="147"/>
      <c r="AC2088" s="147"/>
      <c r="AD2088" s="147"/>
      <c r="AE2088" s="144"/>
      <c r="AF2088" s="144"/>
      <c r="AG2088" s="147"/>
      <c r="AH2088" s="147"/>
      <c r="AI2088" s="144"/>
      <c r="AJ2088" s="147"/>
      <c r="AK2088" s="147"/>
      <c r="AL2088" s="60"/>
      <c r="AM2088" s="60"/>
      <c r="AN2088" s="144"/>
      <c r="AO2088" s="144"/>
      <c r="AP2088" s="147"/>
      <c r="AQ2088" s="147"/>
      <c r="AR2088" s="144"/>
      <c r="AS2088" s="147"/>
      <c r="AT2088" s="147"/>
      <c r="AU2088" s="60"/>
      <c r="AV2088" s="410"/>
      <c r="AW2088" s="60"/>
    </row>
    <row r="2089">
      <c r="A2089" s="60"/>
      <c r="B2089" s="41"/>
      <c r="C2089" s="41"/>
      <c r="E2089" s="60"/>
      <c r="F2089" s="60"/>
      <c r="G2089" s="147"/>
      <c r="H2089" s="140"/>
      <c r="I2089" s="60"/>
      <c r="J2089" s="147"/>
      <c r="K2089" s="60"/>
      <c r="L2089" s="60"/>
      <c r="M2089" s="60"/>
      <c r="N2089" s="327"/>
      <c r="O2089" s="145"/>
      <c r="P2089" s="1572"/>
      <c r="Q2089" s="1526"/>
      <c r="R2089" s="60"/>
      <c r="S2089" s="1528"/>
      <c r="T2089" s="327"/>
      <c r="U2089" s="147"/>
      <c r="V2089" s="147"/>
      <c r="W2089" s="1455"/>
      <c r="X2089" s="60"/>
      <c r="Y2089" s="147"/>
      <c r="Z2089" s="60"/>
      <c r="AA2089" s="147"/>
      <c r="AB2089" s="147"/>
      <c r="AC2089" s="147"/>
      <c r="AD2089" s="147"/>
      <c r="AE2089" s="144"/>
      <c r="AF2089" s="144"/>
      <c r="AG2089" s="147"/>
      <c r="AH2089" s="147"/>
      <c r="AI2089" s="144"/>
      <c r="AJ2089" s="147"/>
      <c r="AK2089" s="147"/>
      <c r="AL2089" s="60"/>
      <c r="AM2089" s="60"/>
      <c r="AN2089" s="144"/>
      <c r="AO2089" s="144"/>
      <c r="AP2089" s="147"/>
      <c r="AQ2089" s="147"/>
      <c r="AR2089" s="144"/>
      <c r="AS2089" s="147"/>
      <c r="AT2089" s="147"/>
      <c r="AU2089" s="60"/>
      <c r="AV2089" s="410"/>
      <c r="AW2089" s="60"/>
    </row>
    <row r="2090">
      <c r="A2090" s="60"/>
      <c r="B2090" s="41"/>
      <c r="C2090" s="41"/>
      <c r="E2090" s="60"/>
      <c r="F2090" s="60"/>
      <c r="G2090" s="147"/>
      <c r="H2090" s="140"/>
      <c r="I2090" s="60"/>
      <c r="J2090" s="147"/>
      <c r="K2090" s="60"/>
      <c r="L2090" s="60"/>
      <c r="M2090" s="60"/>
      <c r="N2090" s="327"/>
      <c r="O2090" s="145"/>
      <c r="P2090" s="1572"/>
      <c r="Q2090" s="1526"/>
      <c r="R2090" s="60"/>
      <c r="S2090" s="1528"/>
      <c r="T2090" s="327"/>
      <c r="U2090" s="147"/>
      <c r="V2090" s="147"/>
      <c r="W2090" s="1455"/>
      <c r="X2090" s="60"/>
      <c r="Y2090" s="147"/>
      <c r="Z2090" s="60"/>
      <c r="AA2090" s="147"/>
      <c r="AB2090" s="147"/>
      <c r="AC2090" s="147"/>
      <c r="AD2090" s="147"/>
      <c r="AE2090" s="144"/>
      <c r="AF2090" s="144"/>
      <c r="AG2090" s="147"/>
      <c r="AH2090" s="147"/>
      <c r="AI2090" s="144"/>
      <c r="AJ2090" s="147"/>
      <c r="AK2090" s="147"/>
      <c r="AL2090" s="60"/>
      <c r="AM2090" s="60"/>
      <c r="AN2090" s="144"/>
      <c r="AO2090" s="144"/>
      <c r="AP2090" s="147"/>
      <c r="AQ2090" s="147"/>
      <c r="AR2090" s="144"/>
      <c r="AS2090" s="147"/>
      <c r="AT2090" s="147"/>
      <c r="AU2090" s="60"/>
      <c r="AV2090" s="410"/>
      <c r="AW2090" s="60"/>
    </row>
    <row r="2091">
      <c r="A2091" s="60"/>
      <c r="B2091" s="41"/>
      <c r="C2091" s="41"/>
      <c r="E2091" s="60"/>
      <c r="F2091" s="60"/>
      <c r="G2091" s="147"/>
      <c r="H2091" s="140"/>
      <c r="I2091" s="60"/>
      <c r="J2091" s="147"/>
      <c r="K2091" s="60"/>
      <c r="L2091" s="60"/>
      <c r="M2091" s="60"/>
      <c r="N2091" s="327"/>
      <c r="O2091" s="145"/>
      <c r="P2091" s="1572"/>
      <c r="Q2091" s="1526"/>
      <c r="R2091" s="60"/>
      <c r="S2091" s="1528"/>
      <c r="T2091" s="327"/>
      <c r="U2091" s="147"/>
      <c r="V2091" s="147"/>
      <c r="W2091" s="1455"/>
      <c r="X2091" s="60"/>
      <c r="Y2091" s="147"/>
      <c r="Z2091" s="60"/>
      <c r="AA2091" s="147"/>
      <c r="AB2091" s="147"/>
      <c r="AC2091" s="147"/>
      <c r="AD2091" s="147"/>
      <c r="AE2091" s="144"/>
      <c r="AF2091" s="144"/>
      <c r="AG2091" s="147"/>
      <c r="AH2091" s="147"/>
      <c r="AI2091" s="144"/>
      <c r="AJ2091" s="147"/>
      <c r="AK2091" s="147"/>
      <c r="AL2091" s="60"/>
      <c r="AM2091" s="60"/>
      <c r="AN2091" s="144"/>
      <c r="AO2091" s="144"/>
      <c r="AP2091" s="147"/>
      <c r="AQ2091" s="147"/>
      <c r="AR2091" s="144"/>
      <c r="AS2091" s="147"/>
      <c r="AT2091" s="147"/>
      <c r="AU2091" s="60"/>
      <c r="AV2091" s="410"/>
      <c r="AW2091" s="60"/>
    </row>
    <row r="2092">
      <c r="A2092" s="60"/>
      <c r="B2092" s="41"/>
      <c r="C2092" s="41"/>
      <c r="E2092" s="60"/>
      <c r="F2092" s="60"/>
      <c r="G2092" s="147"/>
      <c r="H2092" s="140"/>
      <c r="I2092" s="60"/>
      <c r="J2092" s="147"/>
      <c r="K2092" s="60"/>
      <c r="L2092" s="60"/>
      <c r="M2092" s="60"/>
      <c r="N2092" s="327"/>
      <c r="O2092" s="145"/>
      <c r="P2092" s="1572"/>
      <c r="Q2092" s="1526"/>
      <c r="R2092" s="60"/>
      <c r="S2092" s="1528"/>
      <c r="T2092" s="327"/>
      <c r="U2092" s="147"/>
      <c r="V2092" s="147"/>
      <c r="W2092" s="1455"/>
      <c r="X2092" s="60"/>
      <c r="Y2092" s="147"/>
      <c r="Z2092" s="60"/>
      <c r="AA2092" s="147"/>
      <c r="AB2092" s="147"/>
      <c r="AC2092" s="147"/>
      <c r="AD2092" s="147"/>
      <c r="AE2092" s="144"/>
      <c r="AF2092" s="144"/>
      <c r="AG2092" s="147"/>
      <c r="AH2092" s="147"/>
      <c r="AI2092" s="144"/>
      <c r="AJ2092" s="147"/>
      <c r="AK2092" s="147"/>
      <c r="AL2092" s="60"/>
      <c r="AM2092" s="60"/>
      <c r="AN2092" s="144"/>
      <c r="AO2092" s="144"/>
      <c r="AP2092" s="147"/>
      <c r="AQ2092" s="147"/>
      <c r="AR2092" s="144"/>
      <c r="AS2092" s="147"/>
      <c r="AT2092" s="147"/>
      <c r="AU2092" s="60"/>
      <c r="AV2092" s="410"/>
      <c r="AW2092" s="60"/>
    </row>
    <row r="2093">
      <c r="A2093" s="60"/>
      <c r="B2093" s="41"/>
      <c r="C2093" s="41"/>
      <c r="E2093" s="60"/>
      <c r="F2093" s="60"/>
      <c r="G2093" s="147"/>
      <c r="H2093" s="140"/>
      <c r="I2093" s="60"/>
      <c r="J2093" s="147"/>
      <c r="K2093" s="60"/>
      <c r="L2093" s="60"/>
      <c r="M2093" s="60"/>
      <c r="N2093" s="327"/>
      <c r="O2093" s="145"/>
      <c r="P2093" s="1572"/>
      <c r="Q2093" s="1526"/>
      <c r="R2093" s="60"/>
      <c r="S2093" s="1528"/>
      <c r="T2093" s="327"/>
      <c r="U2093" s="147"/>
      <c r="V2093" s="147"/>
      <c r="W2093" s="1455"/>
      <c r="X2093" s="60"/>
      <c r="Y2093" s="147"/>
      <c r="Z2093" s="60"/>
      <c r="AA2093" s="147"/>
      <c r="AB2093" s="147"/>
      <c r="AC2093" s="147"/>
      <c r="AD2093" s="147"/>
      <c r="AE2093" s="144"/>
      <c r="AF2093" s="144"/>
      <c r="AG2093" s="147"/>
      <c r="AH2093" s="147"/>
      <c r="AI2093" s="144"/>
      <c r="AJ2093" s="147"/>
      <c r="AK2093" s="147"/>
      <c r="AL2093" s="60"/>
      <c r="AM2093" s="60"/>
      <c r="AN2093" s="144"/>
      <c r="AO2093" s="144"/>
      <c r="AP2093" s="147"/>
      <c r="AQ2093" s="147"/>
      <c r="AR2093" s="144"/>
      <c r="AS2093" s="147"/>
      <c r="AT2093" s="147"/>
      <c r="AU2093" s="60"/>
      <c r="AV2093" s="410"/>
      <c r="AW2093" s="60"/>
    </row>
    <row r="2094">
      <c r="A2094" s="60"/>
      <c r="B2094" s="41"/>
      <c r="C2094" s="41"/>
      <c r="E2094" s="60"/>
      <c r="F2094" s="60"/>
      <c r="G2094" s="147"/>
      <c r="H2094" s="140"/>
      <c r="I2094" s="60"/>
      <c r="J2094" s="147"/>
      <c r="K2094" s="60"/>
      <c r="L2094" s="60"/>
      <c r="M2094" s="60"/>
      <c r="N2094" s="327"/>
      <c r="O2094" s="145"/>
      <c r="P2094" s="1572"/>
      <c r="Q2094" s="1526"/>
      <c r="R2094" s="60"/>
      <c r="S2094" s="1528"/>
      <c r="T2094" s="327"/>
      <c r="U2094" s="147"/>
      <c r="V2094" s="147"/>
      <c r="W2094" s="1455"/>
      <c r="X2094" s="60"/>
      <c r="Y2094" s="147"/>
      <c r="Z2094" s="60"/>
      <c r="AA2094" s="147"/>
      <c r="AB2094" s="147"/>
      <c r="AC2094" s="147"/>
      <c r="AD2094" s="147"/>
      <c r="AE2094" s="144"/>
      <c r="AF2094" s="144"/>
      <c r="AG2094" s="147"/>
      <c r="AH2094" s="147"/>
      <c r="AI2094" s="144"/>
      <c r="AJ2094" s="147"/>
      <c r="AK2094" s="147"/>
      <c r="AL2094" s="60"/>
      <c r="AM2094" s="60"/>
      <c r="AN2094" s="144"/>
      <c r="AO2094" s="144"/>
      <c r="AP2094" s="147"/>
      <c r="AQ2094" s="147"/>
      <c r="AR2094" s="144"/>
      <c r="AS2094" s="147"/>
      <c r="AT2094" s="147"/>
      <c r="AU2094" s="60"/>
      <c r="AV2094" s="410"/>
      <c r="AW2094" s="60"/>
    </row>
    <row r="2095">
      <c r="A2095" s="60"/>
      <c r="B2095" s="41"/>
      <c r="C2095" s="41"/>
      <c r="E2095" s="60"/>
      <c r="F2095" s="60"/>
      <c r="G2095" s="147"/>
      <c r="H2095" s="140"/>
      <c r="I2095" s="60"/>
      <c r="J2095" s="147"/>
      <c r="K2095" s="60"/>
      <c r="L2095" s="60"/>
      <c r="M2095" s="60"/>
      <c r="N2095" s="327"/>
      <c r="O2095" s="145"/>
      <c r="P2095" s="1572"/>
      <c r="Q2095" s="1526"/>
      <c r="R2095" s="60"/>
      <c r="S2095" s="1528"/>
      <c r="T2095" s="327"/>
      <c r="U2095" s="147"/>
      <c r="V2095" s="147"/>
      <c r="W2095" s="1455"/>
      <c r="X2095" s="60"/>
      <c r="Y2095" s="147"/>
      <c r="Z2095" s="60"/>
      <c r="AA2095" s="147"/>
      <c r="AB2095" s="147"/>
      <c r="AC2095" s="147"/>
      <c r="AD2095" s="147"/>
      <c r="AE2095" s="144"/>
      <c r="AF2095" s="144"/>
      <c r="AG2095" s="147"/>
      <c r="AH2095" s="147"/>
      <c r="AI2095" s="144"/>
      <c r="AJ2095" s="147"/>
      <c r="AK2095" s="147"/>
      <c r="AL2095" s="60"/>
      <c r="AM2095" s="60"/>
      <c r="AN2095" s="144"/>
      <c r="AO2095" s="144"/>
      <c r="AP2095" s="147"/>
      <c r="AQ2095" s="147"/>
      <c r="AR2095" s="144"/>
      <c r="AS2095" s="147"/>
      <c r="AT2095" s="147"/>
      <c r="AU2095" s="60"/>
      <c r="AV2095" s="410"/>
      <c r="AW2095" s="60"/>
    </row>
    <row r="2096">
      <c r="A2096" s="60"/>
      <c r="B2096" s="41"/>
      <c r="C2096" s="41"/>
      <c r="E2096" s="60"/>
      <c r="F2096" s="60"/>
      <c r="G2096" s="147"/>
      <c r="H2096" s="140"/>
      <c r="I2096" s="60"/>
      <c r="J2096" s="147"/>
      <c r="K2096" s="60"/>
      <c r="L2096" s="60"/>
      <c r="M2096" s="60"/>
      <c r="N2096" s="327"/>
      <c r="O2096" s="145"/>
      <c r="P2096" s="1572"/>
      <c r="Q2096" s="1526"/>
      <c r="R2096" s="60"/>
      <c r="S2096" s="1528"/>
      <c r="T2096" s="327"/>
      <c r="U2096" s="147"/>
      <c r="V2096" s="147"/>
      <c r="W2096" s="1455"/>
      <c r="X2096" s="60"/>
      <c r="Y2096" s="147"/>
      <c r="Z2096" s="60"/>
      <c r="AA2096" s="147"/>
      <c r="AB2096" s="147"/>
      <c r="AC2096" s="147"/>
      <c r="AD2096" s="147"/>
      <c r="AE2096" s="144"/>
      <c r="AF2096" s="144"/>
      <c r="AG2096" s="147"/>
      <c r="AH2096" s="147"/>
      <c r="AI2096" s="144"/>
      <c r="AJ2096" s="147"/>
      <c r="AK2096" s="147"/>
      <c r="AL2096" s="60"/>
      <c r="AM2096" s="60"/>
      <c r="AN2096" s="144"/>
      <c r="AO2096" s="144"/>
      <c r="AP2096" s="147"/>
      <c r="AQ2096" s="147"/>
      <c r="AR2096" s="144"/>
      <c r="AS2096" s="147"/>
      <c r="AT2096" s="147"/>
      <c r="AU2096" s="60"/>
      <c r="AV2096" s="410"/>
      <c r="AW2096" s="60"/>
    </row>
    <row r="2097">
      <c r="A2097" s="60"/>
      <c r="B2097" s="41"/>
      <c r="C2097" s="41"/>
      <c r="E2097" s="60"/>
      <c r="F2097" s="60"/>
      <c r="G2097" s="147"/>
      <c r="H2097" s="140"/>
      <c r="I2097" s="60"/>
      <c r="J2097" s="147"/>
      <c r="K2097" s="60"/>
      <c r="L2097" s="60"/>
      <c r="M2097" s="60"/>
      <c r="N2097" s="327"/>
      <c r="O2097" s="145"/>
      <c r="P2097" s="1572"/>
      <c r="Q2097" s="1526"/>
      <c r="R2097" s="60"/>
      <c r="S2097" s="1528"/>
      <c r="T2097" s="327"/>
      <c r="U2097" s="147"/>
      <c r="V2097" s="147"/>
      <c r="W2097" s="1455"/>
      <c r="X2097" s="60"/>
      <c r="Y2097" s="147"/>
      <c r="Z2097" s="60"/>
      <c r="AA2097" s="147"/>
      <c r="AB2097" s="147"/>
      <c r="AC2097" s="147"/>
      <c r="AD2097" s="147"/>
      <c r="AE2097" s="144"/>
      <c r="AF2097" s="144"/>
      <c r="AG2097" s="147"/>
      <c r="AH2097" s="147"/>
      <c r="AI2097" s="144"/>
      <c r="AJ2097" s="147"/>
      <c r="AK2097" s="147"/>
      <c r="AL2097" s="60"/>
      <c r="AM2097" s="60"/>
      <c r="AN2097" s="144"/>
      <c r="AO2097" s="144"/>
      <c r="AP2097" s="147"/>
      <c r="AQ2097" s="147"/>
      <c r="AR2097" s="144"/>
      <c r="AS2097" s="147"/>
      <c r="AT2097" s="147"/>
      <c r="AU2097" s="60"/>
      <c r="AV2097" s="410"/>
      <c r="AW2097" s="60"/>
    </row>
    <row r="2098">
      <c r="A2098" s="60"/>
      <c r="B2098" s="41"/>
      <c r="C2098" s="41"/>
      <c r="E2098" s="60"/>
      <c r="F2098" s="60"/>
      <c r="G2098" s="147"/>
      <c r="H2098" s="140"/>
      <c r="I2098" s="60"/>
      <c r="J2098" s="147"/>
      <c r="K2098" s="60"/>
      <c r="L2098" s="60"/>
      <c r="M2098" s="60"/>
      <c r="N2098" s="327"/>
      <c r="O2098" s="145"/>
      <c r="P2098" s="1572"/>
      <c r="Q2098" s="1526"/>
      <c r="R2098" s="60"/>
      <c r="S2098" s="1528"/>
      <c r="T2098" s="327"/>
      <c r="U2098" s="147"/>
      <c r="V2098" s="147"/>
      <c r="W2098" s="1455"/>
      <c r="X2098" s="60"/>
      <c r="Y2098" s="147"/>
      <c r="Z2098" s="60"/>
      <c r="AA2098" s="147"/>
      <c r="AB2098" s="147"/>
      <c r="AC2098" s="147"/>
      <c r="AD2098" s="147"/>
      <c r="AE2098" s="144"/>
      <c r="AF2098" s="144"/>
      <c r="AG2098" s="147"/>
      <c r="AH2098" s="147"/>
      <c r="AI2098" s="144"/>
      <c r="AJ2098" s="147"/>
      <c r="AK2098" s="147"/>
      <c r="AL2098" s="60"/>
      <c r="AM2098" s="60"/>
      <c r="AN2098" s="144"/>
      <c r="AO2098" s="144"/>
      <c r="AP2098" s="147"/>
      <c r="AQ2098" s="147"/>
      <c r="AR2098" s="144"/>
      <c r="AS2098" s="147"/>
      <c r="AT2098" s="147"/>
      <c r="AU2098" s="60"/>
      <c r="AV2098" s="410"/>
      <c r="AW2098" s="60"/>
    </row>
    <row r="2099">
      <c r="A2099" s="60"/>
      <c r="B2099" s="41"/>
      <c r="C2099" s="41"/>
      <c r="E2099" s="60"/>
      <c r="F2099" s="60"/>
      <c r="G2099" s="147"/>
      <c r="H2099" s="140"/>
      <c r="I2099" s="60"/>
      <c r="J2099" s="147"/>
      <c r="K2099" s="60"/>
      <c r="L2099" s="60"/>
      <c r="M2099" s="60"/>
      <c r="N2099" s="327"/>
      <c r="O2099" s="145"/>
      <c r="P2099" s="1572"/>
      <c r="Q2099" s="1526"/>
      <c r="R2099" s="60"/>
      <c r="S2099" s="1528"/>
      <c r="T2099" s="327"/>
      <c r="U2099" s="147"/>
      <c r="V2099" s="147"/>
      <c r="W2099" s="1455"/>
      <c r="X2099" s="60"/>
      <c r="Y2099" s="147"/>
      <c r="Z2099" s="60"/>
      <c r="AA2099" s="147"/>
      <c r="AB2099" s="147"/>
      <c r="AC2099" s="147"/>
      <c r="AD2099" s="147"/>
      <c r="AE2099" s="144"/>
      <c r="AF2099" s="144"/>
      <c r="AG2099" s="147"/>
      <c r="AH2099" s="147"/>
      <c r="AI2099" s="144"/>
      <c r="AJ2099" s="147"/>
      <c r="AK2099" s="147"/>
      <c r="AL2099" s="60"/>
      <c r="AM2099" s="60"/>
      <c r="AN2099" s="144"/>
      <c r="AO2099" s="144"/>
      <c r="AP2099" s="147"/>
      <c r="AQ2099" s="147"/>
      <c r="AR2099" s="144"/>
      <c r="AS2099" s="147"/>
      <c r="AT2099" s="147"/>
      <c r="AU2099" s="60"/>
      <c r="AV2099" s="410"/>
      <c r="AW2099" s="60"/>
    </row>
    <row r="2100">
      <c r="A2100" s="60"/>
      <c r="B2100" s="41"/>
      <c r="C2100" s="41"/>
      <c r="E2100" s="60"/>
      <c r="F2100" s="60"/>
      <c r="G2100" s="147"/>
      <c r="H2100" s="140"/>
      <c r="I2100" s="60"/>
      <c r="J2100" s="147"/>
      <c r="K2100" s="60"/>
      <c r="L2100" s="60"/>
      <c r="M2100" s="60"/>
      <c r="N2100" s="327"/>
      <c r="O2100" s="145"/>
      <c r="P2100" s="1572"/>
      <c r="Q2100" s="1526"/>
      <c r="R2100" s="60"/>
      <c r="S2100" s="1528"/>
      <c r="T2100" s="327"/>
      <c r="U2100" s="147"/>
      <c r="V2100" s="147"/>
      <c r="W2100" s="1455"/>
      <c r="X2100" s="60"/>
      <c r="Y2100" s="147"/>
      <c r="Z2100" s="60"/>
      <c r="AA2100" s="147"/>
      <c r="AB2100" s="147"/>
      <c r="AC2100" s="147"/>
      <c r="AD2100" s="147"/>
      <c r="AE2100" s="144"/>
      <c r="AF2100" s="144"/>
      <c r="AG2100" s="147"/>
      <c r="AH2100" s="147"/>
      <c r="AI2100" s="144"/>
      <c r="AJ2100" s="147"/>
      <c r="AK2100" s="147"/>
      <c r="AL2100" s="60"/>
      <c r="AM2100" s="60"/>
      <c r="AN2100" s="144"/>
      <c r="AO2100" s="144"/>
      <c r="AP2100" s="147"/>
      <c r="AQ2100" s="147"/>
      <c r="AR2100" s="144"/>
      <c r="AS2100" s="147"/>
      <c r="AT2100" s="147"/>
      <c r="AU2100" s="60"/>
      <c r="AV2100" s="410"/>
      <c r="AW2100" s="60"/>
    </row>
    <row r="2101">
      <c r="A2101" s="60"/>
      <c r="B2101" s="41"/>
      <c r="C2101" s="41"/>
      <c r="E2101" s="60"/>
      <c r="F2101" s="60"/>
      <c r="G2101" s="147"/>
      <c r="H2101" s="140"/>
      <c r="I2101" s="60"/>
      <c r="J2101" s="147"/>
      <c r="K2101" s="60"/>
      <c r="L2101" s="60"/>
      <c r="M2101" s="60"/>
      <c r="N2101" s="327"/>
      <c r="O2101" s="145"/>
      <c r="P2101" s="1572"/>
      <c r="Q2101" s="1526"/>
      <c r="R2101" s="60"/>
      <c r="S2101" s="1528"/>
      <c r="T2101" s="327"/>
      <c r="U2101" s="147"/>
      <c r="V2101" s="147"/>
      <c r="W2101" s="1455"/>
      <c r="X2101" s="60"/>
      <c r="Y2101" s="147"/>
      <c r="Z2101" s="60"/>
      <c r="AA2101" s="147"/>
      <c r="AB2101" s="147"/>
      <c r="AC2101" s="147"/>
      <c r="AD2101" s="147"/>
      <c r="AE2101" s="144"/>
      <c r="AF2101" s="144"/>
      <c r="AG2101" s="147"/>
      <c r="AH2101" s="147"/>
      <c r="AI2101" s="144"/>
      <c r="AJ2101" s="147"/>
      <c r="AK2101" s="147"/>
      <c r="AL2101" s="60"/>
      <c r="AM2101" s="60"/>
      <c r="AN2101" s="144"/>
      <c r="AO2101" s="144"/>
      <c r="AP2101" s="147"/>
      <c r="AQ2101" s="147"/>
      <c r="AR2101" s="144"/>
      <c r="AS2101" s="147"/>
      <c r="AT2101" s="147"/>
      <c r="AU2101" s="60"/>
      <c r="AV2101" s="410"/>
      <c r="AW2101" s="60"/>
    </row>
    <row r="2102">
      <c r="A2102" s="60"/>
      <c r="B2102" s="41"/>
      <c r="C2102" s="41"/>
      <c r="E2102" s="60"/>
      <c r="F2102" s="60"/>
      <c r="G2102" s="147"/>
      <c r="H2102" s="140"/>
      <c r="I2102" s="60"/>
      <c r="J2102" s="147"/>
      <c r="K2102" s="60"/>
      <c r="L2102" s="60"/>
      <c r="M2102" s="60"/>
      <c r="N2102" s="327"/>
      <c r="O2102" s="145"/>
      <c r="P2102" s="1572"/>
      <c r="Q2102" s="1526"/>
      <c r="R2102" s="60"/>
      <c r="S2102" s="1528"/>
      <c r="T2102" s="327"/>
      <c r="U2102" s="147"/>
      <c r="V2102" s="147"/>
      <c r="W2102" s="1455"/>
      <c r="X2102" s="60"/>
      <c r="Y2102" s="147"/>
      <c r="Z2102" s="60"/>
      <c r="AA2102" s="147"/>
      <c r="AB2102" s="147"/>
      <c r="AC2102" s="147"/>
      <c r="AD2102" s="147"/>
      <c r="AE2102" s="144"/>
      <c r="AF2102" s="144"/>
      <c r="AG2102" s="147"/>
      <c r="AH2102" s="147"/>
      <c r="AI2102" s="144"/>
      <c r="AJ2102" s="147"/>
      <c r="AK2102" s="147"/>
      <c r="AL2102" s="60"/>
      <c r="AM2102" s="60"/>
      <c r="AN2102" s="144"/>
      <c r="AO2102" s="144"/>
      <c r="AP2102" s="147"/>
      <c r="AQ2102" s="147"/>
      <c r="AR2102" s="144"/>
      <c r="AS2102" s="147"/>
      <c r="AT2102" s="147"/>
      <c r="AU2102" s="60"/>
      <c r="AV2102" s="410"/>
      <c r="AW2102" s="60"/>
    </row>
    <row r="2103">
      <c r="A2103" s="60"/>
      <c r="B2103" s="41"/>
      <c r="C2103" s="41"/>
      <c r="E2103" s="60"/>
      <c r="F2103" s="60"/>
      <c r="G2103" s="147"/>
      <c r="H2103" s="140"/>
      <c r="I2103" s="60"/>
      <c r="J2103" s="147"/>
      <c r="K2103" s="60"/>
      <c r="L2103" s="60"/>
      <c r="M2103" s="60"/>
      <c r="N2103" s="327"/>
      <c r="O2103" s="145"/>
      <c r="P2103" s="1572"/>
      <c r="Q2103" s="1526"/>
      <c r="R2103" s="60"/>
      <c r="S2103" s="1528"/>
      <c r="T2103" s="327"/>
      <c r="U2103" s="147"/>
      <c r="V2103" s="147"/>
      <c r="W2103" s="1455"/>
      <c r="X2103" s="60"/>
      <c r="Y2103" s="147"/>
      <c r="Z2103" s="60"/>
      <c r="AA2103" s="147"/>
      <c r="AB2103" s="147"/>
      <c r="AC2103" s="147"/>
      <c r="AD2103" s="147"/>
      <c r="AE2103" s="144"/>
      <c r="AF2103" s="144"/>
      <c r="AG2103" s="147"/>
      <c r="AH2103" s="147"/>
      <c r="AI2103" s="144"/>
      <c r="AJ2103" s="147"/>
      <c r="AK2103" s="147"/>
      <c r="AL2103" s="60"/>
      <c r="AM2103" s="60"/>
      <c r="AN2103" s="144"/>
      <c r="AO2103" s="144"/>
      <c r="AP2103" s="147"/>
      <c r="AQ2103" s="147"/>
      <c r="AR2103" s="144"/>
      <c r="AS2103" s="147"/>
      <c r="AT2103" s="147"/>
      <c r="AU2103" s="60"/>
      <c r="AV2103" s="410"/>
      <c r="AW2103" s="60"/>
    </row>
    <row r="2104">
      <c r="A2104" s="60"/>
      <c r="B2104" s="41"/>
      <c r="C2104" s="41"/>
      <c r="E2104" s="60"/>
      <c r="F2104" s="60"/>
      <c r="G2104" s="147"/>
      <c r="H2104" s="140"/>
      <c r="I2104" s="60"/>
      <c r="J2104" s="147"/>
      <c r="K2104" s="60"/>
      <c r="L2104" s="60"/>
      <c r="M2104" s="60"/>
      <c r="N2104" s="327"/>
      <c r="O2104" s="145"/>
      <c r="P2104" s="1572"/>
      <c r="Q2104" s="1526"/>
      <c r="R2104" s="60"/>
      <c r="S2104" s="1528"/>
      <c r="T2104" s="327"/>
      <c r="U2104" s="147"/>
      <c r="V2104" s="147"/>
      <c r="W2104" s="1455"/>
      <c r="X2104" s="60"/>
      <c r="Y2104" s="147"/>
      <c r="Z2104" s="60"/>
      <c r="AA2104" s="147"/>
      <c r="AB2104" s="147"/>
      <c r="AC2104" s="147"/>
      <c r="AD2104" s="147"/>
      <c r="AE2104" s="144"/>
      <c r="AF2104" s="144"/>
      <c r="AG2104" s="147"/>
      <c r="AH2104" s="147"/>
      <c r="AI2104" s="144"/>
      <c r="AJ2104" s="147"/>
      <c r="AK2104" s="147"/>
      <c r="AL2104" s="60"/>
      <c r="AM2104" s="60"/>
      <c r="AN2104" s="144"/>
      <c r="AO2104" s="144"/>
      <c r="AP2104" s="147"/>
      <c r="AQ2104" s="147"/>
      <c r="AR2104" s="144"/>
      <c r="AS2104" s="147"/>
      <c r="AT2104" s="147"/>
      <c r="AU2104" s="60"/>
      <c r="AV2104" s="410"/>
      <c r="AW2104" s="60"/>
    </row>
    <row r="2105">
      <c r="A2105" s="60"/>
      <c r="B2105" s="41"/>
      <c r="C2105" s="41"/>
      <c r="E2105" s="60"/>
      <c r="F2105" s="60"/>
      <c r="G2105" s="147"/>
      <c r="H2105" s="140"/>
      <c r="I2105" s="60"/>
      <c r="J2105" s="147"/>
      <c r="K2105" s="60"/>
      <c r="L2105" s="60"/>
      <c r="M2105" s="60"/>
      <c r="N2105" s="327"/>
      <c r="O2105" s="145"/>
      <c r="P2105" s="1572"/>
      <c r="Q2105" s="1526"/>
      <c r="R2105" s="60"/>
      <c r="S2105" s="1528"/>
      <c r="T2105" s="327"/>
      <c r="U2105" s="147"/>
      <c r="V2105" s="147"/>
      <c r="W2105" s="1455"/>
      <c r="X2105" s="60"/>
      <c r="Y2105" s="147"/>
      <c r="Z2105" s="60"/>
      <c r="AA2105" s="147"/>
      <c r="AB2105" s="147"/>
      <c r="AC2105" s="147"/>
      <c r="AD2105" s="147"/>
      <c r="AE2105" s="144"/>
      <c r="AF2105" s="144"/>
      <c r="AG2105" s="147"/>
      <c r="AH2105" s="147"/>
      <c r="AI2105" s="144"/>
      <c r="AJ2105" s="147"/>
      <c r="AK2105" s="147"/>
      <c r="AL2105" s="60"/>
      <c r="AM2105" s="60"/>
      <c r="AN2105" s="144"/>
      <c r="AO2105" s="144"/>
      <c r="AP2105" s="147"/>
      <c r="AQ2105" s="147"/>
      <c r="AR2105" s="144"/>
      <c r="AS2105" s="147"/>
      <c r="AT2105" s="147"/>
      <c r="AU2105" s="60"/>
      <c r="AV2105" s="410"/>
      <c r="AW2105" s="60"/>
    </row>
    <row r="2106">
      <c r="A2106" s="60"/>
      <c r="B2106" s="41"/>
      <c r="C2106" s="41"/>
      <c r="E2106" s="60"/>
      <c r="F2106" s="60"/>
      <c r="G2106" s="147"/>
      <c r="H2106" s="140"/>
      <c r="I2106" s="60"/>
      <c r="J2106" s="147"/>
      <c r="K2106" s="60"/>
      <c r="L2106" s="60"/>
      <c r="M2106" s="60"/>
      <c r="N2106" s="327"/>
      <c r="O2106" s="145"/>
      <c r="P2106" s="1572"/>
      <c r="Q2106" s="1526"/>
      <c r="R2106" s="60"/>
      <c r="S2106" s="1528"/>
      <c r="T2106" s="327"/>
      <c r="U2106" s="147"/>
      <c r="V2106" s="147"/>
      <c r="W2106" s="1455"/>
      <c r="X2106" s="60"/>
      <c r="Y2106" s="147"/>
      <c r="Z2106" s="60"/>
      <c r="AA2106" s="147"/>
      <c r="AB2106" s="147"/>
      <c r="AC2106" s="147"/>
      <c r="AD2106" s="147"/>
      <c r="AE2106" s="144"/>
      <c r="AF2106" s="144"/>
      <c r="AG2106" s="147"/>
      <c r="AH2106" s="147"/>
      <c r="AI2106" s="144"/>
      <c r="AJ2106" s="147"/>
      <c r="AK2106" s="147"/>
      <c r="AL2106" s="60"/>
      <c r="AM2106" s="60"/>
      <c r="AN2106" s="144"/>
      <c r="AO2106" s="144"/>
      <c r="AP2106" s="147"/>
      <c r="AQ2106" s="147"/>
      <c r="AR2106" s="144"/>
      <c r="AS2106" s="147"/>
      <c r="AT2106" s="147"/>
      <c r="AU2106" s="60"/>
      <c r="AV2106" s="410"/>
      <c r="AW2106" s="60"/>
    </row>
    <row r="2107">
      <c r="A2107" s="60"/>
      <c r="B2107" s="41"/>
      <c r="C2107" s="41"/>
      <c r="E2107" s="60"/>
      <c r="F2107" s="60"/>
      <c r="G2107" s="147"/>
      <c r="H2107" s="140"/>
      <c r="I2107" s="60"/>
      <c r="J2107" s="147"/>
      <c r="K2107" s="60"/>
      <c r="L2107" s="60"/>
      <c r="M2107" s="60"/>
      <c r="N2107" s="327"/>
      <c r="O2107" s="145"/>
      <c r="P2107" s="1572"/>
      <c r="Q2107" s="1526"/>
      <c r="R2107" s="60"/>
      <c r="S2107" s="1528"/>
      <c r="T2107" s="327"/>
      <c r="U2107" s="147"/>
      <c r="V2107" s="147"/>
      <c r="W2107" s="1455"/>
      <c r="X2107" s="60"/>
      <c r="Y2107" s="147"/>
      <c r="Z2107" s="60"/>
      <c r="AA2107" s="147"/>
      <c r="AB2107" s="147"/>
      <c r="AC2107" s="147"/>
      <c r="AD2107" s="147"/>
      <c r="AE2107" s="144"/>
      <c r="AF2107" s="144"/>
      <c r="AG2107" s="147"/>
      <c r="AH2107" s="147"/>
      <c r="AI2107" s="144"/>
      <c r="AJ2107" s="147"/>
      <c r="AK2107" s="147"/>
      <c r="AL2107" s="60"/>
      <c r="AM2107" s="60"/>
      <c r="AN2107" s="144"/>
      <c r="AO2107" s="144"/>
      <c r="AP2107" s="147"/>
      <c r="AQ2107" s="147"/>
      <c r="AR2107" s="144"/>
      <c r="AS2107" s="147"/>
      <c r="AT2107" s="147"/>
      <c r="AU2107" s="60"/>
      <c r="AV2107" s="410"/>
      <c r="AW2107" s="60"/>
    </row>
    <row r="2108">
      <c r="A2108" s="60"/>
      <c r="B2108" s="41"/>
      <c r="C2108" s="41"/>
      <c r="E2108" s="60"/>
      <c r="F2108" s="60"/>
      <c r="G2108" s="147"/>
      <c r="H2108" s="140"/>
      <c r="I2108" s="60"/>
      <c r="J2108" s="147"/>
      <c r="K2108" s="60"/>
      <c r="L2108" s="60"/>
      <c r="M2108" s="60"/>
      <c r="N2108" s="327"/>
      <c r="O2108" s="145"/>
      <c r="P2108" s="1572"/>
      <c r="Q2108" s="1526"/>
      <c r="R2108" s="60"/>
      <c r="S2108" s="1528"/>
      <c r="T2108" s="327"/>
      <c r="U2108" s="147"/>
      <c r="V2108" s="147"/>
      <c r="W2108" s="1455"/>
      <c r="X2108" s="60"/>
      <c r="Y2108" s="147"/>
      <c r="Z2108" s="60"/>
      <c r="AA2108" s="147"/>
      <c r="AB2108" s="147"/>
      <c r="AC2108" s="147"/>
      <c r="AD2108" s="147"/>
      <c r="AE2108" s="144"/>
      <c r="AF2108" s="144"/>
      <c r="AG2108" s="147"/>
      <c r="AH2108" s="147"/>
      <c r="AI2108" s="144"/>
      <c r="AJ2108" s="147"/>
      <c r="AK2108" s="147"/>
      <c r="AL2108" s="60"/>
      <c r="AM2108" s="60"/>
      <c r="AN2108" s="144"/>
      <c r="AO2108" s="144"/>
      <c r="AP2108" s="147"/>
      <c r="AQ2108" s="147"/>
      <c r="AR2108" s="144"/>
      <c r="AS2108" s="147"/>
      <c r="AT2108" s="147"/>
      <c r="AU2108" s="60"/>
      <c r="AV2108" s="410"/>
      <c r="AW2108" s="60"/>
    </row>
    <row r="2109">
      <c r="A2109" s="60"/>
      <c r="B2109" s="41"/>
      <c r="C2109" s="41"/>
      <c r="E2109" s="60"/>
      <c r="F2109" s="60"/>
      <c r="G2109" s="147"/>
      <c r="H2109" s="140"/>
      <c r="I2109" s="60"/>
      <c r="J2109" s="147"/>
      <c r="K2109" s="60"/>
      <c r="L2109" s="60"/>
      <c r="M2109" s="60"/>
      <c r="N2109" s="327"/>
      <c r="O2109" s="145"/>
      <c r="P2109" s="1572"/>
      <c r="Q2109" s="1526"/>
      <c r="R2109" s="60"/>
      <c r="S2109" s="1528"/>
      <c r="T2109" s="327"/>
      <c r="U2109" s="147"/>
      <c r="V2109" s="147"/>
      <c r="W2109" s="1455"/>
      <c r="X2109" s="60"/>
      <c r="Y2109" s="147"/>
      <c r="Z2109" s="60"/>
      <c r="AA2109" s="147"/>
      <c r="AB2109" s="147"/>
      <c r="AC2109" s="147"/>
      <c r="AD2109" s="147"/>
      <c r="AE2109" s="144"/>
      <c r="AF2109" s="144"/>
      <c r="AG2109" s="147"/>
      <c r="AH2109" s="147"/>
      <c r="AI2109" s="144"/>
      <c r="AJ2109" s="147"/>
      <c r="AK2109" s="147"/>
      <c r="AL2109" s="60"/>
      <c r="AM2109" s="60"/>
      <c r="AN2109" s="144"/>
      <c r="AO2109" s="144"/>
      <c r="AP2109" s="147"/>
      <c r="AQ2109" s="147"/>
      <c r="AR2109" s="144"/>
      <c r="AS2109" s="147"/>
      <c r="AT2109" s="147"/>
      <c r="AU2109" s="60"/>
      <c r="AV2109" s="410"/>
      <c r="AW2109" s="60"/>
    </row>
    <row r="2110">
      <c r="A2110" s="60"/>
      <c r="B2110" s="41"/>
      <c r="C2110" s="41"/>
      <c r="E2110" s="60"/>
      <c r="F2110" s="60"/>
      <c r="G2110" s="147"/>
      <c r="H2110" s="140"/>
      <c r="I2110" s="60"/>
      <c r="J2110" s="147"/>
      <c r="K2110" s="60"/>
      <c r="L2110" s="60"/>
      <c r="M2110" s="60"/>
      <c r="N2110" s="327"/>
      <c r="O2110" s="145"/>
      <c r="P2110" s="1572"/>
      <c r="Q2110" s="1526"/>
      <c r="R2110" s="60"/>
      <c r="S2110" s="1528"/>
      <c r="T2110" s="327"/>
      <c r="U2110" s="147"/>
      <c r="V2110" s="147"/>
      <c r="W2110" s="1455"/>
      <c r="X2110" s="60"/>
      <c r="Y2110" s="147"/>
      <c r="Z2110" s="60"/>
      <c r="AA2110" s="147"/>
      <c r="AB2110" s="147"/>
      <c r="AC2110" s="147"/>
      <c r="AD2110" s="147"/>
      <c r="AE2110" s="144"/>
      <c r="AF2110" s="144"/>
      <c r="AG2110" s="147"/>
      <c r="AH2110" s="147"/>
      <c r="AI2110" s="144"/>
      <c r="AJ2110" s="147"/>
      <c r="AK2110" s="147"/>
      <c r="AL2110" s="60"/>
      <c r="AM2110" s="60"/>
      <c r="AN2110" s="144"/>
      <c r="AO2110" s="144"/>
      <c r="AP2110" s="147"/>
      <c r="AQ2110" s="147"/>
      <c r="AR2110" s="144"/>
      <c r="AS2110" s="147"/>
      <c r="AT2110" s="147"/>
      <c r="AU2110" s="60"/>
      <c r="AV2110" s="410"/>
      <c r="AW2110" s="60"/>
    </row>
    <row r="2111">
      <c r="A2111" s="60"/>
      <c r="B2111" s="41"/>
      <c r="C2111" s="41"/>
      <c r="E2111" s="60"/>
      <c r="F2111" s="60"/>
      <c r="G2111" s="147"/>
      <c r="H2111" s="140"/>
      <c r="I2111" s="60"/>
      <c r="J2111" s="147"/>
      <c r="K2111" s="60"/>
      <c r="L2111" s="60"/>
      <c r="M2111" s="60"/>
      <c r="N2111" s="327"/>
      <c r="O2111" s="145"/>
      <c r="P2111" s="1572"/>
      <c r="Q2111" s="1526"/>
      <c r="R2111" s="60"/>
      <c r="S2111" s="1528"/>
      <c r="T2111" s="327"/>
      <c r="U2111" s="147"/>
      <c r="V2111" s="147"/>
      <c r="W2111" s="1455"/>
      <c r="X2111" s="60"/>
      <c r="Y2111" s="147"/>
      <c r="Z2111" s="60"/>
      <c r="AA2111" s="147"/>
      <c r="AB2111" s="147"/>
      <c r="AC2111" s="147"/>
      <c r="AD2111" s="147"/>
      <c r="AE2111" s="144"/>
      <c r="AF2111" s="144"/>
      <c r="AG2111" s="147"/>
      <c r="AH2111" s="147"/>
      <c r="AI2111" s="144"/>
      <c r="AJ2111" s="147"/>
      <c r="AK2111" s="147"/>
      <c r="AL2111" s="60"/>
      <c r="AM2111" s="60"/>
      <c r="AN2111" s="144"/>
      <c r="AO2111" s="144"/>
      <c r="AP2111" s="147"/>
      <c r="AQ2111" s="147"/>
      <c r="AR2111" s="144"/>
      <c r="AS2111" s="147"/>
      <c r="AT2111" s="147"/>
      <c r="AU2111" s="60"/>
      <c r="AV2111" s="410"/>
      <c r="AW2111" s="60"/>
    </row>
    <row r="2112">
      <c r="A2112" s="60"/>
      <c r="B2112" s="41"/>
      <c r="C2112" s="41"/>
      <c r="E2112" s="60"/>
      <c r="F2112" s="60"/>
      <c r="G2112" s="147"/>
      <c r="H2112" s="140"/>
      <c r="I2112" s="60"/>
      <c r="J2112" s="147"/>
      <c r="K2112" s="60"/>
      <c r="L2112" s="60"/>
      <c r="M2112" s="60"/>
      <c r="N2112" s="327"/>
      <c r="O2112" s="145"/>
      <c r="P2112" s="1572"/>
      <c r="Q2112" s="1526"/>
      <c r="R2112" s="60"/>
      <c r="S2112" s="1528"/>
      <c r="T2112" s="327"/>
      <c r="U2112" s="147"/>
      <c r="V2112" s="147"/>
      <c r="W2112" s="1455"/>
      <c r="X2112" s="60"/>
      <c r="Y2112" s="147"/>
      <c r="Z2112" s="60"/>
      <c r="AA2112" s="147"/>
      <c r="AB2112" s="147"/>
      <c r="AC2112" s="147"/>
      <c r="AD2112" s="147"/>
      <c r="AE2112" s="144"/>
      <c r="AF2112" s="144"/>
      <c r="AG2112" s="147"/>
      <c r="AH2112" s="147"/>
      <c r="AI2112" s="144"/>
      <c r="AJ2112" s="147"/>
      <c r="AK2112" s="147"/>
      <c r="AL2112" s="60"/>
      <c r="AM2112" s="60"/>
      <c r="AN2112" s="144"/>
      <c r="AO2112" s="144"/>
      <c r="AP2112" s="147"/>
      <c r="AQ2112" s="147"/>
      <c r="AR2112" s="144"/>
      <c r="AS2112" s="147"/>
      <c r="AT2112" s="147"/>
      <c r="AU2112" s="60"/>
      <c r="AV2112" s="410"/>
      <c r="AW2112" s="60"/>
    </row>
    <row r="2113">
      <c r="A2113" s="60"/>
      <c r="B2113" s="41"/>
      <c r="C2113" s="41"/>
      <c r="E2113" s="60"/>
      <c r="F2113" s="60"/>
      <c r="G2113" s="147"/>
      <c r="H2113" s="140"/>
      <c r="I2113" s="60"/>
      <c r="J2113" s="147"/>
      <c r="K2113" s="60"/>
      <c r="L2113" s="60"/>
      <c r="M2113" s="60"/>
      <c r="N2113" s="327"/>
      <c r="O2113" s="145"/>
      <c r="P2113" s="1572"/>
      <c r="Q2113" s="1526"/>
      <c r="R2113" s="60"/>
      <c r="S2113" s="1528"/>
      <c r="T2113" s="327"/>
      <c r="U2113" s="147"/>
      <c r="V2113" s="147"/>
      <c r="W2113" s="1455"/>
      <c r="X2113" s="60"/>
      <c r="Y2113" s="147"/>
      <c r="Z2113" s="60"/>
      <c r="AA2113" s="147"/>
      <c r="AB2113" s="147"/>
      <c r="AC2113" s="147"/>
      <c r="AD2113" s="147"/>
      <c r="AE2113" s="144"/>
      <c r="AF2113" s="144"/>
      <c r="AG2113" s="147"/>
      <c r="AH2113" s="147"/>
      <c r="AI2113" s="144"/>
      <c r="AJ2113" s="147"/>
      <c r="AK2113" s="147"/>
      <c r="AL2113" s="60"/>
      <c r="AM2113" s="60"/>
      <c r="AN2113" s="144"/>
      <c r="AO2113" s="144"/>
      <c r="AP2113" s="147"/>
      <c r="AQ2113" s="147"/>
      <c r="AR2113" s="144"/>
      <c r="AS2113" s="147"/>
      <c r="AT2113" s="147"/>
      <c r="AU2113" s="60"/>
      <c r="AV2113" s="410"/>
      <c r="AW2113" s="60"/>
    </row>
    <row r="2114">
      <c r="A2114" s="60"/>
      <c r="B2114" s="41"/>
      <c r="C2114" s="41"/>
      <c r="E2114" s="60"/>
      <c r="F2114" s="60"/>
      <c r="G2114" s="147"/>
      <c r="H2114" s="140"/>
      <c r="I2114" s="60"/>
      <c r="J2114" s="147"/>
      <c r="K2114" s="60"/>
      <c r="L2114" s="60"/>
      <c r="M2114" s="60"/>
      <c r="N2114" s="327"/>
      <c r="O2114" s="145"/>
      <c r="P2114" s="1572"/>
      <c r="Q2114" s="1526"/>
      <c r="R2114" s="60"/>
      <c r="S2114" s="1528"/>
      <c r="T2114" s="327"/>
      <c r="U2114" s="147"/>
      <c r="V2114" s="147"/>
      <c r="W2114" s="1455"/>
      <c r="X2114" s="60"/>
      <c r="Y2114" s="147"/>
      <c r="Z2114" s="60"/>
      <c r="AA2114" s="147"/>
      <c r="AB2114" s="147"/>
      <c r="AC2114" s="147"/>
      <c r="AD2114" s="147"/>
      <c r="AE2114" s="144"/>
      <c r="AF2114" s="144"/>
      <c r="AG2114" s="147"/>
      <c r="AH2114" s="147"/>
      <c r="AI2114" s="144"/>
      <c r="AJ2114" s="147"/>
      <c r="AK2114" s="147"/>
      <c r="AL2114" s="60"/>
      <c r="AM2114" s="60"/>
      <c r="AN2114" s="144"/>
      <c r="AO2114" s="144"/>
      <c r="AP2114" s="147"/>
      <c r="AQ2114" s="147"/>
      <c r="AR2114" s="144"/>
      <c r="AS2114" s="147"/>
      <c r="AT2114" s="147"/>
      <c r="AU2114" s="60"/>
      <c r="AV2114" s="410"/>
      <c r="AW2114" s="60"/>
    </row>
    <row r="2115">
      <c r="A2115" s="60"/>
      <c r="B2115" s="41"/>
      <c r="C2115" s="41"/>
      <c r="E2115" s="60"/>
      <c r="F2115" s="60"/>
      <c r="G2115" s="147"/>
      <c r="H2115" s="140"/>
      <c r="I2115" s="60"/>
      <c r="J2115" s="147"/>
      <c r="K2115" s="60"/>
      <c r="L2115" s="60"/>
      <c r="M2115" s="60"/>
      <c r="N2115" s="327"/>
      <c r="O2115" s="145"/>
      <c r="P2115" s="1572"/>
      <c r="Q2115" s="1526"/>
      <c r="R2115" s="60"/>
      <c r="S2115" s="1528"/>
      <c r="T2115" s="327"/>
      <c r="U2115" s="147"/>
      <c r="V2115" s="147"/>
      <c r="W2115" s="1455"/>
      <c r="X2115" s="60"/>
      <c r="Y2115" s="147"/>
      <c r="Z2115" s="60"/>
      <c r="AA2115" s="147"/>
      <c r="AB2115" s="147"/>
      <c r="AC2115" s="147"/>
      <c r="AD2115" s="147"/>
      <c r="AE2115" s="144"/>
      <c r="AF2115" s="144"/>
      <c r="AG2115" s="147"/>
      <c r="AH2115" s="147"/>
      <c r="AI2115" s="144"/>
      <c r="AJ2115" s="147"/>
      <c r="AK2115" s="147"/>
      <c r="AL2115" s="60"/>
      <c r="AM2115" s="60"/>
      <c r="AN2115" s="144"/>
      <c r="AO2115" s="144"/>
      <c r="AP2115" s="147"/>
      <c r="AQ2115" s="147"/>
      <c r="AR2115" s="144"/>
      <c r="AS2115" s="147"/>
      <c r="AT2115" s="147"/>
      <c r="AU2115" s="60"/>
      <c r="AV2115" s="410"/>
      <c r="AW2115" s="60"/>
    </row>
    <row r="2116">
      <c r="A2116" s="60"/>
      <c r="B2116" s="41"/>
      <c r="C2116" s="41"/>
      <c r="E2116" s="60"/>
      <c r="F2116" s="60"/>
      <c r="G2116" s="147"/>
      <c r="H2116" s="140"/>
      <c r="I2116" s="60"/>
      <c r="J2116" s="147"/>
      <c r="K2116" s="60"/>
      <c r="L2116" s="60"/>
      <c r="M2116" s="60"/>
      <c r="N2116" s="327"/>
      <c r="O2116" s="145"/>
      <c r="P2116" s="1572"/>
      <c r="Q2116" s="1526"/>
      <c r="R2116" s="60"/>
      <c r="S2116" s="1528"/>
      <c r="T2116" s="327"/>
      <c r="U2116" s="147"/>
      <c r="V2116" s="147"/>
      <c r="W2116" s="1455"/>
      <c r="X2116" s="60"/>
      <c r="Y2116" s="147"/>
      <c r="Z2116" s="60"/>
      <c r="AA2116" s="147"/>
      <c r="AB2116" s="147"/>
      <c r="AC2116" s="147"/>
      <c r="AD2116" s="147"/>
      <c r="AE2116" s="144"/>
      <c r="AF2116" s="144"/>
      <c r="AG2116" s="147"/>
      <c r="AH2116" s="147"/>
      <c r="AI2116" s="144"/>
      <c r="AJ2116" s="147"/>
      <c r="AK2116" s="147"/>
      <c r="AL2116" s="60"/>
      <c r="AM2116" s="60"/>
      <c r="AN2116" s="144"/>
      <c r="AO2116" s="144"/>
      <c r="AP2116" s="147"/>
      <c r="AQ2116" s="147"/>
      <c r="AR2116" s="144"/>
      <c r="AS2116" s="147"/>
      <c r="AT2116" s="147"/>
      <c r="AU2116" s="60"/>
      <c r="AV2116" s="410"/>
      <c r="AW2116" s="60"/>
    </row>
    <row r="2117">
      <c r="A2117" s="60"/>
      <c r="B2117" s="41"/>
      <c r="C2117" s="41"/>
      <c r="E2117" s="60"/>
      <c r="F2117" s="60"/>
      <c r="G2117" s="147"/>
      <c r="H2117" s="140"/>
      <c r="I2117" s="60"/>
      <c r="J2117" s="147"/>
      <c r="K2117" s="60"/>
      <c r="L2117" s="60"/>
      <c r="M2117" s="60"/>
      <c r="N2117" s="327"/>
      <c r="O2117" s="145"/>
      <c r="P2117" s="1572"/>
      <c r="Q2117" s="1526"/>
      <c r="R2117" s="60"/>
      <c r="S2117" s="1528"/>
      <c r="T2117" s="327"/>
      <c r="U2117" s="147"/>
      <c r="V2117" s="147"/>
      <c r="W2117" s="1455"/>
      <c r="X2117" s="60"/>
      <c r="Y2117" s="147"/>
      <c r="Z2117" s="60"/>
      <c r="AA2117" s="147"/>
      <c r="AB2117" s="147"/>
      <c r="AC2117" s="147"/>
      <c r="AD2117" s="147"/>
      <c r="AE2117" s="144"/>
      <c r="AF2117" s="144"/>
      <c r="AG2117" s="147"/>
      <c r="AH2117" s="147"/>
      <c r="AI2117" s="144"/>
      <c r="AJ2117" s="147"/>
      <c r="AK2117" s="147"/>
      <c r="AL2117" s="60"/>
      <c r="AM2117" s="60"/>
      <c r="AN2117" s="144"/>
      <c r="AO2117" s="144"/>
      <c r="AP2117" s="147"/>
      <c r="AQ2117" s="147"/>
      <c r="AR2117" s="144"/>
      <c r="AS2117" s="147"/>
      <c r="AT2117" s="147"/>
      <c r="AU2117" s="60"/>
      <c r="AV2117" s="410"/>
      <c r="AW2117" s="60"/>
    </row>
    <row r="2118">
      <c r="A2118" s="60"/>
      <c r="B2118" s="41"/>
      <c r="C2118" s="41"/>
      <c r="E2118" s="60"/>
      <c r="F2118" s="60"/>
      <c r="G2118" s="147"/>
      <c r="H2118" s="140"/>
      <c r="I2118" s="60"/>
      <c r="J2118" s="147"/>
      <c r="K2118" s="60"/>
      <c r="L2118" s="60"/>
      <c r="M2118" s="60"/>
      <c r="N2118" s="327"/>
      <c r="O2118" s="145"/>
      <c r="P2118" s="1572"/>
      <c r="Q2118" s="1526"/>
      <c r="R2118" s="60"/>
      <c r="S2118" s="1528"/>
      <c r="T2118" s="327"/>
      <c r="U2118" s="147"/>
      <c r="V2118" s="147"/>
      <c r="W2118" s="1455"/>
      <c r="X2118" s="60"/>
      <c r="Y2118" s="147"/>
      <c r="Z2118" s="60"/>
      <c r="AA2118" s="147"/>
      <c r="AB2118" s="147"/>
      <c r="AC2118" s="147"/>
      <c r="AD2118" s="147"/>
      <c r="AE2118" s="144"/>
      <c r="AF2118" s="144"/>
      <c r="AG2118" s="147"/>
      <c r="AH2118" s="147"/>
      <c r="AI2118" s="144"/>
      <c r="AJ2118" s="147"/>
      <c r="AK2118" s="147"/>
      <c r="AL2118" s="60"/>
      <c r="AM2118" s="60"/>
      <c r="AN2118" s="144"/>
      <c r="AO2118" s="144"/>
      <c r="AP2118" s="147"/>
      <c r="AQ2118" s="147"/>
      <c r="AR2118" s="144"/>
      <c r="AS2118" s="147"/>
      <c r="AT2118" s="147"/>
      <c r="AU2118" s="60"/>
      <c r="AV2118" s="410"/>
      <c r="AW2118" s="60"/>
    </row>
    <row r="2119">
      <c r="A2119" s="60"/>
      <c r="B2119" s="41"/>
      <c r="C2119" s="41"/>
      <c r="E2119" s="60"/>
      <c r="F2119" s="60"/>
      <c r="G2119" s="147"/>
      <c r="H2119" s="140"/>
      <c r="I2119" s="60"/>
      <c r="J2119" s="147"/>
      <c r="K2119" s="60"/>
      <c r="L2119" s="60"/>
      <c r="M2119" s="60"/>
      <c r="N2119" s="327"/>
      <c r="O2119" s="145"/>
      <c r="P2119" s="1572"/>
      <c r="Q2119" s="1526"/>
      <c r="R2119" s="60"/>
      <c r="S2119" s="1528"/>
      <c r="T2119" s="327"/>
      <c r="U2119" s="147"/>
      <c r="V2119" s="147"/>
      <c r="W2119" s="1455"/>
      <c r="X2119" s="60"/>
      <c r="Y2119" s="147"/>
      <c r="Z2119" s="60"/>
      <c r="AA2119" s="147"/>
      <c r="AB2119" s="147"/>
      <c r="AC2119" s="147"/>
      <c r="AD2119" s="147"/>
      <c r="AE2119" s="144"/>
      <c r="AF2119" s="144"/>
      <c r="AG2119" s="147"/>
      <c r="AH2119" s="147"/>
      <c r="AI2119" s="144"/>
      <c r="AJ2119" s="147"/>
      <c r="AK2119" s="147"/>
      <c r="AL2119" s="60"/>
      <c r="AM2119" s="60"/>
      <c r="AN2119" s="144"/>
      <c r="AO2119" s="144"/>
      <c r="AP2119" s="147"/>
      <c r="AQ2119" s="147"/>
      <c r="AR2119" s="144"/>
      <c r="AS2119" s="147"/>
      <c r="AT2119" s="147"/>
      <c r="AU2119" s="60"/>
      <c r="AV2119" s="410"/>
      <c r="AW2119" s="60"/>
    </row>
    <row r="2120">
      <c r="A2120" s="60"/>
      <c r="B2120" s="41"/>
      <c r="C2120" s="41"/>
      <c r="E2120" s="60"/>
      <c r="F2120" s="60"/>
      <c r="G2120" s="147"/>
      <c r="H2120" s="140"/>
      <c r="I2120" s="60"/>
      <c r="J2120" s="147"/>
      <c r="K2120" s="60"/>
      <c r="L2120" s="60"/>
      <c r="M2120" s="60"/>
      <c r="N2120" s="327"/>
      <c r="O2120" s="145"/>
      <c r="P2120" s="1572"/>
      <c r="Q2120" s="1526"/>
      <c r="R2120" s="60"/>
      <c r="S2120" s="1528"/>
      <c r="T2120" s="327"/>
      <c r="U2120" s="147"/>
      <c r="V2120" s="147"/>
      <c r="W2120" s="1455"/>
      <c r="X2120" s="60"/>
      <c r="Y2120" s="147"/>
      <c r="Z2120" s="60"/>
      <c r="AA2120" s="147"/>
      <c r="AB2120" s="147"/>
      <c r="AC2120" s="147"/>
      <c r="AD2120" s="147"/>
      <c r="AE2120" s="144"/>
      <c r="AF2120" s="144"/>
      <c r="AG2120" s="147"/>
      <c r="AH2120" s="147"/>
      <c r="AI2120" s="144"/>
      <c r="AJ2120" s="147"/>
      <c r="AK2120" s="147"/>
      <c r="AL2120" s="60"/>
      <c r="AM2120" s="60"/>
      <c r="AN2120" s="144"/>
      <c r="AO2120" s="144"/>
      <c r="AP2120" s="147"/>
      <c r="AQ2120" s="147"/>
      <c r="AR2120" s="144"/>
      <c r="AS2120" s="147"/>
      <c r="AT2120" s="147"/>
      <c r="AU2120" s="60"/>
      <c r="AV2120" s="410"/>
      <c r="AW2120" s="60"/>
    </row>
    <row r="2121">
      <c r="A2121" s="60"/>
      <c r="B2121" s="41"/>
      <c r="C2121" s="41"/>
      <c r="E2121" s="60"/>
      <c r="F2121" s="60"/>
      <c r="G2121" s="147"/>
      <c r="H2121" s="140"/>
      <c r="I2121" s="60"/>
      <c r="J2121" s="147"/>
      <c r="K2121" s="60"/>
      <c r="L2121" s="60"/>
      <c r="M2121" s="60"/>
      <c r="N2121" s="327"/>
      <c r="O2121" s="145"/>
      <c r="P2121" s="1572"/>
      <c r="Q2121" s="1526"/>
      <c r="R2121" s="60"/>
      <c r="S2121" s="1528"/>
      <c r="T2121" s="327"/>
      <c r="U2121" s="147"/>
      <c r="V2121" s="147"/>
      <c r="W2121" s="1455"/>
      <c r="X2121" s="60"/>
      <c r="Y2121" s="147"/>
      <c r="Z2121" s="60"/>
      <c r="AA2121" s="147"/>
      <c r="AB2121" s="147"/>
      <c r="AC2121" s="147"/>
      <c r="AD2121" s="147"/>
      <c r="AE2121" s="144"/>
      <c r="AF2121" s="144"/>
      <c r="AG2121" s="147"/>
      <c r="AH2121" s="147"/>
      <c r="AI2121" s="144"/>
      <c r="AJ2121" s="147"/>
      <c r="AK2121" s="147"/>
      <c r="AL2121" s="60"/>
      <c r="AM2121" s="60"/>
      <c r="AN2121" s="144"/>
      <c r="AO2121" s="144"/>
      <c r="AP2121" s="147"/>
      <c r="AQ2121" s="147"/>
      <c r="AR2121" s="144"/>
      <c r="AS2121" s="147"/>
      <c r="AT2121" s="147"/>
      <c r="AU2121" s="60"/>
      <c r="AV2121" s="410"/>
      <c r="AW2121" s="60"/>
    </row>
    <row r="2122">
      <c r="A2122" s="60"/>
      <c r="B2122" s="41"/>
      <c r="C2122" s="41"/>
      <c r="E2122" s="60"/>
      <c r="F2122" s="60"/>
      <c r="G2122" s="147"/>
      <c r="H2122" s="140"/>
      <c r="I2122" s="60"/>
      <c r="J2122" s="147"/>
      <c r="K2122" s="60"/>
      <c r="L2122" s="60"/>
      <c r="M2122" s="60"/>
      <c r="N2122" s="327"/>
      <c r="O2122" s="145"/>
      <c r="P2122" s="1572"/>
      <c r="Q2122" s="1526"/>
      <c r="R2122" s="60"/>
      <c r="S2122" s="1528"/>
      <c r="T2122" s="327"/>
      <c r="U2122" s="147"/>
      <c r="V2122" s="147"/>
      <c r="W2122" s="1455"/>
      <c r="X2122" s="60"/>
      <c r="Y2122" s="147"/>
      <c r="Z2122" s="60"/>
      <c r="AA2122" s="147"/>
      <c r="AB2122" s="147"/>
      <c r="AC2122" s="147"/>
      <c r="AD2122" s="147"/>
      <c r="AE2122" s="144"/>
      <c r="AF2122" s="144"/>
      <c r="AG2122" s="147"/>
      <c r="AH2122" s="147"/>
      <c r="AI2122" s="144"/>
      <c r="AJ2122" s="147"/>
      <c r="AK2122" s="147"/>
      <c r="AL2122" s="60"/>
      <c r="AM2122" s="60"/>
      <c r="AN2122" s="144"/>
      <c r="AO2122" s="144"/>
      <c r="AP2122" s="147"/>
      <c r="AQ2122" s="147"/>
      <c r="AR2122" s="144"/>
      <c r="AS2122" s="147"/>
      <c r="AT2122" s="147"/>
      <c r="AU2122" s="60"/>
      <c r="AV2122" s="410"/>
      <c r="AW2122" s="60"/>
    </row>
    <row r="2123">
      <c r="A2123" s="60"/>
      <c r="B2123" s="41"/>
      <c r="C2123" s="41"/>
      <c r="E2123" s="60"/>
      <c r="F2123" s="60"/>
      <c r="G2123" s="147"/>
      <c r="H2123" s="140"/>
      <c r="I2123" s="60"/>
      <c r="J2123" s="147"/>
      <c r="K2123" s="60"/>
      <c r="L2123" s="60"/>
      <c r="M2123" s="60"/>
      <c r="N2123" s="327"/>
      <c r="O2123" s="145"/>
      <c r="P2123" s="1572"/>
      <c r="Q2123" s="1526"/>
      <c r="R2123" s="60"/>
      <c r="S2123" s="1528"/>
      <c r="T2123" s="327"/>
      <c r="U2123" s="147"/>
      <c r="V2123" s="147"/>
      <c r="W2123" s="1455"/>
      <c r="X2123" s="60"/>
      <c r="Y2123" s="147"/>
      <c r="Z2123" s="60"/>
      <c r="AA2123" s="147"/>
      <c r="AB2123" s="147"/>
      <c r="AC2123" s="147"/>
      <c r="AD2123" s="147"/>
      <c r="AE2123" s="144"/>
      <c r="AF2123" s="144"/>
      <c r="AG2123" s="147"/>
      <c r="AH2123" s="147"/>
      <c r="AI2123" s="144"/>
      <c r="AJ2123" s="147"/>
      <c r="AK2123" s="147"/>
      <c r="AL2123" s="60"/>
      <c r="AM2123" s="60"/>
      <c r="AN2123" s="144"/>
      <c r="AO2123" s="144"/>
      <c r="AP2123" s="147"/>
      <c r="AQ2123" s="147"/>
      <c r="AR2123" s="144"/>
      <c r="AS2123" s="147"/>
      <c r="AT2123" s="147"/>
      <c r="AU2123" s="60"/>
      <c r="AV2123" s="410"/>
      <c r="AW2123" s="60"/>
    </row>
    <row r="2124">
      <c r="A2124" s="60"/>
      <c r="B2124" s="41"/>
      <c r="C2124" s="41"/>
      <c r="E2124" s="60"/>
      <c r="F2124" s="60"/>
      <c r="G2124" s="147"/>
      <c r="H2124" s="140"/>
      <c r="I2124" s="60"/>
      <c r="J2124" s="147"/>
      <c r="K2124" s="60"/>
      <c r="L2124" s="60"/>
      <c r="M2124" s="60"/>
      <c r="N2124" s="327"/>
      <c r="O2124" s="145"/>
      <c r="P2124" s="1572"/>
      <c r="Q2124" s="1526"/>
      <c r="R2124" s="60"/>
      <c r="S2124" s="1528"/>
      <c r="T2124" s="327"/>
      <c r="U2124" s="147"/>
      <c r="V2124" s="147"/>
      <c r="W2124" s="1455"/>
      <c r="X2124" s="60"/>
      <c r="Y2124" s="147"/>
      <c r="Z2124" s="60"/>
      <c r="AA2124" s="147"/>
      <c r="AB2124" s="147"/>
      <c r="AC2124" s="147"/>
      <c r="AD2124" s="147"/>
      <c r="AE2124" s="144"/>
      <c r="AF2124" s="144"/>
      <c r="AG2124" s="147"/>
      <c r="AH2124" s="147"/>
      <c r="AI2124" s="144"/>
      <c r="AJ2124" s="147"/>
      <c r="AK2124" s="147"/>
      <c r="AL2124" s="60"/>
      <c r="AM2124" s="60"/>
      <c r="AN2124" s="144"/>
      <c r="AO2124" s="144"/>
      <c r="AP2124" s="147"/>
      <c r="AQ2124" s="147"/>
      <c r="AR2124" s="144"/>
      <c r="AS2124" s="147"/>
      <c r="AT2124" s="147"/>
      <c r="AU2124" s="60"/>
      <c r="AV2124" s="410"/>
      <c r="AW2124" s="60"/>
    </row>
    <row r="2125">
      <c r="A2125" s="60"/>
      <c r="B2125" s="41"/>
      <c r="C2125" s="41"/>
      <c r="E2125" s="60"/>
      <c r="F2125" s="60"/>
      <c r="G2125" s="147"/>
      <c r="H2125" s="140"/>
      <c r="I2125" s="60"/>
      <c r="J2125" s="147"/>
      <c r="K2125" s="60"/>
      <c r="L2125" s="60"/>
      <c r="M2125" s="60"/>
      <c r="N2125" s="327"/>
      <c r="O2125" s="145"/>
      <c r="P2125" s="1572"/>
      <c r="Q2125" s="1526"/>
      <c r="R2125" s="60"/>
      <c r="S2125" s="1528"/>
      <c r="T2125" s="327"/>
      <c r="U2125" s="147"/>
      <c r="V2125" s="147"/>
      <c r="W2125" s="1455"/>
      <c r="X2125" s="60"/>
      <c r="Y2125" s="147"/>
      <c r="Z2125" s="60"/>
      <c r="AA2125" s="147"/>
      <c r="AB2125" s="147"/>
      <c r="AC2125" s="147"/>
      <c r="AD2125" s="147"/>
      <c r="AE2125" s="144"/>
      <c r="AF2125" s="144"/>
      <c r="AG2125" s="147"/>
      <c r="AH2125" s="147"/>
      <c r="AI2125" s="144"/>
      <c r="AJ2125" s="147"/>
      <c r="AK2125" s="147"/>
      <c r="AL2125" s="60"/>
      <c r="AM2125" s="60"/>
      <c r="AN2125" s="144"/>
      <c r="AO2125" s="144"/>
      <c r="AP2125" s="147"/>
      <c r="AQ2125" s="147"/>
      <c r="AR2125" s="144"/>
      <c r="AS2125" s="147"/>
      <c r="AT2125" s="147"/>
      <c r="AU2125" s="60"/>
      <c r="AV2125" s="410"/>
      <c r="AW2125" s="60"/>
    </row>
    <row r="2126">
      <c r="A2126" s="60"/>
      <c r="B2126" s="41"/>
      <c r="C2126" s="41"/>
      <c r="E2126" s="60"/>
      <c r="F2126" s="60"/>
      <c r="G2126" s="147"/>
      <c r="H2126" s="140"/>
      <c r="I2126" s="60"/>
      <c r="J2126" s="147"/>
      <c r="K2126" s="60"/>
      <c r="L2126" s="60"/>
      <c r="M2126" s="60"/>
      <c r="N2126" s="327"/>
      <c r="O2126" s="145"/>
      <c r="P2126" s="1572"/>
      <c r="Q2126" s="1526"/>
      <c r="R2126" s="60"/>
      <c r="S2126" s="1528"/>
      <c r="T2126" s="327"/>
      <c r="U2126" s="147"/>
      <c r="V2126" s="147"/>
      <c r="W2126" s="1455"/>
      <c r="X2126" s="60"/>
      <c r="Y2126" s="147"/>
      <c r="Z2126" s="60"/>
      <c r="AA2126" s="147"/>
      <c r="AB2126" s="147"/>
      <c r="AC2126" s="147"/>
      <c r="AD2126" s="147"/>
      <c r="AE2126" s="144"/>
      <c r="AF2126" s="144"/>
      <c r="AG2126" s="147"/>
      <c r="AH2126" s="147"/>
      <c r="AI2126" s="144"/>
      <c r="AJ2126" s="147"/>
      <c r="AK2126" s="147"/>
      <c r="AL2126" s="60"/>
      <c r="AM2126" s="60"/>
      <c r="AN2126" s="144"/>
      <c r="AO2126" s="144"/>
      <c r="AP2126" s="147"/>
      <c r="AQ2126" s="147"/>
      <c r="AR2126" s="144"/>
      <c r="AS2126" s="147"/>
      <c r="AT2126" s="147"/>
      <c r="AU2126" s="60"/>
      <c r="AV2126" s="410"/>
      <c r="AW2126" s="60"/>
    </row>
    <row r="2127">
      <c r="A2127" s="60"/>
      <c r="B2127" s="41"/>
      <c r="C2127" s="41"/>
      <c r="E2127" s="60"/>
      <c r="F2127" s="60"/>
      <c r="G2127" s="147"/>
      <c r="H2127" s="140"/>
      <c r="I2127" s="60"/>
      <c r="J2127" s="147"/>
      <c r="K2127" s="60"/>
      <c r="L2127" s="60"/>
      <c r="M2127" s="60"/>
      <c r="N2127" s="327"/>
      <c r="O2127" s="145"/>
      <c r="P2127" s="1572"/>
      <c r="Q2127" s="1526"/>
      <c r="R2127" s="60"/>
      <c r="S2127" s="1528"/>
      <c r="T2127" s="327"/>
      <c r="U2127" s="147"/>
      <c r="V2127" s="147"/>
      <c r="W2127" s="1455"/>
      <c r="X2127" s="60"/>
      <c r="Y2127" s="147"/>
      <c r="Z2127" s="60"/>
      <c r="AA2127" s="147"/>
      <c r="AB2127" s="147"/>
      <c r="AC2127" s="147"/>
      <c r="AD2127" s="147"/>
      <c r="AE2127" s="144"/>
      <c r="AF2127" s="144"/>
      <c r="AG2127" s="147"/>
      <c r="AH2127" s="147"/>
      <c r="AI2127" s="144"/>
      <c r="AJ2127" s="147"/>
      <c r="AK2127" s="147"/>
      <c r="AL2127" s="60"/>
      <c r="AM2127" s="60"/>
      <c r="AN2127" s="144"/>
      <c r="AO2127" s="144"/>
      <c r="AP2127" s="147"/>
      <c r="AQ2127" s="147"/>
      <c r="AR2127" s="144"/>
      <c r="AS2127" s="147"/>
      <c r="AT2127" s="147"/>
      <c r="AU2127" s="60"/>
      <c r="AV2127" s="410"/>
      <c r="AW2127" s="60"/>
    </row>
    <row r="2128">
      <c r="A2128" s="60"/>
      <c r="B2128" s="41"/>
      <c r="C2128" s="41"/>
      <c r="E2128" s="60"/>
      <c r="F2128" s="60"/>
      <c r="G2128" s="147"/>
      <c r="H2128" s="140"/>
      <c r="I2128" s="60"/>
      <c r="J2128" s="147"/>
      <c r="K2128" s="60"/>
      <c r="L2128" s="60"/>
      <c r="M2128" s="60"/>
      <c r="N2128" s="327"/>
      <c r="O2128" s="145"/>
      <c r="P2128" s="1572"/>
      <c r="Q2128" s="1526"/>
      <c r="R2128" s="60"/>
      <c r="S2128" s="1528"/>
      <c r="T2128" s="327"/>
      <c r="U2128" s="147"/>
      <c r="V2128" s="147"/>
      <c r="W2128" s="1455"/>
      <c r="X2128" s="60"/>
      <c r="Y2128" s="147"/>
      <c r="Z2128" s="60"/>
      <c r="AA2128" s="147"/>
      <c r="AB2128" s="147"/>
      <c r="AC2128" s="147"/>
      <c r="AD2128" s="147"/>
      <c r="AE2128" s="144"/>
      <c r="AF2128" s="144"/>
      <c r="AG2128" s="147"/>
      <c r="AH2128" s="147"/>
      <c r="AI2128" s="144"/>
      <c r="AJ2128" s="147"/>
      <c r="AK2128" s="147"/>
      <c r="AL2128" s="60"/>
      <c r="AM2128" s="60"/>
      <c r="AN2128" s="144"/>
      <c r="AO2128" s="144"/>
      <c r="AP2128" s="147"/>
      <c r="AQ2128" s="147"/>
      <c r="AR2128" s="144"/>
      <c r="AS2128" s="147"/>
      <c r="AT2128" s="147"/>
      <c r="AU2128" s="60"/>
      <c r="AV2128" s="410"/>
      <c r="AW2128" s="60"/>
    </row>
    <row r="2129">
      <c r="A2129" s="60"/>
      <c r="B2129" s="41"/>
      <c r="C2129" s="41"/>
      <c r="E2129" s="60"/>
      <c r="F2129" s="60"/>
      <c r="G2129" s="147"/>
      <c r="H2129" s="140"/>
      <c r="I2129" s="60"/>
      <c r="J2129" s="147"/>
      <c r="K2129" s="60"/>
      <c r="L2129" s="60"/>
      <c r="M2129" s="60"/>
      <c r="N2129" s="327"/>
      <c r="O2129" s="145"/>
      <c r="P2129" s="1572"/>
      <c r="Q2129" s="1526"/>
      <c r="R2129" s="60"/>
      <c r="S2129" s="1528"/>
      <c r="T2129" s="327"/>
      <c r="U2129" s="147"/>
      <c r="V2129" s="147"/>
      <c r="W2129" s="1455"/>
      <c r="X2129" s="60"/>
      <c r="Y2129" s="147"/>
      <c r="Z2129" s="60"/>
      <c r="AA2129" s="147"/>
      <c r="AB2129" s="147"/>
      <c r="AC2129" s="147"/>
      <c r="AD2129" s="147"/>
      <c r="AE2129" s="144"/>
      <c r="AF2129" s="144"/>
      <c r="AG2129" s="147"/>
      <c r="AH2129" s="147"/>
      <c r="AI2129" s="144"/>
      <c r="AJ2129" s="147"/>
      <c r="AK2129" s="147"/>
      <c r="AL2129" s="60"/>
      <c r="AM2129" s="60"/>
      <c r="AN2129" s="144"/>
      <c r="AO2129" s="144"/>
      <c r="AP2129" s="147"/>
      <c r="AQ2129" s="147"/>
      <c r="AR2129" s="144"/>
      <c r="AS2129" s="147"/>
      <c r="AT2129" s="147"/>
      <c r="AU2129" s="60"/>
      <c r="AV2129" s="410"/>
      <c r="AW2129" s="60"/>
    </row>
    <row r="2130">
      <c r="A2130" s="60"/>
      <c r="B2130" s="41"/>
      <c r="C2130" s="41"/>
      <c r="E2130" s="60"/>
      <c r="F2130" s="60"/>
      <c r="G2130" s="147"/>
      <c r="H2130" s="140"/>
      <c r="I2130" s="60"/>
      <c r="J2130" s="147"/>
      <c r="K2130" s="60"/>
      <c r="L2130" s="60"/>
      <c r="M2130" s="60"/>
      <c r="N2130" s="327"/>
      <c r="O2130" s="145"/>
      <c r="P2130" s="1572"/>
      <c r="Q2130" s="1526"/>
      <c r="R2130" s="60"/>
      <c r="S2130" s="1528"/>
      <c r="T2130" s="327"/>
      <c r="U2130" s="147"/>
      <c r="V2130" s="147"/>
      <c r="W2130" s="1455"/>
      <c r="X2130" s="60"/>
      <c r="Y2130" s="147"/>
      <c r="Z2130" s="60"/>
      <c r="AA2130" s="147"/>
      <c r="AB2130" s="147"/>
      <c r="AC2130" s="147"/>
      <c r="AD2130" s="147"/>
      <c r="AE2130" s="144"/>
      <c r="AF2130" s="144"/>
      <c r="AG2130" s="147"/>
      <c r="AH2130" s="147"/>
      <c r="AI2130" s="144"/>
      <c r="AJ2130" s="147"/>
      <c r="AK2130" s="147"/>
      <c r="AL2130" s="60"/>
      <c r="AM2130" s="60"/>
      <c r="AN2130" s="144"/>
      <c r="AO2130" s="144"/>
      <c r="AP2130" s="147"/>
      <c r="AQ2130" s="147"/>
      <c r="AR2130" s="144"/>
      <c r="AS2130" s="147"/>
      <c r="AT2130" s="147"/>
      <c r="AU2130" s="60"/>
      <c r="AV2130" s="410"/>
      <c r="AW2130" s="60"/>
    </row>
    <row r="2131">
      <c r="A2131" s="60"/>
      <c r="B2131" s="41"/>
      <c r="C2131" s="41"/>
      <c r="E2131" s="60"/>
      <c r="F2131" s="60"/>
      <c r="G2131" s="147"/>
      <c r="H2131" s="140"/>
      <c r="I2131" s="60"/>
      <c r="J2131" s="147"/>
      <c r="K2131" s="60"/>
      <c r="L2131" s="60"/>
      <c r="M2131" s="60"/>
      <c r="N2131" s="327"/>
      <c r="O2131" s="145"/>
      <c r="P2131" s="1572"/>
      <c r="Q2131" s="1526"/>
      <c r="R2131" s="60"/>
      <c r="S2131" s="1528"/>
      <c r="T2131" s="327"/>
      <c r="U2131" s="147"/>
      <c r="V2131" s="147"/>
      <c r="W2131" s="1455"/>
      <c r="X2131" s="60"/>
      <c r="Y2131" s="147"/>
      <c r="Z2131" s="60"/>
      <c r="AA2131" s="147"/>
      <c r="AB2131" s="147"/>
      <c r="AC2131" s="147"/>
      <c r="AD2131" s="147"/>
      <c r="AE2131" s="144"/>
      <c r="AF2131" s="144"/>
      <c r="AG2131" s="147"/>
      <c r="AH2131" s="147"/>
      <c r="AI2131" s="144"/>
      <c r="AJ2131" s="147"/>
      <c r="AK2131" s="147"/>
      <c r="AL2131" s="60"/>
      <c r="AM2131" s="60"/>
      <c r="AN2131" s="144"/>
      <c r="AO2131" s="144"/>
      <c r="AP2131" s="147"/>
      <c r="AQ2131" s="147"/>
      <c r="AR2131" s="144"/>
      <c r="AS2131" s="147"/>
      <c r="AT2131" s="147"/>
      <c r="AU2131" s="60"/>
      <c r="AV2131" s="410"/>
      <c r="AW2131" s="60"/>
    </row>
    <row r="2132">
      <c r="A2132" s="60"/>
      <c r="B2132" s="41"/>
      <c r="C2132" s="41"/>
      <c r="E2132" s="60"/>
      <c r="F2132" s="60"/>
      <c r="G2132" s="147"/>
      <c r="H2132" s="140"/>
      <c r="I2132" s="60"/>
      <c r="J2132" s="147"/>
      <c r="K2132" s="60"/>
      <c r="L2132" s="60"/>
      <c r="M2132" s="60"/>
      <c r="N2132" s="327"/>
      <c r="O2132" s="145"/>
      <c r="P2132" s="1572"/>
      <c r="Q2132" s="1526"/>
      <c r="R2132" s="60"/>
      <c r="S2132" s="1528"/>
      <c r="T2132" s="327"/>
      <c r="U2132" s="147"/>
      <c r="V2132" s="147"/>
      <c r="W2132" s="1455"/>
      <c r="X2132" s="60"/>
      <c r="Y2132" s="147"/>
      <c r="Z2132" s="60"/>
      <c r="AA2132" s="147"/>
      <c r="AB2132" s="147"/>
      <c r="AC2132" s="147"/>
      <c r="AD2132" s="147"/>
      <c r="AE2132" s="144"/>
      <c r="AF2132" s="144"/>
      <c r="AG2132" s="147"/>
      <c r="AH2132" s="147"/>
      <c r="AI2132" s="144"/>
      <c r="AJ2132" s="147"/>
      <c r="AK2132" s="147"/>
      <c r="AL2132" s="60"/>
      <c r="AM2132" s="60"/>
      <c r="AN2132" s="144"/>
      <c r="AO2132" s="144"/>
      <c r="AP2132" s="147"/>
      <c r="AQ2132" s="147"/>
      <c r="AR2132" s="144"/>
      <c r="AS2132" s="147"/>
      <c r="AT2132" s="147"/>
      <c r="AU2132" s="60"/>
      <c r="AV2132" s="410"/>
      <c r="AW2132" s="60"/>
    </row>
    <row r="2133">
      <c r="A2133" s="60"/>
      <c r="B2133" s="41"/>
      <c r="C2133" s="41"/>
      <c r="E2133" s="60"/>
      <c r="F2133" s="60"/>
      <c r="G2133" s="147"/>
      <c r="H2133" s="140"/>
      <c r="I2133" s="60"/>
      <c r="J2133" s="147"/>
      <c r="K2133" s="60"/>
      <c r="L2133" s="60"/>
      <c r="M2133" s="60"/>
      <c r="N2133" s="327"/>
      <c r="O2133" s="145"/>
      <c r="P2133" s="1572"/>
      <c r="Q2133" s="1526"/>
      <c r="R2133" s="60"/>
      <c r="S2133" s="1528"/>
      <c r="T2133" s="327"/>
      <c r="U2133" s="147"/>
      <c r="V2133" s="147"/>
      <c r="W2133" s="1455"/>
      <c r="X2133" s="60"/>
      <c r="Y2133" s="147"/>
      <c r="Z2133" s="60"/>
      <c r="AA2133" s="147"/>
      <c r="AB2133" s="147"/>
      <c r="AC2133" s="147"/>
      <c r="AD2133" s="147"/>
      <c r="AE2133" s="144"/>
      <c r="AF2133" s="144"/>
      <c r="AG2133" s="147"/>
      <c r="AH2133" s="147"/>
      <c r="AI2133" s="144"/>
      <c r="AJ2133" s="147"/>
      <c r="AK2133" s="147"/>
      <c r="AL2133" s="60"/>
      <c r="AM2133" s="60"/>
      <c r="AN2133" s="144"/>
      <c r="AO2133" s="144"/>
      <c r="AP2133" s="147"/>
      <c r="AQ2133" s="147"/>
      <c r="AR2133" s="144"/>
      <c r="AS2133" s="147"/>
      <c r="AT2133" s="147"/>
      <c r="AU2133" s="60"/>
      <c r="AV2133" s="410"/>
      <c r="AW2133" s="60"/>
    </row>
    <row r="2134">
      <c r="A2134" s="60"/>
      <c r="B2134" s="41"/>
      <c r="C2134" s="41"/>
      <c r="E2134" s="60"/>
      <c r="F2134" s="60"/>
      <c r="G2134" s="147"/>
      <c r="H2134" s="140"/>
      <c r="I2134" s="60"/>
      <c r="J2134" s="147"/>
      <c r="K2134" s="60"/>
      <c r="L2134" s="60"/>
      <c r="M2134" s="60"/>
      <c r="N2134" s="327"/>
      <c r="O2134" s="145"/>
      <c r="P2134" s="1572"/>
      <c r="Q2134" s="1526"/>
      <c r="R2134" s="60"/>
      <c r="S2134" s="1528"/>
      <c r="T2134" s="327"/>
      <c r="U2134" s="147"/>
      <c r="V2134" s="147"/>
      <c r="W2134" s="1455"/>
      <c r="X2134" s="60"/>
      <c r="Y2134" s="147"/>
      <c r="Z2134" s="60"/>
      <c r="AA2134" s="147"/>
      <c r="AB2134" s="147"/>
      <c r="AC2134" s="147"/>
      <c r="AD2134" s="147"/>
      <c r="AE2134" s="144"/>
      <c r="AF2134" s="144"/>
      <c r="AG2134" s="147"/>
      <c r="AH2134" s="147"/>
      <c r="AI2134" s="144"/>
      <c r="AJ2134" s="147"/>
      <c r="AK2134" s="147"/>
      <c r="AL2134" s="60"/>
      <c r="AM2134" s="60"/>
      <c r="AN2134" s="144"/>
      <c r="AO2134" s="144"/>
      <c r="AP2134" s="147"/>
      <c r="AQ2134" s="147"/>
      <c r="AR2134" s="144"/>
      <c r="AS2134" s="147"/>
      <c r="AT2134" s="147"/>
      <c r="AU2134" s="60"/>
      <c r="AV2134" s="410"/>
      <c r="AW2134" s="60"/>
    </row>
    <row r="2135">
      <c r="A2135" s="60"/>
      <c r="B2135" s="41"/>
      <c r="C2135" s="41"/>
      <c r="E2135" s="60"/>
      <c r="F2135" s="60"/>
      <c r="G2135" s="147"/>
      <c r="H2135" s="140"/>
      <c r="I2135" s="60"/>
      <c r="J2135" s="147"/>
      <c r="K2135" s="60"/>
      <c r="L2135" s="60"/>
      <c r="M2135" s="60"/>
      <c r="N2135" s="327"/>
      <c r="O2135" s="145"/>
      <c r="P2135" s="1572"/>
      <c r="Q2135" s="1526"/>
      <c r="R2135" s="60"/>
      <c r="S2135" s="1528"/>
      <c r="T2135" s="327"/>
      <c r="U2135" s="147"/>
      <c r="V2135" s="147"/>
      <c r="W2135" s="1455"/>
      <c r="X2135" s="60"/>
      <c r="Y2135" s="147"/>
      <c r="Z2135" s="60"/>
      <c r="AA2135" s="147"/>
      <c r="AB2135" s="147"/>
      <c r="AC2135" s="147"/>
      <c r="AD2135" s="147"/>
      <c r="AE2135" s="144"/>
      <c r="AF2135" s="144"/>
      <c r="AG2135" s="147"/>
      <c r="AH2135" s="147"/>
      <c r="AI2135" s="144"/>
      <c r="AJ2135" s="147"/>
      <c r="AK2135" s="147"/>
      <c r="AL2135" s="60"/>
      <c r="AM2135" s="60"/>
      <c r="AN2135" s="144"/>
      <c r="AO2135" s="144"/>
      <c r="AP2135" s="147"/>
      <c r="AQ2135" s="147"/>
      <c r="AR2135" s="144"/>
      <c r="AS2135" s="147"/>
      <c r="AT2135" s="147"/>
      <c r="AU2135" s="60"/>
      <c r="AV2135" s="410"/>
      <c r="AW2135" s="60"/>
    </row>
    <row r="2136">
      <c r="A2136" s="60"/>
      <c r="B2136" s="41"/>
      <c r="C2136" s="41"/>
      <c r="E2136" s="60"/>
      <c r="F2136" s="60"/>
      <c r="G2136" s="147"/>
      <c r="H2136" s="140"/>
      <c r="I2136" s="60"/>
      <c r="J2136" s="147"/>
      <c r="K2136" s="60"/>
      <c r="L2136" s="60"/>
      <c r="M2136" s="60"/>
      <c r="N2136" s="327"/>
      <c r="O2136" s="145"/>
      <c r="P2136" s="1572"/>
      <c r="Q2136" s="1526"/>
      <c r="R2136" s="60"/>
      <c r="S2136" s="1528"/>
      <c r="T2136" s="327"/>
      <c r="U2136" s="147"/>
      <c r="V2136" s="147"/>
      <c r="W2136" s="1455"/>
      <c r="X2136" s="60"/>
      <c r="Y2136" s="147"/>
      <c r="Z2136" s="60"/>
      <c r="AA2136" s="147"/>
      <c r="AB2136" s="147"/>
      <c r="AC2136" s="147"/>
      <c r="AD2136" s="147"/>
      <c r="AE2136" s="144"/>
      <c r="AF2136" s="144"/>
      <c r="AG2136" s="147"/>
      <c r="AH2136" s="147"/>
      <c r="AI2136" s="144"/>
      <c r="AJ2136" s="147"/>
      <c r="AK2136" s="147"/>
      <c r="AL2136" s="60"/>
      <c r="AM2136" s="60"/>
      <c r="AN2136" s="144"/>
      <c r="AO2136" s="144"/>
      <c r="AP2136" s="147"/>
      <c r="AQ2136" s="147"/>
      <c r="AR2136" s="144"/>
      <c r="AS2136" s="147"/>
      <c r="AT2136" s="147"/>
      <c r="AU2136" s="60"/>
      <c r="AV2136" s="410"/>
      <c r="AW2136" s="60"/>
    </row>
    <row r="2137">
      <c r="A2137" s="60"/>
      <c r="B2137" s="41"/>
      <c r="C2137" s="41"/>
      <c r="E2137" s="60"/>
      <c r="F2137" s="60"/>
      <c r="G2137" s="147"/>
      <c r="H2137" s="140"/>
      <c r="I2137" s="60"/>
      <c r="J2137" s="147"/>
      <c r="K2137" s="60"/>
      <c r="L2137" s="60"/>
      <c r="M2137" s="60"/>
      <c r="N2137" s="327"/>
      <c r="O2137" s="145"/>
      <c r="P2137" s="1572"/>
      <c r="Q2137" s="1526"/>
      <c r="R2137" s="60"/>
      <c r="S2137" s="1528"/>
      <c r="T2137" s="327"/>
      <c r="U2137" s="147"/>
      <c r="V2137" s="147"/>
      <c r="W2137" s="1455"/>
      <c r="X2137" s="60"/>
      <c r="Y2137" s="147"/>
      <c r="Z2137" s="60"/>
      <c r="AA2137" s="147"/>
      <c r="AB2137" s="147"/>
      <c r="AC2137" s="147"/>
      <c r="AD2137" s="147"/>
      <c r="AE2137" s="144"/>
      <c r="AF2137" s="144"/>
      <c r="AG2137" s="147"/>
      <c r="AH2137" s="147"/>
      <c r="AI2137" s="144"/>
      <c r="AJ2137" s="147"/>
      <c r="AK2137" s="147"/>
      <c r="AL2137" s="60"/>
      <c r="AM2137" s="60"/>
      <c r="AN2137" s="144"/>
      <c r="AO2137" s="144"/>
      <c r="AP2137" s="147"/>
      <c r="AQ2137" s="147"/>
      <c r="AR2137" s="144"/>
      <c r="AS2137" s="147"/>
      <c r="AT2137" s="147"/>
      <c r="AU2137" s="60"/>
      <c r="AV2137" s="410"/>
      <c r="AW2137" s="60"/>
    </row>
    <row r="2138">
      <c r="A2138" s="60"/>
      <c r="B2138" s="41"/>
      <c r="C2138" s="41"/>
      <c r="E2138" s="60"/>
      <c r="F2138" s="60"/>
      <c r="G2138" s="147"/>
      <c r="H2138" s="140"/>
      <c r="I2138" s="60"/>
      <c r="J2138" s="147"/>
      <c r="K2138" s="60"/>
      <c r="L2138" s="60"/>
      <c r="M2138" s="60"/>
      <c r="N2138" s="327"/>
      <c r="O2138" s="145"/>
      <c r="P2138" s="1572"/>
      <c r="Q2138" s="1526"/>
      <c r="R2138" s="60"/>
      <c r="S2138" s="1528"/>
      <c r="T2138" s="327"/>
      <c r="U2138" s="147"/>
      <c r="V2138" s="147"/>
      <c r="W2138" s="1455"/>
      <c r="X2138" s="60"/>
      <c r="Y2138" s="147"/>
      <c r="Z2138" s="60"/>
      <c r="AA2138" s="147"/>
      <c r="AB2138" s="147"/>
      <c r="AC2138" s="147"/>
      <c r="AD2138" s="147"/>
      <c r="AE2138" s="144"/>
      <c r="AF2138" s="144"/>
      <c r="AG2138" s="147"/>
      <c r="AH2138" s="147"/>
      <c r="AI2138" s="144"/>
      <c r="AJ2138" s="147"/>
      <c r="AK2138" s="147"/>
      <c r="AL2138" s="60"/>
      <c r="AM2138" s="60"/>
      <c r="AN2138" s="144"/>
      <c r="AO2138" s="144"/>
      <c r="AP2138" s="147"/>
      <c r="AQ2138" s="147"/>
      <c r="AR2138" s="144"/>
      <c r="AS2138" s="147"/>
      <c r="AT2138" s="147"/>
      <c r="AU2138" s="60"/>
      <c r="AV2138" s="410"/>
      <c r="AW2138" s="60"/>
    </row>
    <row r="2139">
      <c r="A2139" s="60"/>
      <c r="B2139" s="41"/>
      <c r="C2139" s="41"/>
      <c r="E2139" s="60"/>
      <c r="F2139" s="60"/>
      <c r="G2139" s="147"/>
      <c r="H2139" s="140"/>
      <c r="I2139" s="60"/>
      <c r="J2139" s="147"/>
      <c r="K2139" s="60"/>
      <c r="L2139" s="60"/>
      <c r="M2139" s="60"/>
      <c r="N2139" s="327"/>
      <c r="O2139" s="145"/>
      <c r="P2139" s="1572"/>
      <c r="Q2139" s="1526"/>
      <c r="R2139" s="60"/>
      <c r="S2139" s="1528"/>
      <c r="T2139" s="327"/>
      <c r="U2139" s="147"/>
      <c r="V2139" s="147"/>
      <c r="W2139" s="1455"/>
      <c r="X2139" s="60"/>
      <c r="Y2139" s="147"/>
      <c r="Z2139" s="60"/>
      <c r="AA2139" s="147"/>
      <c r="AB2139" s="147"/>
      <c r="AC2139" s="147"/>
      <c r="AD2139" s="147"/>
      <c r="AE2139" s="144"/>
      <c r="AF2139" s="144"/>
      <c r="AG2139" s="147"/>
      <c r="AH2139" s="147"/>
      <c r="AI2139" s="144"/>
      <c r="AJ2139" s="147"/>
      <c r="AK2139" s="147"/>
      <c r="AL2139" s="60"/>
      <c r="AM2139" s="60"/>
      <c r="AN2139" s="144"/>
      <c r="AO2139" s="144"/>
      <c r="AP2139" s="147"/>
      <c r="AQ2139" s="147"/>
      <c r="AR2139" s="144"/>
      <c r="AS2139" s="147"/>
      <c r="AT2139" s="147"/>
      <c r="AU2139" s="60"/>
      <c r="AV2139" s="410"/>
      <c r="AW2139" s="60"/>
    </row>
    <row r="2140">
      <c r="A2140" s="60"/>
      <c r="B2140" s="41"/>
      <c r="C2140" s="41"/>
      <c r="E2140" s="60"/>
      <c r="F2140" s="60"/>
      <c r="G2140" s="147"/>
      <c r="H2140" s="140"/>
      <c r="I2140" s="60"/>
      <c r="J2140" s="147"/>
      <c r="K2140" s="60"/>
      <c r="L2140" s="60"/>
      <c r="M2140" s="60"/>
      <c r="N2140" s="327"/>
      <c r="O2140" s="145"/>
      <c r="P2140" s="1572"/>
      <c r="Q2140" s="1526"/>
      <c r="R2140" s="60"/>
      <c r="S2140" s="1528"/>
      <c r="T2140" s="327"/>
      <c r="U2140" s="147"/>
      <c r="V2140" s="147"/>
      <c r="W2140" s="1455"/>
      <c r="X2140" s="60"/>
      <c r="Y2140" s="147"/>
      <c r="Z2140" s="60"/>
      <c r="AA2140" s="147"/>
      <c r="AB2140" s="147"/>
      <c r="AC2140" s="147"/>
      <c r="AD2140" s="147"/>
      <c r="AE2140" s="144"/>
      <c r="AF2140" s="144"/>
      <c r="AG2140" s="147"/>
      <c r="AH2140" s="147"/>
      <c r="AI2140" s="144"/>
      <c r="AJ2140" s="147"/>
      <c r="AK2140" s="147"/>
      <c r="AL2140" s="60"/>
      <c r="AM2140" s="60"/>
      <c r="AN2140" s="144"/>
      <c r="AO2140" s="144"/>
      <c r="AP2140" s="147"/>
      <c r="AQ2140" s="147"/>
      <c r="AR2140" s="144"/>
      <c r="AS2140" s="147"/>
      <c r="AT2140" s="147"/>
      <c r="AU2140" s="60"/>
      <c r="AV2140" s="410"/>
      <c r="AW2140" s="60"/>
    </row>
    <row r="2141">
      <c r="A2141" s="60"/>
      <c r="B2141" s="41"/>
      <c r="C2141" s="41"/>
      <c r="E2141" s="60"/>
      <c r="F2141" s="60"/>
      <c r="G2141" s="147"/>
      <c r="H2141" s="140"/>
      <c r="I2141" s="60"/>
      <c r="J2141" s="147"/>
      <c r="K2141" s="60"/>
      <c r="L2141" s="60"/>
      <c r="M2141" s="60"/>
      <c r="N2141" s="327"/>
      <c r="O2141" s="145"/>
      <c r="P2141" s="1572"/>
      <c r="Q2141" s="1526"/>
      <c r="R2141" s="60"/>
      <c r="S2141" s="1528"/>
      <c r="T2141" s="327"/>
      <c r="U2141" s="147"/>
      <c r="V2141" s="147"/>
      <c r="W2141" s="1455"/>
      <c r="X2141" s="60"/>
      <c r="Y2141" s="147"/>
      <c r="Z2141" s="60"/>
      <c r="AA2141" s="147"/>
      <c r="AB2141" s="147"/>
      <c r="AC2141" s="147"/>
      <c r="AD2141" s="147"/>
      <c r="AE2141" s="144"/>
      <c r="AF2141" s="144"/>
      <c r="AG2141" s="147"/>
      <c r="AH2141" s="147"/>
      <c r="AI2141" s="144"/>
      <c r="AJ2141" s="147"/>
      <c r="AK2141" s="147"/>
      <c r="AL2141" s="60"/>
      <c r="AM2141" s="60"/>
      <c r="AN2141" s="144"/>
      <c r="AO2141" s="144"/>
      <c r="AP2141" s="147"/>
      <c r="AQ2141" s="147"/>
      <c r="AR2141" s="144"/>
      <c r="AS2141" s="147"/>
      <c r="AT2141" s="147"/>
      <c r="AU2141" s="60"/>
      <c r="AV2141" s="410"/>
      <c r="AW2141" s="60"/>
    </row>
    <row r="2142">
      <c r="A2142" s="60"/>
      <c r="B2142" s="41"/>
      <c r="C2142" s="41"/>
      <c r="E2142" s="60"/>
      <c r="F2142" s="60"/>
      <c r="G2142" s="147"/>
      <c r="H2142" s="140"/>
      <c r="I2142" s="60"/>
      <c r="J2142" s="147"/>
      <c r="K2142" s="60"/>
      <c r="L2142" s="60"/>
      <c r="M2142" s="60"/>
      <c r="N2142" s="327"/>
      <c r="O2142" s="145"/>
      <c r="P2142" s="1572"/>
      <c r="Q2142" s="1526"/>
      <c r="R2142" s="60"/>
      <c r="S2142" s="1528"/>
      <c r="T2142" s="327"/>
      <c r="U2142" s="147"/>
      <c r="V2142" s="147"/>
      <c r="W2142" s="1455"/>
      <c r="X2142" s="60"/>
      <c r="Y2142" s="147"/>
      <c r="Z2142" s="60"/>
      <c r="AA2142" s="147"/>
      <c r="AB2142" s="147"/>
      <c r="AC2142" s="147"/>
      <c r="AD2142" s="147"/>
      <c r="AE2142" s="144"/>
      <c r="AF2142" s="144"/>
      <c r="AG2142" s="147"/>
      <c r="AH2142" s="147"/>
      <c r="AI2142" s="144"/>
      <c r="AJ2142" s="147"/>
      <c r="AK2142" s="147"/>
      <c r="AL2142" s="60"/>
      <c r="AM2142" s="60"/>
      <c r="AN2142" s="144"/>
      <c r="AO2142" s="144"/>
      <c r="AP2142" s="147"/>
      <c r="AQ2142" s="147"/>
      <c r="AR2142" s="144"/>
      <c r="AS2142" s="147"/>
      <c r="AT2142" s="147"/>
      <c r="AU2142" s="60"/>
      <c r="AV2142" s="410"/>
      <c r="AW2142" s="60"/>
    </row>
    <row r="2143">
      <c r="A2143" s="60"/>
      <c r="B2143" s="41"/>
      <c r="C2143" s="41"/>
      <c r="E2143" s="60"/>
      <c r="F2143" s="60"/>
      <c r="G2143" s="147"/>
      <c r="H2143" s="140"/>
      <c r="I2143" s="60"/>
      <c r="J2143" s="147"/>
      <c r="K2143" s="60"/>
      <c r="L2143" s="60"/>
      <c r="M2143" s="60"/>
      <c r="N2143" s="327"/>
      <c r="O2143" s="145"/>
      <c r="P2143" s="1572"/>
      <c r="Q2143" s="1526"/>
      <c r="R2143" s="60"/>
      <c r="S2143" s="1528"/>
      <c r="T2143" s="327"/>
      <c r="U2143" s="147"/>
      <c r="V2143" s="147"/>
      <c r="W2143" s="1455"/>
      <c r="X2143" s="60"/>
      <c r="Y2143" s="147"/>
      <c r="Z2143" s="60"/>
      <c r="AA2143" s="147"/>
      <c r="AB2143" s="147"/>
      <c r="AC2143" s="147"/>
      <c r="AD2143" s="147"/>
      <c r="AE2143" s="144"/>
      <c r="AF2143" s="144"/>
      <c r="AG2143" s="147"/>
      <c r="AH2143" s="147"/>
      <c r="AI2143" s="144"/>
      <c r="AJ2143" s="147"/>
      <c r="AK2143" s="147"/>
      <c r="AL2143" s="60"/>
      <c r="AM2143" s="60"/>
      <c r="AN2143" s="144"/>
      <c r="AO2143" s="144"/>
      <c r="AP2143" s="147"/>
      <c r="AQ2143" s="147"/>
      <c r="AR2143" s="144"/>
      <c r="AS2143" s="147"/>
      <c r="AT2143" s="147"/>
      <c r="AU2143" s="60"/>
      <c r="AV2143" s="410"/>
      <c r="AW2143" s="60"/>
    </row>
    <row r="2144">
      <c r="A2144" s="60"/>
      <c r="B2144" s="41"/>
      <c r="C2144" s="41"/>
      <c r="E2144" s="60"/>
      <c r="F2144" s="60"/>
      <c r="G2144" s="147"/>
      <c r="H2144" s="140"/>
      <c r="I2144" s="60"/>
      <c r="J2144" s="147"/>
      <c r="K2144" s="60"/>
      <c r="L2144" s="60"/>
      <c r="M2144" s="60"/>
      <c r="N2144" s="327"/>
      <c r="O2144" s="145"/>
      <c r="P2144" s="1572"/>
      <c r="Q2144" s="1526"/>
      <c r="R2144" s="60"/>
      <c r="S2144" s="1528"/>
      <c r="T2144" s="327"/>
      <c r="U2144" s="147"/>
      <c r="V2144" s="147"/>
      <c r="W2144" s="1455"/>
      <c r="X2144" s="60"/>
      <c r="Y2144" s="147"/>
      <c r="Z2144" s="60"/>
      <c r="AA2144" s="147"/>
      <c r="AB2144" s="147"/>
      <c r="AC2144" s="147"/>
      <c r="AD2144" s="147"/>
      <c r="AE2144" s="144"/>
      <c r="AF2144" s="144"/>
      <c r="AG2144" s="147"/>
      <c r="AH2144" s="147"/>
      <c r="AI2144" s="144"/>
      <c r="AJ2144" s="147"/>
      <c r="AK2144" s="147"/>
      <c r="AL2144" s="60"/>
      <c r="AM2144" s="60"/>
      <c r="AN2144" s="144"/>
      <c r="AO2144" s="144"/>
      <c r="AP2144" s="147"/>
      <c r="AQ2144" s="147"/>
      <c r="AR2144" s="144"/>
      <c r="AS2144" s="147"/>
      <c r="AT2144" s="147"/>
      <c r="AU2144" s="60"/>
      <c r="AV2144" s="410"/>
      <c r="AW2144" s="60"/>
    </row>
    <row r="2145">
      <c r="A2145" s="60"/>
      <c r="B2145" s="41"/>
      <c r="C2145" s="41"/>
      <c r="E2145" s="60"/>
      <c r="F2145" s="60"/>
      <c r="G2145" s="147"/>
      <c r="H2145" s="140"/>
      <c r="I2145" s="60"/>
      <c r="J2145" s="147"/>
      <c r="K2145" s="60"/>
      <c r="L2145" s="60"/>
      <c r="M2145" s="60"/>
      <c r="N2145" s="327"/>
      <c r="O2145" s="145"/>
      <c r="P2145" s="1572"/>
      <c r="Q2145" s="1526"/>
      <c r="R2145" s="60"/>
      <c r="S2145" s="1528"/>
      <c r="T2145" s="327"/>
      <c r="U2145" s="147"/>
      <c r="V2145" s="147"/>
      <c r="W2145" s="1455"/>
      <c r="X2145" s="60"/>
      <c r="Y2145" s="147"/>
      <c r="Z2145" s="60"/>
      <c r="AA2145" s="147"/>
      <c r="AB2145" s="147"/>
      <c r="AC2145" s="147"/>
      <c r="AD2145" s="147"/>
      <c r="AE2145" s="144"/>
      <c r="AF2145" s="144"/>
      <c r="AG2145" s="147"/>
      <c r="AH2145" s="147"/>
      <c r="AI2145" s="144"/>
      <c r="AJ2145" s="147"/>
      <c r="AK2145" s="147"/>
      <c r="AL2145" s="60"/>
      <c r="AM2145" s="60"/>
      <c r="AN2145" s="144"/>
      <c r="AO2145" s="144"/>
      <c r="AP2145" s="147"/>
      <c r="AQ2145" s="147"/>
      <c r="AR2145" s="144"/>
      <c r="AS2145" s="147"/>
      <c r="AT2145" s="147"/>
      <c r="AU2145" s="60"/>
      <c r="AV2145" s="410"/>
      <c r="AW2145" s="60"/>
    </row>
    <row r="2146">
      <c r="A2146" s="60"/>
      <c r="B2146" s="41"/>
      <c r="C2146" s="41"/>
      <c r="E2146" s="60"/>
      <c r="F2146" s="60"/>
      <c r="G2146" s="147"/>
      <c r="H2146" s="140"/>
      <c r="I2146" s="60"/>
      <c r="J2146" s="147"/>
      <c r="K2146" s="60"/>
      <c r="L2146" s="60"/>
      <c r="M2146" s="60"/>
      <c r="N2146" s="327"/>
      <c r="O2146" s="145"/>
      <c r="P2146" s="1572"/>
      <c r="Q2146" s="1526"/>
      <c r="R2146" s="60"/>
      <c r="S2146" s="1528"/>
      <c r="T2146" s="327"/>
      <c r="U2146" s="147"/>
      <c r="V2146" s="147"/>
      <c r="W2146" s="1455"/>
      <c r="X2146" s="60"/>
      <c r="Y2146" s="147"/>
      <c r="Z2146" s="60"/>
      <c r="AA2146" s="147"/>
      <c r="AB2146" s="147"/>
      <c r="AC2146" s="147"/>
      <c r="AD2146" s="147"/>
      <c r="AE2146" s="144"/>
      <c r="AF2146" s="144"/>
      <c r="AG2146" s="147"/>
      <c r="AH2146" s="147"/>
      <c r="AI2146" s="144"/>
      <c r="AJ2146" s="147"/>
      <c r="AK2146" s="147"/>
      <c r="AL2146" s="60"/>
      <c r="AM2146" s="60"/>
      <c r="AN2146" s="144"/>
      <c r="AO2146" s="144"/>
      <c r="AP2146" s="147"/>
      <c r="AQ2146" s="147"/>
      <c r="AR2146" s="144"/>
      <c r="AS2146" s="147"/>
      <c r="AT2146" s="147"/>
      <c r="AU2146" s="60"/>
      <c r="AV2146" s="410"/>
      <c r="AW2146" s="60"/>
    </row>
    <row r="2147">
      <c r="A2147" s="60"/>
      <c r="B2147" s="41"/>
      <c r="C2147" s="41"/>
      <c r="E2147" s="60"/>
      <c r="F2147" s="60"/>
      <c r="G2147" s="147"/>
      <c r="H2147" s="140"/>
      <c r="I2147" s="60"/>
      <c r="J2147" s="147"/>
      <c r="K2147" s="60"/>
      <c r="L2147" s="60"/>
      <c r="M2147" s="60"/>
      <c r="N2147" s="327"/>
      <c r="O2147" s="145"/>
      <c r="P2147" s="1572"/>
      <c r="Q2147" s="1526"/>
      <c r="R2147" s="60"/>
      <c r="S2147" s="1528"/>
      <c r="T2147" s="327"/>
      <c r="U2147" s="147"/>
      <c r="V2147" s="147"/>
      <c r="W2147" s="1455"/>
      <c r="X2147" s="60"/>
      <c r="Y2147" s="147"/>
      <c r="Z2147" s="60"/>
      <c r="AA2147" s="147"/>
      <c r="AB2147" s="147"/>
      <c r="AC2147" s="147"/>
      <c r="AD2147" s="147"/>
      <c r="AE2147" s="144"/>
      <c r="AF2147" s="144"/>
      <c r="AG2147" s="147"/>
      <c r="AH2147" s="147"/>
      <c r="AI2147" s="144"/>
      <c r="AJ2147" s="147"/>
      <c r="AK2147" s="147"/>
      <c r="AL2147" s="60"/>
      <c r="AM2147" s="60"/>
      <c r="AN2147" s="144"/>
      <c r="AO2147" s="144"/>
      <c r="AP2147" s="147"/>
      <c r="AQ2147" s="147"/>
      <c r="AR2147" s="144"/>
      <c r="AS2147" s="147"/>
      <c r="AT2147" s="147"/>
      <c r="AU2147" s="60"/>
      <c r="AV2147" s="410"/>
      <c r="AW2147" s="60"/>
    </row>
    <row r="2148">
      <c r="A2148" s="60"/>
      <c r="B2148" s="41"/>
      <c r="C2148" s="41"/>
      <c r="E2148" s="60"/>
      <c r="F2148" s="60"/>
      <c r="G2148" s="147"/>
      <c r="H2148" s="140"/>
      <c r="I2148" s="60"/>
      <c r="J2148" s="147"/>
      <c r="K2148" s="60"/>
      <c r="L2148" s="60"/>
      <c r="M2148" s="60"/>
      <c r="N2148" s="327"/>
      <c r="O2148" s="145"/>
      <c r="P2148" s="1572"/>
      <c r="Q2148" s="1526"/>
      <c r="R2148" s="60"/>
      <c r="S2148" s="1528"/>
      <c r="T2148" s="327"/>
      <c r="U2148" s="147"/>
      <c r="V2148" s="147"/>
      <c r="W2148" s="1455"/>
      <c r="X2148" s="60"/>
      <c r="Y2148" s="147"/>
      <c r="Z2148" s="60"/>
      <c r="AA2148" s="147"/>
      <c r="AB2148" s="147"/>
      <c r="AC2148" s="147"/>
      <c r="AD2148" s="147"/>
      <c r="AE2148" s="144"/>
      <c r="AF2148" s="144"/>
      <c r="AG2148" s="147"/>
      <c r="AH2148" s="147"/>
      <c r="AI2148" s="144"/>
      <c r="AJ2148" s="147"/>
      <c r="AK2148" s="147"/>
      <c r="AL2148" s="60"/>
      <c r="AM2148" s="60"/>
      <c r="AN2148" s="144"/>
      <c r="AO2148" s="144"/>
      <c r="AP2148" s="147"/>
      <c r="AQ2148" s="147"/>
      <c r="AR2148" s="144"/>
      <c r="AS2148" s="147"/>
      <c r="AT2148" s="147"/>
      <c r="AU2148" s="60"/>
      <c r="AV2148" s="410"/>
      <c r="AW2148" s="60"/>
    </row>
    <row r="2149">
      <c r="A2149" s="60"/>
      <c r="B2149" s="41"/>
      <c r="C2149" s="41"/>
      <c r="E2149" s="60"/>
      <c r="F2149" s="60"/>
      <c r="G2149" s="147"/>
      <c r="H2149" s="140"/>
      <c r="I2149" s="60"/>
      <c r="J2149" s="147"/>
      <c r="K2149" s="60"/>
      <c r="L2149" s="60"/>
      <c r="M2149" s="60"/>
      <c r="N2149" s="327"/>
      <c r="O2149" s="145"/>
      <c r="P2149" s="1572"/>
      <c r="Q2149" s="1526"/>
      <c r="R2149" s="60"/>
      <c r="S2149" s="1528"/>
      <c r="T2149" s="327"/>
      <c r="U2149" s="147"/>
      <c r="V2149" s="147"/>
      <c r="W2149" s="1455"/>
      <c r="X2149" s="60"/>
      <c r="Y2149" s="147"/>
      <c r="Z2149" s="60"/>
      <c r="AA2149" s="147"/>
      <c r="AB2149" s="147"/>
      <c r="AC2149" s="147"/>
      <c r="AD2149" s="147"/>
      <c r="AE2149" s="144"/>
      <c r="AF2149" s="144"/>
      <c r="AG2149" s="147"/>
      <c r="AH2149" s="147"/>
      <c r="AI2149" s="144"/>
      <c r="AJ2149" s="147"/>
      <c r="AK2149" s="147"/>
      <c r="AL2149" s="60"/>
      <c r="AM2149" s="60"/>
      <c r="AN2149" s="144"/>
      <c r="AO2149" s="144"/>
      <c r="AP2149" s="147"/>
      <c r="AQ2149" s="147"/>
      <c r="AR2149" s="144"/>
      <c r="AS2149" s="147"/>
      <c r="AT2149" s="147"/>
      <c r="AU2149" s="60"/>
      <c r="AV2149" s="410"/>
      <c r="AW2149" s="60"/>
    </row>
    <row r="2150">
      <c r="A2150" s="60"/>
      <c r="B2150" s="41"/>
      <c r="C2150" s="41"/>
      <c r="E2150" s="60"/>
      <c r="F2150" s="60"/>
      <c r="G2150" s="147"/>
      <c r="H2150" s="140"/>
      <c r="I2150" s="60"/>
      <c r="J2150" s="147"/>
      <c r="K2150" s="60"/>
      <c r="L2150" s="60"/>
      <c r="M2150" s="60"/>
      <c r="N2150" s="327"/>
      <c r="O2150" s="145"/>
      <c r="P2150" s="1572"/>
      <c r="Q2150" s="1526"/>
      <c r="R2150" s="60"/>
      <c r="S2150" s="1528"/>
      <c r="T2150" s="327"/>
      <c r="U2150" s="147"/>
      <c r="V2150" s="147"/>
      <c r="W2150" s="1455"/>
      <c r="X2150" s="60"/>
      <c r="Y2150" s="147"/>
      <c r="Z2150" s="60"/>
      <c r="AA2150" s="147"/>
      <c r="AB2150" s="147"/>
      <c r="AC2150" s="147"/>
      <c r="AD2150" s="147"/>
      <c r="AE2150" s="144"/>
      <c r="AF2150" s="144"/>
      <c r="AG2150" s="147"/>
      <c r="AH2150" s="147"/>
      <c r="AI2150" s="144"/>
      <c r="AJ2150" s="147"/>
      <c r="AK2150" s="147"/>
      <c r="AL2150" s="60"/>
      <c r="AM2150" s="60"/>
      <c r="AN2150" s="144"/>
      <c r="AO2150" s="144"/>
      <c r="AP2150" s="147"/>
      <c r="AQ2150" s="147"/>
      <c r="AR2150" s="144"/>
      <c r="AS2150" s="147"/>
      <c r="AT2150" s="147"/>
      <c r="AU2150" s="60"/>
      <c r="AV2150" s="410"/>
      <c r="AW2150" s="60"/>
    </row>
    <row r="2151">
      <c r="A2151" s="60"/>
      <c r="B2151" s="41"/>
      <c r="C2151" s="41"/>
      <c r="E2151" s="60"/>
      <c r="F2151" s="60"/>
      <c r="G2151" s="147"/>
      <c r="H2151" s="140"/>
      <c r="I2151" s="60"/>
      <c r="J2151" s="147"/>
      <c r="K2151" s="60"/>
      <c r="L2151" s="60"/>
      <c r="M2151" s="60"/>
      <c r="N2151" s="327"/>
      <c r="O2151" s="145"/>
      <c r="P2151" s="1572"/>
      <c r="Q2151" s="1526"/>
      <c r="R2151" s="60"/>
      <c r="S2151" s="1528"/>
      <c r="T2151" s="327"/>
      <c r="U2151" s="147"/>
      <c r="V2151" s="147"/>
      <c r="W2151" s="1455"/>
      <c r="X2151" s="60"/>
      <c r="Y2151" s="147"/>
      <c r="Z2151" s="60"/>
      <c r="AA2151" s="147"/>
      <c r="AB2151" s="147"/>
      <c r="AC2151" s="147"/>
      <c r="AD2151" s="147"/>
      <c r="AE2151" s="144"/>
      <c r="AF2151" s="144"/>
      <c r="AG2151" s="147"/>
      <c r="AH2151" s="147"/>
      <c r="AI2151" s="144"/>
      <c r="AJ2151" s="147"/>
      <c r="AK2151" s="147"/>
      <c r="AL2151" s="60"/>
      <c r="AM2151" s="60"/>
      <c r="AN2151" s="144"/>
      <c r="AO2151" s="144"/>
      <c r="AP2151" s="147"/>
      <c r="AQ2151" s="147"/>
      <c r="AR2151" s="144"/>
      <c r="AS2151" s="147"/>
      <c r="AT2151" s="147"/>
      <c r="AU2151" s="60"/>
      <c r="AV2151" s="410"/>
      <c r="AW2151" s="60"/>
    </row>
    <row r="2152">
      <c r="A2152" s="60"/>
      <c r="B2152" s="41"/>
      <c r="C2152" s="41"/>
      <c r="E2152" s="60"/>
      <c r="F2152" s="60"/>
      <c r="G2152" s="147"/>
      <c r="H2152" s="140"/>
      <c r="I2152" s="60"/>
      <c r="J2152" s="147"/>
      <c r="K2152" s="60"/>
      <c r="L2152" s="60"/>
      <c r="M2152" s="60"/>
      <c r="N2152" s="327"/>
      <c r="O2152" s="145"/>
      <c r="P2152" s="1572"/>
      <c r="Q2152" s="1526"/>
      <c r="R2152" s="60"/>
      <c r="S2152" s="1528"/>
      <c r="T2152" s="327"/>
      <c r="U2152" s="147"/>
      <c r="V2152" s="147"/>
      <c r="W2152" s="1455"/>
      <c r="X2152" s="60"/>
      <c r="Y2152" s="147"/>
      <c r="Z2152" s="60"/>
      <c r="AA2152" s="147"/>
      <c r="AB2152" s="147"/>
      <c r="AC2152" s="147"/>
      <c r="AD2152" s="147"/>
      <c r="AE2152" s="144"/>
      <c r="AF2152" s="144"/>
      <c r="AG2152" s="147"/>
      <c r="AH2152" s="147"/>
      <c r="AI2152" s="144"/>
      <c r="AJ2152" s="147"/>
      <c r="AK2152" s="147"/>
      <c r="AL2152" s="60"/>
      <c r="AM2152" s="60"/>
      <c r="AN2152" s="144"/>
      <c r="AO2152" s="144"/>
      <c r="AP2152" s="147"/>
      <c r="AQ2152" s="147"/>
      <c r="AR2152" s="144"/>
      <c r="AS2152" s="147"/>
      <c r="AT2152" s="147"/>
      <c r="AU2152" s="60"/>
      <c r="AV2152" s="410"/>
      <c r="AW2152" s="60"/>
    </row>
    <row r="2153">
      <c r="A2153" s="60"/>
      <c r="B2153" s="41"/>
      <c r="C2153" s="41"/>
      <c r="E2153" s="60"/>
      <c r="F2153" s="60"/>
      <c r="G2153" s="147"/>
      <c r="H2153" s="140"/>
      <c r="I2153" s="60"/>
      <c r="J2153" s="147"/>
      <c r="K2153" s="60"/>
      <c r="L2153" s="60"/>
      <c r="M2153" s="60"/>
      <c r="N2153" s="327"/>
      <c r="O2153" s="145"/>
      <c r="P2153" s="1572"/>
      <c r="Q2153" s="1526"/>
      <c r="R2153" s="60"/>
      <c r="S2153" s="1528"/>
      <c r="T2153" s="327"/>
      <c r="U2153" s="147"/>
      <c r="V2153" s="147"/>
      <c r="W2153" s="1455"/>
      <c r="X2153" s="60"/>
      <c r="Y2153" s="147"/>
      <c r="Z2153" s="60"/>
      <c r="AA2153" s="147"/>
      <c r="AB2153" s="147"/>
      <c r="AC2153" s="147"/>
      <c r="AD2153" s="147"/>
      <c r="AE2153" s="144"/>
      <c r="AF2153" s="144"/>
      <c r="AG2153" s="147"/>
      <c r="AH2153" s="147"/>
      <c r="AI2153" s="144"/>
      <c r="AJ2153" s="147"/>
      <c r="AK2153" s="147"/>
      <c r="AL2153" s="60"/>
      <c r="AM2153" s="60"/>
      <c r="AN2153" s="144"/>
      <c r="AO2153" s="144"/>
      <c r="AP2153" s="147"/>
      <c r="AQ2153" s="147"/>
      <c r="AR2153" s="144"/>
      <c r="AS2153" s="147"/>
      <c r="AT2153" s="147"/>
      <c r="AU2153" s="60"/>
      <c r="AV2153" s="410"/>
      <c r="AW2153" s="60"/>
    </row>
    <row r="2154">
      <c r="A2154" s="60"/>
      <c r="B2154" s="41"/>
      <c r="C2154" s="41"/>
      <c r="E2154" s="60"/>
      <c r="F2154" s="60"/>
      <c r="G2154" s="147"/>
      <c r="H2154" s="140"/>
      <c r="I2154" s="60"/>
      <c r="J2154" s="147"/>
      <c r="K2154" s="60"/>
      <c r="L2154" s="60"/>
      <c r="M2154" s="60"/>
      <c r="N2154" s="327"/>
      <c r="O2154" s="145"/>
      <c r="P2154" s="1572"/>
      <c r="Q2154" s="1526"/>
      <c r="R2154" s="60"/>
      <c r="S2154" s="1528"/>
      <c r="T2154" s="327"/>
      <c r="U2154" s="147"/>
      <c r="V2154" s="147"/>
      <c r="W2154" s="1455"/>
      <c r="X2154" s="60"/>
      <c r="Y2154" s="147"/>
      <c r="Z2154" s="60"/>
      <c r="AA2154" s="147"/>
      <c r="AB2154" s="147"/>
      <c r="AC2154" s="147"/>
      <c r="AD2154" s="147"/>
      <c r="AE2154" s="144"/>
      <c r="AF2154" s="144"/>
      <c r="AG2154" s="147"/>
      <c r="AH2154" s="147"/>
      <c r="AI2154" s="144"/>
      <c r="AJ2154" s="147"/>
      <c r="AK2154" s="147"/>
      <c r="AL2154" s="60"/>
      <c r="AM2154" s="60"/>
      <c r="AN2154" s="144"/>
      <c r="AO2154" s="144"/>
      <c r="AP2154" s="147"/>
      <c r="AQ2154" s="147"/>
      <c r="AR2154" s="144"/>
      <c r="AS2154" s="147"/>
      <c r="AT2154" s="147"/>
      <c r="AU2154" s="60"/>
      <c r="AV2154" s="410"/>
      <c r="AW2154" s="60"/>
    </row>
    <row r="2155">
      <c r="A2155" s="60"/>
      <c r="B2155" s="41"/>
      <c r="C2155" s="41"/>
      <c r="E2155" s="60"/>
      <c r="F2155" s="60"/>
      <c r="G2155" s="147"/>
      <c r="H2155" s="140"/>
      <c r="I2155" s="60"/>
      <c r="J2155" s="147"/>
      <c r="K2155" s="60"/>
      <c r="L2155" s="60"/>
      <c r="M2155" s="60"/>
      <c r="N2155" s="327"/>
      <c r="O2155" s="145"/>
      <c r="P2155" s="1572"/>
      <c r="Q2155" s="1526"/>
      <c r="R2155" s="60"/>
      <c r="S2155" s="1528"/>
      <c r="T2155" s="327"/>
      <c r="U2155" s="147"/>
      <c r="V2155" s="147"/>
      <c r="W2155" s="1455"/>
      <c r="X2155" s="60"/>
      <c r="Y2155" s="147"/>
      <c r="Z2155" s="60"/>
      <c r="AA2155" s="147"/>
      <c r="AB2155" s="147"/>
      <c r="AC2155" s="147"/>
      <c r="AD2155" s="147"/>
      <c r="AE2155" s="144"/>
      <c r="AF2155" s="144"/>
      <c r="AG2155" s="147"/>
      <c r="AH2155" s="147"/>
      <c r="AI2155" s="144"/>
      <c r="AJ2155" s="147"/>
      <c r="AK2155" s="147"/>
      <c r="AL2155" s="60"/>
      <c r="AM2155" s="60"/>
      <c r="AN2155" s="144"/>
      <c r="AO2155" s="144"/>
      <c r="AP2155" s="147"/>
      <c r="AQ2155" s="147"/>
      <c r="AR2155" s="144"/>
      <c r="AS2155" s="147"/>
      <c r="AT2155" s="147"/>
      <c r="AU2155" s="60"/>
      <c r="AV2155" s="410"/>
      <c r="AW2155" s="60"/>
    </row>
    <row r="2156">
      <c r="A2156" s="60"/>
      <c r="B2156" s="41"/>
      <c r="C2156" s="41"/>
      <c r="E2156" s="60"/>
      <c r="F2156" s="60"/>
      <c r="G2156" s="147"/>
      <c r="H2156" s="140"/>
      <c r="I2156" s="60"/>
      <c r="J2156" s="147"/>
      <c r="K2156" s="60"/>
      <c r="L2156" s="60"/>
      <c r="M2156" s="60"/>
      <c r="N2156" s="327"/>
      <c r="O2156" s="145"/>
      <c r="P2156" s="1572"/>
      <c r="Q2156" s="1526"/>
      <c r="R2156" s="60"/>
      <c r="S2156" s="1528"/>
      <c r="T2156" s="327"/>
      <c r="U2156" s="147"/>
      <c r="V2156" s="147"/>
      <c r="W2156" s="1455"/>
      <c r="X2156" s="60"/>
      <c r="Y2156" s="147"/>
      <c r="Z2156" s="60"/>
      <c r="AA2156" s="147"/>
      <c r="AB2156" s="147"/>
      <c r="AC2156" s="147"/>
      <c r="AD2156" s="147"/>
      <c r="AE2156" s="144"/>
      <c r="AF2156" s="144"/>
      <c r="AG2156" s="147"/>
      <c r="AH2156" s="147"/>
      <c r="AI2156" s="144"/>
      <c r="AJ2156" s="147"/>
      <c r="AK2156" s="147"/>
      <c r="AL2156" s="60"/>
      <c r="AM2156" s="60"/>
      <c r="AN2156" s="144"/>
      <c r="AO2156" s="144"/>
      <c r="AP2156" s="147"/>
      <c r="AQ2156" s="147"/>
      <c r="AR2156" s="144"/>
      <c r="AS2156" s="147"/>
      <c r="AT2156" s="147"/>
      <c r="AU2156" s="60"/>
      <c r="AV2156" s="410"/>
      <c r="AW2156" s="60"/>
    </row>
    <row r="2157">
      <c r="A2157" s="60"/>
      <c r="B2157" s="41"/>
      <c r="C2157" s="41"/>
      <c r="E2157" s="60"/>
      <c r="F2157" s="60"/>
      <c r="G2157" s="147"/>
      <c r="H2157" s="140"/>
      <c r="I2157" s="60"/>
      <c r="J2157" s="147"/>
      <c r="K2157" s="60"/>
      <c r="L2157" s="60"/>
      <c r="M2157" s="60"/>
      <c r="N2157" s="327"/>
      <c r="O2157" s="145"/>
      <c r="P2157" s="1572"/>
      <c r="Q2157" s="1526"/>
      <c r="R2157" s="60"/>
      <c r="S2157" s="1528"/>
      <c r="T2157" s="327"/>
      <c r="U2157" s="147"/>
      <c r="V2157" s="147"/>
      <c r="W2157" s="1455"/>
      <c r="X2157" s="60"/>
      <c r="Y2157" s="147"/>
      <c r="Z2157" s="60"/>
      <c r="AA2157" s="147"/>
      <c r="AB2157" s="147"/>
      <c r="AC2157" s="147"/>
      <c r="AD2157" s="147"/>
      <c r="AE2157" s="144"/>
      <c r="AF2157" s="144"/>
      <c r="AG2157" s="147"/>
      <c r="AH2157" s="147"/>
      <c r="AI2157" s="144"/>
      <c r="AJ2157" s="147"/>
      <c r="AK2157" s="147"/>
      <c r="AL2157" s="60"/>
      <c r="AM2157" s="60"/>
      <c r="AN2157" s="144"/>
      <c r="AO2157" s="144"/>
      <c r="AP2157" s="147"/>
      <c r="AQ2157" s="147"/>
      <c r="AR2157" s="144"/>
      <c r="AS2157" s="147"/>
      <c r="AT2157" s="147"/>
      <c r="AU2157" s="60"/>
      <c r="AV2157" s="410"/>
      <c r="AW2157" s="60"/>
    </row>
    <row r="2158">
      <c r="A2158" s="60"/>
      <c r="B2158" s="41"/>
      <c r="C2158" s="41"/>
      <c r="E2158" s="60"/>
      <c r="F2158" s="60"/>
      <c r="G2158" s="147"/>
      <c r="H2158" s="140"/>
      <c r="I2158" s="60"/>
      <c r="J2158" s="147"/>
      <c r="K2158" s="60"/>
      <c r="L2158" s="60"/>
      <c r="M2158" s="60"/>
      <c r="N2158" s="327"/>
      <c r="O2158" s="145"/>
      <c r="P2158" s="1572"/>
      <c r="Q2158" s="1526"/>
      <c r="R2158" s="60"/>
      <c r="S2158" s="1528"/>
      <c r="T2158" s="327"/>
      <c r="U2158" s="147"/>
      <c r="V2158" s="147"/>
      <c r="W2158" s="1455"/>
      <c r="X2158" s="60"/>
      <c r="Y2158" s="147"/>
      <c r="Z2158" s="60"/>
      <c r="AA2158" s="147"/>
      <c r="AB2158" s="147"/>
      <c r="AC2158" s="147"/>
      <c r="AD2158" s="147"/>
      <c r="AE2158" s="144"/>
      <c r="AF2158" s="144"/>
      <c r="AG2158" s="147"/>
      <c r="AH2158" s="147"/>
      <c r="AI2158" s="144"/>
      <c r="AJ2158" s="147"/>
      <c r="AK2158" s="147"/>
      <c r="AL2158" s="60"/>
      <c r="AM2158" s="60"/>
      <c r="AN2158" s="144"/>
      <c r="AO2158" s="144"/>
      <c r="AP2158" s="147"/>
      <c r="AQ2158" s="147"/>
      <c r="AR2158" s="144"/>
      <c r="AS2158" s="147"/>
      <c r="AT2158" s="147"/>
      <c r="AU2158" s="60"/>
      <c r="AV2158" s="410"/>
      <c r="AW2158" s="60"/>
    </row>
    <row r="2159">
      <c r="A2159" s="60"/>
      <c r="B2159" s="41"/>
      <c r="C2159" s="41"/>
      <c r="E2159" s="60"/>
      <c r="F2159" s="60"/>
      <c r="G2159" s="147"/>
      <c r="H2159" s="140"/>
      <c r="I2159" s="60"/>
      <c r="J2159" s="147"/>
      <c r="K2159" s="60"/>
      <c r="L2159" s="60"/>
      <c r="M2159" s="60"/>
      <c r="N2159" s="327"/>
      <c r="O2159" s="145"/>
      <c r="P2159" s="1572"/>
      <c r="Q2159" s="1526"/>
      <c r="R2159" s="60"/>
      <c r="S2159" s="1528"/>
      <c r="T2159" s="327"/>
      <c r="U2159" s="147"/>
      <c r="V2159" s="147"/>
      <c r="W2159" s="1455"/>
      <c r="X2159" s="60"/>
      <c r="Y2159" s="147"/>
      <c r="Z2159" s="60"/>
      <c r="AA2159" s="147"/>
      <c r="AB2159" s="147"/>
      <c r="AC2159" s="147"/>
      <c r="AD2159" s="147"/>
      <c r="AE2159" s="144"/>
      <c r="AF2159" s="144"/>
      <c r="AG2159" s="147"/>
      <c r="AH2159" s="147"/>
      <c r="AI2159" s="144"/>
      <c r="AJ2159" s="147"/>
      <c r="AK2159" s="147"/>
      <c r="AL2159" s="60"/>
      <c r="AM2159" s="60"/>
      <c r="AN2159" s="144"/>
      <c r="AO2159" s="144"/>
      <c r="AP2159" s="147"/>
      <c r="AQ2159" s="147"/>
      <c r="AR2159" s="144"/>
      <c r="AS2159" s="147"/>
      <c r="AT2159" s="147"/>
      <c r="AU2159" s="60"/>
      <c r="AV2159" s="410"/>
      <c r="AW2159" s="60"/>
    </row>
    <row r="2160">
      <c r="A2160" s="60"/>
      <c r="B2160" s="41"/>
      <c r="C2160" s="41"/>
      <c r="E2160" s="60"/>
      <c r="F2160" s="60"/>
      <c r="G2160" s="147"/>
      <c r="H2160" s="140"/>
      <c r="I2160" s="60"/>
      <c r="J2160" s="147"/>
      <c r="K2160" s="60"/>
      <c r="L2160" s="60"/>
      <c r="M2160" s="60"/>
      <c r="N2160" s="327"/>
      <c r="O2160" s="145"/>
      <c r="P2160" s="1572"/>
      <c r="Q2160" s="1526"/>
      <c r="R2160" s="60"/>
      <c r="S2160" s="1528"/>
      <c r="T2160" s="327"/>
      <c r="U2160" s="147"/>
      <c r="V2160" s="147"/>
      <c r="W2160" s="1455"/>
      <c r="X2160" s="60"/>
      <c r="Y2160" s="147"/>
      <c r="Z2160" s="60"/>
      <c r="AA2160" s="147"/>
      <c r="AB2160" s="147"/>
      <c r="AC2160" s="147"/>
      <c r="AD2160" s="147"/>
      <c r="AE2160" s="144"/>
      <c r="AF2160" s="144"/>
      <c r="AG2160" s="147"/>
      <c r="AH2160" s="147"/>
      <c r="AI2160" s="144"/>
      <c r="AJ2160" s="147"/>
      <c r="AK2160" s="147"/>
      <c r="AL2160" s="60"/>
      <c r="AM2160" s="60"/>
      <c r="AN2160" s="144"/>
      <c r="AO2160" s="144"/>
      <c r="AP2160" s="147"/>
      <c r="AQ2160" s="147"/>
      <c r="AR2160" s="144"/>
      <c r="AS2160" s="147"/>
      <c r="AT2160" s="147"/>
      <c r="AU2160" s="60"/>
      <c r="AV2160" s="410"/>
      <c r="AW2160" s="60"/>
    </row>
    <row r="2161">
      <c r="A2161" s="60"/>
      <c r="B2161" s="41"/>
      <c r="C2161" s="41"/>
      <c r="E2161" s="60"/>
      <c r="F2161" s="60"/>
      <c r="G2161" s="147"/>
      <c r="H2161" s="140"/>
      <c r="I2161" s="60"/>
      <c r="J2161" s="147"/>
      <c r="K2161" s="60"/>
      <c r="L2161" s="60"/>
      <c r="M2161" s="60"/>
      <c r="N2161" s="327"/>
      <c r="O2161" s="145"/>
      <c r="P2161" s="1572"/>
      <c r="Q2161" s="1526"/>
      <c r="R2161" s="60"/>
      <c r="S2161" s="1528"/>
      <c r="T2161" s="327"/>
      <c r="U2161" s="147"/>
      <c r="V2161" s="147"/>
      <c r="W2161" s="1455"/>
      <c r="X2161" s="60"/>
      <c r="Y2161" s="147"/>
      <c r="Z2161" s="60"/>
      <c r="AA2161" s="147"/>
      <c r="AB2161" s="147"/>
      <c r="AC2161" s="147"/>
      <c r="AD2161" s="147"/>
      <c r="AE2161" s="144"/>
      <c r="AF2161" s="144"/>
      <c r="AG2161" s="147"/>
      <c r="AH2161" s="147"/>
      <c r="AI2161" s="144"/>
      <c r="AJ2161" s="147"/>
      <c r="AK2161" s="147"/>
      <c r="AL2161" s="60"/>
      <c r="AM2161" s="60"/>
      <c r="AN2161" s="144"/>
      <c r="AO2161" s="144"/>
      <c r="AP2161" s="147"/>
      <c r="AQ2161" s="147"/>
      <c r="AR2161" s="144"/>
      <c r="AS2161" s="147"/>
      <c r="AT2161" s="147"/>
      <c r="AU2161" s="60"/>
      <c r="AV2161" s="410"/>
      <c r="AW2161" s="60"/>
    </row>
    <row r="2162">
      <c r="A2162" s="60"/>
      <c r="B2162" s="41"/>
      <c r="C2162" s="41"/>
      <c r="E2162" s="60"/>
      <c r="F2162" s="60"/>
      <c r="G2162" s="147"/>
      <c r="H2162" s="140"/>
      <c r="I2162" s="60"/>
      <c r="J2162" s="147"/>
      <c r="K2162" s="60"/>
      <c r="L2162" s="60"/>
      <c r="M2162" s="60"/>
      <c r="N2162" s="327"/>
      <c r="O2162" s="145"/>
      <c r="P2162" s="1572"/>
      <c r="Q2162" s="1526"/>
      <c r="R2162" s="60"/>
      <c r="S2162" s="1528"/>
      <c r="T2162" s="327"/>
      <c r="U2162" s="147"/>
      <c r="V2162" s="147"/>
      <c r="W2162" s="1455"/>
      <c r="X2162" s="60"/>
      <c r="Y2162" s="147"/>
      <c r="Z2162" s="60"/>
      <c r="AA2162" s="147"/>
      <c r="AB2162" s="147"/>
      <c r="AC2162" s="147"/>
      <c r="AD2162" s="147"/>
      <c r="AE2162" s="144"/>
      <c r="AF2162" s="144"/>
      <c r="AG2162" s="147"/>
      <c r="AH2162" s="147"/>
      <c r="AI2162" s="144"/>
      <c r="AJ2162" s="147"/>
      <c r="AK2162" s="147"/>
      <c r="AL2162" s="60"/>
      <c r="AM2162" s="60"/>
      <c r="AN2162" s="144"/>
      <c r="AO2162" s="144"/>
      <c r="AP2162" s="147"/>
      <c r="AQ2162" s="147"/>
      <c r="AR2162" s="144"/>
      <c r="AS2162" s="147"/>
      <c r="AT2162" s="147"/>
      <c r="AU2162" s="60"/>
      <c r="AV2162" s="410"/>
      <c r="AW2162" s="60"/>
    </row>
    <row r="2163">
      <c r="A2163" s="60"/>
      <c r="B2163" s="41"/>
      <c r="C2163" s="41"/>
      <c r="E2163" s="60"/>
      <c r="F2163" s="60"/>
      <c r="G2163" s="147"/>
      <c r="H2163" s="140"/>
      <c r="I2163" s="60"/>
      <c r="J2163" s="147"/>
      <c r="K2163" s="60"/>
      <c r="L2163" s="60"/>
      <c r="M2163" s="60"/>
      <c r="N2163" s="327"/>
      <c r="O2163" s="145"/>
      <c r="P2163" s="1572"/>
      <c r="Q2163" s="1526"/>
      <c r="R2163" s="60"/>
      <c r="S2163" s="1528"/>
      <c r="T2163" s="327"/>
      <c r="U2163" s="147"/>
      <c r="V2163" s="147"/>
      <c r="W2163" s="1455"/>
      <c r="X2163" s="60"/>
      <c r="Y2163" s="147"/>
      <c r="Z2163" s="60"/>
      <c r="AA2163" s="147"/>
      <c r="AB2163" s="147"/>
      <c r="AC2163" s="147"/>
      <c r="AD2163" s="147"/>
      <c r="AE2163" s="144"/>
      <c r="AF2163" s="144"/>
      <c r="AG2163" s="147"/>
      <c r="AH2163" s="147"/>
      <c r="AI2163" s="144"/>
      <c r="AJ2163" s="147"/>
      <c r="AK2163" s="147"/>
      <c r="AL2163" s="60"/>
      <c r="AM2163" s="60"/>
      <c r="AN2163" s="144"/>
      <c r="AO2163" s="144"/>
      <c r="AP2163" s="147"/>
      <c r="AQ2163" s="147"/>
      <c r="AR2163" s="144"/>
      <c r="AS2163" s="147"/>
      <c r="AT2163" s="147"/>
      <c r="AU2163" s="60"/>
      <c r="AV2163" s="410"/>
      <c r="AW2163" s="60"/>
    </row>
    <row r="2164">
      <c r="A2164" s="60"/>
      <c r="B2164" s="41"/>
      <c r="C2164" s="41"/>
      <c r="E2164" s="60"/>
      <c r="F2164" s="60"/>
      <c r="G2164" s="147"/>
      <c r="H2164" s="140"/>
      <c r="I2164" s="60"/>
      <c r="J2164" s="147"/>
      <c r="K2164" s="60"/>
      <c r="L2164" s="60"/>
      <c r="M2164" s="60"/>
      <c r="N2164" s="327"/>
      <c r="O2164" s="145"/>
      <c r="P2164" s="1572"/>
      <c r="Q2164" s="1526"/>
      <c r="R2164" s="60"/>
      <c r="S2164" s="1528"/>
      <c r="T2164" s="327"/>
      <c r="U2164" s="147"/>
      <c r="V2164" s="147"/>
      <c r="W2164" s="1455"/>
      <c r="X2164" s="60"/>
      <c r="Y2164" s="147"/>
      <c r="Z2164" s="60"/>
      <c r="AA2164" s="147"/>
      <c r="AB2164" s="147"/>
      <c r="AC2164" s="147"/>
      <c r="AD2164" s="147"/>
      <c r="AE2164" s="144"/>
      <c r="AF2164" s="144"/>
      <c r="AG2164" s="147"/>
      <c r="AH2164" s="147"/>
      <c r="AI2164" s="144"/>
      <c r="AJ2164" s="147"/>
      <c r="AK2164" s="147"/>
      <c r="AL2164" s="60"/>
      <c r="AM2164" s="60"/>
      <c r="AN2164" s="144"/>
      <c r="AO2164" s="144"/>
      <c r="AP2164" s="147"/>
      <c r="AQ2164" s="147"/>
      <c r="AR2164" s="144"/>
      <c r="AS2164" s="147"/>
      <c r="AT2164" s="147"/>
      <c r="AU2164" s="60"/>
      <c r="AV2164" s="410"/>
      <c r="AW2164" s="60"/>
    </row>
    <row r="2165">
      <c r="A2165" s="60"/>
      <c r="B2165" s="41"/>
      <c r="C2165" s="41"/>
      <c r="E2165" s="60"/>
      <c r="F2165" s="60"/>
      <c r="G2165" s="147"/>
      <c r="H2165" s="140"/>
      <c r="I2165" s="60"/>
      <c r="J2165" s="147"/>
      <c r="K2165" s="60"/>
      <c r="L2165" s="60"/>
      <c r="M2165" s="60"/>
      <c r="N2165" s="327"/>
      <c r="O2165" s="145"/>
      <c r="P2165" s="1572"/>
      <c r="Q2165" s="1526"/>
      <c r="R2165" s="60"/>
      <c r="S2165" s="1528"/>
      <c r="T2165" s="327"/>
      <c r="U2165" s="147"/>
      <c r="V2165" s="147"/>
      <c r="W2165" s="1455"/>
      <c r="X2165" s="60"/>
      <c r="Y2165" s="147"/>
      <c r="Z2165" s="60"/>
      <c r="AA2165" s="147"/>
      <c r="AB2165" s="147"/>
      <c r="AC2165" s="147"/>
      <c r="AD2165" s="147"/>
      <c r="AE2165" s="144"/>
      <c r="AF2165" s="144"/>
      <c r="AG2165" s="147"/>
      <c r="AH2165" s="147"/>
      <c r="AI2165" s="144"/>
      <c r="AJ2165" s="147"/>
      <c r="AK2165" s="147"/>
      <c r="AL2165" s="60"/>
      <c r="AM2165" s="60"/>
      <c r="AN2165" s="144"/>
      <c r="AO2165" s="144"/>
      <c r="AP2165" s="147"/>
      <c r="AQ2165" s="147"/>
      <c r="AR2165" s="144"/>
      <c r="AS2165" s="147"/>
      <c r="AT2165" s="147"/>
      <c r="AU2165" s="60"/>
      <c r="AV2165" s="410"/>
      <c r="AW2165" s="60"/>
    </row>
    <row r="2166">
      <c r="A2166" s="60"/>
      <c r="B2166" s="41"/>
      <c r="C2166" s="41"/>
      <c r="E2166" s="60"/>
      <c r="F2166" s="60"/>
      <c r="G2166" s="147"/>
      <c r="H2166" s="140"/>
      <c r="I2166" s="60"/>
      <c r="J2166" s="147"/>
      <c r="K2166" s="60"/>
      <c r="L2166" s="60"/>
      <c r="M2166" s="60"/>
      <c r="N2166" s="327"/>
      <c r="O2166" s="145"/>
      <c r="P2166" s="1572"/>
      <c r="Q2166" s="1526"/>
      <c r="R2166" s="60"/>
      <c r="S2166" s="1528"/>
      <c r="T2166" s="327"/>
      <c r="U2166" s="147"/>
      <c r="V2166" s="147"/>
      <c r="W2166" s="1455"/>
      <c r="X2166" s="60"/>
      <c r="Y2166" s="147"/>
      <c r="Z2166" s="60"/>
      <c r="AA2166" s="147"/>
      <c r="AB2166" s="147"/>
      <c r="AC2166" s="147"/>
      <c r="AD2166" s="147"/>
      <c r="AE2166" s="144"/>
      <c r="AF2166" s="144"/>
      <c r="AG2166" s="147"/>
      <c r="AH2166" s="147"/>
      <c r="AI2166" s="144"/>
      <c r="AJ2166" s="147"/>
      <c r="AK2166" s="147"/>
      <c r="AL2166" s="60"/>
      <c r="AM2166" s="60"/>
      <c r="AN2166" s="144"/>
      <c r="AO2166" s="144"/>
      <c r="AP2166" s="147"/>
      <c r="AQ2166" s="147"/>
      <c r="AR2166" s="144"/>
      <c r="AS2166" s="147"/>
      <c r="AT2166" s="147"/>
      <c r="AU2166" s="60"/>
      <c r="AV2166" s="410"/>
      <c r="AW2166" s="60"/>
    </row>
    <row r="2167">
      <c r="A2167" s="60"/>
      <c r="B2167" s="41"/>
      <c r="C2167" s="41"/>
      <c r="E2167" s="60"/>
      <c r="F2167" s="60"/>
      <c r="G2167" s="147"/>
      <c r="H2167" s="140"/>
      <c r="I2167" s="60"/>
      <c r="J2167" s="147"/>
      <c r="K2167" s="60"/>
      <c r="L2167" s="60"/>
      <c r="M2167" s="60"/>
      <c r="N2167" s="327"/>
      <c r="O2167" s="145"/>
      <c r="P2167" s="1572"/>
      <c r="Q2167" s="1526"/>
      <c r="R2167" s="60"/>
      <c r="S2167" s="1528"/>
      <c r="T2167" s="327"/>
      <c r="U2167" s="147"/>
      <c r="V2167" s="147"/>
      <c r="W2167" s="1455"/>
      <c r="X2167" s="60"/>
      <c r="Y2167" s="147"/>
      <c r="Z2167" s="60"/>
      <c r="AA2167" s="147"/>
      <c r="AB2167" s="147"/>
      <c r="AC2167" s="147"/>
      <c r="AD2167" s="147"/>
      <c r="AE2167" s="144"/>
      <c r="AF2167" s="144"/>
      <c r="AG2167" s="147"/>
      <c r="AH2167" s="147"/>
      <c r="AI2167" s="144"/>
      <c r="AJ2167" s="147"/>
      <c r="AK2167" s="147"/>
      <c r="AL2167" s="60"/>
      <c r="AM2167" s="60"/>
      <c r="AN2167" s="144"/>
      <c r="AO2167" s="144"/>
      <c r="AP2167" s="147"/>
      <c r="AQ2167" s="147"/>
      <c r="AR2167" s="144"/>
      <c r="AS2167" s="147"/>
      <c r="AT2167" s="147"/>
      <c r="AU2167" s="60"/>
      <c r="AV2167" s="410"/>
      <c r="AW2167" s="60"/>
    </row>
    <row r="2168">
      <c r="A2168" s="60"/>
      <c r="B2168" s="41"/>
      <c r="C2168" s="41"/>
      <c r="E2168" s="60"/>
      <c r="F2168" s="60"/>
      <c r="G2168" s="147"/>
      <c r="H2168" s="140"/>
      <c r="I2168" s="60"/>
      <c r="J2168" s="147"/>
      <c r="K2168" s="60"/>
      <c r="L2168" s="60"/>
      <c r="M2168" s="60"/>
      <c r="N2168" s="327"/>
      <c r="O2168" s="145"/>
      <c r="P2168" s="1572"/>
      <c r="Q2168" s="1526"/>
      <c r="R2168" s="60"/>
      <c r="S2168" s="1528"/>
      <c r="T2168" s="327"/>
      <c r="U2168" s="147"/>
      <c r="V2168" s="147"/>
      <c r="W2168" s="1455"/>
      <c r="X2168" s="60"/>
      <c r="Y2168" s="147"/>
      <c r="Z2168" s="60"/>
      <c r="AA2168" s="147"/>
      <c r="AB2168" s="147"/>
      <c r="AC2168" s="147"/>
      <c r="AD2168" s="147"/>
      <c r="AE2168" s="144"/>
      <c r="AF2168" s="144"/>
      <c r="AG2168" s="147"/>
      <c r="AH2168" s="147"/>
      <c r="AI2168" s="144"/>
      <c r="AJ2168" s="147"/>
      <c r="AK2168" s="147"/>
      <c r="AL2168" s="60"/>
      <c r="AM2168" s="60"/>
      <c r="AN2168" s="144"/>
      <c r="AO2168" s="144"/>
      <c r="AP2168" s="147"/>
      <c r="AQ2168" s="147"/>
      <c r="AR2168" s="144"/>
      <c r="AS2168" s="147"/>
      <c r="AT2168" s="147"/>
      <c r="AU2168" s="60"/>
      <c r="AV2168" s="410"/>
      <c r="AW2168" s="60"/>
    </row>
    <row r="2169">
      <c r="A2169" s="60"/>
      <c r="B2169" s="41"/>
      <c r="C2169" s="41"/>
      <c r="E2169" s="60"/>
      <c r="F2169" s="60"/>
      <c r="G2169" s="147"/>
      <c r="H2169" s="140"/>
      <c r="I2169" s="60"/>
      <c r="J2169" s="147"/>
      <c r="K2169" s="60"/>
      <c r="L2169" s="60"/>
      <c r="M2169" s="60"/>
      <c r="N2169" s="327"/>
      <c r="O2169" s="145"/>
      <c r="P2169" s="1572"/>
      <c r="Q2169" s="1526"/>
      <c r="R2169" s="60"/>
      <c r="S2169" s="1528"/>
      <c r="T2169" s="327"/>
      <c r="U2169" s="147"/>
      <c r="V2169" s="147"/>
      <c r="W2169" s="1455"/>
      <c r="X2169" s="60"/>
      <c r="Y2169" s="147"/>
      <c r="Z2169" s="60"/>
      <c r="AA2169" s="147"/>
      <c r="AB2169" s="147"/>
      <c r="AC2169" s="147"/>
      <c r="AD2169" s="147"/>
      <c r="AE2169" s="144"/>
      <c r="AF2169" s="144"/>
      <c r="AG2169" s="147"/>
      <c r="AH2169" s="147"/>
      <c r="AI2169" s="144"/>
      <c r="AJ2169" s="147"/>
      <c r="AK2169" s="147"/>
      <c r="AL2169" s="60"/>
      <c r="AM2169" s="60"/>
      <c r="AN2169" s="144"/>
      <c r="AO2169" s="144"/>
      <c r="AP2169" s="147"/>
      <c r="AQ2169" s="147"/>
      <c r="AR2169" s="144"/>
      <c r="AS2169" s="147"/>
      <c r="AT2169" s="147"/>
      <c r="AU2169" s="60"/>
      <c r="AV2169" s="410"/>
      <c r="AW2169" s="60"/>
    </row>
    <row r="2170">
      <c r="A2170" s="60"/>
      <c r="B2170" s="41"/>
      <c r="C2170" s="41"/>
      <c r="E2170" s="60"/>
      <c r="F2170" s="60"/>
      <c r="G2170" s="147"/>
      <c r="H2170" s="140"/>
      <c r="I2170" s="60"/>
      <c r="J2170" s="147"/>
      <c r="K2170" s="60"/>
      <c r="L2170" s="60"/>
      <c r="M2170" s="60"/>
      <c r="N2170" s="327"/>
      <c r="O2170" s="145"/>
      <c r="P2170" s="1572"/>
      <c r="Q2170" s="1526"/>
      <c r="R2170" s="60"/>
      <c r="S2170" s="1528"/>
      <c r="T2170" s="327"/>
      <c r="U2170" s="147"/>
      <c r="V2170" s="147"/>
      <c r="W2170" s="1455"/>
      <c r="X2170" s="60"/>
      <c r="Y2170" s="147"/>
      <c r="Z2170" s="60"/>
      <c r="AA2170" s="147"/>
      <c r="AB2170" s="147"/>
      <c r="AC2170" s="147"/>
      <c r="AD2170" s="147"/>
      <c r="AE2170" s="144"/>
      <c r="AF2170" s="144"/>
      <c r="AG2170" s="147"/>
      <c r="AH2170" s="147"/>
      <c r="AI2170" s="144"/>
      <c r="AJ2170" s="147"/>
      <c r="AK2170" s="147"/>
      <c r="AL2170" s="60"/>
      <c r="AM2170" s="60"/>
      <c r="AN2170" s="144"/>
      <c r="AO2170" s="144"/>
      <c r="AP2170" s="147"/>
      <c r="AQ2170" s="147"/>
      <c r="AR2170" s="144"/>
      <c r="AS2170" s="147"/>
      <c r="AT2170" s="147"/>
      <c r="AU2170" s="60"/>
      <c r="AV2170" s="410"/>
      <c r="AW2170" s="60"/>
    </row>
    <row r="2171">
      <c r="A2171" s="60"/>
      <c r="B2171" s="41"/>
      <c r="C2171" s="41"/>
      <c r="E2171" s="60"/>
      <c r="F2171" s="60"/>
      <c r="G2171" s="147"/>
      <c r="H2171" s="140"/>
      <c r="I2171" s="60"/>
      <c r="J2171" s="147"/>
      <c r="K2171" s="60"/>
      <c r="L2171" s="60"/>
      <c r="M2171" s="60"/>
      <c r="N2171" s="327"/>
      <c r="O2171" s="145"/>
      <c r="P2171" s="1572"/>
      <c r="Q2171" s="1526"/>
      <c r="R2171" s="60"/>
      <c r="S2171" s="1528"/>
      <c r="T2171" s="327"/>
      <c r="U2171" s="147"/>
      <c r="V2171" s="147"/>
      <c r="W2171" s="1455"/>
      <c r="X2171" s="60"/>
      <c r="Y2171" s="147"/>
      <c r="Z2171" s="60"/>
      <c r="AA2171" s="147"/>
      <c r="AB2171" s="147"/>
      <c r="AC2171" s="147"/>
      <c r="AD2171" s="147"/>
      <c r="AE2171" s="144"/>
      <c r="AF2171" s="144"/>
      <c r="AG2171" s="147"/>
      <c r="AH2171" s="147"/>
      <c r="AI2171" s="144"/>
      <c r="AJ2171" s="147"/>
      <c r="AK2171" s="147"/>
      <c r="AL2171" s="60"/>
      <c r="AM2171" s="60"/>
      <c r="AN2171" s="144"/>
      <c r="AO2171" s="144"/>
      <c r="AP2171" s="147"/>
      <c r="AQ2171" s="147"/>
      <c r="AR2171" s="144"/>
      <c r="AS2171" s="147"/>
      <c r="AT2171" s="147"/>
      <c r="AU2171" s="60"/>
      <c r="AV2171" s="410"/>
      <c r="AW2171" s="60"/>
    </row>
    <row r="2172">
      <c r="A2172" s="60"/>
      <c r="B2172" s="41"/>
      <c r="C2172" s="41"/>
      <c r="E2172" s="60"/>
      <c r="F2172" s="60"/>
      <c r="G2172" s="147"/>
      <c r="H2172" s="140"/>
      <c r="I2172" s="60"/>
      <c r="J2172" s="147"/>
      <c r="K2172" s="60"/>
      <c r="L2172" s="60"/>
      <c r="M2172" s="60"/>
      <c r="N2172" s="327"/>
      <c r="O2172" s="145"/>
      <c r="P2172" s="1572"/>
      <c r="Q2172" s="1526"/>
      <c r="R2172" s="60"/>
      <c r="S2172" s="1528"/>
      <c r="T2172" s="327"/>
      <c r="U2172" s="147"/>
      <c r="V2172" s="147"/>
      <c r="W2172" s="1455"/>
      <c r="X2172" s="60"/>
      <c r="Y2172" s="147"/>
      <c r="Z2172" s="60"/>
      <c r="AA2172" s="147"/>
      <c r="AB2172" s="147"/>
      <c r="AC2172" s="147"/>
      <c r="AD2172" s="147"/>
      <c r="AE2172" s="144"/>
      <c r="AF2172" s="144"/>
      <c r="AG2172" s="147"/>
      <c r="AH2172" s="147"/>
      <c r="AI2172" s="144"/>
      <c r="AJ2172" s="147"/>
      <c r="AK2172" s="147"/>
      <c r="AL2172" s="60"/>
      <c r="AM2172" s="60"/>
      <c r="AN2172" s="144"/>
      <c r="AO2172" s="144"/>
      <c r="AP2172" s="147"/>
      <c r="AQ2172" s="147"/>
      <c r="AR2172" s="144"/>
      <c r="AS2172" s="147"/>
      <c r="AT2172" s="147"/>
      <c r="AU2172" s="60"/>
      <c r="AV2172" s="410"/>
      <c r="AW2172" s="60"/>
    </row>
    <row r="2173">
      <c r="A2173" s="60"/>
      <c r="B2173" s="41"/>
      <c r="C2173" s="41"/>
      <c r="E2173" s="60"/>
      <c r="F2173" s="60"/>
      <c r="G2173" s="147"/>
      <c r="H2173" s="140"/>
      <c r="I2173" s="60"/>
      <c r="J2173" s="147"/>
      <c r="K2173" s="60"/>
      <c r="L2173" s="60"/>
      <c r="M2173" s="60"/>
      <c r="N2173" s="327"/>
      <c r="O2173" s="145"/>
      <c r="P2173" s="1572"/>
      <c r="Q2173" s="1526"/>
      <c r="R2173" s="60"/>
      <c r="S2173" s="1528"/>
      <c r="T2173" s="327"/>
      <c r="U2173" s="147"/>
      <c r="V2173" s="147"/>
      <c r="W2173" s="1455"/>
      <c r="X2173" s="60"/>
      <c r="Y2173" s="147"/>
      <c r="Z2173" s="60"/>
      <c r="AA2173" s="147"/>
      <c r="AB2173" s="147"/>
      <c r="AC2173" s="147"/>
      <c r="AD2173" s="147"/>
      <c r="AE2173" s="144"/>
      <c r="AF2173" s="144"/>
      <c r="AG2173" s="147"/>
      <c r="AH2173" s="147"/>
      <c r="AI2173" s="144"/>
      <c r="AJ2173" s="147"/>
      <c r="AK2173" s="147"/>
      <c r="AL2173" s="60"/>
      <c r="AM2173" s="60"/>
      <c r="AN2173" s="144"/>
      <c r="AO2173" s="144"/>
      <c r="AP2173" s="147"/>
      <c r="AQ2173" s="147"/>
      <c r="AR2173" s="144"/>
      <c r="AS2173" s="147"/>
      <c r="AT2173" s="147"/>
      <c r="AU2173" s="60"/>
      <c r="AV2173" s="410"/>
      <c r="AW2173" s="60"/>
    </row>
    <row r="2174">
      <c r="A2174" s="60"/>
      <c r="B2174" s="41"/>
      <c r="C2174" s="41"/>
      <c r="E2174" s="60"/>
      <c r="F2174" s="60"/>
      <c r="G2174" s="147"/>
      <c r="H2174" s="140"/>
      <c r="I2174" s="60"/>
      <c r="J2174" s="147"/>
      <c r="K2174" s="60"/>
      <c r="L2174" s="60"/>
      <c r="M2174" s="60"/>
      <c r="N2174" s="327"/>
      <c r="O2174" s="145"/>
      <c r="P2174" s="1572"/>
      <c r="Q2174" s="1526"/>
      <c r="R2174" s="60"/>
      <c r="S2174" s="1528"/>
      <c r="T2174" s="327"/>
      <c r="U2174" s="147"/>
      <c r="V2174" s="147"/>
      <c r="W2174" s="1455"/>
      <c r="X2174" s="60"/>
      <c r="Y2174" s="147"/>
      <c r="Z2174" s="60"/>
      <c r="AA2174" s="147"/>
      <c r="AB2174" s="147"/>
      <c r="AC2174" s="147"/>
      <c r="AD2174" s="147"/>
      <c r="AE2174" s="144"/>
      <c r="AF2174" s="144"/>
      <c r="AG2174" s="147"/>
      <c r="AH2174" s="147"/>
      <c r="AI2174" s="144"/>
      <c r="AJ2174" s="147"/>
      <c r="AK2174" s="147"/>
      <c r="AL2174" s="60"/>
      <c r="AM2174" s="60"/>
      <c r="AN2174" s="144"/>
      <c r="AO2174" s="144"/>
      <c r="AP2174" s="147"/>
      <c r="AQ2174" s="147"/>
      <c r="AR2174" s="144"/>
      <c r="AS2174" s="147"/>
      <c r="AT2174" s="147"/>
      <c r="AU2174" s="60"/>
      <c r="AV2174" s="410"/>
      <c r="AW2174" s="60"/>
    </row>
    <row r="2175">
      <c r="A2175" s="60"/>
      <c r="B2175" s="41"/>
      <c r="C2175" s="41"/>
      <c r="E2175" s="60"/>
      <c r="F2175" s="60"/>
      <c r="G2175" s="147"/>
      <c r="H2175" s="140"/>
      <c r="I2175" s="60"/>
      <c r="J2175" s="147"/>
      <c r="K2175" s="60"/>
      <c r="L2175" s="60"/>
      <c r="M2175" s="60"/>
      <c r="N2175" s="327"/>
      <c r="O2175" s="145"/>
      <c r="P2175" s="1572"/>
      <c r="Q2175" s="1526"/>
      <c r="R2175" s="60"/>
      <c r="S2175" s="1528"/>
      <c r="T2175" s="327"/>
      <c r="U2175" s="147"/>
      <c r="V2175" s="147"/>
      <c r="W2175" s="1455"/>
      <c r="X2175" s="60"/>
      <c r="Y2175" s="147"/>
      <c r="Z2175" s="60"/>
      <c r="AA2175" s="147"/>
      <c r="AB2175" s="147"/>
      <c r="AC2175" s="147"/>
      <c r="AD2175" s="147"/>
      <c r="AE2175" s="144"/>
      <c r="AF2175" s="144"/>
      <c r="AG2175" s="147"/>
      <c r="AH2175" s="147"/>
      <c r="AI2175" s="144"/>
      <c r="AJ2175" s="147"/>
      <c r="AK2175" s="147"/>
      <c r="AL2175" s="60"/>
      <c r="AM2175" s="60"/>
      <c r="AN2175" s="144"/>
      <c r="AO2175" s="144"/>
      <c r="AP2175" s="147"/>
      <c r="AQ2175" s="147"/>
      <c r="AR2175" s="144"/>
      <c r="AS2175" s="147"/>
      <c r="AT2175" s="147"/>
      <c r="AU2175" s="60"/>
      <c r="AV2175" s="410"/>
      <c r="AW2175" s="60"/>
    </row>
    <row r="2176">
      <c r="A2176" s="60"/>
      <c r="B2176" s="41"/>
      <c r="C2176" s="41"/>
      <c r="E2176" s="60"/>
      <c r="F2176" s="60"/>
      <c r="G2176" s="147"/>
      <c r="H2176" s="140"/>
      <c r="I2176" s="60"/>
      <c r="J2176" s="147"/>
      <c r="K2176" s="60"/>
      <c r="L2176" s="60"/>
      <c r="M2176" s="60"/>
      <c r="N2176" s="327"/>
      <c r="O2176" s="145"/>
      <c r="P2176" s="1572"/>
      <c r="Q2176" s="1526"/>
      <c r="R2176" s="60"/>
      <c r="S2176" s="1528"/>
      <c r="T2176" s="327"/>
      <c r="U2176" s="147"/>
      <c r="V2176" s="147"/>
      <c r="W2176" s="1455"/>
      <c r="X2176" s="60"/>
      <c r="Y2176" s="147"/>
      <c r="Z2176" s="60"/>
      <c r="AA2176" s="147"/>
      <c r="AB2176" s="147"/>
      <c r="AC2176" s="147"/>
      <c r="AD2176" s="147"/>
      <c r="AE2176" s="144"/>
      <c r="AF2176" s="144"/>
      <c r="AG2176" s="147"/>
      <c r="AH2176" s="147"/>
      <c r="AI2176" s="144"/>
      <c r="AJ2176" s="147"/>
      <c r="AK2176" s="147"/>
      <c r="AL2176" s="60"/>
      <c r="AM2176" s="60"/>
      <c r="AN2176" s="144"/>
      <c r="AO2176" s="144"/>
      <c r="AP2176" s="147"/>
      <c r="AQ2176" s="147"/>
      <c r="AR2176" s="144"/>
      <c r="AS2176" s="147"/>
      <c r="AT2176" s="147"/>
      <c r="AU2176" s="60"/>
      <c r="AV2176" s="410"/>
      <c r="AW2176" s="60"/>
    </row>
    <row r="2177">
      <c r="A2177" s="60"/>
      <c r="B2177" s="41"/>
      <c r="C2177" s="41"/>
      <c r="E2177" s="60"/>
      <c r="F2177" s="60"/>
      <c r="G2177" s="147"/>
      <c r="H2177" s="140"/>
      <c r="I2177" s="60"/>
      <c r="J2177" s="147"/>
      <c r="K2177" s="60"/>
      <c r="L2177" s="60"/>
      <c r="M2177" s="60"/>
      <c r="N2177" s="327"/>
      <c r="O2177" s="145"/>
      <c r="P2177" s="1572"/>
      <c r="Q2177" s="1526"/>
      <c r="R2177" s="60"/>
      <c r="S2177" s="1528"/>
      <c r="T2177" s="327"/>
      <c r="U2177" s="147"/>
      <c r="V2177" s="147"/>
      <c r="W2177" s="1455"/>
      <c r="X2177" s="60"/>
      <c r="Y2177" s="147"/>
      <c r="Z2177" s="60"/>
      <c r="AA2177" s="147"/>
      <c r="AB2177" s="147"/>
      <c r="AC2177" s="147"/>
      <c r="AD2177" s="147"/>
      <c r="AE2177" s="144"/>
      <c r="AF2177" s="144"/>
      <c r="AG2177" s="147"/>
      <c r="AH2177" s="147"/>
      <c r="AI2177" s="144"/>
      <c r="AJ2177" s="147"/>
      <c r="AK2177" s="147"/>
      <c r="AL2177" s="60"/>
      <c r="AM2177" s="60"/>
      <c r="AN2177" s="144"/>
      <c r="AO2177" s="144"/>
      <c r="AP2177" s="147"/>
      <c r="AQ2177" s="147"/>
      <c r="AR2177" s="144"/>
      <c r="AS2177" s="147"/>
      <c r="AT2177" s="147"/>
      <c r="AU2177" s="60"/>
      <c r="AV2177" s="410"/>
      <c r="AW2177" s="60"/>
    </row>
    <row r="2178">
      <c r="A2178" s="60"/>
      <c r="B2178" s="41"/>
      <c r="C2178" s="41"/>
      <c r="E2178" s="60"/>
      <c r="F2178" s="60"/>
      <c r="G2178" s="147"/>
      <c r="H2178" s="140"/>
      <c r="I2178" s="60"/>
      <c r="J2178" s="147"/>
      <c r="K2178" s="60"/>
      <c r="L2178" s="60"/>
      <c r="M2178" s="60"/>
      <c r="N2178" s="327"/>
      <c r="O2178" s="145"/>
      <c r="P2178" s="1572"/>
      <c r="Q2178" s="1526"/>
      <c r="R2178" s="60"/>
      <c r="S2178" s="1528"/>
      <c r="T2178" s="327"/>
      <c r="U2178" s="147"/>
      <c r="V2178" s="147"/>
      <c r="W2178" s="1455"/>
      <c r="X2178" s="60"/>
      <c r="Y2178" s="147"/>
      <c r="Z2178" s="60"/>
      <c r="AA2178" s="147"/>
      <c r="AB2178" s="147"/>
      <c r="AC2178" s="147"/>
      <c r="AD2178" s="147"/>
      <c r="AE2178" s="144"/>
      <c r="AF2178" s="144"/>
      <c r="AG2178" s="147"/>
      <c r="AH2178" s="147"/>
      <c r="AI2178" s="144"/>
      <c r="AJ2178" s="147"/>
      <c r="AK2178" s="147"/>
      <c r="AL2178" s="60"/>
      <c r="AM2178" s="60"/>
      <c r="AN2178" s="144"/>
      <c r="AO2178" s="144"/>
      <c r="AP2178" s="147"/>
      <c r="AQ2178" s="147"/>
      <c r="AR2178" s="144"/>
      <c r="AS2178" s="147"/>
      <c r="AT2178" s="147"/>
      <c r="AU2178" s="60"/>
      <c r="AV2178" s="410"/>
      <c r="AW2178" s="60"/>
    </row>
    <row r="2179">
      <c r="A2179" s="60"/>
      <c r="B2179" s="41"/>
      <c r="C2179" s="41"/>
      <c r="E2179" s="60"/>
      <c r="F2179" s="60"/>
      <c r="G2179" s="147"/>
      <c r="H2179" s="140"/>
      <c r="I2179" s="60"/>
      <c r="J2179" s="147"/>
      <c r="K2179" s="60"/>
      <c r="L2179" s="60"/>
      <c r="M2179" s="60"/>
      <c r="N2179" s="327"/>
      <c r="O2179" s="145"/>
      <c r="P2179" s="1572"/>
      <c r="Q2179" s="1526"/>
      <c r="R2179" s="60"/>
      <c r="S2179" s="1528"/>
      <c r="T2179" s="327"/>
      <c r="U2179" s="147"/>
      <c r="V2179" s="147"/>
      <c r="W2179" s="1455"/>
      <c r="X2179" s="60"/>
      <c r="Y2179" s="147"/>
      <c r="Z2179" s="60"/>
      <c r="AA2179" s="147"/>
      <c r="AB2179" s="147"/>
      <c r="AC2179" s="147"/>
      <c r="AD2179" s="147"/>
      <c r="AE2179" s="144"/>
      <c r="AF2179" s="144"/>
      <c r="AG2179" s="147"/>
      <c r="AH2179" s="147"/>
      <c r="AI2179" s="144"/>
      <c r="AJ2179" s="147"/>
      <c r="AK2179" s="147"/>
      <c r="AL2179" s="60"/>
      <c r="AM2179" s="60"/>
      <c r="AN2179" s="144"/>
      <c r="AO2179" s="144"/>
      <c r="AP2179" s="147"/>
      <c r="AQ2179" s="147"/>
      <c r="AR2179" s="144"/>
      <c r="AS2179" s="147"/>
      <c r="AT2179" s="147"/>
      <c r="AU2179" s="60"/>
      <c r="AV2179" s="410"/>
      <c r="AW2179" s="60"/>
    </row>
    <row r="2180">
      <c r="A2180" s="60"/>
      <c r="B2180" s="41"/>
      <c r="C2180" s="41"/>
      <c r="E2180" s="60"/>
      <c r="F2180" s="60"/>
      <c r="G2180" s="147"/>
      <c r="H2180" s="140"/>
      <c r="I2180" s="60"/>
      <c r="J2180" s="147"/>
      <c r="K2180" s="60"/>
      <c r="L2180" s="60"/>
      <c r="M2180" s="60"/>
      <c r="N2180" s="327"/>
      <c r="O2180" s="145"/>
      <c r="P2180" s="1572"/>
      <c r="Q2180" s="1526"/>
      <c r="R2180" s="60"/>
      <c r="S2180" s="1528"/>
      <c r="T2180" s="327"/>
      <c r="U2180" s="147"/>
      <c r="V2180" s="147"/>
      <c r="W2180" s="1455"/>
      <c r="X2180" s="60"/>
      <c r="Y2180" s="147"/>
      <c r="Z2180" s="60"/>
      <c r="AA2180" s="147"/>
      <c r="AB2180" s="147"/>
      <c r="AC2180" s="147"/>
      <c r="AD2180" s="147"/>
      <c r="AE2180" s="144"/>
      <c r="AF2180" s="144"/>
      <c r="AG2180" s="147"/>
      <c r="AH2180" s="147"/>
      <c r="AI2180" s="144"/>
      <c r="AJ2180" s="147"/>
      <c r="AK2180" s="147"/>
      <c r="AL2180" s="60"/>
      <c r="AM2180" s="60"/>
      <c r="AN2180" s="144"/>
      <c r="AO2180" s="144"/>
      <c r="AP2180" s="147"/>
      <c r="AQ2180" s="147"/>
      <c r="AR2180" s="144"/>
      <c r="AS2180" s="147"/>
      <c r="AT2180" s="147"/>
      <c r="AU2180" s="60"/>
      <c r="AV2180" s="410"/>
      <c r="AW2180" s="60"/>
    </row>
    <row r="2181">
      <c r="A2181" s="60"/>
      <c r="B2181" s="41"/>
      <c r="C2181" s="41"/>
      <c r="E2181" s="60"/>
      <c r="F2181" s="60"/>
      <c r="G2181" s="147"/>
      <c r="H2181" s="140"/>
      <c r="I2181" s="60"/>
      <c r="J2181" s="147"/>
      <c r="K2181" s="60"/>
      <c r="L2181" s="60"/>
      <c r="M2181" s="60"/>
      <c r="N2181" s="327"/>
      <c r="O2181" s="145"/>
      <c r="P2181" s="1572"/>
      <c r="Q2181" s="1526"/>
      <c r="R2181" s="60"/>
      <c r="S2181" s="1528"/>
      <c r="T2181" s="327"/>
      <c r="U2181" s="147"/>
      <c r="V2181" s="147"/>
      <c r="W2181" s="1455"/>
      <c r="X2181" s="60"/>
      <c r="Y2181" s="147"/>
      <c r="Z2181" s="60"/>
      <c r="AA2181" s="147"/>
      <c r="AB2181" s="147"/>
      <c r="AC2181" s="147"/>
      <c r="AD2181" s="147"/>
      <c r="AE2181" s="144"/>
      <c r="AF2181" s="144"/>
      <c r="AG2181" s="147"/>
      <c r="AH2181" s="147"/>
      <c r="AI2181" s="144"/>
      <c r="AJ2181" s="147"/>
      <c r="AK2181" s="147"/>
      <c r="AL2181" s="60"/>
      <c r="AM2181" s="60"/>
      <c r="AN2181" s="144"/>
      <c r="AO2181" s="144"/>
      <c r="AP2181" s="147"/>
      <c r="AQ2181" s="147"/>
      <c r="AR2181" s="144"/>
      <c r="AS2181" s="147"/>
      <c r="AT2181" s="147"/>
      <c r="AU2181" s="60"/>
      <c r="AV2181" s="410"/>
      <c r="AW2181" s="60"/>
    </row>
    <row r="2182">
      <c r="A2182" s="60"/>
      <c r="B2182" s="41"/>
      <c r="C2182" s="41"/>
      <c r="E2182" s="60"/>
      <c r="F2182" s="60"/>
      <c r="G2182" s="147"/>
      <c r="H2182" s="140"/>
      <c r="I2182" s="60"/>
      <c r="J2182" s="147"/>
      <c r="K2182" s="60"/>
      <c r="L2182" s="60"/>
      <c r="M2182" s="60"/>
      <c r="N2182" s="327"/>
      <c r="O2182" s="145"/>
      <c r="P2182" s="1572"/>
      <c r="Q2182" s="1526"/>
      <c r="R2182" s="60"/>
      <c r="S2182" s="1528"/>
      <c r="T2182" s="327"/>
      <c r="U2182" s="147"/>
      <c r="V2182" s="147"/>
      <c r="W2182" s="1455"/>
      <c r="X2182" s="60"/>
      <c r="Y2182" s="147"/>
      <c r="Z2182" s="60"/>
      <c r="AA2182" s="147"/>
      <c r="AB2182" s="147"/>
      <c r="AC2182" s="147"/>
      <c r="AD2182" s="147"/>
      <c r="AE2182" s="144"/>
      <c r="AF2182" s="144"/>
      <c r="AG2182" s="147"/>
      <c r="AH2182" s="147"/>
      <c r="AI2182" s="144"/>
      <c r="AJ2182" s="147"/>
      <c r="AK2182" s="147"/>
      <c r="AL2182" s="60"/>
      <c r="AM2182" s="60"/>
      <c r="AN2182" s="144"/>
      <c r="AO2182" s="144"/>
      <c r="AP2182" s="147"/>
      <c r="AQ2182" s="147"/>
      <c r="AR2182" s="144"/>
      <c r="AS2182" s="147"/>
      <c r="AT2182" s="147"/>
      <c r="AU2182" s="60"/>
      <c r="AV2182" s="410"/>
      <c r="AW2182" s="60"/>
    </row>
    <row r="2183">
      <c r="A2183" s="60"/>
      <c r="B2183" s="41"/>
      <c r="C2183" s="41"/>
      <c r="E2183" s="60"/>
      <c r="F2183" s="60"/>
      <c r="G2183" s="147"/>
      <c r="H2183" s="140"/>
      <c r="I2183" s="60"/>
      <c r="J2183" s="147"/>
      <c r="K2183" s="60"/>
      <c r="L2183" s="60"/>
      <c r="M2183" s="60"/>
      <c r="N2183" s="327"/>
      <c r="O2183" s="145"/>
      <c r="P2183" s="1572"/>
      <c r="Q2183" s="1526"/>
      <c r="R2183" s="60"/>
      <c r="S2183" s="1528"/>
      <c r="T2183" s="327"/>
      <c r="U2183" s="147"/>
      <c r="V2183" s="147"/>
      <c r="W2183" s="1455"/>
      <c r="X2183" s="60"/>
      <c r="Y2183" s="147"/>
      <c r="Z2183" s="60"/>
      <c r="AA2183" s="147"/>
      <c r="AB2183" s="147"/>
      <c r="AC2183" s="147"/>
      <c r="AD2183" s="147"/>
      <c r="AE2183" s="144"/>
      <c r="AF2183" s="144"/>
      <c r="AG2183" s="147"/>
      <c r="AH2183" s="147"/>
      <c r="AI2183" s="144"/>
      <c r="AJ2183" s="147"/>
      <c r="AK2183" s="147"/>
      <c r="AL2183" s="60"/>
      <c r="AM2183" s="60"/>
      <c r="AN2183" s="144"/>
      <c r="AO2183" s="144"/>
      <c r="AP2183" s="147"/>
      <c r="AQ2183" s="147"/>
      <c r="AR2183" s="144"/>
      <c r="AS2183" s="147"/>
      <c r="AT2183" s="147"/>
      <c r="AU2183" s="60"/>
      <c r="AV2183" s="410"/>
      <c r="AW2183" s="60"/>
    </row>
    <row r="2184">
      <c r="A2184" s="60"/>
      <c r="B2184" s="41"/>
      <c r="C2184" s="41"/>
      <c r="E2184" s="60"/>
      <c r="F2184" s="60"/>
      <c r="G2184" s="147"/>
      <c r="H2184" s="140"/>
      <c r="I2184" s="60"/>
      <c r="J2184" s="147"/>
      <c r="K2184" s="60"/>
      <c r="L2184" s="60"/>
      <c r="M2184" s="60"/>
      <c r="N2184" s="327"/>
      <c r="O2184" s="145"/>
      <c r="P2184" s="1572"/>
      <c r="Q2184" s="1526"/>
      <c r="R2184" s="60"/>
      <c r="S2184" s="1528"/>
      <c r="T2184" s="327"/>
      <c r="U2184" s="147"/>
      <c r="V2184" s="147"/>
      <c r="W2184" s="1455"/>
      <c r="X2184" s="60"/>
      <c r="Y2184" s="147"/>
      <c r="Z2184" s="60"/>
      <c r="AA2184" s="147"/>
      <c r="AB2184" s="147"/>
      <c r="AC2184" s="147"/>
      <c r="AD2184" s="147"/>
      <c r="AE2184" s="144"/>
      <c r="AF2184" s="144"/>
      <c r="AG2184" s="147"/>
      <c r="AH2184" s="147"/>
      <c r="AI2184" s="144"/>
      <c r="AJ2184" s="147"/>
      <c r="AK2184" s="147"/>
      <c r="AL2184" s="60"/>
      <c r="AM2184" s="60"/>
      <c r="AN2184" s="144"/>
      <c r="AO2184" s="144"/>
      <c r="AP2184" s="147"/>
      <c r="AQ2184" s="147"/>
      <c r="AR2184" s="144"/>
      <c r="AS2184" s="147"/>
      <c r="AT2184" s="147"/>
      <c r="AU2184" s="60"/>
      <c r="AV2184" s="410"/>
      <c r="AW2184" s="60"/>
    </row>
    <row r="2185">
      <c r="A2185" s="60"/>
      <c r="B2185" s="41"/>
      <c r="C2185" s="41"/>
      <c r="E2185" s="60"/>
      <c r="F2185" s="60"/>
      <c r="G2185" s="147"/>
      <c r="H2185" s="140"/>
      <c r="I2185" s="60"/>
      <c r="J2185" s="147"/>
      <c r="K2185" s="60"/>
      <c r="L2185" s="60"/>
      <c r="M2185" s="60"/>
      <c r="N2185" s="327"/>
      <c r="O2185" s="145"/>
      <c r="P2185" s="1572"/>
      <c r="Q2185" s="1526"/>
      <c r="R2185" s="60"/>
      <c r="S2185" s="1528"/>
      <c r="T2185" s="327"/>
      <c r="U2185" s="147"/>
      <c r="V2185" s="147"/>
      <c r="W2185" s="1455"/>
      <c r="X2185" s="60"/>
      <c r="Y2185" s="147"/>
      <c r="Z2185" s="60"/>
      <c r="AA2185" s="147"/>
      <c r="AB2185" s="147"/>
      <c r="AC2185" s="147"/>
      <c r="AD2185" s="147"/>
      <c r="AE2185" s="144"/>
      <c r="AF2185" s="144"/>
      <c r="AG2185" s="147"/>
      <c r="AH2185" s="147"/>
      <c r="AI2185" s="144"/>
      <c r="AJ2185" s="147"/>
      <c r="AK2185" s="147"/>
      <c r="AL2185" s="60"/>
      <c r="AM2185" s="60"/>
      <c r="AN2185" s="144"/>
      <c r="AO2185" s="144"/>
      <c r="AP2185" s="147"/>
      <c r="AQ2185" s="147"/>
      <c r="AR2185" s="144"/>
      <c r="AS2185" s="147"/>
      <c r="AT2185" s="147"/>
      <c r="AU2185" s="60"/>
      <c r="AV2185" s="410"/>
      <c r="AW2185" s="60"/>
    </row>
    <row r="2186">
      <c r="A2186" s="60"/>
      <c r="B2186" s="41"/>
      <c r="C2186" s="41"/>
      <c r="E2186" s="60"/>
      <c r="F2186" s="60"/>
      <c r="G2186" s="147"/>
      <c r="H2186" s="140"/>
      <c r="I2186" s="60"/>
      <c r="J2186" s="147"/>
      <c r="K2186" s="60"/>
      <c r="L2186" s="60"/>
      <c r="M2186" s="60"/>
      <c r="N2186" s="327"/>
      <c r="O2186" s="145"/>
      <c r="P2186" s="1572"/>
      <c r="Q2186" s="1526"/>
      <c r="R2186" s="60"/>
      <c r="S2186" s="1528"/>
      <c r="T2186" s="327"/>
      <c r="U2186" s="147"/>
      <c r="V2186" s="147"/>
      <c r="W2186" s="1455"/>
      <c r="X2186" s="60"/>
      <c r="Y2186" s="147"/>
      <c r="Z2186" s="60"/>
      <c r="AA2186" s="147"/>
      <c r="AB2186" s="147"/>
      <c r="AC2186" s="147"/>
      <c r="AD2186" s="147"/>
      <c r="AE2186" s="144"/>
      <c r="AF2186" s="144"/>
      <c r="AG2186" s="147"/>
      <c r="AH2186" s="147"/>
      <c r="AI2186" s="144"/>
      <c r="AJ2186" s="147"/>
      <c r="AK2186" s="147"/>
      <c r="AL2186" s="60"/>
      <c r="AM2186" s="60"/>
      <c r="AN2186" s="144"/>
      <c r="AO2186" s="144"/>
      <c r="AP2186" s="147"/>
      <c r="AQ2186" s="147"/>
      <c r="AR2186" s="144"/>
      <c r="AS2186" s="147"/>
      <c r="AT2186" s="147"/>
      <c r="AU2186" s="60"/>
      <c r="AV2186" s="410"/>
      <c r="AW2186" s="60"/>
    </row>
    <row r="2187">
      <c r="A2187" s="60"/>
      <c r="B2187" s="41"/>
      <c r="C2187" s="41"/>
      <c r="E2187" s="60"/>
      <c r="F2187" s="60"/>
      <c r="G2187" s="147"/>
      <c r="H2187" s="140"/>
      <c r="I2187" s="60"/>
      <c r="J2187" s="147"/>
      <c r="K2187" s="60"/>
      <c r="L2187" s="60"/>
      <c r="M2187" s="60"/>
      <c r="N2187" s="327"/>
      <c r="O2187" s="145"/>
      <c r="P2187" s="1572"/>
      <c r="Q2187" s="1526"/>
      <c r="R2187" s="60"/>
      <c r="S2187" s="1528"/>
      <c r="T2187" s="327"/>
      <c r="U2187" s="147"/>
      <c r="V2187" s="147"/>
      <c r="W2187" s="1455"/>
      <c r="X2187" s="60"/>
      <c r="Y2187" s="147"/>
      <c r="Z2187" s="60"/>
      <c r="AA2187" s="147"/>
      <c r="AB2187" s="147"/>
      <c r="AC2187" s="147"/>
      <c r="AD2187" s="147"/>
      <c r="AE2187" s="144"/>
      <c r="AF2187" s="144"/>
      <c r="AG2187" s="147"/>
      <c r="AH2187" s="147"/>
      <c r="AI2187" s="144"/>
      <c r="AJ2187" s="147"/>
      <c r="AK2187" s="147"/>
      <c r="AL2187" s="60"/>
      <c r="AM2187" s="60"/>
      <c r="AN2187" s="144"/>
      <c r="AO2187" s="144"/>
      <c r="AP2187" s="147"/>
      <c r="AQ2187" s="147"/>
      <c r="AR2187" s="144"/>
      <c r="AS2187" s="147"/>
      <c r="AT2187" s="147"/>
      <c r="AU2187" s="60"/>
      <c r="AV2187" s="410"/>
      <c r="AW2187" s="60"/>
    </row>
    <row r="2188">
      <c r="A2188" s="60"/>
      <c r="B2188" s="41"/>
      <c r="C2188" s="41"/>
      <c r="E2188" s="60"/>
      <c r="F2188" s="60"/>
      <c r="G2188" s="147"/>
      <c r="H2188" s="140"/>
      <c r="I2188" s="60"/>
      <c r="J2188" s="147"/>
      <c r="K2188" s="60"/>
      <c r="L2188" s="60"/>
      <c r="M2188" s="60"/>
      <c r="N2188" s="327"/>
      <c r="O2188" s="145"/>
      <c r="P2188" s="1572"/>
      <c r="Q2188" s="1526"/>
      <c r="R2188" s="60"/>
      <c r="S2188" s="1528"/>
      <c r="T2188" s="327"/>
      <c r="U2188" s="147"/>
      <c r="V2188" s="147"/>
      <c r="W2188" s="1455"/>
      <c r="X2188" s="60"/>
      <c r="Y2188" s="147"/>
      <c r="Z2188" s="60"/>
      <c r="AA2188" s="147"/>
      <c r="AB2188" s="147"/>
      <c r="AC2188" s="147"/>
      <c r="AD2188" s="147"/>
      <c r="AE2188" s="144"/>
      <c r="AF2188" s="144"/>
      <c r="AG2188" s="147"/>
      <c r="AH2188" s="147"/>
      <c r="AI2188" s="144"/>
      <c r="AJ2188" s="147"/>
      <c r="AK2188" s="147"/>
      <c r="AL2188" s="60"/>
      <c r="AM2188" s="60"/>
      <c r="AN2188" s="144"/>
      <c r="AO2188" s="144"/>
      <c r="AP2188" s="147"/>
      <c r="AQ2188" s="147"/>
      <c r="AR2188" s="144"/>
      <c r="AS2188" s="147"/>
      <c r="AT2188" s="147"/>
      <c r="AU2188" s="60"/>
      <c r="AV2188" s="410"/>
      <c r="AW2188" s="60"/>
    </row>
    <row r="2189">
      <c r="A2189" s="60"/>
      <c r="B2189" s="41"/>
      <c r="C2189" s="41"/>
      <c r="E2189" s="60"/>
      <c r="F2189" s="60"/>
      <c r="G2189" s="147"/>
      <c r="H2189" s="140"/>
      <c r="I2189" s="60"/>
      <c r="J2189" s="147"/>
      <c r="K2189" s="60"/>
      <c r="L2189" s="60"/>
      <c r="M2189" s="60"/>
      <c r="N2189" s="327"/>
      <c r="O2189" s="145"/>
      <c r="P2189" s="1572"/>
      <c r="Q2189" s="1526"/>
      <c r="R2189" s="60"/>
      <c r="S2189" s="1528"/>
      <c r="T2189" s="327"/>
      <c r="U2189" s="147"/>
      <c r="V2189" s="147"/>
      <c r="W2189" s="1455"/>
      <c r="X2189" s="60"/>
      <c r="Y2189" s="147"/>
      <c r="Z2189" s="60"/>
      <c r="AA2189" s="147"/>
      <c r="AB2189" s="147"/>
      <c r="AC2189" s="147"/>
      <c r="AD2189" s="147"/>
      <c r="AE2189" s="144"/>
      <c r="AF2189" s="144"/>
      <c r="AG2189" s="147"/>
      <c r="AH2189" s="147"/>
      <c r="AI2189" s="144"/>
      <c r="AJ2189" s="147"/>
      <c r="AK2189" s="147"/>
      <c r="AL2189" s="60"/>
      <c r="AM2189" s="60"/>
      <c r="AN2189" s="144"/>
      <c r="AO2189" s="144"/>
      <c r="AP2189" s="147"/>
      <c r="AQ2189" s="147"/>
      <c r="AR2189" s="144"/>
      <c r="AS2189" s="147"/>
      <c r="AT2189" s="147"/>
      <c r="AU2189" s="60"/>
      <c r="AV2189" s="410"/>
      <c r="AW2189" s="60"/>
    </row>
    <row r="2190">
      <c r="A2190" s="60"/>
      <c r="B2190" s="41"/>
      <c r="C2190" s="41"/>
      <c r="E2190" s="60"/>
      <c r="F2190" s="60"/>
      <c r="G2190" s="147"/>
      <c r="H2190" s="140"/>
      <c r="I2190" s="60"/>
      <c r="J2190" s="147"/>
      <c r="K2190" s="60"/>
      <c r="L2190" s="60"/>
      <c r="M2190" s="60"/>
      <c r="N2190" s="327"/>
      <c r="O2190" s="145"/>
      <c r="P2190" s="1572"/>
      <c r="Q2190" s="1526"/>
      <c r="R2190" s="60"/>
      <c r="S2190" s="1528"/>
      <c r="T2190" s="327"/>
      <c r="U2190" s="147"/>
      <c r="V2190" s="147"/>
      <c r="W2190" s="1455"/>
      <c r="X2190" s="60"/>
      <c r="Y2190" s="147"/>
      <c r="Z2190" s="60"/>
      <c r="AA2190" s="147"/>
      <c r="AB2190" s="147"/>
      <c r="AC2190" s="147"/>
      <c r="AD2190" s="147"/>
      <c r="AE2190" s="144"/>
      <c r="AF2190" s="144"/>
      <c r="AG2190" s="147"/>
      <c r="AH2190" s="147"/>
      <c r="AI2190" s="144"/>
      <c r="AJ2190" s="147"/>
      <c r="AK2190" s="147"/>
      <c r="AL2190" s="60"/>
      <c r="AM2190" s="60"/>
      <c r="AN2190" s="144"/>
      <c r="AO2190" s="144"/>
      <c r="AP2190" s="147"/>
      <c r="AQ2190" s="147"/>
      <c r="AR2190" s="144"/>
      <c r="AS2190" s="147"/>
      <c r="AT2190" s="147"/>
      <c r="AU2190" s="60"/>
      <c r="AV2190" s="410"/>
      <c r="AW2190" s="60"/>
    </row>
    <row r="2191">
      <c r="A2191" s="60"/>
      <c r="B2191" s="41"/>
      <c r="C2191" s="41"/>
      <c r="E2191" s="60"/>
      <c r="F2191" s="60"/>
      <c r="G2191" s="147"/>
      <c r="H2191" s="140"/>
      <c r="I2191" s="60"/>
      <c r="J2191" s="147"/>
      <c r="K2191" s="60"/>
      <c r="L2191" s="60"/>
      <c r="M2191" s="60"/>
      <c r="N2191" s="327"/>
      <c r="O2191" s="145"/>
      <c r="P2191" s="1572"/>
      <c r="Q2191" s="1526"/>
      <c r="R2191" s="60"/>
      <c r="S2191" s="1528"/>
      <c r="T2191" s="327"/>
      <c r="U2191" s="147"/>
      <c r="V2191" s="147"/>
      <c r="W2191" s="1455"/>
      <c r="X2191" s="60"/>
      <c r="Y2191" s="147"/>
      <c r="Z2191" s="60"/>
      <c r="AA2191" s="147"/>
      <c r="AB2191" s="147"/>
      <c r="AC2191" s="147"/>
      <c r="AD2191" s="147"/>
      <c r="AE2191" s="144"/>
      <c r="AF2191" s="144"/>
      <c r="AG2191" s="147"/>
      <c r="AH2191" s="147"/>
      <c r="AI2191" s="144"/>
      <c r="AJ2191" s="147"/>
      <c r="AK2191" s="147"/>
      <c r="AL2191" s="60"/>
      <c r="AM2191" s="60"/>
      <c r="AN2191" s="144"/>
      <c r="AO2191" s="144"/>
      <c r="AP2191" s="147"/>
      <c r="AQ2191" s="147"/>
      <c r="AR2191" s="144"/>
      <c r="AS2191" s="147"/>
      <c r="AT2191" s="147"/>
      <c r="AU2191" s="60"/>
      <c r="AV2191" s="410"/>
      <c r="AW2191" s="60"/>
    </row>
    <row r="2192">
      <c r="A2192" s="60"/>
      <c r="B2192" s="41"/>
      <c r="C2192" s="41"/>
      <c r="E2192" s="60"/>
      <c r="F2192" s="60"/>
      <c r="G2192" s="147"/>
      <c r="H2192" s="140"/>
      <c r="I2192" s="60"/>
      <c r="J2192" s="147"/>
      <c r="K2192" s="60"/>
      <c r="L2192" s="60"/>
      <c r="M2192" s="60"/>
      <c r="N2192" s="327"/>
      <c r="O2192" s="145"/>
      <c r="P2192" s="1572"/>
      <c r="Q2192" s="1526"/>
      <c r="R2192" s="60"/>
      <c r="S2192" s="1528"/>
      <c r="T2192" s="327"/>
      <c r="U2192" s="147"/>
      <c r="V2192" s="147"/>
      <c r="W2192" s="1455"/>
      <c r="X2192" s="60"/>
      <c r="Y2192" s="147"/>
      <c r="Z2192" s="60"/>
      <c r="AA2192" s="147"/>
      <c r="AB2192" s="147"/>
      <c r="AC2192" s="147"/>
      <c r="AD2192" s="147"/>
      <c r="AE2192" s="144"/>
      <c r="AF2192" s="144"/>
      <c r="AG2192" s="147"/>
      <c r="AH2192" s="147"/>
      <c r="AI2192" s="144"/>
      <c r="AJ2192" s="147"/>
      <c r="AK2192" s="147"/>
      <c r="AL2192" s="60"/>
      <c r="AM2192" s="60"/>
      <c r="AN2192" s="144"/>
      <c r="AO2192" s="144"/>
      <c r="AP2192" s="147"/>
      <c r="AQ2192" s="147"/>
      <c r="AR2192" s="144"/>
      <c r="AS2192" s="147"/>
      <c r="AT2192" s="147"/>
      <c r="AU2192" s="60"/>
      <c r="AV2192" s="410"/>
      <c r="AW2192" s="60"/>
    </row>
    <row r="2193">
      <c r="A2193" s="60"/>
      <c r="B2193" s="41"/>
      <c r="C2193" s="41"/>
      <c r="E2193" s="60"/>
      <c r="F2193" s="60"/>
      <c r="G2193" s="147"/>
      <c r="H2193" s="140"/>
      <c r="I2193" s="60"/>
      <c r="J2193" s="147"/>
      <c r="K2193" s="60"/>
      <c r="L2193" s="60"/>
      <c r="M2193" s="60"/>
      <c r="N2193" s="327"/>
      <c r="O2193" s="145"/>
      <c r="P2193" s="1572"/>
      <c r="Q2193" s="1526"/>
      <c r="R2193" s="60"/>
      <c r="S2193" s="1528"/>
      <c r="T2193" s="327"/>
      <c r="U2193" s="147"/>
      <c r="V2193" s="147"/>
      <c r="W2193" s="1455"/>
      <c r="X2193" s="60"/>
      <c r="Y2193" s="147"/>
      <c r="Z2193" s="60"/>
      <c r="AA2193" s="147"/>
      <c r="AB2193" s="147"/>
      <c r="AC2193" s="147"/>
      <c r="AD2193" s="147"/>
      <c r="AE2193" s="144"/>
      <c r="AF2193" s="144"/>
      <c r="AG2193" s="147"/>
      <c r="AH2193" s="147"/>
      <c r="AI2193" s="144"/>
      <c r="AJ2193" s="147"/>
      <c r="AK2193" s="147"/>
      <c r="AL2193" s="60"/>
      <c r="AM2193" s="60"/>
      <c r="AN2193" s="144"/>
      <c r="AO2193" s="144"/>
      <c r="AP2193" s="147"/>
      <c r="AQ2193" s="147"/>
      <c r="AR2193" s="144"/>
      <c r="AS2193" s="147"/>
      <c r="AT2193" s="147"/>
      <c r="AU2193" s="60"/>
      <c r="AV2193" s="410"/>
      <c r="AW2193" s="60"/>
    </row>
    <row r="2194">
      <c r="A2194" s="60"/>
      <c r="B2194" s="41"/>
      <c r="C2194" s="41"/>
      <c r="E2194" s="60"/>
      <c r="F2194" s="60"/>
      <c r="G2194" s="147"/>
      <c r="H2194" s="140"/>
      <c r="I2194" s="60"/>
      <c r="J2194" s="147"/>
      <c r="K2194" s="60"/>
      <c r="L2194" s="60"/>
      <c r="M2194" s="60"/>
      <c r="N2194" s="327"/>
      <c r="O2194" s="145"/>
      <c r="P2194" s="1572"/>
      <c r="Q2194" s="1526"/>
      <c r="R2194" s="60"/>
      <c r="S2194" s="1528"/>
      <c r="T2194" s="327"/>
      <c r="U2194" s="147"/>
      <c r="V2194" s="147"/>
      <c r="W2194" s="1455"/>
      <c r="X2194" s="60"/>
      <c r="Y2194" s="147"/>
      <c r="Z2194" s="60"/>
      <c r="AA2194" s="147"/>
      <c r="AB2194" s="147"/>
      <c r="AC2194" s="147"/>
      <c r="AD2194" s="147"/>
      <c r="AE2194" s="144"/>
      <c r="AF2194" s="144"/>
      <c r="AG2194" s="147"/>
      <c r="AH2194" s="147"/>
      <c r="AI2194" s="144"/>
      <c r="AJ2194" s="147"/>
      <c r="AK2194" s="147"/>
      <c r="AL2194" s="60"/>
      <c r="AM2194" s="60"/>
      <c r="AN2194" s="144"/>
      <c r="AO2194" s="144"/>
      <c r="AP2194" s="147"/>
      <c r="AQ2194" s="147"/>
      <c r="AR2194" s="144"/>
      <c r="AS2194" s="147"/>
      <c r="AT2194" s="147"/>
      <c r="AU2194" s="60"/>
      <c r="AV2194" s="410"/>
      <c r="AW2194" s="60"/>
    </row>
    <row r="2195">
      <c r="A2195" s="60"/>
      <c r="B2195" s="41"/>
      <c r="C2195" s="41"/>
      <c r="E2195" s="60"/>
      <c r="F2195" s="60"/>
      <c r="G2195" s="147"/>
      <c r="H2195" s="140"/>
      <c r="I2195" s="60"/>
      <c r="J2195" s="147"/>
      <c r="K2195" s="60"/>
      <c r="L2195" s="60"/>
      <c r="M2195" s="60"/>
      <c r="N2195" s="327"/>
      <c r="O2195" s="145"/>
      <c r="P2195" s="1572"/>
      <c r="Q2195" s="1526"/>
      <c r="R2195" s="60"/>
      <c r="S2195" s="1528"/>
      <c r="T2195" s="327"/>
      <c r="U2195" s="147"/>
      <c r="V2195" s="147"/>
      <c r="W2195" s="1455"/>
      <c r="X2195" s="60"/>
      <c r="Y2195" s="147"/>
      <c r="Z2195" s="60"/>
      <c r="AA2195" s="147"/>
      <c r="AB2195" s="147"/>
      <c r="AC2195" s="147"/>
      <c r="AD2195" s="147"/>
      <c r="AE2195" s="144"/>
      <c r="AF2195" s="144"/>
      <c r="AG2195" s="147"/>
      <c r="AH2195" s="147"/>
      <c r="AI2195" s="144"/>
      <c r="AJ2195" s="147"/>
      <c r="AK2195" s="147"/>
      <c r="AL2195" s="60"/>
      <c r="AM2195" s="60"/>
      <c r="AN2195" s="144"/>
      <c r="AO2195" s="144"/>
      <c r="AP2195" s="147"/>
      <c r="AQ2195" s="147"/>
      <c r="AR2195" s="144"/>
      <c r="AS2195" s="147"/>
      <c r="AT2195" s="147"/>
      <c r="AU2195" s="60"/>
      <c r="AV2195" s="410"/>
      <c r="AW2195" s="60"/>
    </row>
    <row r="2196">
      <c r="A2196" s="60"/>
      <c r="B2196" s="41"/>
      <c r="C2196" s="41"/>
      <c r="E2196" s="60"/>
      <c r="F2196" s="60"/>
      <c r="G2196" s="147"/>
      <c r="H2196" s="140"/>
      <c r="I2196" s="60"/>
      <c r="J2196" s="147"/>
      <c r="K2196" s="60"/>
      <c r="L2196" s="60"/>
      <c r="M2196" s="60"/>
      <c r="N2196" s="327"/>
      <c r="O2196" s="145"/>
      <c r="P2196" s="1572"/>
      <c r="Q2196" s="1526"/>
      <c r="R2196" s="60"/>
      <c r="S2196" s="1528"/>
      <c r="T2196" s="327"/>
      <c r="U2196" s="147"/>
      <c r="V2196" s="147"/>
      <c r="W2196" s="1455"/>
      <c r="X2196" s="60"/>
      <c r="Y2196" s="147"/>
      <c r="Z2196" s="60"/>
      <c r="AA2196" s="147"/>
      <c r="AB2196" s="147"/>
      <c r="AC2196" s="147"/>
      <c r="AD2196" s="147"/>
      <c r="AE2196" s="144"/>
      <c r="AF2196" s="144"/>
      <c r="AG2196" s="147"/>
      <c r="AH2196" s="147"/>
      <c r="AI2196" s="144"/>
      <c r="AJ2196" s="147"/>
      <c r="AK2196" s="147"/>
      <c r="AL2196" s="60"/>
      <c r="AM2196" s="60"/>
      <c r="AN2196" s="144"/>
      <c r="AO2196" s="144"/>
      <c r="AP2196" s="147"/>
      <c r="AQ2196" s="147"/>
      <c r="AR2196" s="144"/>
      <c r="AS2196" s="147"/>
      <c r="AT2196" s="147"/>
      <c r="AU2196" s="60"/>
      <c r="AV2196" s="410"/>
      <c r="AW2196" s="60"/>
    </row>
    <row r="2197">
      <c r="A2197" s="60"/>
      <c r="B2197" s="41"/>
      <c r="C2197" s="41"/>
      <c r="E2197" s="60"/>
      <c r="F2197" s="60"/>
      <c r="G2197" s="147"/>
      <c r="H2197" s="140"/>
      <c r="I2197" s="60"/>
      <c r="J2197" s="147"/>
      <c r="K2197" s="60"/>
      <c r="L2197" s="60"/>
      <c r="M2197" s="60"/>
      <c r="N2197" s="327"/>
      <c r="O2197" s="145"/>
      <c r="P2197" s="1572"/>
      <c r="Q2197" s="1526"/>
      <c r="R2197" s="60"/>
      <c r="S2197" s="1528"/>
      <c r="T2197" s="327"/>
      <c r="U2197" s="147"/>
      <c r="V2197" s="147"/>
      <c r="W2197" s="1455"/>
      <c r="X2197" s="60"/>
      <c r="Y2197" s="147"/>
      <c r="Z2197" s="60"/>
      <c r="AA2197" s="147"/>
      <c r="AB2197" s="147"/>
      <c r="AC2197" s="147"/>
      <c r="AD2197" s="147"/>
      <c r="AE2197" s="144"/>
      <c r="AF2197" s="144"/>
      <c r="AG2197" s="147"/>
      <c r="AH2197" s="147"/>
      <c r="AI2197" s="144"/>
      <c r="AJ2197" s="147"/>
      <c r="AK2197" s="147"/>
      <c r="AL2197" s="60"/>
      <c r="AM2197" s="60"/>
      <c r="AN2197" s="144"/>
      <c r="AO2197" s="144"/>
      <c r="AP2197" s="147"/>
      <c r="AQ2197" s="147"/>
      <c r="AR2197" s="144"/>
      <c r="AS2197" s="147"/>
      <c r="AT2197" s="147"/>
      <c r="AU2197" s="60"/>
      <c r="AV2197" s="410"/>
      <c r="AW2197" s="60"/>
    </row>
    <row r="2198">
      <c r="A2198" s="60"/>
      <c r="B2198" s="41"/>
      <c r="C2198" s="41"/>
      <c r="E2198" s="60"/>
      <c r="F2198" s="60"/>
      <c r="G2198" s="147"/>
      <c r="H2198" s="140"/>
      <c r="I2198" s="60"/>
      <c r="J2198" s="147"/>
      <c r="K2198" s="60"/>
      <c r="L2198" s="60"/>
      <c r="M2198" s="60"/>
      <c r="N2198" s="327"/>
      <c r="O2198" s="145"/>
      <c r="P2198" s="1572"/>
      <c r="Q2198" s="1526"/>
      <c r="R2198" s="60"/>
      <c r="S2198" s="1528"/>
      <c r="T2198" s="327"/>
      <c r="U2198" s="147"/>
      <c r="V2198" s="147"/>
      <c r="W2198" s="1455"/>
      <c r="X2198" s="60"/>
      <c r="Y2198" s="147"/>
      <c r="Z2198" s="60"/>
      <c r="AA2198" s="147"/>
      <c r="AB2198" s="147"/>
      <c r="AC2198" s="147"/>
      <c r="AD2198" s="147"/>
      <c r="AE2198" s="144"/>
      <c r="AF2198" s="144"/>
      <c r="AG2198" s="147"/>
      <c r="AH2198" s="147"/>
      <c r="AI2198" s="144"/>
      <c r="AJ2198" s="147"/>
      <c r="AK2198" s="147"/>
      <c r="AL2198" s="60"/>
      <c r="AM2198" s="60"/>
      <c r="AN2198" s="144"/>
      <c r="AO2198" s="144"/>
      <c r="AP2198" s="147"/>
      <c r="AQ2198" s="147"/>
      <c r="AR2198" s="144"/>
      <c r="AS2198" s="147"/>
      <c r="AT2198" s="147"/>
      <c r="AU2198" s="60"/>
      <c r="AV2198" s="410"/>
      <c r="AW2198" s="60"/>
    </row>
    <row r="2199">
      <c r="A2199" s="60"/>
      <c r="B2199" s="41"/>
      <c r="C2199" s="41"/>
      <c r="E2199" s="60"/>
      <c r="F2199" s="60"/>
      <c r="G2199" s="147"/>
      <c r="H2199" s="140"/>
      <c r="I2199" s="60"/>
      <c r="J2199" s="147"/>
      <c r="K2199" s="60"/>
      <c r="L2199" s="60"/>
      <c r="M2199" s="60"/>
      <c r="N2199" s="327"/>
      <c r="O2199" s="145"/>
      <c r="P2199" s="1572"/>
      <c r="Q2199" s="1526"/>
      <c r="R2199" s="60"/>
      <c r="S2199" s="1528"/>
      <c r="T2199" s="327"/>
      <c r="U2199" s="147"/>
      <c r="V2199" s="147"/>
      <c r="W2199" s="1455"/>
      <c r="X2199" s="60"/>
      <c r="Y2199" s="147"/>
      <c r="Z2199" s="60"/>
      <c r="AA2199" s="147"/>
      <c r="AB2199" s="147"/>
      <c r="AC2199" s="147"/>
      <c r="AD2199" s="147"/>
      <c r="AE2199" s="144"/>
      <c r="AF2199" s="144"/>
      <c r="AG2199" s="147"/>
      <c r="AH2199" s="147"/>
      <c r="AI2199" s="144"/>
      <c r="AJ2199" s="147"/>
      <c r="AK2199" s="147"/>
      <c r="AL2199" s="60"/>
      <c r="AM2199" s="60"/>
      <c r="AN2199" s="144"/>
      <c r="AO2199" s="144"/>
      <c r="AP2199" s="147"/>
      <c r="AQ2199" s="147"/>
      <c r="AR2199" s="144"/>
      <c r="AS2199" s="147"/>
      <c r="AT2199" s="147"/>
      <c r="AU2199" s="60"/>
      <c r="AV2199" s="410"/>
      <c r="AW2199" s="60"/>
    </row>
    <row r="2200">
      <c r="A2200" s="60"/>
      <c r="B2200" s="41"/>
      <c r="C2200" s="41"/>
      <c r="E2200" s="60"/>
      <c r="F2200" s="60"/>
      <c r="G2200" s="147"/>
      <c r="H2200" s="140"/>
      <c r="I2200" s="60"/>
      <c r="J2200" s="147"/>
      <c r="K2200" s="60"/>
      <c r="L2200" s="60"/>
      <c r="M2200" s="60"/>
      <c r="N2200" s="327"/>
      <c r="O2200" s="145"/>
      <c r="P2200" s="1572"/>
      <c r="Q2200" s="1526"/>
      <c r="R2200" s="60"/>
      <c r="S2200" s="1528"/>
      <c r="T2200" s="327"/>
      <c r="U2200" s="147"/>
      <c r="V2200" s="147"/>
      <c r="W2200" s="1455"/>
      <c r="X2200" s="60"/>
      <c r="Y2200" s="147"/>
      <c r="Z2200" s="60"/>
      <c r="AA2200" s="147"/>
      <c r="AB2200" s="147"/>
      <c r="AC2200" s="147"/>
      <c r="AD2200" s="147"/>
      <c r="AE2200" s="144"/>
      <c r="AF2200" s="144"/>
      <c r="AG2200" s="147"/>
      <c r="AH2200" s="147"/>
      <c r="AI2200" s="144"/>
      <c r="AJ2200" s="147"/>
      <c r="AK2200" s="147"/>
      <c r="AL2200" s="60"/>
      <c r="AM2200" s="60"/>
      <c r="AN2200" s="144"/>
      <c r="AO2200" s="144"/>
      <c r="AP2200" s="147"/>
      <c r="AQ2200" s="147"/>
      <c r="AR2200" s="144"/>
      <c r="AS2200" s="147"/>
      <c r="AT2200" s="147"/>
      <c r="AU2200" s="60"/>
      <c r="AV2200" s="410"/>
      <c r="AW2200" s="60"/>
    </row>
    <row r="2201">
      <c r="A2201" s="60"/>
      <c r="B2201" s="41"/>
      <c r="C2201" s="41"/>
      <c r="E2201" s="60"/>
      <c r="F2201" s="60"/>
      <c r="G2201" s="147"/>
      <c r="H2201" s="140"/>
      <c r="I2201" s="60"/>
      <c r="J2201" s="147"/>
      <c r="K2201" s="60"/>
      <c r="L2201" s="60"/>
      <c r="M2201" s="60"/>
      <c r="N2201" s="327"/>
      <c r="O2201" s="145"/>
      <c r="P2201" s="1572"/>
      <c r="Q2201" s="1526"/>
      <c r="R2201" s="60"/>
      <c r="S2201" s="1528"/>
      <c r="T2201" s="327"/>
      <c r="U2201" s="147"/>
      <c r="V2201" s="147"/>
      <c r="W2201" s="1455"/>
      <c r="X2201" s="60"/>
      <c r="Y2201" s="147"/>
      <c r="Z2201" s="60"/>
      <c r="AA2201" s="147"/>
      <c r="AB2201" s="147"/>
      <c r="AC2201" s="147"/>
      <c r="AD2201" s="147"/>
      <c r="AE2201" s="144"/>
      <c r="AF2201" s="144"/>
      <c r="AG2201" s="147"/>
      <c r="AH2201" s="147"/>
      <c r="AI2201" s="144"/>
      <c r="AJ2201" s="147"/>
      <c r="AK2201" s="147"/>
      <c r="AL2201" s="60"/>
      <c r="AM2201" s="60"/>
      <c r="AN2201" s="144"/>
      <c r="AO2201" s="144"/>
      <c r="AP2201" s="147"/>
      <c r="AQ2201" s="147"/>
      <c r="AR2201" s="144"/>
      <c r="AS2201" s="147"/>
      <c r="AT2201" s="147"/>
      <c r="AU2201" s="60"/>
      <c r="AV2201" s="410"/>
      <c r="AW2201" s="60"/>
    </row>
    <row r="2202">
      <c r="A2202" s="60"/>
      <c r="B2202" s="41"/>
      <c r="C2202" s="41"/>
      <c r="E2202" s="60"/>
      <c r="F2202" s="60"/>
      <c r="G2202" s="147"/>
      <c r="H2202" s="140"/>
      <c r="I2202" s="60"/>
      <c r="J2202" s="147"/>
      <c r="K2202" s="60"/>
      <c r="L2202" s="60"/>
      <c r="M2202" s="60"/>
      <c r="N2202" s="327"/>
      <c r="O2202" s="145"/>
      <c r="P2202" s="1572"/>
      <c r="Q2202" s="1526"/>
      <c r="R2202" s="60"/>
      <c r="S2202" s="1528"/>
      <c r="T2202" s="327"/>
      <c r="U2202" s="147"/>
      <c r="V2202" s="147"/>
      <c r="W2202" s="1455"/>
      <c r="X2202" s="60"/>
      <c r="Y2202" s="147"/>
      <c r="Z2202" s="60"/>
      <c r="AA2202" s="147"/>
      <c r="AB2202" s="147"/>
      <c r="AC2202" s="147"/>
      <c r="AD2202" s="147"/>
      <c r="AE2202" s="144"/>
      <c r="AF2202" s="144"/>
      <c r="AG2202" s="147"/>
      <c r="AH2202" s="147"/>
      <c r="AI2202" s="144"/>
      <c r="AJ2202" s="147"/>
      <c r="AK2202" s="147"/>
      <c r="AL2202" s="60"/>
      <c r="AM2202" s="60"/>
      <c r="AN2202" s="144"/>
      <c r="AO2202" s="144"/>
      <c r="AP2202" s="147"/>
      <c r="AQ2202" s="147"/>
      <c r="AR2202" s="144"/>
      <c r="AS2202" s="147"/>
      <c r="AT2202" s="147"/>
      <c r="AU2202" s="60"/>
      <c r="AV2202" s="410"/>
      <c r="AW2202" s="60"/>
    </row>
    <row r="2203">
      <c r="A2203" s="60"/>
      <c r="B2203" s="41"/>
      <c r="C2203" s="41"/>
      <c r="E2203" s="60"/>
      <c r="F2203" s="60"/>
      <c r="G2203" s="147"/>
      <c r="H2203" s="140"/>
      <c r="I2203" s="60"/>
      <c r="J2203" s="147"/>
      <c r="K2203" s="60"/>
      <c r="L2203" s="60"/>
      <c r="M2203" s="60"/>
      <c r="N2203" s="327"/>
      <c r="O2203" s="145"/>
      <c r="P2203" s="1572"/>
      <c r="Q2203" s="1526"/>
      <c r="R2203" s="60"/>
      <c r="S2203" s="1528"/>
      <c r="T2203" s="327"/>
      <c r="U2203" s="147"/>
      <c r="V2203" s="147"/>
      <c r="W2203" s="1455"/>
      <c r="X2203" s="60"/>
      <c r="Y2203" s="147"/>
      <c r="Z2203" s="60"/>
      <c r="AA2203" s="147"/>
      <c r="AB2203" s="147"/>
      <c r="AC2203" s="147"/>
      <c r="AD2203" s="147"/>
      <c r="AE2203" s="144"/>
      <c r="AF2203" s="144"/>
      <c r="AG2203" s="147"/>
      <c r="AH2203" s="147"/>
      <c r="AI2203" s="144"/>
      <c r="AJ2203" s="147"/>
      <c r="AK2203" s="147"/>
      <c r="AL2203" s="60"/>
      <c r="AM2203" s="60"/>
      <c r="AN2203" s="144"/>
      <c r="AO2203" s="144"/>
      <c r="AP2203" s="147"/>
      <c r="AQ2203" s="147"/>
      <c r="AR2203" s="144"/>
      <c r="AS2203" s="147"/>
      <c r="AT2203" s="147"/>
      <c r="AU2203" s="60"/>
      <c r="AV2203" s="410"/>
      <c r="AW2203" s="60"/>
    </row>
    <row r="2204">
      <c r="A2204" s="60"/>
      <c r="B2204" s="41"/>
      <c r="C2204" s="41"/>
      <c r="E2204" s="60"/>
      <c r="F2204" s="60"/>
      <c r="G2204" s="147"/>
      <c r="H2204" s="140"/>
      <c r="I2204" s="60"/>
      <c r="J2204" s="147"/>
      <c r="K2204" s="60"/>
      <c r="L2204" s="60"/>
      <c r="M2204" s="60"/>
      <c r="N2204" s="327"/>
      <c r="O2204" s="145"/>
      <c r="P2204" s="1572"/>
      <c r="Q2204" s="1526"/>
      <c r="R2204" s="60"/>
      <c r="S2204" s="1528"/>
      <c r="T2204" s="327"/>
      <c r="U2204" s="147"/>
      <c r="V2204" s="147"/>
      <c r="W2204" s="1455"/>
      <c r="X2204" s="60"/>
      <c r="Y2204" s="147"/>
      <c r="Z2204" s="60"/>
      <c r="AA2204" s="147"/>
      <c r="AB2204" s="147"/>
      <c r="AC2204" s="147"/>
      <c r="AD2204" s="147"/>
      <c r="AE2204" s="144"/>
      <c r="AF2204" s="144"/>
      <c r="AG2204" s="147"/>
      <c r="AH2204" s="147"/>
      <c r="AI2204" s="144"/>
      <c r="AJ2204" s="147"/>
      <c r="AK2204" s="147"/>
      <c r="AL2204" s="60"/>
      <c r="AM2204" s="60"/>
      <c r="AN2204" s="144"/>
      <c r="AO2204" s="144"/>
      <c r="AP2204" s="147"/>
      <c r="AQ2204" s="147"/>
      <c r="AR2204" s="144"/>
      <c r="AS2204" s="147"/>
      <c r="AT2204" s="147"/>
      <c r="AU2204" s="60"/>
      <c r="AV2204" s="410"/>
      <c r="AW2204" s="60"/>
    </row>
    <row r="2205">
      <c r="A2205" s="60"/>
      <c r="B2205" s="41"/>
      <c r="C2205" s="41"/>
      <c r="E2205" s="60"/>
      <c r="F2205" s="60"/>
      <c r="G2205" s="147"/>
      <c r="H2205" s="140"/>
      <c r="I2205" s="60"/>
      <c r="J2205" s="147"/>
      <c r="K2205" s="60"/>
      <c r="L2205" s="60"/>
      <c r="M2205" s="60"/>
      <c r="N2205" s="327"/>
      <c r="O2205" s="145"/>
      <c r="P2205" s="1572"/>
      <c r="Q2205" s="1526"/>
      <c r="R2205" s="60"/>
      <c r="S2205" s="1528"/>
      <c r="T2205" s="327"/>
      <c r="U2205" s="147"/>
      <c r="V2205" s="147"/>
      <c r="W2205" s="1455"/>
      <c r="X2205" s="60"/>
      <c r="Y2205" s="147"/>
      <c r="Z2205" s="60"/>
      <c r="AA2205" s="147"/>
      <c r="AB2205" s="147"/>
      <c r="AC2205" s="147"/>
      <c r="AD2205" s="147"/>
      <c r="AE2205" s="144"/>
      <c r="AF2205" s="144"/>
      <c r="AG2205" s="147"/>
      <c r="AH2205" s="147"/>
      <c r="AI2205" s="144"/>
      <c r="AJ2205" s="147"/>
      <c r="AK2205" s="147"/>
      <c r="AL2205" s="60"/>
      <c r="AM2205" s="60"/>
      <c r="AN2205" s="144"/>
      <c r="AO2205" s="144"/>
      <c r="AP2205" s="147"/>
      <c r="AQ2205" s="147"/>
      <c r="AR2205" s="144"/>
      <c r="AS2205" s="147"/>
      <c r="AT2205" s="147"/>
      <c r="AU2205" s="60"/>
      <c r="AV2205" s="410"/>
      <c r="AW2205" s="60"/>
    </row>
    <row r="2206">
      <c r="A2206" s="60"/>
      <c r="B2206" s="41"/>
      <c r="C2206" s="41"/>
      <c r="E2206" s="60"/>
      <c r="F2206" s="60"/>
      <c r="G2206" s="147"/>
      <c r="H2206" s="140"/>
      <c r="I2206" s="60"/>
      <c r="J2206" s="147"/>
      <c r="K2206" s="60"/>
      <c r="L2206" s="60"/>
      <c r="M2206" s="60"/>
      <c r="N2206" s="327"/>
      <c r="O2206" s="145"/>
      <c r="P2206" s="1572"/>
      <c r="Q2206" s="1526"/>
      <c r="R2206" s="60"/>
      <c r="S2206" s="1528"/>
      <c r="T2206" s="327"/>
      <c r="U2206" s="147"/>
      <c r="V2206" s="147"/>
      <c r="W2206" s="1455"/>
      <c r="X2206" s="60"/>
      <c r="Y2206" s="147"/>
      <c r="Z2206" s="60"/>
      <c r="AA2206" s="147"/>
      <c r="AB2206" s="147"/>
      <c r="AC2206" s="147"/>
      <c r="AD2206" s="147"/>
      <c r="AE2206" s="144"/>
      <c r="AF2206" s="144"/>
      <c r="AG2206" s="147"/>
      <c r="AH2206" s="147"/>
      <c r="AI2206" s="144"/>
      <c r="AJ2206" s="147"/>
      <c r="AK2206" s="147"/>
      <c r="AL2206" s="60"/>
      <c r="AM2206" s="60"/>
      <c r="AN2206" s="144"/>
      <c r="AO2206" s="144"/>
      <c r="AP2206" s="147"/>
      <c r="AQ2206" s="147"/>
      <c r="AR2206" s="144"/>
      <c r="AS2206" s="147"/>
      <c r="AT2206" s="147"/>
      <c r="AU2206" s="60"/>
      <c r="AV2206" s="410"/>
      <c r="AW2206" s="60"/>
    </row>
    <row r="2207">
      <c r="A2207" s="60"/>
      <c r="B2207" s="41"/>
      <c r="C2207" s="41"/>
      <c r="E2207" s="60"/>
      <c r="F2207" s="60"/>
      <c r="G2207" s="147"/>
      <c r="H2207" s="140"/>
      <c r="I2207" s="60"/>
      <c r="J2207" s="147"/>
      <c r="K2207" s="60"/>
      <c r="L2207" s="60"/>
      <c r="M2207" s="60"/>
      <c r="N2207" s="327"/>
      <c r="O2207" s="145"/>
      <c r="P2207" s="1572"/>
      <c r="Q2207" s="1526"/>
      <c r="R2207" s="60"/>
      <c r="S2207" s="1528"/>
      <c r="T2207" s="327"/>
      <c r="U2207" s="147"/>
      <c r="V2207" s="147"/>
      <c r="W2207" s="1455"/>
      <c r="X2207" s="60"/>
      <c r="Y2207" s="147"/>
      <c r="Z2207" s="60"/>
      <c r="AA2207" s="147"/>
      <c r="AB2207" s="147"/>
      <c r="AC2207" s="147"/>
      <c r="AD2207" s="147"/>
      <c r="AE2207" s="144"/>
      <c r="AF2207" s="144"/>
      <c r="AG2207" s="147"/>
      <c r="AH2207" s="147"/>
      <c r="AI2207" s="144"/>
      <c r="AJ2207" s="147"/>
      <c r="AK2207" s="147"/>
      <c r="AL2207" s="60"/>
      <c r="AM2207" s="60"/>
      <c r="AN2207" s="144"/>
      <c r="AO2207" s="144"/>
      <c r="AP2207" s="147"/>
      <c r="AQ2207" s="147"/>
      <c r="AR2207" s="144"/>
      <c r="AS2207" s="147"/>
      <c r="AT2207" s="147"/>
      <c r="AU2207" s="60"/>
      <c r="AV2207" s="410"/>
      <c r="AW2207" s="60"/>
    </row>
    <row r="2208">
      <c r="A2208" s="60"/>
      <c r="B2208" s="41"/>
      <c r="C2208" s="41"/>
      <c r="E2208" s="60"/>
      <c r="F2208" s="60"/>
      <c r="G2208" s="147"/>
      <c r="H2208" s="140"/>
      <c r="I2208" s="60"/>
      <c r="J2208" s="147"/>
      <c r="K2208" s="60"/>
      <c r="L2208" s="60"/>
      <c r="M2208" s="60"/>
      <c r="N2208" s="327"/>
      <c r="O2208" s="145"/>
      <c r="P2208" s="1572"/>
      <c r="Q2208" s="1526"/>
      <c r="R2208" s="60"/>
      <c r="S2208" s="1528"/>
      <c r="T2208" s="327"/>
      <c r="U2208" s="147"/>
      <c r="V2208" s="147"/>
      <c r="W2208" s="1455"/>
      <c r="X2208" s="60"/>
      <c r="Y2208" s="147"/>
      <c r="Z2208" s="60"/>
      <c r="AA2208" s="147"/>
      <c r="AB2208" s="147"/>
      <c r="AC2208" s="147"/>
      <c r="AD2208" s="147"/>
      <c r="AE2208" s="144"/>
      <c r="AF2208" s="144"/>
      <c r="AG2208" s="147"/>
      <c r="AH2208" s="147"/>
      <c r="AI2208" s="144"/>
      <c r="AJ2208" s="147"/>
      <c r="AK2208" s="147"/>
      <c r="AL2208" s="60"/>
      <c r="AM2208" s="60"/>
      <c r="AN2208" s="144"/>
      <c r="AO2208" s="144"/>
      <c r="AP2208" s="147"/>
      <c r="AQ2208" s="147"/>
      <c r="AR2208" s="144"/>
      <c r="AS2208" s="147"/>
      <c r="AT2208" s="147"/>
      <c r="AU2208" s="60"/>
      <c r="AV2208" s="410"/>
      <c r="AW2208" s="60"/>
    </row>
    <row r="2209">
      <c r="A2209" s="60"/>
      <c r="B2209" s="41"/>
      <c r="C2209" s="41"/>
      <c r="E2209" s="60"/>
      <c r="F2209" s="60"/>
      <c r="G2209" s="147"/>
      <c r="H2209" s="140"/>
      <c r="I2209" s="60"/>
      <c r="J2209" s="147"/>
      <c r="K2209" s="60"/>
      <c r="L2209" s="60"/>
      <c r="M2209" s="60"/>
      <c r="N2209" s="327"/>
      <c r="O2209" s="145"/>
      <c r="P2209" s="1572"/>
      <c r="Q2209" s="1526"/>
      <c r="R2209" s="60"/>
      <c r="S2209" s="1528"/>
      <c r="T2209" s="327"/>
      <c r="U2209" s="147"/>
      <c r="V2209" s="147"/>
      <c r="W2209" s="1455"/>
      <c r="X2209" s="60"/>
      <c r="Y2209" s="147"/>
      <c r="Z2209" s="60"/>
      <c r="AA2209" s="147"/>
      <c r="AB2209" s="147"/>
      <c r="AC2209" s="147"/>
      <c r="AD2209" s="147"/>
      <c r="AE2209" s="144"/>
      <c r="AF2209" s="144"/>
      <c r="AG2209" s="147"/>
      <c r="AH2209" s="147"/>
      <c r="AI2209" s="144"/>
      <c r="AJ2209" s="147"/>
      <c r="AK2209" s="147"/>
      <c r="AL2209" s="60"/>
      <c r="AM2209" s="60"/>
      <c r="AN2209" s="144"/>
      <c r="AO2209" s="144"/>
      <c r="AP2209" s="147"/>
      <c r="AQ2209" s="147"/>
      <c r="AR2209" s="144"/>
      <c r="AS2209" s="147"/>
      <c r="AT2209" s="147"/>
      <c r="AU2209" s="60"/>
      <c r="AV2209" s="410"/>
      <c r="AW2209" s="60"/>
    </row>
    <row r="2210">
      <c r="A2210" s="60"/>
      <c r="B2210" s="41"/>
      <c r="C2210" s="41"/>
      <c r="E2210" s="60"/>
      <c r="F2210" s="60"/>
      <c r="G2210" s="147"/>
      <c r="H2210" s="140"/>
      <c r="I2210" s="60"/>
      <c r="J2210" s="147"/>
      <c r="K2210" s="60"/>
      <c r="L2210" s="60"/>
      <c r="M2210" s="60"/>
      <c r="N2210" s="327"/>
      <c r="O2210" s="145"/>
      <c r="P2210" s="1572"/>
      <c r="Q2210" s="1526"/>
      <c r="R2210" s="60"/>
      <c r="S2210" s="1528"/>
      <c r="T2210" s="327"/>
      <c r="U2210" s="147"/>
      <c r="V2210" s="147"/>
      <c r="W2210" s="1455"/>
      <c r="X2210" s="60"/>
      <c r="Y2210" s="147"/>
      <c r="Z2210" s="60"/>
      <c r="AA2210" s="147"/>
      <c r="AB2210" s="147"/>
      <c r="AC2210" s="147"/>
      <c r="AD2210" s="147"/>
      <c r="AE2210" s="144"/>
      <c r="AF2210" s="144"/>
      <c r="AG2210" s="147"/>
      <c r="AH2210" s="147"/>
      <c r="AI2210" s="144"/>
      <c r="AJ2210" s="147"/>
      <c r="AK2210" s="147"/>
      <c r="AL2210" s="60"/>
      <c r="AM2210" s="60"/>
      <c r="AN2210" s="144"/>
      <c r="AO2210" s="144"/>
      <c r="AP2210" s="147"/>
      <c r="AQ2210" s="147"/>
      <c r="AR2210" s="144"/>
      <c r="AS2210" s="147"/>
      <c r="AT2210" s="147"/>
      <c r="AU2210" s="60"/>
      <c r="AV2210" s="410"/>
      <c r="AW2210" s="60"/>
    </row>
    <row r="2211">
      <c r="A2211" s="60"/>
      <c r="B2211" s="41"/>
      <c r="C2211" s="41"/>
      <c r="E2211" s="60"/>
      <c r="F2211" s="60"/>
      <c r="G2211" s="147"/>
      <c r="H2211" s="140"/>
      <c r="I2211" s="60"/>
      <c r="J2211" s="147"/>
      <c r="K2211" s="60"/>
      <c r="L2211" s="60"/>
      <c r="M2211" s="60"/>
      <c r="N2211" s="327"/>
      <c r="O2211" s="145"/>
      <c r="P2211" s="1572"/>
      <c r="Q2211" s="1526"/>
      <c r="R2211" s="60"/>
      <c r="S2211" s="1528"/>
      <c r="T2211" s="327"/>
      <c r="U2211" s="147"/>
      <c r="V2211" s="147"/>
      <c r="W2211" s="1455"/>
      <c r="X2211" s="60"/>
      <c r="Y2211" s="147"/>
      <c r="Z2211" s="60"/>
      <c r="AA2211" s="147"/>
      <c r="AB2211" s="147"/>
      <c r="AC2211" s="147"/>
      <c r="AD2211" s="147"/>
      <c r="AE2211" s="144"/>
      <c r="AF2211" s="144"/>
      <c r="AG2211" s="147"/>
      <c r="AH2211" s="147"/>
      <c r="AI2211" s="144"/>
      <c r="AJ2211" s="147"/>
      <c r="AK2211" s="147"/>
      <c r="AL2211" s="60"/>
      <c r="AM2211" s="60"/>
      <c r="AN2211" s="144"/>
      <c r="AO2211" s="144"/>
      <c r="AP2211" s="147"/>
      <c r="AQ2211" s="147"/>
      <c r="AR2211" s="144"/>
      <c r="AS2211" s="147"/>
      <c r="AT2211" s="147"/>
      <c r="AU2211" s="60"/>
      <c r="AV2211" s="410"/>
      <c r="AW2211" s="60"/>
    </row>
    <row r="2212">
      <c r="A2212" s="60"/>
      <c r="B2212" s="41"/>
      <c r="C2212" s="41"/>
      <c r="E2212" s="60"/>
      <c r="F2212" s="60"/>
      <c r="G2212" s="147"/>
      <c r="H2212" s="140"/>
      <c r="I2212" s="60"/>
      <c r="J2212" s="147"/>
      <c r="K2212" s="60"/>
      <c r="L2212" s="60"/>
      <c r="M2212" s="60"/>
      <c r="N2212" s="327"/>
      <c r="O2212" s="145"/>
      <c r="P2212" s="1572"/>
      <c r="Q2212" s="1526"/>
      <c r="R2212" s="60"/>
      <c r="S2212" s="1528"/>
      <c r="T2212" s="327"/>
      <c r="U2212" s="147"/>
      <c r="V2212" s="147"/>
      <c r="W2212" s="1455"/>
      <c r="X2212" s="60"/>
      <c r="Y2212" s="147"/>
      <c r="Z2212" s="60"/>
      <c r="AA2212" s="147"/>
      <c r="AB2212" s="147"/>
      <c r="AC2212" s="147"/>
      <c r="AD2212" s="147"/>
      <c r="AE2212" s="144"/>
      <c r="AF2212" s="144"/>
      <c r="AG2212" s="147"/>
      <c r="AH2212" s="147"/>
      <c r="AI2212" s="144"/>
      <c r="AJ2212" s="147"/>
      <c r="AK2212" s="147"/>
      <c r="AL2212" s="60"/>
      <c r="AM2212" s="60"/>
      <c r="AN2212" s="144"/>
      <c r="AO2212" s="144"/>
      <c r="AP2212" s="147"/>
      <c r="AQ2212" s="147"/>
      <c r="AR2212" s="144"/>
      <c r="AS2212" s="147"/>
      <c r="AT2212" s="147"/>
      <c r="AU2212" s="60"/>
      <c r="AV2212" s="410"/>
      <c r="AW2212" s="60"/>
    </row>
    <row r="2213">
      <c r="A2213" s="60"/>
      <c r="B2213" s="41"/>
      <c r="C2213" s="41"/>
      <c r="E2213" s="60"/>
      <c r="F2213" s="60"/>
      <c r="G2213" s="147"/>
      <c r="H2213" s="140"/>
      <c r="I2213" s="60"/>
      <c r="J2213" s="147"/>
      <c r="K2213" s="60"/>
      <c r="L2213" s="60"/>
      <c r="M2213" s="60"/>
      <c r="N2213" s="327"/>
      <c r="O2213" s="145"/>
      <c r="P2213" s="1572"/>
      <c r="Q2213" s="1526"/>
      <c r="R2213" s="60"/>
      <c r="S2213" s="1528"/>
      <c r="T2213" s="327"/>
      <c r="U2213" s="147"/>
      <c r="V2213" s="147"/>
      <c r="W2213" s="1455"/>
      <c r="X2213" s="60"/>
      <c r="Y2213" s="147"/>
      <c r="Z2213" s="60"/>
      <c r="AA2213" s="147"/>
      <c r="AB2213" s="147"/>
      <c r="AC2213" s="147"/>
      <c r="AD2213" s="147"/>
      <c r="AE2213" s="144"/>
      <c r="AF2213" s="144"/>
      <c r="AG2213" s="147"/>
      <c r="AH2213" s="147"/>
      <c r="AI2213" s="144"/>
      <c r="AJ2213" s="147"/>
      <c r="AK2213" s="147"/>
      <c r="AL2213" s="60"/>
      <c r="AM2213" s="60"/>
      <c r="AN2213" s="144"/>
      <c r="AO2213" s="144"/>
      <c r="AP2213" s="147"/>
      <c r="AQ2213" s="147"/>
      <c r="AR2213" s="144"/>
      <c r="AS2213" s="147"/>
      <c r="AT2213" s="147"/>
      <c r="AU2213" s="60"/>
      <c r="AV2213" s="410"/>
      <c r="AW2213" s="60"/>
    </row>
    <row r="2214">
      <c r="A2214" s="60"/>
      <c r="B2214" s="41"/>
      <c r="C2214" s="41"/>
      <c r="E2214" s="60"/>
      <c r="F2214" s="60"/>
      <c r="G2214" s="147"/>
      <c r="H2214" s="140"/>
      <c r="I2214" s="60"/>
      <c r="J2214" s="147"/>
      <c r="K2214" s="60"/>
      <c r="L2214" s="60"/>
      <c r="M2214" s="60"/>
      <c r="N2214" s="327"/>
      <c r="O2214" s="145"/>
      <c r="P2214" s="1572"/>
      <c r="Q2214" s="1526"/>
      <c r="R2214" s="60"/>
      <c r="S2214" s="1528"/>
      <c r="T2214" s="327"/>
      <c r="U2214" s="147"/>
      <c r="V2214" s="147"/>
      <c r="W2214" s="1455"/>
      <c r="X2214" s="60"/>
      <c r="Y2214" s="147"/>
      <c r="Z2214" s="60"/>
      <c r="AA2214" s="147"/>
      <c r="AB2214" s="147"/>
      <c r="AC2214" s="147"/>
      <c r="AD2214" s="147"/>
      <c r="AE2214" s="144"/>
      <c r="AF2214" s="144"/>
      <c r="AG2214" s="147"/>
      <c r="AH2214" s="147"/>
      <c r="AI2214" s="144"/>
      <c r="AJ2214" s="147"/>
      <c r="AK2214" s="147"/>
      <c r="AL2214" s="60"/>
      <c r="AM2214" s="60"/>
      <c r="AN2214" s="144"/>
      <c r="AO2214" s="144"/>
      <c r="AP2214" s="147"/>
      <c r="AQ2214" s="147"/>
      <c r="AR2214" s="144"/>
      <c r="AS2214" s="147"/>
      <c r="AT2214" s="147"/>
      <c r="AU2214" s="60"/>
      <c r="AV2214" s="410"/>
      <c r="AW2214" s="60"/>
    </row>
    <row r="2215">
      <c r="A2215" s="60"/>
      <c r="B2215" s="41"/>
      <c r="C2215" s="41"/>
      <c r="E2215" s="60"/>
      <c r="F2215" s="60"/>
      <c r="G2215" s="147"/>
      <c r="H2215" s="140"/>
      <c r="I2215" s="60"/>
      <c r="J2215" s="147"/>
      <c r="K2215" s="60"/>
      <c r="L2215" s="60"/>
      <c r="M2215" s="60"/>
      <c r="N2215" s="327"/>
      <c r="O2215" s="145"/>
      <c r="P2215" s="1572"/>
      <c r="Q2215" s="1526"/>
      <c r="R2215" s="60"/>
      <c r="S2215" s="1528"/>
      <c r="T2215" s="327"/>
      <c r="U2215" s="147"/>
      <c r="V2215" s="147"/>
      <c r="W2215" s="1455"/>
      <c r="X2215" s="60"/>
      <c r="Y2215" s="147"/>
      <c r="Z2215" s="60"/>
      <c r="AA2215" s="147"/>
      <c r="AB2215" s="147"/>
      <c r="AC2215" s="147"/>
      <c r="AD2215" s="147"/>
      <c r="AE2215" s="144"/>
      <c r="AF2215" s="144"/>
      <c r="AG2215" s="147"/>
      <c r="AH2215" s="147"/>
      <c r="AI2215" s="144"/>
      <c r="AJ2215" s="147"/>
      <c r="AK2215" s="147"/>
      <c r="AL2215" s="60"/>
      <c r="AM2215" s="60"/>
      <c r="AN2215" s="144"/>
      <c r="AO2215" s="144"/>
      <c r="AP2215" s="147"/>
      <c r="AQ2215" s="147"/>
      <c r="AR2215" s="144"/>
      <c r="AS2215" s="147"/>
      <c r="AT2215" s="147"/>
      <c r="AU2215" s="60"/>
      <c r="AV2215" s="410"/>
      <c r="AW2215" s="60"/>
    </row>
    <row r="2216">
      <c r="A2216" s="60"/>
      <c r="B2216" s="41"/>
      <c r="C2216" s="41"/>
      <c r="E2216" s="60"/>
      <c r="F2216" s="60"/>
      <c r="G2216" s="147"/>
      <c r="H2216" s="140"/>
      <c r="I2216" s="60"/>
      <c r="J2216" s="147"/>
      <c r="K2216" s="60"/>
      <c r="L2216" s="60"/>
      <c r="M2216" s="60"/>
      <c r="N2216" s="327"/>
      <c r="O2216" s="145"/>
      <c r="P2216" s="1572"/>
      <c r="Q2216" s="1526"/>
      <c r="R2216" s="60"/>
      <c r="S2216" s="1528"/>
      <c r="T2216" s="327"/>
      <c r="U2216" s="147"/>
      <c r="V2216" s="147"/>
      <c r="W2216" s="1455"/>
      <c r="X2216" s="60"/>
      <c r="Y2216" s="147"/>
      <c r="Z2216" s="60"/>
      <c r="AA2216" s="147"/>
      <c r="AB2216" s="147"/>
      <c r="AC2216" s="147"/>
      <c r="AD2216" s="147"/>
      <c r="AE2216" s="144"/>
      <c r="AF2216" s="144"/>
      <c r="AG2216" s="147"/>
      <c r="AH2216" s="147"/>
      <c r="AI2216" s="144"/>
      <c r="AJ2216" s="147"/>
      <c r="AK2216" s="147"/>
      <c r="AL2216" s="60"/>
      <c r="AM2216" s="60"/>
      <c r="AN2216" s="144"/>
      <c r="AO2216" s="144"/>
      <c r="AP2216" s="147"/>
      <c r="AQ2216" s="147"/>
      <c r="AR2216" s="144"/>
      <c r="AS2216" s="147"/>
      <c r="AT2216" s="147"/>
      <c r="AU2216" s="60"/>
      <c r="AV2216" s="410"/>
      <c r="AW2216" s="60"/>
    </row>
    <row r="2217">
      <c r="A2217" s="60"/>
      <c r="B2217" s="41"/>
      <c r="C2217" s="41"/>
      <c r="E2217" s="60"/>
      <c r="F2217" s="60"/>
      <c r="G2217" s="147"/>
      <c r="H2217" s="140"/>
      <c r="I2217" s="60"/>
      <c r="J2217" s="147"/>
      <c r="K2217" s="60"/>
      <c r="L2217" s="60"/>
      <c r="M2217" s="60"/>
      <c r="N2217" s="327"/>
      <c r="O2217" s="145"/>
      <c r="P2217" s="1572"/>
      <c r="Q2217" s="1526"/>
      <c r="R2217" s="60"/>
      <c r="S2217" s="1528"/>
      <c r="T2217" s="327"/>
      <c r="U2217" s="147"/>
      <c r="V2217" s="147"/>
      <c r="W2217" s="1455"/>
      <c r="X2217" s="60"/>
      <c r="Y2217" s="147"/>
      <c r="Z2217" s="60"/>
      <c r="AA2217" s="147"/>
      <c r="AB2217" s="147"/>
      <c r="AC2217" s="147"/>
      <c r="AD2217" s="147"/>
      <c r="AE2217" s="144"/>
      <c r="AF2217" s="144"/>
      <c r="AG2217" s="147"/>
      <c r="AH2217" s="147"/>
      <c r="AI2217" s="144"/>
      <c r="AJ2217" s="147"/>
      <c r="AK2217" s="147"/>
      <c r="AL2217" s="60"/>
      <c r="AM2217" s="60"/>
      <c r="AN2217" s="144"/>
      <c r="AO2217" s="144"/>
      <c r="AP2217" s="147"/>
      <c r="AQ2217" s="147"/>
      <c r="AR2217" s="144"/>
      <c r="AS2217" s="147"/>
      <c r="AT2217" s="147"/>
      <c r="AU2217" s="60"/>
      <c r="AV2217" s="410"/>
      <c r="AW2217" s="60"/>
    </row>
    <row r="2218">
      <c r="A2218" s="60"/>
      <c r="B2218" s="41"/>
      <c r="C2218" s="41"/>
      <c r="E2218" s="60"/>
      <c r="F2218" s="60"/>
      <c r="G2218" s="147"/>
      <c r="H2218" s="140"/>
      <c r="I2218" s="60"/>
      <c r="J2218" s="147"/>
      <c r="K2218" s="60"/>
      <c r="L2218" s="60"/>
      <c r="M2218" s="60"/>
      <c r="N2218" s="327"/>
      <c r="O2218" s="145"/>
      <c r="P2218" s="1572"/>
      <c r="Q2218" s="1526"/>
      <c r="R2218" s="60"/>
      <c r="S2218" s="1528"/>
      <c r="T2218" s="327"/>
      <c r="U2218" s="147"/>
      <c r="V2218" s="147"/>
      <c r="W2218" s="1455"/>
      <c r="X2218" s="60"/>
      <c r="Y2218" s="147"/>
      <c r="Z2218" s="60"/>
      <c r="AA2218" s="147"/>
      <c r="AB2218" s="147"/>
      <c r="AC2218" s="147"/>
      <c r="AD2218" s="147"/>
      <c r="AE2218" s="144"/>
      <c r="AF2218" s="144"/>
      <c r="AG2218" s="147"/>
      <c r="AH2218" s="147"/>
      <c r="AI2218" s="144"/>
      <c r="AJ2218" s="147"/>
      <c r="AK2218" s="147"/>
      <c r="AL2218" s="60"/>
      <c r="AM2218" s="60"/>
      <c r="AN2218" s="144"/>
      <c r="AO2218" s="144"/>
      <c r="AP2218" s="147"/>
      <c r="AQ2218" s="147"/>
      <c r="AR2218" s="144"/>
      <c r="AS2218" s="147"/>
      <c r="AT2218" s="147"/>
      <c r="AU2218" s="60"/>
      <c r="AV2218" s="410"/>
      <c r="AW2218" s="60"/>
    </row>
    <row r="2219">
      <c r="A2219" s="60"/>
      <c r="B2219" s="41"/>
      <c r="C2219" s="41"/>
      <c r="E2219" s="60"/>
      <c r="F2219" s="60"/>
      <c r="G2219" s="147"/>
      <c r="H2219" s="140"/>
      <c r="I2219" s="60"/>
      <c r="J2219" s="147"/>
      <c r="K2219" s="60"/>
      <c r="L2219" s="60"/>
      <c r="M2219" s="60"/>
      <c r="N2219" s="327"/>
      <c r="O2219" s="145"/>
      <c r="P2219" s="1572"/>
      <c r="Q2219" s="1526"/>
      <c r="R2219" s="60"/>
      <c r="S2219" s="1528"/>
      <c r="T2219" s="327"/>
      <c r="U2219" s="147"/>
      <c r="V2219" s="147"/>
      <c r="W2219" s="1455"/>
      <c r="X2219" s="60"/>
      <c r="Y2219" s="147"/>
      <c r="Z2219" s="60"/>
      <c r="AA2219" s="147"/>
      <c r="AB2219" s="147"/>
      <c r="AC2219" s="147"/>
      <c r="AD2219" s="147"/>
      <c r="AE2219" s="144"/>
      <c r="AF2219" s="144"/>
      <c r="AG2219" s="147"/>
      <c r="AH2219" s="147"/>
      <c r="AI2219" s="144"/>
      <c r="AJ2219" s="147"/>
      <c r="AK2219" s="147"/>
      <c r="AL2219" s="60"/>
      <c r="AM2219" s="60"/>
      <c r="AN2219" s="144"/>
      <c r="AO2219" s="144"/>
      <c r="AP2219" s="147"/>
      <c r="AQ2219" s="147"/>
      <c r="AR2219" s="144"/>
      <c r="AS2219" s="147"/>
      <c r="AT2219" s="147"/>
      <c r="AU2219" s="60"/>
      <c r="AV2219" s="410"/>
      <c r="AW2219" s="60"/>
    </row>
    <row r="2220">
      <c r="A2220" s="60"/>
      <c r="B2220" s="41"/>
      <c r="C2220" s="41"/>
      <c r="E2220" s="60"/>
      <c r="F2220" s="60"/>
      <c r="G2220" s="147"/>
      <c r="H2220" s="140"/>
      <c r="I2220" s="60"/>
      <c r="J2220" s="147"/>
      <c r="K2220" s="60"/>
      <c r="L2220" s="60"/>
      <c r="M2220" s="60"/>
      <c r="N2220" s="327"/>
      <c r="O2220" s="145"/>
      <c r="P2220" s="1572"/>
      <c r="Q2220" s="1526"/>
      <c r="R2220" s="60"/>
      <c r="S2220" s="1528"/>
      <c r="T2220" s="327"/>
      <c r="U2220" s="147"/>
      <c r="V2220" s="147"/>
      <c r="W2220" s="1455"/>
      <c r="X2220" s="60"/>
      <c r="Y2220" s="147"/>
      <c r="Z2220" s="60"/>
      <c r="AA2220" s="147"/>
      <c r="AB2220" s="147"/>
      <c r="AC2220" s="147"/>
      <c r="AD2220" s="147"/>
      <c r="AE2220" s="144"/>
      <c r="AF2220" s="144"/>
      <c r="AG2220" s="147"/>
      <c r="AH2220" s="147"/>
      <c r="AI2220" s="144"/>
      <c r="AJ2220" s="147"/>
      <c r="AK2220" s="147"/>
      <c r="AL2220" s="60"/>
      <c r="AM2220" s="60"/>
      <c r="AN2220" s="144"/>
      <c r="AO2220" s="144"/>
      <c r="AP2220" s="147"/>
      <c r="AQ2220" s="147"/>
      <c r="AR2220" s="144"/>
      <c r="AS2220" s="147"/>
      <c r="AT2220" s="147"/>
      <c r="AU2220" s="60"/>
      <c r="AV2220" s="410"/>
      <c r="AW2220" s="60"/>
    </row>
    <row r="2221">
      <c r="A2221" s="60"/>
      <c r="B2221" s="41"/>
      <c r="C2221" s="41"/>
      <c r="E2221" s="60"/>
      <c r="F2221" s="60"/>
      <c r="G2221" s="147"/>
      <c r="H2221" s="140"/>
      <c r="I2221" s="60"/>
      <c r="J2221" s="147"/>
      <c r="K2221" s="60"/>
      <c r="L2221" s="60"/>
      <c r="M2221" s="60"/>
      <c r="N2221" s="327"/>
      <c r="O2221" s="145"/>
      <c r="P2221" s="1572"/>
      <c r="Q2221" s="1526"/>
      <c r="R2221" s="60"/>
      <c r="S2221" s="1528"/>
      <c r="T2221" s="327"/>
      <c r="U2221" s="147"/>
      <c r="V2221" s="147"/>
      <c r="W2221" s="1455"/>
      <c r="X2221" s="60"/>
      <c r="Y2221" s="147"/>
      <c r="Z2221" s="60"/>
      <c r="AA2221" s="147"/>
      <c r="AB2221" s="147"/>
      <c r="AC2221" s="147"/>
      <c r="AD2221" s="147"/>
      <c r="AE2221" s="144"/>
      <c r="AF2221" s="144"/>
      <c r="AG2221" s="147"/>
      <c r="AH2221" s="147"/>
      <c r="AI2221" s="144"/>
      <c r="AJ2221" s="147"/>
      <c r="AK2221" s="147"/>
      <c r="AL2221" s="60"/>
      <c r="AM2221" s="60"/>
      <c r="AN2221" s="144"/>
      <c r="AO2221" s="144"/>
      <c r="AP2221" s="147"/>
      <c r="AQ2221" s="147"/>
      <c r="AR2221" s="144"/>
      <c r="AS2221" s="147"/>
      <c r="AT2221" s="147"/>
      <c r="AU2221" s="60"/>
      <c r="AV2221" s="410"/>
      <c r="AW2221" s="60"/>
    </row>
    <row r="2222">
      <c r="A2222" s="60"/>
      <c r="B2222" s="41"/>
      <c r="C2222" s="41"/>
      <c r="E2222" s="60"/>
      <c r="F2222" s="60"/>
      <c r="G2222" s="147"/>
      <c r="H2222" s="140"/>
      <c r="I2222" s="60"/>
      <c r="J2222" s="147"/>
      <c r="K2222" s="60"/>
      <c r="L2222" s="60"/>
      <c r="M2222" s="60"/>
      <c r="N2222" s="327"/>
      <c r="O2222" s="145"/>
      <c r="P2222" s="1572"/>
      <c r="Q2222" s="1526"/>
      <c r="R2222" s="60"/>
      <c r="S2222" s="1528"/>
      <c r="T2222" s="327"/>
      <c r="U2222" s="147"/>
      <c r="V2222" s="147"/>
      <c r="W2222" s="1455"/>
      <c r="X2222" s="60"/>
      <c r="Y2222" s="147"/>
      <c r="Z2222" s="60"/>
      <c r="AA2222" s="147"/>
      <c r="AB2222" s="147"/>
      <c r="AC2222" s="147"/>
      <c r="AD2222" s="147"/>
      <c r="AE2222" s="144"/>
      <c r="AF2222" s="144"/>
      <c r="AG2222" s="147"/>
      <c r="AH2222" s="147"/>
      <c r="AI2222" s="144"/>
      <c r="AJ2222" s="147"/>
      <c r="AK2222" s="147"/>
      <c r="AL2222" s="60"/>
      <c r="AM2222" s="60"/>
      <c r="AN2222" s="144"/>
      <c r="AO2222" s="144"/>
      <c r="AP2222" s="147"/>
      <c r="AQ2222" s="147"/>
      <c r="AR2222" s="144"/>
      <c r="AS2222" s="147"/>
      <c r="AT2222" s="147"/>
      <c r="AU2222" s="60"/>
      <c r="AV2222" s="410"/>
      <c r="AW2222" s="60"/>
    </row>
    <row r="2223">
      <c r="A2223" s="60"/>
      <c r="B2223" s="41"/>
      <c r="C2223" s="41"/>
      <c r="E2223" s="60"/>
      <c r="F2223" s="60"/>
      <c r="G2223" s="147"/>
      <c r="H2223" s="140"/>
      <c r="I2223" s="60"/>
      <c r="J2223" s="147"/>
      <c r="K2223" s="60"/>
      <c r="L2223" s="60"/>
      <c r="M2223" s="60"/>
      <c r="N2223" s="327"/>
      <c r="O2223" s="145"/>
      <c r="P2223" s="1572"/>
      <c r="Q2223" s="1526"/>
      <c r="R2223" s="60"/>
      <c r="S2223" s="1528"/>
      <c r="T2223" s="327"/>
      <c r="U2223" s="147"/>
      <c r="V2223" s="147"/>
      <c r="W2223" s="1455"/>
      <c r="X2223" s="60"/>
      <c r="Y2223" s="147"/>
      <c r="Z2223" s="60"/>
      <c r="AA2223" s="147"/>
      <c r="AB2223" s="147"/>
      <c r="AC2223" s="147"/>
      <c r="AD2223" s="147"/>
      <c r="AE2223" s="144"/>
      <c r="AF2223" s="144"/>
      <c r="AG2223" s="147"/>
      <c r="AH2223" s="147"/>
      <c r="AI2223" s="144"/>
      <c r="AJ2223" s="147"/>
      <c r="AK2223" s="147"/>
      <c r="AL2223" s="60"/>
      <c r="AM2223" s="60"/>
      <c r="AN2223" s="144"/>
      <c r="AO2223" s="144"/>
      <c r="AP2223" s="147"/>
      <c r="AQ2223" s="147"/>
      <c r="AR2223" s="144"/>
      <c r="AS2223" s="147"/>
      <c r="AT2223" s="147"/>
      <c r="AU2223" s="60"/>
      <c r="AV2223" s="410"/>
      <c r="AW2223" s="60"/>
    </row>
    <row r="2224">
      <c r="A2224" s="60"/>
      <c r="B2224" s="41"/>
      <c r="C2224" s="41"/>
      <c r="E2224" s="60"/>
      <c r="F2224" s="60"/>
      <c r="G2224" s="147"/>
      <c r="H2224" s="140"/>
      <c r="I2224" s="60"/>
      <c r="J2224" s="147"/>
      <c r="K2224" s="60"/>
      <c r="L2224" s="60"/>
      <c r="M2224" s="60"/>
      <c r="N2224" s="327"/>
      <c r="O2224" s="145"/>
      <c r="P2224" s="1572"/>
      <c r="Q2224" s="1526"/>
      <c r="R2224" s="60"/>
      <c r="S2224" s="1528"/>
      <c r="T2224" s="327"/>
      <c r="U2224" s="147"/>
      <c r="V2224" s="147"/>
      <c r="W2224" s="1455"/>
      <c r="X2224" s="60"/>
      <c r="Y2224" s="147"/>
      <c r="Z2224" s="60"/>
      <c r="AA2224" s="147"/>
      <c r="AB2224" s="147"/>
      <c r="AC2224" s="147"/>
      <c r="AD2224" s="147"/>
      <c r="AE2224" s="144"/>
      <c r="AF2224" s="144"/>
      <c r="AG2224" s="147"/>
      <c r="AH2224" s="147"/>
      <c r="AI2224" s="144"/>
      <c r="AJ2224" s="147"/>
      <c r="AK2224" s="147"/>
      <c r="AL2224" s="60"/>
      <c r="AM2224" s="60"/>
      <c r="AN2224" s="144"/>
      <c r="AO2224" s="144"/>
      <c r="AP2224" s="147"/>
      <c r="AQ2224" s="147"/>
      <c r="AR2224" s="144"/>
      <c r="AS2224" s="147"/>
      <c r="AT2224" s="147"/>
      <c r="AU2224" s="60"/>
      <c r="AV2224" s="410"/>
      <c r="AW2224" s="60"/>
    </row>
    <row r="2225">
      <c r="A2225" s="60"/>
      <c r="B2225" s="41"/>
      <c r="C2225" s="41"/>
      <c r="E2225" s="60"/>
      <c r="F2225" s="60"/>
      <c r="G2225" s="147"/>
      <c r="H2225" s="140"/>
      <c r="I2225" s="60"/>
      <c r="J2225" s="147"/>
      <c r="K2225" s="60"/>
      <c r="L2225" s="60"/>
      <c r="M2225" s="60"/>
      <c r="N2225" s="327"/>
      <c r="O2225" s="145"/>
      <c r="P2225" s="1572"/>
      <c r="Q2225" s="1526"/>
      <c r="R2225" s="60"/>
      <c r="S2225" s="1528"/>
      <c r="T2225" s="327"/>
      <c r="U2225" s="147"/>
      <c r="V2225" s="147"/>
      <c r="W2225" s="1455"/>
      <c r="X2225" s="60"/>
      <c r="Y2225" s="147"/>
      <c r="Z2225" s="60"/>
      <c r="AA2225" s="147"/>
      <c r="AB2225" s="147"/>
      <c r="AC2225" s="147"/>
      <c r="AD2225" s="147"/>
      <c r="AE2225" s="144"/>
      <c r="AF2225" s="144"/>
      <c r="AG2225" s="147"/>
      <c r="AH2225" s="147"/>
      <c r="AI2225" s="144"/>
      <c r="AJ2225" s="147"/>
      <c r="AK2225" s="147"/>
      <c r="AL2225" s="60"/>
      <c r="AM2225" s="60"/>
      <c r="AN2225" s="144"/>
      <c r="AO2225" s="144"/>
      <c r="AP2225" s="147"/>
      <c r="AQ2225" s="147"/>
      <c r="AR2225" s="144"/>
      <c r="AS2225" s="147"/>
      <c r="AT2225" s="147"/>
      <c r="AU2225" s="60"/>
      <c r="AV2225" s="410"/>
      <c r="AW2225" s="60"/>
    </row>
    <row r="2226">
      <c r="A2226" s="60"/>
      <c r="B2226" s="41"/>
      <c r="C2226" s="41"/>
      <c r="E2226" s="60"/>
      <c r="F2226" s="60"/>
      <c r="G2226" s="147"/>
      <c r="H2226" s="140"/>
      <c r="I2226" s="60"/>
      <c r="J2226" s="147"/>
      <c r="K2226" s="60"/>
      <c r="L2226" s="60"/>
      <c r="M2226" s="60"/>
      <c r="N2226" s="327"/>
      <c r="O2226" s="145"/>
      <c r="P2226" s="1572"/>
      <c r="Q2226" s="1526"/>
      <c r="R2226" s="60"/>
      <c r="S2226" s="1528"/>
      <c r="T2226" s="327"/>
      <c r="U2226" s="147"/>
      <c r="V2226" s="147"/>
      <c r="W2226" s="1455"/>
      <c r="X2226" s="60"/>
      <c r="Y2226" s="147"/>
      <c r="Z2226" s="60"/>
      <c r="AA2226" s="147"/>
      <c r="AB2226" s="147"/>
      <c r="AC2226" s="147"/>
      <c r="AD2226" s="147"/>
      <c r="AE2226" s="144"/>
      <c r="AF2226" s="144"/>
      <c r="AG2226" s="147"/>
      <c r="AH2226" s="147"/>
      <c r="AI2226" s="144"/>
      <c r="AJ2226" s="147"/>
      <c r="AK2226" s="147"/>
      <c r="AL2226" s="60"/>
      <c r="AM2226" s="60"/>
      <c r="AN2226" s="144"/>
      <c r="AO2226" s="144"/>
      <c r="AP2226" s="147"/>
      <c r="AQ2226" s="147"/>
      <c r="AR2226" s="144"/>
      <c r="AS2226" s="147"/>
      <c r="AT2226" s="147"/>
      <c r="AU2226" s="60"/>
      <c r="AV2226" s="410"/>
      <c r="AW2226" s="60"/>
    </row>
    <row r="2227">
      <c r="A2227" s="60"/>
      <c r="B2227" s="41"/>
      <c r="C2227" s="41"/>
      <c r="E2227" s="60"/>
      <c r="F2227" s="60"/>
      <c r="G2227" s="147"/>
      <c r="H2227" s="140"/>
      <c r="I2227" s="60"/>
      <c r="J2227" s="147"/>
      <c r="K2227" s="60"/>
      <c r="L2227" s="60"/>
      <c r="M2227" s="60"/>
      <c r="N2227" s="327"/>
      <c r="O2227" s="145"/>
      <c r="P2227" s="1572"/>
      <c r="Q2227" s="1526"/>
      <c r="R2227" s="60"/>
      <c r="S2227" s="1528"/>
      <c r="T2227" s="327"/>
      <c r="U2227" s="147"/>
      <c r="V2227" s="147"/>
      <c r="W2227" s="1455"/>
      <c r="X2227" s="60"/>
      <c r="Y2227" s="147"/>
      <c r="Z2227" s="60"/>
      <c r="AA2227" s="147"/>
      <c r="AB2227" s="147"/>
      <c r="AC2227" s="147"/>
      <c r="AD2227" s="147"/>
      <c r="AE2227" s="144"/>
      <c r="AF2227" s="144"/>
      <c r="AG2227" s="147"/>
      <c r="AH2227" s="147"/>
      <c r="AI2227" s="144"/>
      <c r="AJ2227" s="147"/>
      <c r="AK2227" s="147"/>
      <c r="AL2227" s="60"/>
      <c r="AM2227" s="60"/>
      <c r="AN2227" s="144"/>
      <c r="AO2227" s="144"/>
      <c r="AP2227" s="147"/>
      <c r="AQ2227" s="147"/>
      <c r="AR2227" s="144"/>
      <c r="AS2227" s="147"/>
      <c r="AT2227" s="147"/>
      <c r="AU2227" s="60"/>
      <c r="AV2227" s="410"/>
      <c r="AW2227" s="60"/>
    </row>
    <row r="2228">
      <c r="A2228" s="60"/>
      <c r="B2228" s="41"/>
      <c r="C2228" s="41"/>
      <c r="E2228" s="60"/>
      <c r="F2228" s="60"/>
      <c r="G2228" s="147"/>
      <c r="H2228" s="140"/>
      <c r="I2228" s="60"/>
      <c r="J2228" s="147"/>
      <c r="K2228" s="60"/>
      <c r="L2228" s="60"/>
      <c r="M2228" s="60"/>
      <c r="N2228" s="327"/>
      <c r="O2228" s="145"/>
      <c r="P2228" s="1572"/>
      <c r="Q2228" s="1526"/>
      <c r="R2228" s="60"/>
      <c r="S2228" s="1528"/>
      <c r="T2228" s="327"/>
      <c r="U2228" s="147"/>
      <c r="V2228" s="147"/>
      <c r="W2228" s="1455"/>
      <c r="X2228" s="60"/>
      <c r="Y2228" s="147"/>
      <c r="Z2228" s="60"/>
      <c r="AA2228" s="147"/>
      <c r="AB2228" s="147"/>
      <c r="AC2228" s="147"/>
      <c r="AD2228" s="147"/>
      <c r="AE2228" s="144"/>
      <c r="AF2228" s="144"/>
      <c r="AG2228" s="147"/>
      <c r="AH2228" s="147"/>
      <c r="AI2228" s="144"/>
      <c r="AJ2228" s="147"/>
      <c r="AK2228" s="147"/>
      <c r="AL2228" s="60"/>
      <c r="AM2228" s="60"/>
      <c r="AN2228" s="144"/>
      <c r="AO2228" s="144"/>
      <c r="AP2228" s="147"/>
      <c r="AQ2228" s="147"/>
      <c r="AR2228" s="144"/>
      <c r="AS2228" s="147"/>
      <c r="AT2228" s="147"/>
      <c r="AU2228" s="60"/>
      <c r="AV2228" s="410"/>
      <c r="AW2228" s="60"/>
    </row>
    <row r="2229">
      <c r="A2229" s="60"/>
      <c r="B2229" s="41"/>
      <c r="C2229" s="41"/>
      <c r="E2229" s="60"/>
      <c r="F2229" s="60"/>
      <c r="G2229" s="147"/>
      <c r="H2229" s="140"/>
      <c r="I2229" s="60"/>
      <c r="J2229" s="147"/>
      <c r="K2229" s="60"/>
      <c r="L2229" s="60"/>
      <c r="M2229" s="60"/>
      <c r="N2229" s="327"/>
      <c r="O2229" s="145"/>
      <c r="P2229" s="1572"/>
      <c r="Q2229" s="1526"/>
      <c r="R2229" s="60"/>
      <c r="S2229" s="1528"/>
      <c r="T2229" s="327"/>
      <c r="U2229" s="147"/>
      <c r="V2229" s="147"/>
      <c r="W2229" s="1455"/>
      <c r="X2229" s="60"/>
      <c r="Y2229" s="147"/>
      <c r="Z2229" s="60"/>
      <c r="AA2229" s="147"/>
      <c r="AB2229" s="147"/>
      <c r="AC2229" s="147"/>
      <c r="AD2229" s="147"/>
      <c r="AE2229" s="144"/>
      <c r="AF2229" s="144"/>
      <c r="AG2229" s="147"/>
      <c r="AH2229" s="147"/>
      <c r="AI2229" s="144"/>
      <c r="AJ2229" s="147"/>
      <c r="AK2229" s="147"/>
      <c r="AL2229" s="60"/>
      <c r="AM2229" s="60"/>
      <c r="AN2229" s="144"/>
      <c r="AO2229" s="144"/>
      <c r="AP2229" s="147"/>
      <c r="AQ2229" s="147"/>
      <c r="AR2229" s="144"/>
      <c r="AS2229" s="147"/>
      <c r="AT2229" s="147"/>
      <c r="AU2229" s="60"/>
      <c r="AV2229" s="410"/>
      <c r="AW2229" s="60"/>
    </row>
    <row r="2230">
      <c r="A2230" s="60"/>
      <c r="B2230" s="41"/>
      <c r="C2230" s="41"/>
      <c r="E2230" s="60"/>
      <c r="F2230" s="60"/>
      <c r="G2230" s="147"/>
      <c r="H2230" s="140"/>
      <c r="I2230" s="60"/>
      <c r="J2230" s="147"/>
      <c r="K2230" s="60"/>
      <c r="L2230" s="60"/>
      <c r="M2230" s="60"/>
      <c r="N2230" s="327"/>
      <c r="O2230" s="145"/>
      <c r="P2230" s="1572"/>
      <c r="Q2230" s="1526"/>
      <c r="R2230" s="60"/>
      <c r="S2230" s="1528"/>
      <c r="T2230" s="327"/>
      <c r="U2230" s="147"/>
      <c r="V2230" s="147"/>
      <c r="W2230" s="1455"/>
      <c r="X2230" s="60"/>
      <c r="Y2230" s="147"/>
      <c r="Z2230" s="60"/>
      <c r="AA2230" s="147"/>
      <c r="AB2230" s="147"/>
      <c r="AC2230" s="147"/>
      <c r="AD2230" s="147"/>
      <c r="AE2230" s="144"/>
      <c r="AF2230" s="144"/>
      <c r="AG2230" s="147"/>
      <c r="AH2230" s="147"/>
      <c r="AI2230" s="144"/>
      <c r="AJ2230" s="147"/>
      <c r="AK2230" s="147"/>
      <c r="AL2230" s="60"/>
      <c r="AM2230" s="60"/>
      <c r="AN2230" s="144"/>
      <c r="AO2230" s="144"/>
      <c r="AP2230" s="147"/>
      <c r="AQ2230" s="147"/>
      <c r="AR2230" s="144"/>
      <c r="AS2230" s="147"/>
      <c r="AT2230" s="147"/>
      <c r="AU2230" s="60"/>
      <c r="AV2230" s="410"/>
      <c r="AW2230" s="60"/>
    </row>
    <row r="2231">
      <c r="A2231" s="60"/>
      <c r="B2231" s="41"/>
      <c r="C2231" s="41"/>
      <c r="E2231" s="60"/>
      <c r="F2231" s="60"/>
      <c r="G2231" s="147"/>
      <c r="H2231" s="140"/>
      <c r="I2231" s="60"/>
      <c r="J2231" s="147"/>
      <c r="K2231" s="60"/>
      <c r="L2231" s="60"/>
      <c r="M2231" s="60"/>
      <c r="N2231" s="327"/>
      <c r="O2231" s="145"/>
      <c r="P2231" s="1572"/>
      <c r="Q2231" s="1526"/>
      <c r="R2231" s="60"/>
      <c r="S2231" s="1528"/>
      <c r="T2231" s="327"/>
      <c r="U2231" s="147"/>
      <c r="V2231" s="147"/>
      <c r="W2231" s="1455"/>
      <c r="X2231" s="60"/>
      <c r="Y2231" s="147"/>
      <c r="Z2231" s="60"/>
      <c r="AA2231" s="147"/>
      <c r="AB2231" s="147"/>
      <c r="AC2231" s="147"/>
      <c r="AD2231" s="147"/>
      <c r="AE2231" s="144"/>
      <c r="AF2231" s="144"/>
      <c r="AG2231" s="147"/>
      <c r="AH2231" s="147"/>
      <c r="AI2231" s="144"/>
      <c r="AJ2231" s="147"/>
      <c r="AK2231" s="147"/>
      <c r="AL2231" s="60"/>
      <c r="AM2231" s="60"/>
      <c r="AN2231" s="144"/>
      <c r="AO2231" s="144"/>
      <c r="AP2231" s="147"/>
      <c r="AQ2231" s="147"/>
      <c r="AR2231" s="144"/>
      <c r="AS2231" s="147"/>
      <c r="AT2231" s="147"/>
      <c r="AU2231" s="60"/>
      <c r="AV2231" s="410"/>
      <c r="AW2231" s="60"/>
    </row>
    <row r="2232">
      <c r="A2232" s="60"/>
      <c r="B2232" s="41"/>
      <c r="C2232" s="41"/>
      <c r="E2232" s="60"/>
      <c r="F2232" s="60"/>
      <c r="G2232" s="147"/>
      <c r="H2232" s="140"/>
      <c r="I2232" s="60"/>
      <c r="J2232" s="147"/>
      <c r="K2232" s="60"/>
      <c r="L2232" s="60"/>
      <c r="M2232" s="60"/>
      <c r="N2232" s="327"/>
      <c r="O2232" s="145"/>
      <c r="P2232" s="1572"/>
      <c r="Q2232" s="1526"/>
      <c r="R2232" s="60"/>
      <c r="S2232" s="1528"/>
      <c r="T2232" s="327"/>
      <c r="U2232" s="147"/>
      <c r="V2232" s="147"/>
      <c r="W2232" s="1455"/>
      <c r="X2232" s="60"/>
      <c r="Y2232" s="147"/>
      <c r="Z2232" s="60"/>
      <c r="AA2232" s="147"/>
      <c r="AB2232" s="147"/>
      <c r="AC2232" s="147"/>
      <c r="AD2232" s="147"/>
      <c r="AE2232" s="144"/>
      <c r="AF2232" s="144"/>
      <c r="AG2232" s="147"/>
      <c r="AH2232" s="147"/>
      <c r="AI2232" s="144"/>
      <c r="AJ2232" s="147"/>
      <c r="AK2232" s="147"/>
      <c r="AL2232" s="60"/>
      <c r="AM2232" s="60"/>
      <c r="AN2232" s="144"/>
      <c r="AO2232" s="144"/>
      <c r="AP2232" s="147"/>
      <c r="AQ2232" s="147"/>
      <c r="AR2232" s="144"/>
      <c r="AS2232" s="147"/>
      <c r="AT2232" s="147"/>
      <c r="AU2232" s="60"/>
      <c r="AV2232" s="410"/>
      <c r="AW2232" s="60"/>
    </row>
    <row r="2233">
      <c r="A2233" s="60"/>
      <c r="B2233" s="41"/>
      <c r="C2233" s="41"/>
      <c r="E2233" s="60"/>
      <c r="F2233" s="60"/>
      <c r="G2233" s="147"/>
      <c r="H2233" s="140"/>
      <c r="I2233" s="60"/>
      <c r="J2233" s="147"/>
      <c r="K2233" s="60"/>
      <c r="L2233" s="60"/>
      <c r="M2233" s="60"/>
      <c r="N2233" s="327"/>
      <c r="O2233" s="145"/>
      <c r="P2233" s="1572"/>
      <c r="Q2233" s="1526"/>
      <c r="R2233" s="60"/>
      <c r="S2233" s="1528"/>
      <c r="T2233" s="327"/>
      <c r="U2233" s="147"/>
      <c r="V2233" s="147"/>
      <c r="W2233" s="1455"/>
      <c r="X2233" s="60"/>
      <c r="Y2233" s="147"/>
      <c r="Z2233" s="60"/>
      <c r="AA2233" s="147"/>
      <c r="AB2233" s="147"/>
      <c r="AC2233" s="147"/>
      <c r="AD2233" s="147"/>
      <c r="AE2233" s="144"/>
      <c r="AF2233" s="144"/>
      <c r="AG2233" s="147"/>
      <c r="AH2233" s="147"/>
      <c r="AI2233" s="144"/>
      <c r="AJ2233" s="147"/>
      <c r="AK2233" s="147"/>
      <c r="AL2233" s="60"/>
      <c r="AM2233" s="60"/>
      <c r="AN2233" s="144"/>
      <c r="AO2233" s="144"/>
      <c r="AP2233" s="147"/>
      <c r="AQ2233" s="147"/>
      <c r="AR2233" s="144"/>
      <c r="AS2233" s="147"/>
      <c r="AT2233" s="147"/>
      <c r="AU2233" s="60"/>
      <c r="AV2233" s="410"/>
      <c r="AW2233" s="60"/>
    </row>
    <row r="2234">
      <c r="A2234" s="60"/>
      <c r="B2234" s="41"/>
      <c r="C2234" s="41"/>
      <c r="E2234" s="60"/>
      <c r="F2234" s="60"/>
      <c r="G2234" s="147"/>
      <c r="H2234" s="140"/>
      <c r="I2234" s="60"/>
      <c r="J2234" s="147"/>
      <c r="K2234" s="60"/>
      <c r="L2234" s="60"/>
      <c r="M2234" s="60"/>
      <c r="N2234" s="327"/>
      <c r="O2234" s="145"/>
      <c r="P2234" s="1572"/>
      <c r="Q2234" s="1526"/>
      <c r="R2234" s="60"/>
      <c r="S2234" s="1528"/>
      <c r="T2234" s="327"/>
      <c r="U2234" s="147"/>
      <c r="V2234" s="147"/>
      <c r="W2234" s="1455"/>
      <c r="X2234" s="60"/>
      <c r="Y2234" s="147"/>
      <c r="Z2234" s="60"/>
      <c r="AA2234" s="147"/>
      <c r="AB2234" s="147"/>
      <c r="AC2234" s="147"/>
      <c r="AD2234" s="147"/>
      <c r="AE2234" s="144"/>
      <c r="AF2234" s="144"/>
      <c r="AG2234" s="147"/>
      <c r="AH2234" s="147"/>
      <c r="AI2234" s="144"/>
      <c r="AJ2234" s="147"/>
      <c r="AK2234" s="147"/>
      <c r="AL2234" s="60"/>
      <c r="AM2234" s="60"/>
      <c r="AN2234" s="144"/>
      <c r="AO2234" s="144"/>
      <c r="AP2234" s="147"/>
      <c r="AQ2234" s="147"/>
      <c r="AR2234" s="144"/>
      <c r="AS2234" s="147"/>
      <c r="AT2234" s="147"/>
      <c r="AU2234" s="60"/>
      <c r="AV2234" s="410"/>
      <c r="AW2234" s="60"/>
    </row>
    <row r="2235">
      <c r="A2235" s="60"/>
      <c r="B2235" s="41"/>
      <c r="C2235" s="41"/>
      <c r="E2235" s="60"/>
      <c r="F2235" s="60"/>
      <c r="G2235" s="147"/>
      <c r="H2235" s="140"/>
      <c r="I2235" s="60"/>
      <c r="J2235" s="147"/>
      <c r="K2235" s="60"/>
      <c r="L2235" s="60"/>
      <c r="M2235" s="60"/>
      <c r="N2235" s="327"/>
      <c r="O2235" s="145"/>
      <c r="P2235" s="1572"/>
      <c r="Q2235" s="1526"/>
      <c r="R2235" s="60"/>
      <c r="S2235" s="1528"/>
      <c r="T2235" s="327"/>
      <c r="U2235" s="147"/>
      <c r="V2235" s="147"/>
      <c r="W2235" s="1455"/>
      <c r="X2235" s="60"/>
      <c r="Y2235" s="147"/>
      <c r="Z2235" s="60"/>
      <c r="AA2235" s="147"/>
      <c r="AB2235" s="147"/>
      <c r="AC2235" s="147"/>
      <c r="AD2235" s="147"/>
      <c r="AE2235" s="144"/>
      <c r="AF2235" s="144"/>
      <c r="AG2235" s="147"/>
      <c r="AH2235" s="147"/>
      <c r="AI2235" s="144"/>
      <c r="AJ2235" s="147"/>
      <c r="AK2235" s="147"/>
      <c r="AL2235" s="60"/>
      <c r="AM2235" s="60"/>
      <c r="AN2235" s="144"/>
      <c r="AO2235" s="144"/>
      <c r="AP2235" s="147"/>
      <c r="AQ2235" s="147"/>
      <c r="AR2235" s="144"/>
      <c r="AS2235" s="147"/>
      <c r="AT2235" s="147"/>
      <c r="AU2235" s="60"/>
      <c r="AV2235" s="410"/>
      <c r="AW2235" s="60"/>
    </row>
    <row r="2236">
      <c r="A2236" s="60"/>
      <c r="B2236" s="41"/>
      <c r="C2236" s="41"/>
      <c r="E2236" s="60"/>
      <c r="F2236" s="60"/>
      <c r="G2236" s="147"/>
      <c r="H2236" s="140"/>
      <c r="I2236" s="60"/>
      <c r="J2236" s="147"/>
      <c r="K2236" s="60"/>
      <c r="L2236" s="60"/>
      <c r="M2236" s="60"/>
      <c r="N2236" s="327"/>
      <c r="O2236" s="145"/>
      <c r="P2236" s="1572"/>
      <c r="Q2236" s="1526"/>
      <c r="R2236" s="60"/>
      <c r="S2236" s="1528"/>
      <c r="T2236" s="327"/>
      <c r="U2236" s="147"/>
      <c r="V2236" s="147"/>
      <c r="W2236" s="1455"/>
      <c r="X2236" s="60"/>
      <c r="Y2236" s="147"/>
      <c r="Z2236" s="60"/>
      <c r="AA2236" s="147"/>
      <c r="AB2236" s="147"/>
      <c r="AC2236" s="147"/>
      <c r="AD2236" s="147"/>
      <c r="AE2236" s="144"/>
      <c r="AF2236" s="144"/>
      <c r="AG2236" s="147"/>
      <c r="AH2236" s="147"/>
      <c r="AI2236" s="144"/>
      <c r="AJ2236" s="147"/>
      <c r="AK2236" s="147"/>
      <c r="AL2236" s="60"/>
      <c r="AM2236" s="60"/>
      <c r="AN2236" s="144"/>
      <c r="AO2236" s="144"/>
      <c r="AP2236" s="147"/>
      <c r="AQ2236" s="147"/>
      <c r="AR2236" s="144"/>
      <c r="AS2236" s="147"/>
      <c r="AT2236" s="147"/>
      <c r="AU2236" s="60"/>
      <c r="AV2236" s="410"/>
      <c r="AW2236" s="60"/>
    </row>
    <row r="2237">
      <c r="A2237" s="60"/>
      <c r="B2237" s="41"/>
      <c r="C2237" s="41"/>
      <c r="E2237" s="60"/>
      <c r="F2237" s="60"/>
      <c r="G2237" s="147"/>
      <c r="H2237" s="140"/>
      <c r="I2237" s="60"/>
      <c r="J2237" s="147"/>
      <c r="K2237" s="60"/>
      <c r="L2237" s="60"/>
      <c r="M2237" s="60"/>
      <c r="N2237" s="327"/>
      <c r="O2237" s="145"/>
      <c r="P2237" s="1572"/>
      <c r="Q2237" s="1526"/>
      <c r="R2237" s="60"/>
      <c r="S2237" s="1528"/>
      <c r="T2237" s="327"/>
      <c r="U2237" s="147"/>
      <c r="V2237" s="147"/>
      <c r="W2237" s="1455"/>
      <c r="X2237" s="60"/>
      <c r="Y2237" s="147"/>
      <c r="Z2237" s="60"/>
      <c r="AA2237" s="147"/>
      <c r="AB2237" s="147"/>
      <c r="AC2237" s="147"/>
      <c r="AD2237" s="147"/>
      <c r="AE2237" s="144"/>
      <c r="AF2237" s="144"/>
      <c r="AG2237" s="147"/>
      <c r="AH2237" s="147"/>
      <c r="AI2237" s="144"/>
      <c r="AJ2237" s="147"/>
      <c r="AK2237" s="147"/>
      <c r="AL2237" s="60"/>
      <c r="AM2237" s="60"/>
      <c r="AN2237" s="144"/>
      <c r="AO2237" s="144"/>
      <c r="AP2237" s="147"/>
      <c r="AQ2237" s="147"/>
      <c r="AR2237" s="144"/>
      <c r="AS2237" s="147"/>
      <c r="AT2237" s="147"/>
      <c r="AU2237" s="60"/>
      <c r="AV2237" s="410"/>
      <c r="AW2237" s="60"/>
    </row>
    <row r="2238">
      <c r="A2238" s="60"/>
      <c r="B2238" s="41"/>
      <c r="C2238" s="41"/>
      <c r="E2238" s="60"/>
      <c r="F2238" s="60"/>
      <c r="G2238" s="147"/>
      <c r="H2238" s="140"/>
      <c r="I2238" s="60"/>
      <c r="J2238" s="147"/>
      <c r="K2238" s="60"/>
      <c r="L2238" s="60"/>
      <c r="M2238" s="60"/>
      <c r="N2238" s="327"/>
      <c r="O2238" s="145"/>
      <c r="P2238" s="1572"/>
      <c r="Q2238" s="1526"/>
      <c r="R2238" s="60"/>
      <c r="S2238" s="1528"/>
      <c r="T2238" s="327"/>
      <c r="U2238" s="147"/>
      <c r="V2238" s="147"/>
      <c r="W2238" s="1455"/>
      <c r="X2238" s="60"/>
      <c r="Y2238" s="147"/>
      <c r="Z2238" s="60"/>
      <c r="AA2238" s="147"/>
      <c r="AB2238" s="147"/>
      <c r="AC2238" s="147"/>
      <c r="AD2238" s="147"/>
      <c r="AE2238" s="144"/>
      <c r="AF2238" s="144"/>
      <c r="AG2238" s="147"/>
      <c r="AH2238" s="147"/>
      <c r="AI2238" s="144"/>
      <c r="AJ2238" s="147"/>
      <c r="AK2238" s="147"/>
      <c r="AL2238" s="60"/>
      <c r="AM2238" s="60"/>
      <c r="AN2238" s="144"/>
      <c r="AO2238" s="144"/>
      <c r="AP2238" s="147"/>
      <c r="AQ2238" s="147"/>
      <c r="AR2238" s="144"/>
      <c r="AS2238" s="147"/>
      <c r="AT2238" s="147"/>
      <c r="AU2238" s="60"/>
      <c r="AV2238" s="410"/>
      <c r="AW2238" s="60"/>
    </row>
    <row r="2239">
      <c r="A2239" s="60"/>
      <c r="B2239" s="41"/>
      <c r="C2239" s="41"/>
      <c r="E2239" s="60"/>
      <c r="F2239" s="60"/>
      <c r="G2239" s="147"/>
      <c r="H2239" s="140"/>
      <c r="I2239" s="60"/>
      <c r="J2239" s="147"/>
      <c r="K2239" s="60"/>
      <c r="L2239" s="60"/>
      <c r="M2239" s="60"/>
      <c r="N2239" s="327"/>
      <c r="O2239" s="145"/>
      <c r="P2239" s="1572"/>
      <c r="Q2239" s="1526"/>
      <c r="R2239" s="60"/>
      <c r="S2239" s="1528"/>
      <c r="T2239" s="327"/>
      <c r="U2239" s="147"/>
      <c r="V2239" s="147"/>
      <c r="W2239" s="1455"/>
      <c r="X2239" s="60"/>
      <c r="Y2239" s="147"/>
      <c r="Z2239" s="60"/>
      <c r="AA2239" s="147"/>
      <c r="AB2239" s="147"/>
      <c r="AC2239" s="147"/>
      <c r="AD2239" s="147"/>
      <c r="AE2239" s="144"/>
      <c r="AF2239" s="144"/>
      <c r="AG2239" s="147"/>
      <c r="AH2239" s="147"/>
      <c r="AI2239" s="144"/>
      <c r="AJ2239" s="147"/>
      <c r="AK2239" s="147"/>
      <c r="AL2239" s="60"/>
      <c r="AM2239" s="60"/>
      <c r="AN2239" s="144"/>
      <c r="AO2239" s="144"/>
      <c r="AP2239" s="147"/>
      <c r="AQ2239" s="147"/>
      <c r="AR2239" s="144"/>
      <c r="AS2239" s="147"/>
      <c r="AT2239" s="147"/>
      <c r="AU2239" s="60"/>
      <c r="AV2239" s="410"/>
      <c r="AW2239" s="60"/>
    </row>
    <row r="2240">
      <c r="A2240" s="60"/>
      <c r="B2240" s="41"/>
      <c r="C2240" s="41"/>
      <c r="E2240" s="60"/>
      <c r="F2240" s="60"/>
      <c r="G2240" s="147"/>
      <c r="H2240" s="140"/>
      <c r="I2240" s="60"/>
      <c r="J2240" s="147"/>
      <c r="K2240" s="60"/>
      <c r="L2240" s="60"/>
      <c r="M2240" s="60"/>
      <c r="N2240" s="327"/>
      <c r="O2240" s="145"/>
      <c r="P2240" s="1572"/>
      <c r="Q2240" s="1526"/>
      <c r="R2240" s="60"/>
      <c r="S2240" s="1528"/>
      <c r="T2240" s="327"/>
      <c r="U2240" s="147"/>
      <c r="V2240" s="147"/>
      <c r="W2240" s="1455"/>
      <c r="X2240" s="60"/>
      <c r="Y2240" s="147"/>
      <c r="Z2240" s="60"/>
      <c r="AA2240" s="147"/>
      <c r="AB2240" s="147"/>
      <c r="AC2240" s="147"/>
      <c r="AD2240" s="147"/>
      <c r="AE2240" s="144"/>
      <c r="AF2240" s="144"/>
      <c r="AG2240" s="147"/>
      <c r="AH2240" s="147"/>
      <c r="AI2240" s="144"/>
      <c r="AJ2240" s="147"/>
      <c r="AK2240" s="147"/>
      <c r="AL2240" s="60"/>
      <c r="AM2240" s="60"/>
      <c r="AN2240" s="144"/>
      <c r="AO2240" s="144"/>
      <c r="AP2240" s="147"/>
      <c r="AQ2240" s="147"/>
      <c r="AR2240" s="144"/>
      <c r="AS2240" s="147"/>
      <c r="AT2240" s="147"/>
      <c r="AU2240" s="60"/>
      <c r="AV2240" s="410"/>
      <c r="AW2240" s="60"/>
    </row>
    <row r="2241">
      <c r="A2241" s="60"/>
      <c r="B2241" s="41"/>
      <c r="C2241" s="41"/>
      <c r="E2241" s="60"/>
      <c r="F2241" s="60"/>
      <c r="G2241" s="147"/>
      <c r="H2241" s="140"/>
      <c r="I2241" s="60"/>
      <c r="J2241" s="147"/>
      <c r="K2241" s="60"/>
      <c r="L2241" s="60"/>
      <c r="M2241" s="60"/>
      <c r="N2241" s="327"/>
      <c r="O2241" s="145"/>
      <c r="P2241" s="1572"/>
      <c r="Q2241" s="1526"/>
      <c r="R2241" s="60"/>
      <c r="S2241" s="1528"/>
      <c r="T2241" s="327"/>
      <c r="U2241" s="147"/>
      <c r="V2241" s="147"/>
      <c r="W2241" s="1455"/>
      <c r="X2241" s="60"/>
      <c r="Y2241" s="147"/>
      <c r="Z2241" s="60"/>
      <c r="AA2241" s="147"/>
      <c r="AB2241" s="147"/>
      <c r="AC2241" s="147"/>
      <c r="AD2241" s="147"/>
      <c r="AE2241" s="144"/>
      <c r="AF2241" s="144"/>
      <c r="AG2241" s="147"/>
      <c r="AH2241" s="147"/>
      <c r="AI2241" s="144"/>
      <c r="AJ2241" s="147"/>
      <c r="AK2241" s="147"/>
      <c r="AL2241" s="60"/>
      <c r="AM2241" s="60"/>
      <c r="AN2241" s="144"/>
      <c r="AO2241" s="144"/>
      <c r="AP2241" s="147"/>
      <c r="AQ2241" s="147"/>
      <c r="AR2241" s="144"/>
      <c r="AS2241" s="147"/>
      <c r="AT2241" s="147"/>
      <c r="AU2241" s="60"/>
      <c r="AV2241" s="410"/>
      <c r="AW2241" s="60"/>
    </row>
    <row r="2242">
      <c r="A2242" s="60"/>
      <c r="B2242" s="41"/>
      <c r="C2242" s="41"/>
      <c r="E2242" s="60"/>
      <c r="F2242" s="60"/>
      <c r="G2242" s="147"/>
      <c r="H2242" s="140"/>
      <c r="I2242" s="60"/>
      <c r="J2242" s="147"/>
      <c r="K2242" s="60"/>
      <c r="L2242" s="60"/>
      <c r="M2242" s="60"/>
      <c r="N2242" s="327"/>
      <c r="O2242" s="145"/>
      <c r="P2242" s="1572"/>
      <c r="Q2242" s="1526"/>
      <c r="R2242" s="60"/>
      <c r="S2242" s="1528"/>
      <c r="T2242" s="327"/>
      <c r="U2242" s="147"/>
      <c r="V2242" s="147"/>
      <c r="W2242" s="1455"/>
      <c r="X2242" s="60"/>
      <c r="Y2242" s="147"/>
      <c r="Z2242" s="60"/>
      <c r="AA2242" s="147"/>
      <c r="AB2242" s="147"/>
      <c r="AC2242" s="147"/>
      <c r="AD2242" s="147"/>
      <c r="AE2242" s="144"/>
      <c r="AF2242" s="144"/>
      <c r="AG2242" s="147"/>
      <c r="AH2242" s="147"/>
      <c r="AI2242" s="144"/>
      <c r="AJ2242" s="147"/>
      <c r="AK2242" s="147"/>
      <c r="AL2242" s="60"/>
      <c r="AM2242" s="60"/>
      <c r="AN2242" s="144"/>
      <c r="AO2242" s="144"/>
      <c r="AP2242" s="147"/>
      <c r="AQ2242" s="147"/>
      <c r="AR2242" s="144"/>
      <c r="AS2242" s="147"/>
      <c r="AT2242" s="147"/>
      <c r="AU2242" s="60"/>
      <c r="AV2242" s="410"/>
      <c r="AW2242" s="60"/>
    </row>
    <row r="2243">
      <c r="A2243" s="60"/>
      <c r="B2243" s="41"/>
      <c r="C2243" s="41"/>
      <c r="E2243" s="60"/>
      <c r="F2243" s="60"/>
      <c r="G2243" s="147"/>
      <c r="H2243" s="140"/>
      <c r="I2243" s="60"/>
      <c r="J2243" s="147"/>
      <c r="K2243" s="60"/>
      <c r="L2243" s="60"/>
      <c r="M2243" s="60"/>
      <c r="N2243" s="327"/>
      <c r="O2243" s="145"/>
      <c r="P2243" s="1572"/>
      <c r="Q2243" s="1526"/>
      <c r="R2243" s="60"/>
      <c r="S2243" s="1528"/>
      <c r="T2243" s="327"/>
      <c r="U2243" s="147"/>
      <c r="V2243" s="147"/>
      <c r="W2243" s="1455"/>
      <c r="X2243" s="60"/>
      <c r="Y2243" s="147"/>
      <c r="Z2243" s="60"/>
      <c r="AA2243" s="147"/>
      <c r="AB2243" s="147"/>
      <c r="AC2243" s="147"/>
      <c r="AD2243" s="147"/>
      <c r="AE2243" s="144"/>
      <c r="AF2243" s="144"/>
      <c r="AG2243" s="147"/>
      <c r="AH2243" s="147"/>
      <c r="AI2243" s="144"/>
      <c r="AJ2243" s="147"/>
      <c r="AK2243" s="147"/>
      <c r="AL2243" s="60"/>
      <c r="AM2243" s="60"/>
      <c r="AN2243" s="144"/>
      <c r="AO2243" s="144"/>
      <c r="AP2243" s="147"/>
      <c r="AQ2243" s="147"/>
      <c r="AR2243" s="144"/>
      <c r="AS2243" s="147"/>
      <c r="AT2243" s="147"/>
      <c r="AU2243" s="60"/>
      <c r="AV2243" s="410"/>
      <c r="AW2243" s="60"/>
    </row>
    <row r="2244">
      <c r="A2244" s="60"/>
      <c r="B2244" s="41"/>
      <c r="C2244" s="41"/>
      <c r="E2244" s="60"/>
      <c r="F2244" s="60"/>
      <c r="G2244" s="147"/>
      <c r="H2244" s="140"/>
      <c r="I2244" s="60"/>
      <c r="J2244" s="147"/>
      <c r="K2244" s="60"/>
      <c r="L2244" s="60"/>
      <c r="M2244" s="60"/>
      <c r="N2244" s="327"/>
      <c r="O2244" s="145"/>
      <c r="P2244" s="1572"/>
      <c r="Q2244" s="1526"/>
      <c r="R2244" s="60"/>
      <c r="S2244" s="1528"/>
      <c r="T2244" s="327"/>
      <c r="U2244" s="147"/>
      <c r="V2244" s="147"/>
      <c r="W2244" s="1455"/>
      <c r="X2244" s="60"/>
      <c r="Y2244" s="147"/>
      <c r="Z2244" s="60"/>
      <c r="AA2244" s="147"/>
      <c r="AB2244" s="147"/>
      <c r="AC2244" s="147"/>
      <c r="AD2244" s="147"/>
      <c r="AE2244" s="144"/>
      <c r="AF2244" s="144"/>
      <c r="AG2244" s="147"/>
      <c r="AH2244" s="147"/>
      <c r="AI2244" s="144"/>
      <c r="AJ2244" s="147"/>
      <c r="AK2244" s="147"/>
      <c r="AL2244" s="60"/>
      <c r="AM2244" s="60"/>
      <c r="AN2244" s="144"/>
      <c r="AO2244" s="144"/>
      <c r="AP2244" s="147"/>
      <c r="AQ2244" s="147"/>
      <c r="AR2244" s="144"/>
      <c r="AS2244" s="147"/>
      <c r="AT2244" s="147"/>
      <c r="AU2244" s="60"/>
      <c r="AV2244" s="410"/>
      <c r="AW2244" s="60"/>
    </row>
    <row r="2245">
      <c r="A2245" s="60"/>
      <c r="B2245" s="41"/>
      <c r="C2245" s="41"/>
      <c r="E2245" s="60"/>
      <c r="F2245" s="60"/>
      <c r="G2245" s="147"/>
      <c r="H2245" s="140"/>
      <c r="I2245" s="60"/>
      <c r="J2245" s="147"/>
      <c r="K2245" s="60"/>
      <c r="L2245" s="60"/>
      <c r="M2245" s="60"/>
      <c r="N2245" s="327"/>
      <c r="O2245" s="145"/>
      <c r="P2245" s="1572"/>
      <c r="Q2245" s="1526"/>
      <c r="R2245" s="60"/>
      <c r="S2245" s="1528"/>
      <c r="T2245" s="327"/>
      <c r="U2245" s="147"/>
      <c r="V2245" s="147"/>
      <c r="W2245" s="1455"/>
      <c r="X2245" s="60"/>
      <c r="Y2245" s="147"/>
      <c r="Z2245" s="60"/>
      <c r="AA2245" s="147"/>
      <c r="AB2245" s="147"/>
      <c r="AC2245" s="147"/>
      <c r="AD2245" s="147"/>
      <c r="AE2245" s="144"/>
      <c r="AF2245" s="144"/>
      <c r="AG2245" s="147"/>
      <c r="AH2245" s="147"/>
      <c r="AI2245" s="144"/>
      <c r="AJ2245" s="147"/>
      <c r="AK2245" s="147"/>
      <c r="AL2245" s="60"/>
      <c r="AM2245" s="60"/>
      <c r="AN2245" s="144"/>
      <c r="AO2245" s="144"/>
      <c r="AP2245" s="147"/>
      <c r="AQ2245" s="147"/>
      <c r="AR2245" s="144"/>
      <c r="AS2245" s="147"/>
      <c r="AT2245" s="147"/>
      <c r="AU2245" s="60"/>
      <c r="AV2245" s="410"/>
      <c r="AW2245" s="60"/>
    </row>
    <row r="2246">
      <c r="A2246" s="60"/>
      <c r="B2246" s="41"/>
      <c r="C2246" s="41"/>
      <c r="E2246" s="60"/>
      <c r="F2246" s="60"/>
      <c r="G2246" s="147"/>
      <c r="H2246" s="140"/>
      <c r="I2246" s="60"/>
      <c r="J2246" s="147"/>
      <c r="K2246" s="60"/>
      <c r="L2246" s="60"/>
      <c r="M2246" s="60"/>
      <c r="N2246" s="327"/>
      <c r="O2246" s="145"/>
      <c r="P2246" s="1572"/>
      <c r="Q2246" s="1526"/>
      <c r="R2246" s="60"/>
      <c r="S2246" s="1528"/>
      <c r="T2246" s="327"/>
      <c r="U2246" s="147"/>
      <c r="V2246" s="147"/>
      <c r="W2246" s="1455"/>
      <c r="X2246" s="60"/>
      <c r="Y2246" s="147"/>
      <c r="Z2246" s="60"/>
      <c r="AA2246" s="147"/>
      <c r="AB2246" s="147"/>
      <c r="AC2246" s="147"/>
      <c r="AD2246" s="147"/>
      <c r="AE2246" s="144"/>
      <c r="AF2246" s="144"/>
      <c r="AG2246" s="147"/>
      <c r="AH2246" s="147"/>
      <c r="AI2246" s="144"/>
      <c r="AJ2246" s="147"/>
      <c r="AK2246" s="147"/>
      <c r="AL2246" s="60"/>
      <c r="AM2246" s="60"/>
      <c r="AN2246" s="144"/>
      <c r="AO2246" s="144"/>
      <c r="AP2246" s="147"/>
      <c r="AQ2246" s="147"/>
      <c r="AR2246" s="144"/>
      <c r="AS2246" s="147"/>
      <c r="AT2246" s="147"/>
      <c r="AU2246" s="60"/>
      <c r="AV2246" s="410"/>
      <c r="AW2246" s="60"/>
    </row>
    <row r="2247">
      <c r="A2247" s="60"/>
      <c r="B2247" s="41"/>
      <c r="C2247" s="41"/>
      <c r="E2247" s="60"/>
      <c r="F2247" s="60"/>
      <c r="G2247" s="147"/>
      <c r="H2247" s="140"/>
      <c r="I2247" s="60"/>
      <c r="J2247" s="147"/>
      <c r="K2247" s="60"/>
      <c r="L2247" s="60"/>
      <c r="M2247" s="60"/>
      <c r="N2247" s="327"/>
      <c r="O2247" s="145"/>
      <c r="P2247" s="1572"/>
      <c r="Q2247" s="1526"/>
      <c r="R2247" s="60"/>
      <c r="S2247" s="1528"/>
      <c r="T2247" s="327"/>
      <c r="U2247" s="147"/>
      <c r="V2247" s="147"/>
      <c r="W2247" s="1455"/>
      <c r="X2247" s="60"/>
      <c r="Y2247" s="147"/>
      <c r="Z2247" s="60"/>
      <c r="AA2247" s="147"/>
      <c r="AB2247" s="147"/>
      <c r="AC2247" s="147"/>
      <c r="AD2247" s="147"/>
      <c r="AE2247" s="144"/>
      <c r="AF2247" s="144"/>
      <c r="AG2247" s="147"/>
      <c r="AH2247" s="147"/>
      <c r="AI2247" s="144"/>
      <c r="AJ2247" s="147"/>
      <c r="AK2247" s="147"/>
      <c r="AL2247" s="60"/>
      <c r="AM2247" s="60"/>
      <c r="AN2247" s="144"/>
      <c r="AO2247" s="144"/>
      <c r="AP2247" s="147"/>
      <c r="AQ2247" s="147"/>
      <c r="AR2247" s="144"/>
      <c r="AS2247" s="147"/>
      <c r="AT2247" s="147"/>
      <c r="AU2247" s="60"/>
      <c r="AV2247" s="410"/>
      <c r="AW2247" s="60"/>
    </row>
    <row r="2248">
      <c r="A2248" s="60"/>
      <c r="B2248" s="41"/>
      <c r="C2248" s="41"/>
      <c r="E2248" s="60"/>
      <c r="F2248" s="60"/>
      <c r="G2248" s="147"/>
      <c r="H2248" s="140"/>
      <c r="I2248" s="60"/>
      <c r="J2248" s="147"/>
      <c r="K2248" s="60"/>
      <c r="L2248" s="60"/>
      <c r="M2248" s="60"/>
      <c r="N2248" s="327"/>
      <c r="O2248" s="145"/>
      <c r="P2248" s="1572"/>
      <c r="Q2248" s="1526"/>
      <c r="R2248" s="60"/>
      <c r="S2248" s="1528"/>
      <c r="T2248" s="327"/>
      <c r="U2248" s="147"/>
      <c r="V2248" s="147"/>
      <c r="W2248" s="1455"/>
      <c r="X2248" s="60"/>
      <c r="Y2248" s="147"/>
      <c r="Z2248" s="60"/>
      <c r="AA2248" s="147"/>
      <c r="AB2248" s="147"/>
      <c r="AC2248" s="147"/>
      <c r="AD2248" s="147"/>
      <c r="AE2248" s="144"/>
      <c r="AF2248" s="144"/>
      <c r="AG2248" s="147"/>
      <c r="AH2248" s="147"/>
      <c r="AI2248" s="144"/>
      <c r="AJ2248" s="147"/>
      <c r="AK2248" s="147"/>
      <c r="AL2248" s="60"/>
      <c r="AM2248" s="60"/>
      <c r="AN2248" s="144"/>
      <c r="AO2248" s="144"/>
      <c r="AP2248" s="147"/>
      <c r="AQ2248" s="147"/>
      <c r="AR2248" s="144"/>
      <c r="AS2248" s="147"/>
      <c r="AT2248" s="147"/>
      <c r="AU2248" s="60"/>
      <c r="AV2248" s="410"/>
      <c r="AW2248" s="60"/>
    </row>
    <row r="2249">
      <c r="A2249" s="60"/>
      <c r="B2249" s="41"/>
      <c r="C2249" s="41"/>
      <c r="E2249" s="60"/>
      <c r="F2249" s="60"/>
      <c r="G2249" s="147"/>
      <c r="H2249" s="140"/>
      <c r="I2249" s="60"/>
      <c r="J2249" s="147"/>
      <c r="K2249" s="60"/>
      <c r="L2249" s="60"/>
      <c r="M2249" s="60"/>
      <c r="N2249" s="327"/>
      <c r="O2249" s="145"/>
      <c r="P2249" s="1572"/>
      <c r="Q2249" s="1526"/>
      <c r="R2249" s="60"/>
      <c r="S2249" s="1528"/>
      <c r="T2249" s="327"/>
      <c r="U2249" s="147"/>
      <c r="V2249" s="147"/>
      <c r="W2249" s="1455"/>
      <c r="X2249" s="60"/>
      <c r="Y2249" s="147"/>
      <c r="Z2249" s="60"/>
      <c r="AA2249" s="147"/>
      <c r="AB2249" s="147"/>
      <c r="AC2249" s="147"/>
      <c r="AD2249" s="147"/>
      <c r="AE2249" s="144"/>
      <c r="AF2249" s="144"/>
      <c r="AG2249" s="147"/>
      <c r="AH2249" s="147"/>
      <c r="AI2249" s="144"/>
      <c r="AJ2249" s="147"/>
      <c r="AK2249" s="147"/>
      <c r="AL2249" s="60"/>
      <c r="AM2249" s="60"/>
      <c r="AN2249" s="144"/>
      <c r="AO2249" s="144"/>
      <c r="AP2249" s="147"/>
      <c r="AQ2249" s="147"/>
      <c r="AR2249" s="144"/>
      <c r="AS2249" s="147"/>
      <c r="AT2249" s="147"/>
      <c r="AU2249" s="60"/>
      <c r="AV2249" s="410"/>
      <c r="AW2249" s="60"/>
    </row>
    <row r="2250">
      <c r="A2250" s="60"/>
      <c r="B2250" s="41"/>
      <c r="C2250" s="41"/>
      <c r="E2250" s="60"/>
      <c r="F2250" s="60"/>
      <c r="G2250" s="147"/>
      <c r="H2250" s="140"/>
      <c r="I2250" s="60"/>
      <c r="J2250" s="147"/>
      <c r="K2250" s="60"/>
      <c r="L2250" s="60"/>
      <c r="M2250" s="60"/>
      <c r="N2250" s="327"/>
      <c r="O2250" s="145"/>
      <c r="P2250" s="1572"/>
      <c r="Q2250" s="1526"/>
      <c r="R2250" s="60"/>
      <c r="S2250" s="1528"/>
      <c r="T2250" s="327"/>
      <c r="U2250" s="147"/>
      <c r="V2250" s="147"/>
      <c r="W2250" s="1455"/>
      <c r="X2250" s="60"/>
      <c r="Y2250" s="147"/>
      <c r="Z2250" s="60"/>
      <c r="AA2250" s="147"/>
      <c r="AB2250" s="147"/>
      <c r="AC2250" s="147"/>
      <c r="AD2250" s="147"/>
      <c r="AE2250" s="144"/>
      <c r="AF2250" s="144"/>
      <c r="AG2250" s="147"/>
      <c r="AH2250" s="147"/>
      <c r="AI2250" s="144"/>
      <c r="AJ2250" s="147"/>
      <c r="AK2250" s="147"/>
      <c r="AL2250" s="60"/>
      <c r="AM2250" s="60"/>
      <c r="AN2250" s="144"/>
      <c r="AO2250" s="144"/>
      <c r="AP2250" s="147"/>
      <c r="AQ2250" s="147"/>
      <c r="AR2250" s="144"/>
      <c r="AS2250" s="147"/>
      <c r="AT2250" s="147"/>
      <c r="AU2250" s="60"/>
      <c r="AV2250" s="410"/>
      <c r="AW2250" s="60"/>
    </row>
    <row r="2251">
      <c r="A2251" s="60"/>
      <c r="B2251" s="41"/>
      <c r="C2251" s="41"/>
      <c r="E2251" s="60"/>
      <c r="F2251" s="60"/>
      <c r="G2251" s="147"/>
      <c r="H2251" s="140"/>
      <c r="I2251" s="60"/>
      <c r="J2251" s="147"/>
      <c r="K2251" s="60"/>
      <c r="L2251" s="60"/>
      <c r="M2251" s="60"/>
      <c r="N2251" s="327"/>
      <c r="O2251" s="145"/>
      <c r="P2251" s="1572"/>
      <c r="Q2251" s="1526"/>
      <c r="R2251" s="60"/>
      <c r="S2251" s="1528"/>
      <c r="T2251" s="327"/>
      <c r="U2251" s="147"/>
      <c r="V2251" s="147"/>
      <c r="W2251" s="1455"/>
      <c r="X2251" s="60"/>
      <c r="Y2251" s="147"/>
      <c r="Z2251" s="60"/>
      <c r="AA2251" s="147"/>
      <c r="AB2251" s="147"/>
      <c r="AC2251" s="147"/>
      <c r="AD2251" s="147"/>
      <c r="AE2251" s="144"/>
      <c r="AF2251" s="144"/>
      <c r="AG2251" s="147"/>
      <c r="AH2251" s="147"/>
      <c r="AI2251" s="144"/>
      <c r="AJ2251" s="147"/>
      <c r="AK2251" s="147"/>
      <c r="AL2251" s="60"/>
      <c r="AM2251" s="60"/>
      <c r="AN2251" s="144"/>
      <c r="AO2251" s="144"/>
      <c r="AP2251" s="147"/>
      <c r="AQ2251" s="147"/>
      <c r="AR2251" s="144"/>
      <c r="AS2251" s="147"/>
      <c r="AT2251" s="147"/>
      <c r="AU2251" s="60"/>
      <c r="AV2251" s="410"/>
      <c r="AW2251" s="60"/>
    </row>
    <row r="2252">
      <c r="A2252" s="60"/>
      <c r="B2252" s="41"/>
      <c r="C2252" s="41"/>
      <c r="E2252" s="60"/>
      <c r="F2252" s="60"/>
      <c r="G2252" s="147"/>
      <c r="H2252" s="140"/>
      <c r="I2252" s="60"/>
      <c r="J2252" s="147"/>
      <c r="K2252" s="60"/>
      <c r="L2252" s="60"/>
      <c r="M2252" s="60"/>
      <c r="N2252" s="327"/>
      <c r="O2252" s="145"/>
      <c r="P2252" s="1572"/>
      <c r="Q2252" s="1526"/>
      <c r="R2252" s="60"/>
      <c r="S2252" s="1528"/>
      <c r="T2252" s="327"/>
      <c r="U2252" s="147"/>
      <c r="V2252" s="147"/>
      <c r="W2252" s="1455"/>
      <c r="X2252" s="60"/>
      <c r="Y2252" s="147"/>
      <c r="Z2252" s="60"/>
      <c r="AA2252" s="147"/>
      <c r="AB2252" s="147"/>
      <c r="AC2252" s="147"/>
      <c r="AD2252" s="147"/>
      <c r="AE2252" s="144"/>
      <c r="AF2252" s="144"/>
      <c r="AG2252" s="147"/>
      <c r="AH2252" s="147"/>
      <c r="AI2252" s="144"/>
      <c r="AJ2252" s="147"/>
      <c r="AK2252" s="147"/>
      <c r="AL2252" s="60"/>
      <c r="AM2252" s="60"/>
      <c r="AN2252" s="144"/>
      <c r="AO2252" s="144"/>
      <c r="AP2252" s="147"/>
      <c r="AQ2252" s="147"/>
      <c r="AR2252" s="144"/>
      <c r="AS2252" s="147"/>
      <c r="AT2252" s="147"/>
      <c r="AU2252" s="60"/>
      <c r="AV2252" s="410"/>
      <c r="AW2252" s="60"/>
    </row>
    <row r="2253">
      <c r="A2253" s="60"/>
      <c r="B2253" s="41"/>
      <c r="C2253" s="41"/>
      <c r="E2253" s="60"/>
      <c r="F2253" s="60"/>
      <c r="G2253" s="147"/>
      <c r="H2253" s="140"/>
      <c r="I2253" s="60"/>
      <c r="J2253" s="147"/>
      <c r="K2253" s="60"/>
      <c r="L2253" s="60"/>
      <c r="M2253" s="60"/>
      <c r="N2253" s="327"/>
      <c r="O2253" s="145"/>
      <c r="P2253" s="1572"/>
      <c r="Q2253" s="1526"/>
      <c r="R2253" s="60"/>
      <c r="S2253" s="1528"/>
      <c r="T2253" s="327"/>
      <c r="U2253" s="147"/>
      <c r="V2253" s="147"/>
      <c r="W2253" s="1455"/>
      <c r="X2253" s="60"/>
      <c r="Y2253" s="147"/>
      <c r="Z2253" s="60"/>
      <c r="AA2253" s="147"/>
      <c r="AB2253" s="147"/>
      <c r="AC2253" s="147"/>
      <c r="AD2253" s="147"/>
      <c r="AE2253" s="144"/>
      <c r="AF2253" s="144"/>
      <c r="AG2253" s="147"/>
      <c r="AH2253" s="147"/>
      <c r="AI2253" s="144"/>
      <c r="AJ2253" s="147"/>
      <c r="AK2253" s="147"/>
      <c r="AL2253" s="60"/>
      <c r="AM2253" s="60"/>
      <c r="AN2253" s="144"/>
      <c r="AO2253" s="144"/>
      <c r="AP2253" s="147"/>
      <c r="AQ2253" s="147"/>
      <c r="AR2253" s="144"/>
      <c r="AS2253" s="147"/>
      <c r="AT2253" s="147"/>
      <c r="AU2253" s="60"/>
      <c r="AV2253" s="410"/>
      <c r="AW2253" s="60"/>
    </row>
    <row r="2254">
      <c r="A2254" s="60"/>
      <c r="B2254" s="41"/>
      <c r="C2254" s="41"/>
      <c r="E2254" s="60"/>
      <c r="F2254" s="60"/>
      <c r="G2254" s="147"/>
      <c r="H2254" s="140"/>
      <c r="I2254" s="60"/>
      <c r="J2254" s="147"/>
      <c r="K2254" s="60"/>
      <c r="L2254" s="60"/>
      <c r="M2254" s="60"/>
      <c r="N2254" s="327"/>
      <c r="O2254" s="145"/>
      <c r="P2254" s="1572"/>
      <c r="Q2254" s="1526"/>
      <c r="R2254" s="60"/>
      <c r="S2254" s="1528"/>
      <c r="T2254" s="327"/>
      <c r="U2254" s="147"/>
      <c r="V2254" s="147"/>
      <c r="W2254" s="1455"/>
      <c r="X2254" s="60"/>
      <c r="Y2254" s="147"/>
      <c r="Z2254" s="60"/>
      <c r="AA2254" s="147"/>
      <c r="AB2254" s="147"/>
      <c r="AC2254" s="147"/>
      <c r="AD2254" s="147"/>
      <c r="AE2254" s="144"/>
      <c r="AF2254" s="144"/>
      <c r="AG2254" s="147"/>
      <c r="AH2254" s="147"/>
      <c r="AI2254" s="144"/>
      <c r="AJ2254" s="147"/>
      <c r="AK2254" s="147"/>
      <c r="AL2254" s="60"/>
      <c r="AM2254" s="60"/>
      <c r="AN2254" s="144"/>
      <c r="AO2254" s="144"/>
      <c r="AP2254" s="147"/>
      <c r="AQ2254" s="147"/>
      <c r="AR2254" s="144"/>
      <c r="AS2254" s="147"/>
      <c r="AT2254" s="147"/>
      <c r="AU2254" s="60"/>
      <c r="AV2254" s="410"/>
      <c r="AW2254" s="60"/>
    </row>
    <row r="2255">
      <c r="A2255" s="60"/>
      <c r="B2255" s="41"/>
      <c r="C2255" s="41"/>
      <c r="E2255" s="60"/>
      <c r="F2255" s="60"/>
      <c r="G2255" s="147"/>
      <c r="H2255" s="140"/>
      <c r="I2255" s="60"/>
      <c r="J2255" s="147"/>
      <c r="K2255" s="60"/>
      <c r="L2255" s="60"/>
      <c r="M2255" s="60"/>
      <c r="N2255" s="327"/>
      <c r="O2255" s="145"/>
      <c r="P2255" s="1572"/>
      <c r="Q2255" s="1526"/>
      <c r="R2255" s="60"/>
      <c r="S2255" s="1528"/>
      <c r="T2255" s="327"/>
      <c r="U2255" s="147"/>
      <c r="V2255" s="147"/>
      <c r="W2255" s="1455"/>
      <c r="X2255" s="60"/>
      <c r="Y2255" s="147"/>
      <c r="Z2255" s="60"/>
      <c r="AA2255" s="147"/>
      <c r="AB2255" s="147"/>
      <c r="AC2255" s="147"/>
      <c r="AD2255" s="147"/>
      <c r="AE2255" s="144"/>
      <c r="AF2255" s="144"/>
      <c r="AG2255" s="147"/>
      <c r="AH2255" s="147"/>
      <c r="AI2255" s="144"/>
      <c r="AJ2255" s="147"/>
      <c r="AK2255" s="147"/>
      <c r="AL2255" s="60"/>
      <c r="AM2255" s="60"/>
      <c r="AN2255" s="144"/>
      <c r="AO2255" s="144"/>
      <c r="AP2255" s="147"/>
      <c r="AQ2255" s="147"/>
      <c r="AR2255" s="144"/>
      <c r="AS2255" s="147"/>
      <c r="AT2255" s="147"/>
      <c r="AU2255" s="60"/>
      <c r="AV2255" s="410"/>
      <c r="AW2255" s="60"/>
    </row>
    <row r="2256">
      <c r="A2256" s="60"/>
      <c r="B2256" s="41"/>
      <c r="C2256" s="41"/>
      <c r="E2256" s="60"/>
      <c r="F2256" s="60"/>
      <c r="G2256" s="147"/>
      <c r="H2256" s="140"/>
      <c r="I2256" s="60"/>
      <c r="J2256" s="147"/>
      <c r="K2256" s="60"/>
      <c r="L2256" s="60"/>
      <c r="M2256" s="60"/>
      <c r="N2256" s="327"/>
      <c r="O2256" s="145"/>
      <c r="P2256" s="1572"/>
      <c r="Q2256" s="1526"/>
      <c r="R2256" s="60"/>
      <c r="S2256" s="1528"/>
      <c r="T2256" s="327"/>
      <c r="U2256" s="147"/>
      <c r="V2256" s="147"/>
      <c r="W2256" s="1455"/>
      <c r="X2256" s="60"/>
      <c r="Y2256" s="147"/>
      <c r="Z2256" s="60"/>
      <c r="AA2256" s="147"/>
      <c r="AB2256" s="147"/>
      <c r="AC2256" s="147"/>
      <c r="AD2256" s="147"/>
      <c r="AE2256" s="144"/>
      <c r="AF2256" s="144"/>
      <c r="AG2256" s="147"/>
      <c r="AH2256" s="147"/>
      <c r="AI2256" s="144"/>
      <c r="AJ2256" s="147"/>
      <c r="AK2256" s="147"/>
      <c r="AL2256" s="60"/>
      <c r="AM2256" s="60"/>
      <c r="AN2256" s="144"/>
      <c r="AO2256" s="144"/>
      <c r="AP2256" s="147"/>
      <c r="AQ2256" s="147"/>
      <c r="AR2256" s="144"/>
      <c r="AS2256" s="147"/>
      <c r="AT2256" s="147"/>
      <c r="AU2256" s="60"/>
      <c r="AV2256" s="410"/>
      <c r="AW2256" s="60"/>
    </row>
    <row r="2257">
      <c r="A2257" s="60"/>
      <c r="B2257" s="41"/>
      <c r="C2257" s="41"/>
      <c r="E2257" s="60"/>
      <c r="F2257" s="60"/>
      <c r="G2257" s="147"/>
      <c r="H2257" s="140"/>
      <c r="I2257" s="60"/>
      <c r="J2257" s="147"/>
      <c r="K2257" s="60"/>
      <c r="L2257" s="60"/>
      <c r="M2257" s="60"/>
      <c r="N2257" s="327"/>
      <c r="O2257" s="145"/>
      <c r="P2257" s="1572"/>
      <c r="Q2257" s="1526"/>
      <c r="R2257" s="60"/>
      <c r="S2257" s="1528"/>
      <c r="T2257" s="327"/>
      <c r="U2257" s="147"/>
      <c r="V2257" s="147"/>
      <c r="W2257" s="1455"/>
      <c r="X2257" s="60"/>
      <c r="Y2257" s="147"/>
      <c r="Z2257" s="60"/>
      <c r="AA2257" s="147"/>
      <c r="AB2257" s="147"/>
      <c r="AC2257" s="147"/>
      <c r="AD2257" s="147"/>
      <c r="AE2257" s="144"/>
      <c r="AF2257" s="144"/>
      <c r="AG2257" s="147"/>
      <c r="AH2257" s="147"/>
      <c r="AI2257" s="144"/>
      <c r="AJ2257" s="147"/>
      <c r="AK2257" s="147"/>
      <c r="AL2257" s="60"/>
      <c r="AM2257" s="60"/>
      <c r="AN2257" s="144"/>
      <c r="AO2257" s="144"/>
      <c r="AP2257" s="147"/>
      <c r="AQ2257" s="147"/>
      <c r="AR2257" s="144"/>
      <c r="AS2257" s="147"/>
      <c r="AT2257" s="147"/>
      <c r="AU2257" s="60"/>
      <c r="AV2257" s="410"/>
      <c r="AW2257" s="60"/>
    </row>
    <row r="2258">
      <c r="A2258" s="60"/>
      <c r="B2258" s="41"/>
      <c r="C2258" s="41"/>
      <c r="E2258" s="60"/>
      <c r="F2258" s="60"/>
      <c r="G2258" s="147"/>
      <c r="H2258" s="140"/>
      <c r="I2258" s="60"/>
      <c r="J2258" s="147"/>
      <c r="K2258" s="60"/>
      <c r="L2258" s="60"/>
      <c r="M2258" s="60"/>
      <c r="N2258" s="327"/>
      <c r="O2258" s="145"/>
      <c r="P2258" s="1572"/>
      <c r="Q2258" s="1526"/>
      <c r="R2258" s="60"/>
      <c r="S2258" s="1528"/>
      <c r="T2258" s="327"/>
      <c r="U2258" s="147"/>
      <c r="V2258" s="147"/>
      <c r="W2258" s="1455"/>
      <c r="X2258" s="60"/>
      <c r="Y2258" s="147"/>
      <c r="Z2258" s="60"/>
      <c r="AA2258" s="147"/>
      <c r="AB2258" s="147"/>
      <c r="AC2258" s="147"/>
      <c r="AD2258" s="147"/>
      <c r="AE2258" s="144"/>
      <c r="AF2258" s="144"/>
      <c r="AG2258" s="147"/>
      <c r="AH2258" s="147"/>
      <c r="AI2258" s="144"/>
      <c r="AJ2258" s="147"/>
      <c r="AK2258" s="147"/>
      <c r="AL2258" s="60"/>
      <c r="AM2258" s="60"/>
      <c r="AN2258" s="144"/>
      <c r="AO2258" s="144"/>
      <c r="AP2258" s="147"/>
      <c r="AQ2258" s="147"/>
      <c r="AR2258" s="144"/>
      <c r="AS2258" s="147"/>
      <c r="AT2258" s="147"/>
      <c r="AU2258" s="60"/>
      <c r="AV2258" s="410"/>
      <c r="AW2258" s="60"/>
    </row>
    <row r="2259">
      <c r="A2259" s="60"/>
      <c r="B2259" s="41"/>
      <c r="C2259" s="41"/>
      <c r="E2259" s="60"/>
      <c r="F2259" s="60"/>
      <c r="G2259" s="147"/>
      <c r="H2259" s="140"/>
      <c r="I2259" s="60"/>
      <c r="J2259" s="147"/>
      <c r="K2259" s="60"/>
      <c r="L2259" s="60"/>
      <c r="M2259" s="60"/>
      <c r="N2259" s="327"/>
      <c r="O2259" s="145"/>
      <c r="P2259" s="1572"/>
      <c r="Q2259" s="1526"/>
      <c r="R2259" s="60"/>
      <c r="S2259" s="1528"/>
      <c r="T2259" s="327"/>
      <c r="U2259" s="147"/>
      <c r="V2259" s="147"/>
      <c r="W2259" s="1455"/>
      <c r="X2259" s="60"/>
      <c r="Y2259" s="147"/>
      <c r="Z2259" s="60"/>
      <c r="AA2259" s="147"/>
      <c r="AB2259" s="147"/>
      <c r="AC2259" s="147"/>
      <c r="AD2259" s="147"/>
      <c r="AE2259" s="144"/>
      <c r="AF2259" s="144"/>
      <c r="AG2259" s="147"/>
      <c r="AH2259" s="147"/>
      <c r="AI2259" s="144"/>
      <c r="AJ2259" s="147"/>
      <c r="AK2259" s="147"/>
      <c r="AL2259" s="60"/>
      <c r="AM2259" s="60"/>
      <c r="AN2259" s="144"/>
      <c r="AO2259" s="144"/>
      <c r="AP2259" s="147"/>
      <c r="AQ2259" s="147"/>
      <c r="AR2259" s="144"/>
      <c r="AS2259" s="147"/>
      <c r="AT2259" s="147"/>
      <c r="AU2259" s="60"/>
      <c r="AV2259" s="410"/>
      <c r="AW2259" s="60"/>
    </row>
    <row r="2260">
      <c r="A2260" s="60"/>
      <c r="B2260" s="41"/>
      <c r="C2260" s="41"/>
      <c r="E2260" s="60"/>
      <c r="F2260" s="60"/>
      <c r="G2260" s="147"/>
      <c r="H2260" s="140"/>
      <c r="I2260" s="60"/>
      <c r="J2260" s="147"/>
      <c r="K2260" s="60"/>
      <c r="L2260" s="60"/>
      <c r="M2260" s="60"/>
      <c r="N2260" s="327"/>
      <c r="O2260" s="145"/>
      <c r="P2260" s="1572"/>
      <c r="Q2260" s="1526"/>
      <c r="R2260" s="60"/>
      <c r="S2260" s="1528"/>
      <c r="T2260" s="327"/>
      <c r="U2260" s="147"/>
      <c r="V2260" s="147"/>
      <c r="W2260" s="1455"/>
      <c r="X2260" s="60"/>
      <c r="Y2260" s="147"/>
      <c r="Z2260" s="60"/>
      <c r="AA2260" s="147"/>
      <c r="AB2260" s="147"/>
      <c r="AC2260" s="147"/>
      <c r="AD2260" s="147"/>
      <c r="AE2260" s="144"/>
      <c r="AF2260" s="144"/>
      <c r="AG2260" s="147"/>
      <c r="AH2260" s="147"/>
      <c r="AI2260" s="144"/>
      <c r="AJ2260" s="147"/>
      <c r="AK2260" s="147"/>
      <c r="AL2260" s="60"/>
      <c r="AM2260" s="60"/>
      <c r="AN2260" s="144"/>
      <c r="AO2260" s="144"/>
      <c r="AP2260" s="147"/>
      <c r="AQ2260" s="147"/>
      <c r="AR2260" s="144"/>
      <c r="AS2260" s="147"/>
      <c r="AT2260" s="147"/>
      <c r="AU2260" s="60"/>
      <c r="AV2260" s="410"/>
      <c r="AW2260" s="60"/>
    </row>
    <row r="2261">
      <c r="A2261" s="60"/>
      <c r="B2261" s="41"/>
      <c r="C2261" s="41"/>
      <c r="E2261" s="60"/>
      <c r="F2261" s="60"/>
      <c r="G2261" s="147"/>
      <c r="H2261" s="140"/>
      <c r="I2261" s="60"/>
      <c r="J2261" s="147"/>
      <c r="K2261" s="60"/>
      <c r="L2261" s="60"/>
      <c r="M2261" s="60"/>
      <c r="N2261" s="327"/>
      <c r="O2261" s="145"/>
      <c r="P2261" s="1572"/>
      <c r="Q2261" s="1526"/>
      <c r="R2261" s="60"/>
      <c r="S2261" s="1528"/>
      <c r="T2261" s="327"/>
      <c r="U2261" s="147"/>
      <c r="V2261" s="147"/>
      <c r="W2261" s="1455"/>
      <c r="X2261" s="60"/>
      <c r="Y2261" s="147"/>
      <c r="Z2261" s="60"/>
      <c r="AA2261" s="147"/>
      <c r="AB2261" s="147"/>
      <c r="AC2261" s="147"/>
      <c r="AD2261" s="147"/>
      <c r="AE2261" s="144"/>
      <c r="AF2261" s="144"/>
      <c r="AG2261" s="147"/>
      <c r="AH2261" s="147"/>
      <c r="AI2261" s="144"/>
      <c r="AJ2261" s="147"/>
      <c r="AK2261" s="147"/>
      <c r="AL2261" s="60"/>
      <c r="AM2261" s="60"/>
      <c r="AN2261" s="144"/>
      <c r="AO2261" s="144"/>
      <c r="AP2261" s="147"/>
      <c r="AQ2261" s="147"/>
      <c r="AR2261" s="144"/>
      <c r="AS2261" s="147"/>
      <c r="AT2261" s="147"/>
      <c r="AU2261" s="60"/>
      <c r="AV2261" s="410"/>
      <c r="AW2261" s="60"/>
    </row>
    <row r="2262">
      <c r="A2262" s="60"/>
      <c r="B2262" s="41"/>
      <c r="C2262" s="41"/>
      <c r="E2262" s="60"/>
      <c r="F2262" s="60"/>
      <c r="G2262" s="147"/>
      <c r="H2262" s="140"/>
      <c r="I2262" s="60"/>
      <c r="J2262" s="147"/>
      <c r="K2262" s="60"/>
      <c r="L2262" s="60"/>
      <c r="M2262" s="60"/>
      <c r="N2262" s="327"/>
      <c r="O2262" s="145"/>
      <c r="P2262" s="1572"/>
      <c r="Q2262" s="1526"/>
      <c r="R2262" s="60"/>
      <c r="S2262" s="1528"/>
      <c r="T2262" s="327"/>
      <c r="U2262" s="147"/>
      <c r="V2262" s="147"/>
      <c r="W2262" s="1455"/>
      <c r="X2262" s="60"/>
      <c r="Y2262" s="147"/>
      <c r="Z2262" s="60"/>
      <c r="AA2262" s="147"/>
      <c r="AB2262" s="147"/>
      <c r="AC2262" s="147"/>
      <c r="AD2262" s="147"/>
      <c r="AE2262" s="144"/>
      <c r="AF2262" s="144"/>
      <c r="AG2262" s="147"/>
      <c r="AH2262" s="147"/>
      <c r="AI2262" s="144"/>
      <c r="AJ2262" s="147"/>
      <c r="AK2262" s="147"/>
      <c r="AL2262" s="60"/>
      <c r="AM2262" s="60"/>
      <c r="AN2262" s="144"/>
      <c r="AO2262" s="144"/>
      <c r="AP2262" s="147"/>
      <c r="AQ2262" s="147"/>
      <c r="AR2262" s="144"/>
      <c r="AS2262" s="147"/>
      <c r="AT2262" s="147"/>
      <c r="AU2262" s="60"/>
      <c r="AV2262" s="410"/>
      <c r="AW2262" s="60"/>
    </row>
    <row r="2263">
      <c r="A2263" s="60"/>
      <c r="B2263" s="41"/>
      <c r="C2263" s="41"/>
      <c r="E2263" s="60"/>
      <c r="F2263" s="60"/>
      <c r="G2263" s="147"/>
      <c r="H2263" s="140"/>
      <c r="I2263" s="60"/>
      <c r="J2263" s="147"/>
      <c r="K2263" s="60"/>
      <c r="L2263" s="60"/>
      <c r="M2263" s="60"/>
      <c r="N2263" s="327"/>
      <c r="O2263" s="145"/>
      <c r="P2263" s="1572"/>
      <c r="Q2263" s="1526"/>
      <c r="R2263" s="60"/>
      <c r="S2263" s="1528"/>
      <c r="T2263" s="327"/>
      <c r="U2263" s="147"/>
      <c r="V2263" s="147"/>
      <c r="W2263" s="1455"/>
      <c r="X2263" s="60"/>
      <c r="Y2263" s="147"/>
      <c r="Z2263" s="60"/>
      <c r="AA2263" s="147"/>
      <c r="AB2263" s="147"/>
      <c r="AC2263" s="147"/>
      <c r="AD2263" s="147"/>
      <c r="AE2263" s="144"/>
      <c r="AF2263" s="144"/>
      <c r="AG2263" s="147"/>
      <c r="AH2263" s="147"/>
      <c r="AI2263" s="144"/>
      <c r="AJ2263" s="147"/>
      <c r="AK2263" s="147"/>
      <c r="AL2263" s="60"/>
      <c r="AM2263" s="60"/>
      <c r="AN2263" s="144"/>
      <c r="AO2263" s="144"/>
      <c r="AP2263" s="147"/>
      <c r="AQ2263" s="147"/>
      <c r="AR2263" s="144"/>
      <c r="AS2263" s="147"/>
      <c r="AT2263" s="147"/>
      <c r="AU2263" s="60"/>
      <c r="AV2263" s="410"/>
      <c r="AW2263" s="60"/>
    </row>
    <row r="2264">
      <c r="A2264" s="60"/>
      <c r="B2264" s="41"/>
      <c r="C2264" s="41"/>
      <c r="E2264" s="60"/>
      <c r="F2264" s="60"/>
      <c r="G2264" s="147"/>
      <c r="H2264" s="140"/>
      <c r="I2264" s="60"/>
      <c r="J2264" s="147"/>
      <c r="K2264" s="60"/>
      <c r="L2264" s="60"/>
      <c r="M2264" s="60"/>
      <c r="N2264" s="327"/>
      <c r="O2264" s="145"/>
      <c r="P2264" s="1572"/>
      <c r="Q2264" s="1526"/>
      <c r="R2264" s="60"/>
      <c r="S2264" s="1528"/>
      <c r="T2264" s="327"/>
      <c r="U2264" s="147"/>
      <c r="V2264" s="147"/>
      <c r="W2264" s="1455"/>
      <c r="X2264" s="60"/>
      <c r="Y2264" s="147"/>
      <c r="Z2264" s="60"/>
      <c r="AA2264" s="147"/>
      <c r="AB2264" s="147"/>
      <c r="AC2264" s="147"/>
      <c r="AD2264" s="147"/>
      <c r="AE2264" s="144"/>
      <c r="AF2264" s="144"/>
      <c r="AG2264" s="147"/>
      <c r="AH2264" s="147"/>
      <c r="AI2264" s="144"/>
      <c r="AJ2264" s="147"/>
      <c r="AK2264" s="147"/>
      <c r="AL2264" s="60"/>
      <c r="AM2264" s="60"/>
      <c r="AN2264" s="144"/>
      <c r="AO2264" s="144"/>
      <c r="AP2264" s="147"/>
      <c r="AQ2264" s="147"/>
      <c r="AR2264" s="144"/>
      <c r="AS2264" s="147"/>
      <c r="AT2264" s="147"/>
      <c r="AU2264" s="60"/>
      <c r="AV2264" s="410"/>
      <c r="AW2264" s="60"/>
    </row>
    <row r="2265">
      <c r="A2265" s="60"/>
      <c r="B2265" s="41"/>
      <c r="C2265" s="41"/>
      <c r="E2265" s="60"/>
      <c r="F2265" s="60"/>
      <c r="G2265" s="147"/>
      <c r="H2265" s="140"/>
      <c r="I2265" s="60"/>
      <c r="J2265" s="147"/>
      <c r="K2265" s="60"/>
      <c r="L2265" s="60"/>
      <c r="M2265" s="60"/>
      <c r="N2265" s="327"/>
      <c r="O2265" s="145"/>
      <c r="P2265" s="1572"/>
      <c r="Q2265" s="1526"/>
      <c r="R2265" s="60"/>
      <c r="S2265" s="1528"/>
      <c r="T2265" s="327"/>
      <c r="U2265" s="147"/>
      <c r="V2265" s="147"/>
      <c r="W2265" s="1455"/>
      <c r="X2265" s="60"/>
      <c r="Y2265" s="147"/>
      <c r="Z2265" s="60"/>
      <c r="AA2265" s="147"/>
      <c r="AB2265" s="147"/>
      <c r="AC2265" s="147"/>
      <c r="AD2265" s="147"/>
      <c r="AE2265" s="144"/>
      <c r="AF2265" s="144"/>
      <c r="AG2265" s="147"/>
      <c r="AH2265" s="147"/>
      <c r="AI2265" s="144"/>
      <c r="AJ2265" s="147"/>
      <c r="AK2265" s="147"/>
      <c r="AL2265" s="60"/>
      <c r="AM2265" s="60"/>
      <c r="AN2265" s="144"/>
      <c r="AO2265" s="144"/>
      <c r="AP2265" s="147"/>
      <c r="AQ2265" s="147"/>
      <c r="AR2265" s="144"/>
      <c r="AS2265" s="147"/>
      <c r="AT2265" s="147"/>
      <c r="AU2265" s="60"/>
      <c r="AV2265" s="410"/>
      <c r="AW2265" s="60"/>
    </row>
    <row r="2266">
      <c r="A2266" s="60"/>
      <c r="B2266" s="41"/>
      <c r="C2266" s="41"/>
      <c r="E2266" s="60"/>
      <c r="F2266" s="60"/>
      <c r="G2266" s="147"/>
      <c r="H2266" s="140"/>
      <c r="I2266" s="60"/>
      <c r="J2266" s="147"/>
      <c r="K2266" s="60"/>
      <c r="L2266" s="60"/>
      <c r="M2266" s="60"/>
      <c r="N2266" s="327"/>
      <c r="O2266" s="145"/>
      <c r="P2266" s="1572"/>
      <c r="Q2266" s="1526"/>
      <c r="R2266" s="60"/>
      <c r="S2266" s="1528"/>
      <c r="T2266" s="327"/>
      <c r="U2266" s="147"/>
      <c r="V2266" s="147"/>
      <c r="W2266" s="1455"/>
      <c r="X2266" s="60"/>
      <c r="Y2266" s="147"/>
      <c r="Z2266" s="60"/>
      <c r="AA2266" s="147"/>
      <c r="AB2266" s="147"/>
      <c r="AC2266" s="147"/>
      <c r="AD2266" s="147"/>
      <c r="AE2266" s="144"/>
      <c r="AF2266" s="144"/>
      <c r="AG2266" s="147"/>
      <c r="AH2266" s="147"/>
      <c r="AI2266" s="144"/>
      <c r="AJ2266" s="147"/>
      <c r="AK2266" s="147"/>
      <c r="AL2266" s="60"/>
      <c r="AM2266" s="60"/>
      <c r="AN2266" s="144"/>
      <c r="AO2266" s="144"/>
      <c r="AP2266" s="147"/>
      <c r="AQ2266" s="147"/>
      <c r="AR2266" s="144"/>
      <c r="AS2266" s="147"/>
      <c r="AT2266" s="147"/>
      <c r="AU2266" s="60"/>
      <c r="AV2266" s="410"/>
      <c r="AW2266" s="60"/>
    </row>
    <row r="2267">
      <c r="A2267" s="60"/>
      <c r="B2267" s="41"/>
      <c r="C2267" s="41"/>
      <c r="E2267" s="60"/>
      <c r="F2267" s="60"/>
      <c r="G2267" s="147"/>
      <c r="H2267" s="140"/>
      <c r="I2267" s="60"/>
      <c r="J2267" s="147"/>
      <c r="K2267" s="60"/>
      <c r="L2267" s="60"/>
      <c r="M2267" s="60"/>
      <c r="N2267" s="327"/>
      <c r="O2267" s="145"/>
      <c r="P2267" s="1572"/>
      <c r="Q2267" s="1526"/>
      <c r="R2267" s="60"/>
      <c r="S2267" s="1528"/>
      <c r="T2267" s="327"/>
      <c r="U2267" s="147"/>
      <c r="V2267" s="147"/>
      <c r="W2267" s="1455"/>
      <c r="X2267" s="60"/>
      <c r="Y2267" s="147"/>
      <c r="Z2267" s="60"/>
      <c r="AA2267" s="147"/>
      <c r="AB2267" s="147"/>
      <c r="AC2267" s="147"/>
      <c r="AD2267" s="147"/>
      <c r="AE2267" s="144"/>
      <c r="AF2267" s="144"/>
      <c r="AG2267" s="147"/>
      <c r="AH2267" s="147"/>
      <c r="AI2267" s="144"/>
      <c r="AJ2267" s="147"/>
      <c r="AK2267" s="147"/>
      <c r="AL2267" s="60"/>
      <c r="AM2267" s="60"/>
      <c r="AN2267" s="144"/>
      <c r="AO2267" s="144"/>
      <c r="AP2267" s="147"/>
      <c r="AQ2267" s="147"/>
      <c r="AR2267" s="144"/>
      <c r="AS2267" s="147"/>
      <c r="AT2267" s="147"/>
      <c r="AU2267" s="60"/>
      <c r="AV2267" s="410"/>
      <c r="AW2267" s="60"/>
    </row>
    <row r="2268">
      <c r="A2268" s="60"/>
      <c r="B2268" s="41"/>
      <c r="C2268" s="41"/>
      <c r="E2268" s="60"/>
      <c r="F2268" s="60"/>
      <c r="G2268" s="147"/>
      <c r="H2268" s="140"/>
      <c r="I2268" s="60"/>
      <c r="J2268" s="147"/>
      <c r="K2268" s="60"/>
      <c r="L2268" s="60"/>
      <c r="M2268" s="60"/>
      <c r="N2268" s="327"/>
      <c r="O2268" s="145"/>
      <c r="P2268" s="1572"/>
      <c r="Q2268" s="1526"/>
      <c r="R2268" s="60"/>
      <c r="S2268" s="1528"/>
      <c r="T2268" s="327"/>
      <c r="U2268" s="147"/>
      <c r="V2268" s="147"/>
      <c r="W2268" s="1455"/>
      <c r="X2268" s="60"/>
      <c r="Y2268" s="147"/>
      <c r="Z2268" s="60"/>
      <c r="AA2268" s="147"/>
      <c r="AB2268" s="147"/>
      <c r="AC2268" s="147"/>
      <c r="AD2268" s="147"/>
      <c r="AE2268" s="144"/>
      <c r="AF2268" s="144"/>
      <c r="AG2268" s="147"/>
      <c r="AH2268" s="147"/>
      <c r="AI2268" s="144"/>
      <c r="AJ2268" s="147"/>
      <c r="AK2268" s="147"/>
      <c r="AL2268" s="60"/>
      <c r="AM2268" s="60"/>
      <c r="AN2268" s="144"/>
      <c r="AO2268" s="144"/>
      <c r="AP2268" s="147"/>
      <c r="AQ2268" s="147"/>
      <c r="AR2268" s="144"/>
      <c r="AS2268" s="147"/>
      <c r="AT2268" s="147"/>
      <c r="AU2268" s="60"/>
      <c r="AV2268" s="410"/>
      <c r="AW2268" s="60"/>
    </row>
    <row r="2269">
      <c r="A2269" s="60"/>
      <c r="B2269" s="41"/>
      <c r="C2269" s="41"/>
      <c r="E2269" s="60"/>
      <c r="F2269" s="60"/>
      <c r="G2269" s="147"/>
      <c r="H2269" s="140"/>
      <c r="I2269" s="60"/>
      <c r="J2269" s="147"/>
      <c r="K2269" s="60"/>
      <c r="L2269" s="60"/>
      <c r="M2269" s="60"/>
      <c r="N2269" s="327"/>
      <c r="O2269" s="145"/>
      <c r="P2269" s="1572"/>
      <c r="Q2269" s="1526"/>
      <c r="R2269" s="60"/>
      <c r="S2269" s="1528"/>
      <c r="T2269" s="327"/>
      <c r="U2269" s="147"/>
      <c r="V2269" s="147"/>
      <c r="W2269" s="1455"/>
      <c r="X2269" s="60"/>
      <c r="Y2269" s="147"/>
      <c r="Z2269" s="60"/>
      <c r="AA2269" s="147"/>
      <c r="AB2269" s="147"/>
      <c r="AC2269" s="147"/>
      <c r="AD2269" s="147"/>
      <c r="AE2269" s="144"/>
      <c r="AF2269" s="144"/>
      <c r="AG2269" s="147"/>
      <c r="AH2269" s="147"/>
      <c r="AI2269" s="144"/>
      <c r="AJ2269" s="147"/>
      <c r="AK2269" s="147"/>
      <c r="AL2269" s="60"/>
      <c r="AM2269" s="60"/>
      <c r="AN2269" s="144"/>
      <c r="AO2269" s="144"/>
      <c r="AP2269" s="147"/>
      <c r="AQ2269" s="147"/>
      <c r="AR2269" s="144"/>
      <c r="AS2269" s="147"/>
      <c r="AT2269" s="147"/>
      <c r="AU2269" s="60"/>
      <c r="AV2269" s="410"/>
      <c r="AW2269" s="60"/>
    </row>
    <row r="2270">
      <c r="A2270" s="60"/>
      <c r="B2270" s="41"/>
      <c r="C2270" s="41"/>
      <c r="E2270" s="60"/>
      <c r="F2270" s="60"/>
      <c r="G2270" s="147"/>
      <c r="H2270" s="140"/>
      <c r="I2270" s="60"/>
      <c r="J2270" s="147"/>
      <c r="K2270" s="60"/>
      <c r="L2270" s="60"/>
      <c r="M2270" s="60"/>
      <c r="N2270" s="327"/>
      <c r="O2270" s="145"/>
      <c r="P2270" s="1572"/>
      <c r="Q2270" s="1526"/>
      <c r="R2270" s="60"/>
      <c r="S2270" s="1528"/>
      <c r="T2270" s="327"/>
      <c r="U2270" s="147"/>
      <c r="V2270" s="147"/>
      <c r="W2270" s="1455"/>
      <c r="X2270" s="60"/>
      <c r="Y2270" s="147"/>
      <c r="Z2270" s="60"/>
      <c r="AA2270" s="147"/>
      <c r="AB2270" s="147"/>
      <c r="AC2270" s="147"/>
      <c r="AD2270" s="147"/>
      <c r="AE2270" s="144"/>
      <c r="AF2270" s="144"/>
      <c r="AG2270" s="147"/>
      <c r="AH2270" s="147"/>
      <c r="AI2270" s="144"/>
      <c r="AJ2270" s="147"/>
      <c r="AK2270" s="147"/>
      <c r="AL2270" s="60"/>
      <c r="AM2270" s="60"/>
      <c r="AN2270" s="144"/>
      <c r="AO2270" s="144"/>
      <c r="AP2270" s="147"/>
      <c r="AQ2270" s="147"/>
      <c r="AR2270" s="144"/>
      <c r="AS2270" s="147"/>
      <c r="AT2270" s="147"/>
      <c r="AU2270" s="60"/>
      <c r="AV2270" s="410"/>
      <c r="AW2270" s="60"/>
    </row>
    <row r="2271">
      <c r="A2271" s="60"/>
      <c r="B2271" s="41"/>
      <c r="C2271" s="41"/>
      <c r="E2271" s="60"/>
      <c r="F2271" s="60"/>
      <c r="G2271" s="147"/>
      <c r="H2271" s="140"/>
      <c r="I2271" s="60"/>
      <c r="J2271" s="147"/>
      <c r="K2271" s="60"/>
      <c r="L2271" s="60"/>
      <c r="M2271" s="60"/>
      <c r="N2271" s="327"/>
      <c r="O2271" s="145"/>
      <c r="P2271" s="1572"/>
      <c r="Q2271" s="1526"/>
      <c r="R2271" s="60"/>
      <c r="S2271" s="1528"/>
      <c r="T2271" s="327"/>
      <c r="U2271" s="147"/>
      <c r="V2271" s="147"/>
      <c r="W2271" s="1455"/>
      <c r="X2271" s="60"/>
      <c r="Y2271" s="147"/>
      <c r="Z2271" s="60"/>
      <c r="AA2271" s="147"/>
      <c r="AB2271" s="147"/>
      <c r="AC2271" s="147"/>
      <c r="AD2271" s="147"/>
      <c r="AE2271" s="144"/>
      <c r="AF2271" s="144"/>
      <c r="AG2271" s="147"/>
      <c r="AH2271" s="147"/>
      <c r="AI2271" s="144"/>
      <c r="AJ2271" s="147"/>
      <c r="AK2271" s="147"/>
      <c r="AL2271" s="60"/>
      <c r="AM2271" s="60"/>
      <c r="AN2271" s="144"/>
      <c r="AO2271" s="144"/>
      <c r="AP2271" s="147"/>
      <c r="AQ2271" s="147"/>
      <c r="AR2271" s="144"/>
      <c r="AS2271" s="147"/>
      <c r="AT2271" s="147"/>
      <c r="AU2271" s="60"/>
      <c r="AV2271" s="410"/>
      <c r="AW2271" s="60"/>
    </row>
    <row r="2272">
      <c r="A2272" s="60"/>
      <c r="B2272" s="41"/>
      <c r="C2272" s="41"/>
      <c r="E2272" s="60"/>
      <c r="F2272" s="60"/>
      <c r="G2272" s="147"/>
      <c r="H2272" s="140"/>
      <c r="I2272" s="60"/>
      <c r="J2272" s="147"/>
      <c r="K2272" s="60"/>
      <c r="L2272" s="60"/>
      <c r="M2272" s="60"/>
      <c r="N2272" s="327"/>
      <c r="O2272" s="145"/>
      <c r="P2272" s="1572"/>
      <c r="Q2272" s="1526"/>
      <c r="R2272" s="60"/>
      <c r="S2272" s="1528"/>
      <c r="T2272" s="327"/>
      <c r="U2272" s="147"/>
      <c r="V2272" s="147"/>
      <c r="W2272" s="1455"/>
      <c r="X2272" s="60"/>
      <c r="Y2272" s="147"/>
      <c r="Z2272" s="60"/>
      <c r="AA2272" s="147"/>
      <c r="AB2272" s="147"/>
      <c r="AC2272" s="147"/>
      <c r="AD2272" s="147"/>
      <c r="AE2272" s="144"/>
      <c r="AF2272" s="144"/>
      <c r="AG2272" s="147"/>
      <c r="AH2272" s="147"/>
      <c r="AI2272" s="144"/>
      <c r="AJ2272" s="147"/>
      <c r="AK2272" s="147"/>
      <c r="AL2272" s="60"/>
      <c r="AM2272" s="60"/>
      <c r="AN2272" s="144"/>
      <c r="AO2272" s="144"/>
      <c r="AP2272" s="147"/>
      <c r="AQ2272" s="147"/>
      <c r="AR2272" s="144"/>
      <c r="AS2272" s="147"/>
      <c r="AT2272" s="147"/>
      <c r="AU2272" s="60"/>
      <c r="AV2272" s="410"/>
      <c r="AW2272" s="60"/>
    </row>
    <row r="2273">
      <c r="A2273" s="60"/>
      <c r="B2273" s="41"/>
      <c r="C2273" s="41"/>
      <c r="E2273" s="60"/>
      <c r="F2273" s="60"/>
      <c r="G2273" s="147"/>
      <c r="H2273" s="140"/>
      <c r="I2273" s="60"/>
      <c r="J2273" s="147"/>
      <c r="K2273" s="60"/>
      <c r="L2273" s="60"/>
      <c r="M2273" s="60"/>
      <c r="N2273" s="327"/>
      <c r="O2273" s="145"/>
      <c r="P2273" s="1572"/>
      <c r="Q2273" s="1526"/>
      <c r="R2273" s="60"/>
      <c r="S2273" s="1528"/>
      <c r="T2273" s="327"/>
      <c r="U2273" s="147"/>
      <c r="V2273" s="147"/>
      <c r="W2273" s="1455"/>
      <c r="X2273" s="60"/>
      <c r="Y2273" s="147"/>
      <c r="Z2273" s="60"/>
      <c r="AA2273" s="147"/>
      <c r="AB2273" s="147"/>
      <c r="AC2273" s="147"/>
      <c r="AD2273" s="147"/>
      <c r="AE2273" s="144"/>
      <c r="AF2273" s="144"/>
      <c r="AG2273" s="147"/>
      <c r="AH2273" s="147"/>
      <c r="AI2273" s="144"/>
      <c r="AJ2273" s="147"/>
      <c r="AK2273" s="147"/>
      <c r="AL2273" s="60"/>
      <c r="AM2273" s="60"/>
      <c r="AN2273" s="144"/>
      <c r="AO2273" s="144"/>
      <c r="AP2273" s="147"/>
      <c r="AQ2273" s="147"/>
      <c r="AR2273" s="144"/>
      <c r="AS2273" s="147"/>
      <c r="AT2273" s="147"/>
      <c r="AU2273" s="60"/>
      <c r="AV2273" s="410"/>
      <c r="AW2273" s="60"/>
    </row>
    <row r="2274">
      <c r="A2274" s="60"/>
      <c r="B2274" s="41"/>
      <c r="C2274" s="41"/>
      <c r="E2274" s="60"/>
      <c r="F2274" s="60"/>
      <c r="G2274" s="147"/>
      <c r="H2274" s="140"/>
      <c r="I2274" s="60"/>
      <c r="J2274" s="147"/>
      <c r="K2274" s="60"/>
      <c r="L2274" s="60"/>
      <c r="M2274" s="60"/>
      <c r="N2274" s="327"/>
      <c r="O2274" s="145"/>
      <c r="P2274" s="1572"/>
      <c r="Q2274" s="1526"/>
      <c r="R2274" s="60"/>
      <c r="S2274" s="1528"/>
      <c r="T2274" s="327"/>
      <c r="U2274" s="147"/>
      <c r="V2274" s="147"/>
      <c r="W2274" s="1455"/>
      <c r="X2274" s="60"/>
      <c r="Y2274" s="147"/>
      <c r="Z2274" s="60"/>
      <c r="AA2274" s="147"/>
      <c r="AB2274" s="147"/>
      <c r="AC2274" s="147"/>
      <c r="AD2274" s="147"/>
      <c r="AE2274" s="144"/>
      <c r="AF2274" s="144"/>
      <c r="AG2274" s="147"/>
      <c r="AH2274" s="147"/>
      <c r="AI2274" s="144"/>
      <c r="AJ2274" s="147"/>
      <c r="AK2274" s="147"/>
      <c r="AL2274" s="60"/>
      <c r="AM2274" s="60"/>
      <c r="AN2274" s="144"/>
      <c r="AO2274" s="144"/>
      <c r="AP2274" s="147"/>
      <c r="AQ2274" s="147"/>
      <c r="AR2274" s="144"/>
      <c r="AS2274" s="147"/>
      <c r="AT2274" s="147"/>
      <c r="AU2274" s="60"/>
      <c r="AV2274" s="410"/>
      <c r="AW2274" s="60"/>
    </row>
    <row r="2275">
      <c r="A2275" s="60"/>
      <c r="B2275" s="41"/>
      <c r="C2275" s="41"/>
      <c r="E2275" s="60"/>
      <c r="F2275" s="60"/>
      <c r="G2275" s="147"/>
      <c r="H2275" s="140"/>
      <c r="I2275" s="60"/>
      <c r="J2275" s="147"/>
      <c r="K2275" s="60"/>
      <c r="L2275" s="60"/>
      <c r="M2275" s="60"/>
      <c r="N2275" s="327"/>
      <c r="O2275" s="145"/>
      <c r="P2275" s="1572"/>
      <c r="Q2275" s="1526"/>
      <c r="R2275" s="60"/>
      <c r="S2275" s="1528"/>
      <c r="T2275" s="327"/>
      <c r="U2275" s="147"/>
      <c r="V2275" s="147"/>
      <c r="W2275" s="1455"/>
      <c r="X2275" s="60"/>
      <c r="Y2275" s="147"/>
      <c r="Z2275" s="60"/>
      <c r="AA2275" s="147"/>
      <c r="AB2275" s="147"/>
      <c r="AC2275" s="147"/>
      <c r="AD2275" s="147"/>
      <c r="AE2275" s="144"/>
      <c r="AF2275" s="144"/>
      <c r="AG2275" s="147"/>
      <c r="AH2275" s="147"/>
      <c r="AI2275" s="144"/>
      <c r="AJ2275" s="147"/>
      <c r="AK2275" s="147"/>
      <c r="AL2275" s="60"/>
      <c r="AM2275" s="60"/>
      <c r="AN2275" s="144"/>
      <c r="AO2275" s="144"/>
      <c r="AP2275" s="147"/>
      <c r="AQ2275" s="147"/>
      <c r="AR2275" s="144"/>
      <c r="AS2275" s="147"/>
      <c r="AT2275" s="147"/>
      <c r="AU2275" s="60"/>
      <c r="AV2275" s="410"/>
      <c r="AW2275" s="60"/>
    </row>
    <row r="2276">
      <c r="A2276" s="60"/>
      <c r="B2276" s="41"/>
      <c r="C2276" s="41"/>
      <c r="E2276" s="60"/>
      <c r="F2276" s="60"/>
      <c r="G2276" s="147"/>
      <c r="H2276" s="140"/>
      <c r="I2276" s="60"/>
      <c r="J2276" s="147"/>
      <c r="K2276" s="60"/>
      <c r="L2276" s="60"/>
      <c r="M2276" s="60"/>
      <c r="N2276" s="327"/>
      <c r="O2276" s="145"/>
      <c r="P2276" s="1572"/>
      <c r="Q2276" s="1526"/>
      <c r="R2276" s="60"/>
      <c r="S2276" s="1528"/>
      <c r="T2276" s="327"/>
      <c r="U2276" s="147"/>
      <c r="V2276" s="147"/>
      <c r="W2276" s="1455"/>
      <c r="X2276" s="60"/>
      <c r="Y2276" s="147"/>
      <c r="Z2276" s="60"/>
      <c r="AA2276" s="147"/>
      <c r="AB2276" s="147"/>
      <c r="AC2276" s="147"/>
      <c r="AD2276" s="147"/>
      <c r="AE2276" s="144"/>
      <c r="AF2276" s="144"/>
      <c r="AG2276" s="147"/>
      <c r="AH2276" s="147"/>
      <c r="AI2276" s="144"/>
      <c r="AJ2276" s="147"/>
      <c r="AK2276" s="147"/>
      <c r="AL2276" s="60"/>
      <c r="AM2276" s="60"/>
      <c r="AN2276" s="144"/>
      <c r="AO2276" s="144"/>
      <c r="AP2276" s="147"/>
      <c r="AQ2276" s="147"/>
      <c r="AR2276" s="144"/>
      <c r="AS2276" s="147"/>
      <c r="AT2276" s="147"/>
      <c r="AU2276" s="60"/>
      <c r="AV2276" s="410"/>
      <c r="AW2276" s="60"/>
    </row>
    <row r="2277">
      <c r="A2277" s="60"/>
      <c r="B2277" s="41"/>
      <c r="C2277" s="41"/>
      <c r="E2277" s="60"/>
      <c r="F2277" s="60"/>
      <c r="G2277" s="147"/>
      <c r="H2277" s="140"/>
      <c r="I2277" s="60"/>
      <c r="J2277" s="147"/>
      <c r="K2277" s="60"/>
      <c r="L2277" s="60"/>
      <c r="M2277" s="60"/>
      <c r="N2277" s="327"/>
      <c r="O2277" s="145"/>
      <c r="P2277" s="1572"/>
      <c r="Q2277" s="1526"/>
      <c r="R2277" s="60"/>
      <c r="S2277" s="1528"/>
      <c r="T2277" s="327"/>
      <c r="U2277" s="147"/>
      <c r="V2277" s="147"/>
      <c r="W2277" s="1455"/>
      <c r="X2277" s="60"/>
      <c r="Y2277" s="147"/>
      <c r="Z2277" s="60"/>
      <c r="AA2277" s="147"/>
      <c r="AB2277" s="147"/>
      <c r="AC2277" s="147"/>
      <c r="AD2277" s="147"/>
      <c r="AE2277" s="144"/>
      <c r="AF2277" s="144"/>
      <c r="AG2277" s="147"/>
      <c r="AH2277" s="147"/>
      <c r="AI2277" s="144"/>
      <c r="AJ2277" s="147"/>
      <c r="AK2277" s="147"/>
      <c r="AL2277" s="60"/>
      <c r="AM2277" s="60"/>
      <c r="AN2277" s="144"/>
      <c r="AO2277" s="144"/>
      <c r="AP2277" s="147"/>
      <c r="AQ2277" s="147"/>
      <c r="AR2277" s="144"/>
      <c r="AS2277" s="147"/>
      <c r="AT2277" s="147"/>
      <c r="AU2277" s="60"/>
      <c r="AV2277" s="410"/>
      <c r="AW2277" s="60"/>
    </row>
    <row r="2278">
      <c r="A2278" s="60"/>
      <c r="B2278" s="41"/>
      <c r="C2278" s="41"/>
      <c r="E2278" s="60"/>
      <c r="F2278" s="60"/>
      <c r="G2278" s="147"/>
      <c r="H2278" s="140"/>
      <c r="I2278" s="60"/>
      <c r="J2278" s="147"/>
      <c r="K2278" s="60"/>
      <c r="L2278" s="60"/>
      <c r="M2278" s="60"/>
      <c r="N2278" s="327"/>
      <c r="O2278" s="145"/>
      <c r="P2278" s="1572"/>
      <c r="Q2278" s="1526"/>
      <c r="R2278" s="60"/>
      <c r="S2278" s="1528"/>
      <c r="T2278" s="327"/>
      <c r="U2278" s="147"/>
      <c r="V2278" s="147"/>
      <c r="W2278" s="1455"/>
      <c r="X2278" s="60"/>
      <c r="Y2278" s="147"/>
      <c r="Z2278" s="60"/>
      <c r="AA2278" s="147"/>
      <c r="AB2278" s="147"/>
      <c r="AC2278" s="147"/>
      <c r="AD2278" s="147"/>
      <c r="AE2278" s="144"/>
      <c r="AF2278" s="144"/>
      <c r="AG2278" s="147"/>
      <c r="AH2278" s="147"/>
      <c r="AI2278" s="144"/>
      <c r="AJ2278" s="147"/>
      <c r="AK2278" s="147"/>
      <c r="AL2278" s="60"/>
      <c r="AM2278" s="60"/>
      <c r="AN2278" s="144"/>
      <c r="AO2278" s="144"/>
      <c r="AP2278" s="147"/>
      <c r="AQ2278" s="147"/>
      <c r="AR2278" s="144"/>
      <c r="AS2278" s="147"/>
      <c r="AT2278" s="147"/>
      <c r="AU2278" s="60"/>
      <c r="AV2278" s="410"/>
      <c r="AW2278" s="60"/>
    </row>
    <row r="2279">
      <c r="A2279" s="60"/>
      <c r="B2279" s="41"/>
      <c r="C2279" s="41"/>
      <c r="E2279" s="60"/>
      <c r="F2279" s="60"/>
      <c r="G2279" s="147"/>
      <c r="H2279" s="140"/>
      <c r="I2279" s="60"/>
      <c r="J2279" s="147"/>
      <c r="K2279" s="60"/>
      <c r="L2279" s="60"/>
      <c r="M2279" s="60"/>
      <c r="N2279" s="327"/>
      <c r="O2279" s="145"/>
      <c r="P2279" s="1572"/>
      <c r="Q2279" s="1526"/>
      <c r="R2279" s="60"/>
      <c r="S2279" s="1528"/>
      <c r="T2279" s="327"/>
      <c r="U2279" s="147"/>
      <c r="V2279" s="147"/>
      <c r="W2279" s="1455"/>
      <c r="X2279" s="60"/>
      <c r="Y2279" s="147"/>
      <c r="Z2279" s="60"/>
      <c r="AA2279" s="147"/>
      <c r="AB2279" s="147"/>
      <c r="AC2279" s="147"/>
      <c r="AD2279" s="147"/>
      <c r="AE2279" s="144"/>
      <c r="AF2279" s="144"/>
      <c r="AG2279" s="147"/>
      <c r="AH2279" s="147"/>
      <c r="AI2279" s="144"/>
      <c r="AJ2279" s="147"/>
      <c r="AK2279" s="147"/>
      <c r="AL2279" s="60"/>
      <c r="AM2279" s="60"/>
      <c r="AN2279" s="144"/>
      <c r="AO2279" s="144"/>
      <c r="AP2279" s="147"/>
      <c r="AQ2279" s="147"/>
      <c r="AR2279" s="144"/>
      <c r="AS2279" s="147"/>
      <c r="AT2279" s="147"/>
      <c r="AU2279" s="60"/>
      <c r="AV2279" s="410"/>
      <c r="AW2279" s="60"/>
    </row>
    <row r="2280">
      <c r="A2280" s="60"/>
      <c r="B2280" s="41"/>
      <c r="C2280" s="41"/>
      <c r="E2280" s="60"/>
      <c r="F2280" s="60"/>
      <c r="G2280" s="147"/>
      <c r="H2280" s="140"/>
      <c r="I2280" s="60"/>
      <c r="J2280" s="147"/>
      <c r="K2280" s="60"/>
      <c r="L2280" s="60"/>
      <c r="M2280" s="60"/>
      <c r="N2280" s="327"/>
      <c r="O2280" s="145"/>
      <c r="P2280" s="1572"/>
      <c r="Q2280" s="1526"/>
      <c r="R2280" s="60"/>
      <c r="S2280" s="1528"/>
      <c r="T2280" s="327"/>
      <c r="U2280" s="147"/>
      <c r="V2280" s="147"/>
      <c r="W2280" s="1455"/>
      <c r="X2280" s="60"/>
      <c r="Y2280" s="147"/>
      <c r="Z2280" s="60"/>
      <c r="AA2280" s="147"/>
      <c r="AB2280" s="147"/>
      <c r="AC2280" s="147"/>
      <c r="AD2280" s="147"/>
      <c r="AE2280" s="144"/>
      <c r="AF2280" s="144"/>
      <c r="AG2280" s="147"/>
      <c r="AH2280" s="147"/>
      <c r="AI2280" s="144"/>
      <c r="AJ2280" s="147"/>
      <c r="AK2280" s="147"/>
      <c r="AL2280" s="60"/>
      <c r="AM2280" s="60"/>
      <c r="AN2280" s="144"/>
      <c r="AO2280" s="144"/>
      <c r="AP2280" s="147"/>
      <c r="AQ2280" s="147"/>
      <c r="AR2280" s="144"/>
      <c r="AS2280" s="147"/>
      <c r="AT2280" s="147"/>
      <c r="AU2280" s="60"/>
      <c r="AV2280" s="410"/>
      <c r="AW2280" s="60"/>
    </row>
    <row r="2281">
      <c r="A2281" s="60"/>
      <c r="B2281" s="41"/>
      <c r="C2281" s="41"/>
      <c r="E2281" s="60"/>
      <c r="F2281" s="60"/>
      <c r="G2281" s="147"/>
      <c r="H2281" s="140"/>
      <c r="I2281" s="60"/>
      <c r="J2281" s="147"/>
      <c r="K2281" s="60"/>
      <c r="L2281" s="60"/>
      <c r="M2281" s="60"/>
      <c r="N2281" s="327"/>
      <c r="O2281" s="145"/>
      <c r="P2281" s="1572"/>
      <c r="Q2281" s="1526"/>
      <c r="R2281" s="60"/>
      <c r="S2281" s="1528"/>
      <c r="T2281" s="327"/>
      <c r="U2281" s="147"/>
      <c r="V2281" s="147"/>
      <c r="W2281" s="1455"/>
      <c r="X2281" s="60"/>
      <c r="Y2281" s="147"/>
      <c r="Z2281" s="60"/>
      <c r="AA2281" s="147"/>
      <c r="AB2281" s="147"/>
      <c r="AC2281" s="147"/>
      <c r="AD2281" s="147"/>
      <c r="AE2281" s="144"/>
      <c r="AF2281" s="144"/>
      <c r="AG2281" s="147"/>
      <c r="AH2281" s="147"/>
      <c r="AI2281" s="144"/>
      <c r="AJ2281" s="147"/>
      <c r="AK2281" s="147"/>
      <c r="AL2281" s="60"/>
      <c r="AM2281" s="60"/>
      <c r="AN2281" s="144"/>
      <c r="AO2281" s="144"/>
      <c r="AP2281" s="147"/>
      <c r="AQ2281" s="147"/>
      <c r="AR2281" s="144"/>
      <c r="AS2281" s="147"/>
      <c r="AT2281" s="147"/>
      <c r="AU2281" s="60"/>
      <c r="AV2281" s="410"/>
      <c r="AW2281" s="60"/>
    </row>
    <row r="2282">
      <c r="A2282" s="60"/>
      <c r="B2282" s="41"/>
      <c r="C2282" s="41"/>
      <c r="E2282" s="60"/>
      <c r="F2282" s="60"/>
      <c r="G2282" s="147"/>
      <c r="H2282" s="140"/>
      <c r="I2282" s="60"/>
      <c r="J2282" s="147"/>
      <c r="K2282" s="60"/>
      <c r="L2282" s="60"/>
      <c r="M2282" s="60"/>
      <c r="N2282" s="327"/>
      <c r="O2282" s="145"/>
      <c r="P2282" s="1572"/>
      <c r="Q2282" s="1526"/>
      <c r="R2282" s="60"/>
      <c r="S2282" s="1528"/>
      <c r="T2282" s="327"/>
      <c r="U2282" s="147"/>
      <c r="V2282" s="147"/>
      <c r="W2282" s="1455"/>
      <c r="X2282" s="60"/>
      <c r="Y2282" s="147"/>
      <c r="Z2282" s="60"/>
      <c r="AA2282" s="147"/>
      <c r="AB2282" s="147"/>
      <c r="AC2282" s="147"/>
      <c r="AD2282" s="147"/>
      <c r="AE2282" s="144"/>
      <c r="AF2282" s="144"/>
      <c r="AG2282" s="147"/>
      <c r="AH2282" s="147"/>
      <c r="AI2282" s="144"/>
      <c r="AJ2282" s="147"/>
      <c r="AK2282" s="147"/>
      <c r="AL2282" s="60"/>
      <c r="AM2282" s="60"/>
      <c r="AN2282" s="144"/>
      <c r="AO2282" s="144"/>
      <c r="AP2282" s="147"/>
      <c r="AQ2282" s="147"/>
      <c r="AR2282" s="144"/>
      <c r="AS2282" s="147"/>
      <c r="AT2282" s="147"/>
      <c r="AU2282" s="60"/>
      <c r="AV2282" s="410"/>
      <c r="AW2282" s="60"/>
    </row>
    <row r="2283">
      <c r="A2283" s="60"/>
      <c r="B2283" s="41"/>
      <c r="C2283" s="41"/>
      <c r="E2283" s="60"/>
      <c r="F2283" s="60"/>
      <c r="G2283" s="147"/>
      <c r="H2283" s="140"/>
      <c r="I2283" s="60"/>
      <c r="J2283" s="147"/>
      <c r="K2283" s="60"/>
      <c r="L2283" s="60"/>
      <c r="M2283" s="60"/>
      <c r="N2283" s="327"/>
      <c r="O2283" s="145"/>
      <c r="P2283" s="1572"/>
      <c r="Q2283" s="1526"/>
      <c r="R2283" s="60"/>
      <c r="S2283" s="1528"/>
      <c r="T2283" s="327"/>
      <c r="U2283" s="147"/>
      <c r="V2283" s="147"/>
      <c r="W2283" s="1455"/>
      <c r="X2283" s="60"/>
      <c r="Y2283" s="147"/>
      <c r="Z2283" s="60"/>
      <c r="AA2283" s="147"/>
      <c r="AB2283" s="147"/>
      <c r="AC2283" s="147"/>
      <c r="AD2283" s="147"/>
      <c r="AE2283" s="144"/>
      <c r="AF2283" s="144"/>
      <c r="AG2283" s="147"/>
      <c r="AH2283" s="147"/>
      <c r="AI2283" s="144"/>
      <c r="AJ2283" s="147"/>
      <c r="AK2283" s="147"/>
      <c r="AL2283" s="60"/>
      <c r="AM2283" s="60"/>
      <c r="AN2283" s="144"/>
      <c r="AO2283" s="144"/>
      <c r="AP2283" s="147"/>
      <c r="AQ2283" s="147"/>
      <c r="AR2283" s="144"/>
      <c r="AS2283" s="147"/>
      <c r="AT2283" s="147"/>
      <c r="AU2283" s="60"/>
      <c r="AV2283" s="410"/>
      <c r="AW2283" s="60"/>
    </row>
    <row r="2284">
      <c r="A2284" s="60"/>
      <c r="B2284" s="41"/>
      <c r="C2284" s="41"/>
      <c r="E2284" s="60"/>
      <c r="F2284" s="60"/>
      <c r="G2284" s="147"/>
      <c r="H2284" s="140"/>
      <c r="I2284" s="60"/>
      <c r="J2284" s="147"/>
      <c r="K2284" s="60"/>
      <c r="L2284" s="60"/>
      <c r="M2284" s="60"/>
      <c r="N2284" s="327"/>
      <c r="O2284" s="145"/>
      <c r="P2284" s="1572"/>
      <c r="Q2284" s="1526"/>
      <c r="R2284" s="60"/>
      <c r="S2284" s="1528"/>
      <c r="T2284" s="327"/>
      <c r="U2284" s="147"/>
      <c r="V2284" s="147"/>
      <c r="W2284" s="1455"/>
      <c r="X2284" s="60"/>
      <c r="Y2284" s="147"/>
      <c r="Z2284" s="60"/>
      <c r="AA2284" s="147"/>
      <c r="AB2284" s="147"/>
      <c r="AC2284" s="147"/>
      <c r="AD2284" s="147"/>
      <c r="AE2284" s="144"/>
      <c r="AF2284" s="144"/>
      <c r="AG2284" s="147"/>
      <c r="AH2284" s="147"/>
      <c r="AI2284" s="144"/>
      <c r="AJ2284" s="147"/>
      <c r="AK2284" s="147"/>
      <c r="AL2284" s="60"/>
      <c r="AM2284" s="60"/>
      <c r="AN2284" s="144"/>
      <c r="AO2284" s="144"/>
      <c r="AP2284" s="147"/>
      <c r="AQ2284" s="147"/>
      <c r="AR2284" s="144"/>
      <c r="AS2284" s="147"/>
      <c r="AT2284" s="147"/>
      <c r="AU2284" s="60"/>
      <c r="AV2284" s="410"/>
      <c r="AW2284" s="60"/>
    </row>
    <row r="2285">
      <c r="A2285" s="60"/>
      <c r="B2285" s="41"/>
      <c r="C2285" s="41"/>
      <c r="E2285" s="60"/>
      <c r="F2285" s="60"/>
      <c r="G2285" s="147"/>
      <c r="H2285" s="140"/>
      <c r="I2285" s="60"/>
      <c r="J2285" s="147"/>
      <c r="K2285" s="60"/>
      <c r="L2285" s="60"/>
      <c r="M2285" s="60"/>
      <c r="N2285" s="327"/>
      <c r="O2285" s="145"/>
      <c r="P2285" s="1572"/>
      <c r="Q2285" s="1526"/>
      <c r="R2285" s="60"/>
      <c r="S2285" s="1528"/>
      <c r="T2285" s="327"/>
      <c r="U2285" s="147"/>
      <c r="V2285" s="147"/>
      <c r="W2285" s="1455"/>
      <c r="X2285" s="60"/>
      <c r="Y2285" s="147"/>
      <c r="Z2285" s="60"/>
      <c r="AA2285" s="147"/>
      <c r="AB2285" s="147"/>
      <c r="AC2285" s="147"/>
      <c r="AD2285" s="147"/>
      <c r="AE2285" s="144"/>
      <c r="AF2285" s="144"/>
      <c r="AG2285" s="147"/>
      <c r="AH2285" s="147"/>
      <c r="AI2285" s="144"/>
      <c r="AJ2285" s="147"/>
      <c r="AK2285" s="147"/>
      <c r="AL2285" s="60"/>
      <c r="AM2285" s="60"/>
      <c r="AN2285" s="144"/>
      <c r="AO2285" s="144"/>
      <c r="AP2285" s="147"/>
      <c r="AQ2285" s="147"/>
      <c r="AR2285" s="144"/>
      <c r="AS2285" s="147"/>
      <c r="AT2285" s="147"/>
      <c r="AU2285" s="60"/>
      <c r="AV2285" s="410"/>
      <c r="AW2285" s="60"/>
    </row>
    <row r="2286">
      <c r="A2286" s="60"/>
      <c r="B2286" s="41"/>
      <c r="C2286" s="41"/>
      <c r="E2286" s="60"/>
      <c r="F2286" s="60"/>
      <c r="G2286" s="147"/>
      <c r="H2286" s="140"/>
      <c r="I2286" s="60"/>
      <c r="J2286" s="147"/>
      <c r="K2286" s="60"/>
      <c r="L2286" s="60"/>
      <c r="M2286" s="60"/>
      <c r="N2286" s="327"/>
      <c r="O2286" s="145"/>
      <c r="P2286" s="1572"/>
      <c r="Q2286" s="1526"/>
      <c r="R2286" s="60"/>
      <c r="S2286" s="1528"/>
      <c r="T2286" s="327"/>
      <c r="U2286" s="147"/>
      <c r="V2286" s="147"/>
      <c r="W2286" s="1455"/>
      <c r="X2286" s="60"/>
      <c r="Y2286" s="147"/>
      <c r="Z2286" s="60"/>
      <c r="AA2286" s="147"/>
      <c r="AB2286" s="147"/>
      <c r="AC2286" s="147"/>
      <c r="AD2286" s="147"/>
      <c r="AE2286" s="144"/>
      <c r="AF2286" s="144"/>
      <c r="AG2286" s="147"/>
      <c r="AH2286" s="147"/>
      <c r="AI2286" s="144"/>
      <c r="AJ2286" s="147"/>
      <c r="AK2286" s="147"/>
      <c r="AL2286" s="60"/>
      <c r="AM2286" s="60"/>
      <c r="AN2286" s="144"/>
      <c r="AO2286" s="144"/>
      <c r="AP2286" s="147"/>
      <c r="AQ2286" s="147"/>
      <c r="AR2286" s="144"/>
      <c r="AS2286" s="147"/>
      <c r="AT2286" s="147"/>
      <c r="AU2286" s="60"/>
      <c r="AV2286" s="410"/>
      <c r="AW2286" s="60"/>
    </row>
    <row r="2287">
      <c r="A2287" s="60"/>
      <c r="B2287" s="41"/>
      <c r="C2287" s="41"/>
      <c r="E2287" s="60"/>
      <c r="F2287" s="60"/>
      <c r="G2287" s="147"/>
      <c r="H2287" s="140"/>
      <c r="I2287" s="60"/>
      <c r="J2287" s="147"/>
      <c r="K2287" s="60"/>
      <c r="L2287" s="60"/>
      <c r="M2287" s="60"/>
      <c r="N2287" s="327"/>
      <c r="O2287" s="145"/>
      <c r="P2287" s="1572"/>
      <c r="Q2287" s="1526"/>
      <c r="R2287" s="60"/>
      <c r="S2287" s="1528"/>
      <c r="T2287" s="327"/>
      <c r="U2287" s="147"/>
      <c r="V2287" s="147"/>
      <c r="W2287" s="1455"/>
      <c r="X2287" s="60"/>
      <c r="Y2287" s="147"/>
      <c r="Z2287" s="60"/>
      <c r="AA2287" s="147"/>
      <c r="AB2287" s="147"/>
      <c r="AC2287" s="147"/>
      <c r="AD2287" s="147"/>
      <c r="AE2287" s="144"/>
      <c r="AF2287" s="144"/>
      <c r="AG2287" s="147"/>
      <c r="AH2287" s="147"/>
      <c r="AI2287" s="144"/>
      <c r="AJ2287" s="147"/>
      <c r="AK2287" s="147"/>
      <c r="AL2287" s="60"/>
      <c r="AM2287" s="60"/>
      <c r="AN2287" s="144"/>
      <c r="AO2287" s="144"/>
      <c r="AP2287" s="147"/>
      <c r="AQ2287" s="147"/>
      <c r="AR2287" s="144"/>
      <c r="AS2287" s="147"/>
      <c r="AT2287" s="147"/>
      <c r="AU2287" s="60"/>
      <c r="AV2287" s="410"/>
      <c r="AW2287" s="60"/>
    </row>
    <row r="2288">
      <c r="A2288" s="60"/>
      <c r="B2288" s="41"/>
      <c r="C2288" s="41"/>
      <c r="E2288" s="60"/>
      <c r="F2288" s="60"/>
      <c r="G2288" s="147"/>
      <c r="H2288" s="140"/>
      <c r="I2288" s="60"/>
      <c r="J2288" s="147"/>
      <c r="K2288" s="60"/>
      <c r="L2288" s="60"/>
      <c r="M2288" s="60"/>
      <c r="N2288" s="327"/>
      <c r="O2288" s="145"/>
      <c r="P2288" s="1572"/>
      <c r="Q2288" s="1526"/>
      <c r="R2288" s="60"/>
      <c r="S2288" s="1528"/>
      <c r="T2288" s="327"/>
      <c r="U2288" s="147"/>
      <c r="V2288" s="147"/>
      <c r="W2288" s="1455"/>
      <c r="X2288" s="60"/>
      <c r="Y2288" s="147"/>
      <c r="Z2288" s="60"/>
      <c r="AA2288" s="147"/>
      <c r="AB2288" s="147"/>
      <c r="AC2288" s="147"/>
      <c r="AD2288" s="147"/>
      <c r="AE2288" s="144"/>
      <c r="AF2288" s="144"/>
      <c r="AG2288" s="147"/>
      <c r="AH2288" s="147"/>
      <c r="AI2288" s="144"/>
      <c r="AJ2288" s="147"/>
      <c r="AK2288" s="147"/>
      <c r="AL2288" s="60"/>
      <c r="AM2288" s="60"/>
      <c r="AN2288" s="144"/>
      <c r="AO2288" s="144"/>
      <c r="AP2288" s="147"/>
      <c r="AQ2288" s="147"/>
      <c r="AR2288" s="144"/>
      <c r="AS2288" s="147"/>
      <c r="AT2288" s="147"/>
      <c r="AU2288" s="60"/>
      <c r="AV2288" s="410"/>
      <c r="AW2288" s="60"/>
    </row>
    <row r="2289">
      <c r="A2289" s="60"/>
      <c r="B2289" s="41"/>
      <c r="C2289" s="41"/>
      <c r="E2289" s="60"/>
      <c r="F2289" s="60"/>
      <c r="G2289" s="147"/>
      <c r="H2289" s="140"/>
      <c r="I2289" s="60"/>
      <c r="J2289" s="147"/>
      <c r="K2289" s="60"/>
      <c r="L2289" s="60"/>
      <c r="M2289" s="60"/>
      <c r="N2289" s="327"/>
      <c r="O2289" s="145"/>
      <c r="P2289" s="1572"/>
      <c r="Q2289" s="1526"/>
      <c r="R2289" s="60"/>
      <c r="S2289" s="1528"/>
      <c r="T2289" s="327"/>
      <c r="U2289" s="147"/>
      <c r="V2289" s="147"/>
      <c r="W2289" s="1455"/>
      <c r="X2289" s="60"/>
      <c r="Y2289" s="147"/>
      <c r="Z2289" s="60"/>
      <c r="AA2289" s="147"/>
      <c r="AB2289" s="147"/>
      <c r="AC2289" s="147"/>
      <c r="AD2289" s="147"/>
      <c r="AE2289" s="144"/>
      <c r="AF2289" s="144"/>
      <c r="AG2289" s="147"/>
      <c r="AH2289" s="147"/>
      <c r="AI2289" s="144"/>
      <c r="AJ2289" s="147"/>
      <c r="AK2289" s="147"/>
      <c r="AL2289" s="60"/>
      <c r="AM2289" s="60"/>
      <c r="AN2289" s="144"/>
      <c r="AO2289" s="144"/>
      <c r="AP2289" s="147"/>
      <c r="AQ2289" s="147"/>
      <c r="AR2289" s="144"/>
      <c r="AS2289" s="147"/>
      <c r="AT2289" s="147"/>
      <c r="AU2289" s="60"/>
      <c r="AV2289" s="410"/>
      <c r="AW2289" s="60"/>
    </row>
    <row r="2290">
      <c r="A2290" s="60"/>
      <c r="B2290" s="41"/>
      <c r="C2290" s="41"/>
      <c r="E2290" s="60"/>
      <c r="F2290" s="60"/>
      <c r="G2290" s="147"/>
      <c r="H2290" s="140"/>
      <c r="I2290" s="60"/>
      <c r="J2290" s="147"/>
      <c r="K2290" s="60"/>
      <c r="L2290" s="60"/>
      <c r="M2290" s="60"/>
      <c r="N2290" s="327"/>
      <c r="O2290" s="145"/>
      <c r="P2290" s="1572"/>
      <c r="Q2290" s="1526"/>
      <c r="R2290" s="60"/>
      <c r="S2290" s="1528"/>
      <c r="T2290" s="327"/>
      <c r="U2290" s="147"/>
      <c r="V2290" s="147"/>
      <c r="W2290" s="1455"/>
      <c r="X2290" s="60"/>
      <c r="Y2290" s="147"/>
      <c r="Z2290" s="60"/>
      <c r="AA2290" s="147"/>
      <c r="AB2290" s="147"/>
      <c r="AC2290" s="147"/>
      <c r="AD2290" s="147"/>
      <c r="AE2290" s="144"/>
      <c r="AF2290" s="144"/>
      <c r="AG2290" s="147"/>
      <c r="AH2290" s="147"/>
      <c r="AI2290" s="144"/>
      <c r="AJ2290" s="147"/>
      <c r="AK2290" s="147"/>
      <c r="AL2290" s="60"/>
      <c r="AM2290" s="60"/>
      <c r="AN2290" s="144"/>
      <c r="AO2290" s="144"/>
      <c r="AP2290" s="147"/>
      <c r="AQ2290" s="147"/>
      <c r="AR2290" s="144"/>
      <c r="AS2290" s="147"/>
      <c r="AT2290" s="147"/>
      <c r="AU2290" s="60"/>
      <c r="AV2290" s="410"/>
      <c r="AW2290" s="60"/>
    </row>
    <row r="2291">
      <c r="A2291" s="60"/>
      <c r="B2291" s="41"/>
      <c r="C2291" s="41"/>
      <c r="E2291" s="60"/>
      <c r="F2291" s="60"/>
      <c r="G2291" s="147"/>
      <c r="H2291" s="140"/>
      <c r="I2291" s="60"/>
      <c r="J2291" s="147"/>
      <c r="K2291" s="60"/>
      <c r="L2291" s="60"/>
      <c r="M2291" s="60"/>
      <c r="N2291" s="327"/>
      <c r="O2291" s="145"/>
      <c r="P2291" s="1572"/>
      <c r="Q2291" s="1526"/>
      <c r="R2291" s="60"/>
      <c r="S2291" s="1528"/>
      <c r="T2291" s="327"/>
      <c r="U2291" s="147"/>
      <c r="V2291" s="147"/>
      <c r="W2291" s="1455"/>
      <c r="X2291" s="60"/>
      <c r="Y2291" s="147"/>
      <c r="Z2291" s="60"/>
      <c r="AA2291" s="147"/>
      <c r="AB2291" s="147"/>
      <c r="AC2291" s="147"/>
      <c r="AD2291" s="147"/>
      <c r="AE2291" s="144"/>
      <c r="AF2291" s="144"/>
      <c r="AG2291" s="147"/>
      <c r="AH2291" s="147"/>
      <c r="AI2291" s="144"/>
      <c r="AJ2291" s="147"/>
      <c r="AK2291" s="147"/>
      <c r="AL2291" s="60"/>
      <c r="AM2291" s="60"/>
      <c r="AN2291" s="144"/>
      <c r="AO2291" s="144"/>
      <c r="AP2291" s="147"/>
      <c r="AQ2291" s="147"/>
      <c r="AR2291" s="144"/>
      <c r="AS2291" s="147"/>
      <c r="AT2291" s="147"/>
      <c r="AU2291" s="60"/>
      <c r="AV2291" s="410"/>
      <c r="AW2291" s="60"/>
    </row>
    <row r="2292">
      <c r="A2292" s="60"/>
      <c r="B2292" s="41"/>
      <c r="C2292" s="41"/>
      <c r="E2292" s="60"/>
      <c r="F2292" s="60"/>
      <c r="G2292" s="147"/>
      <c r="H2292" s="140"/>
      <c r="I2292" s="60"/>
      <c r="J2292" s="147"/>
      <c r="K2292" s="60"/>
      <c r="L2292" s="60"/>
      <c r="M2292" s="60"/>
      <c r="N2292" s="327"/>
      <c r="O2292" s="145"/>
      <c r="P2292" s="1572"/>
      <c r="Q2292" s="1526"/>
      <c r="R2292" s="60"/>
      <c r="S2292" s="1528"/>
      <c r="T2292" s="327"/>
      <c r="U2292" s="147"/>
      <c r="V2292" s="147"/>
      <c r="W2292" s="1455"/>
      <c r="X2292" s="60"/>
      <c r="Y2292" s="147"/>
      <c r="Z2292" s="60"/>
      <c r="AA2292" s="147"/>
      <c r="AB2292" s="147"/>
      <c r="AC2292" s="147"/>
      <c r="AD2292" s="147"/>
      <c r="AE2292" s="144"/>
      <c r="AF2292" s="144"/>
      <c r="AG2292" s="147"/>
      <c r="AH2292" s="147"/>
      <c r="AI2292" s="144"/>
      <c r="AJ2292" s="147"/>
      <c r="AK2292" s="147"/>
      <c r="AL2292" s="60"/>
      <c r="AM2292" s="60"/>
      <c r="AN2292" s="144"/>
      <c r="AO2292" s="144"/>
      <c r="AP2292" s="147"/>
      <c r="AQ2292" s="147"/>
      <c r="AR2292" s="144"/>
      <c r="AS2292" s="147"/>
      <c r="AT2292" s="147"/>
      <c r="AU2292" s="60"/>
      <c r="AV2292" s="410"/>
      <c r="AW2292" s="60"/>
    </row>
    <row r="2293">
      <c r="A2293" s="60"/>
      <c r="B2293" s="41"/>
      <c r="C2293" s="41"/>
      <c r="E2293" s="60"/>
      <c r="F2293" s="60"/>
      <c r="G2293" s="147"/>
      <c r="H2293" s="140"/>
      <c r="I2293" s="60"/>
      <c r="J2293" s="147"/>
      <c r="K2293" s="60"/>
      <c r="L2293" s="60"/>
      <c r="M2293" s="60"/>
      <c r="N2293" s="327"/>
      <c r="O2293" s="145"/>
      <c r="P2293" s="1572"/>
      <c r="Q2293" s="1526"/>
      <c r="R2293" s="60"/>
      <c r="S2293" s="1528"/>
      <c r="T2293" s="327"/>
      <c r="U2293" s="147"/>
      <c r="V2293" s="147"/>
      <c r="W2293" s="1455"/>
      <c r="X2293" s="60"/>
      <c r="Y2293" s="147"/>
      <c r="Z2293" s="60"/>
      <c r="AA2293" s="147"/>
      <c r="AB2293" s="147"/>
      <c r="AC2293" s="147"/>
      <c r="AD2293" s="147"/>
      <c r="AE2293" s="144"/>
      <c r="AF2293" s="144"/>
      <c r="AG2293" s="147"/>
      <c r="AH2293" s="147"/>
      <c r="AI2293" s="144"/>
      <c r="AJ2293" s="147"/>
      <c r="AK2293" s="147"/>
      <c r="AL2293" s="60"/>
      <c r="AM2293" s="60"/>
      <c r="AN2293" s="144"/>
      <c r="AO2293" s="144"/>
      <c r="AP2293" s="147"/>
      <c r="AQ2293" s="147"/>
      <c r="AR2293" s="144"/>
      <c r="AS2293" s="147"/>
      <c r="AT2293" s="147"/>
      <c r="AU2293" s="60"/>
      <c r="AV2293" s="410"/>
      <c r="AW2293" s="60"/>
    </row>
    <row r="2294">
      <c r="A2294" s="60"/>
      <c r="B2294" s="41"/>
      <c r="C2294" s="41"/>
      <c r="E2294" s="60"/>
      <c r="F2294" s="60"/>
      <c r="G2294" s="147"/>
      <c r="H2294" s="140"/>
      <c r="I2294" s="60"/>
      <c r="J2294" s="147"/>
      <c r="K2294" s="60"/>
      <c r="L2294" s="60"/>
      <c r="M2294" s="60"/>
      <c r="N2294" s="327"/>
      <c r="O2294" s="145"/>
      <c r="P2294" s="1572"/>
      <c r="Q2294" s="1526"/>
      <c r="R2294" s="60"/>
      <c r="S2294" s="1528"/>
      <c r="T2294" s="327"/>
      <c r="U2294" s="147"/>
      <c r="V2294" s="147"/>
      <c r="W2294" s="1455"/>
      <c r="X2294" s="60"/>
      <c r="Y2294" s="147"/>
      <c r="Z2294" s="60"/>
      <c r="AA2294" s="147"/>
      <c r="AB2294" s="147"/>
      <c r="AC2294" s="147"/>
      <c r="AD2294" s="147"/>
      <c r="AE2294" s="144"/>
      <c r="AF2294" s="144"/>
      <c r="AG2294" s="147"/>
      <c r="AH2294" s="147"/>
      <c r="AI2294" s="144"/>
      <c r="AJ2294" s="147"/>
      <c r="AK2294" s="147"/>
      <c r="AL2294" s="60"/>
      <c r="AM2294" s="60"/>
      <c r="AN2294" s="144"/>
      <c r="AO2294" s="144"/>
      <c r="AP2294" s="147"/>
      <c r="AQ2294" s="147"/>
      <c r="AR2294" s="144"/>
      <c r="AS2294" s="147"/>
      <c r="AT2294" s="147"/>
      <c r="AU2294" s="60"/>
      <c r="AV2294" s="410"/>
      <c r="AW2294" s="60"/>
    </row>
    <row r="2295">
      <c r="A2295" s="60"/>
      <c r="B2295" s="41"/>
      <c r="C2295" s="41"/>
      <c r="E2295" s="60"/>
      <c r="F2295" s="60"/>
      <c r="G2295" s="147"/>
      <c r="H2295" s="140"/>
      <c r="I2295" s="60"/>
      <c r="J2295" s="147"/>
      <c r="K2295" s="60"/>
      <c r="L2295" s="60"/>
      <c r="M2295" s="60"/>
      <c r="N2295" s="327"/>
      <c r="O2295" s="145"/>
      <c r="P2295" s="1572"/>
      <c r="Q2295" s="1526"/>
      <c r="R2295" s="60"/>
      <c r="S2295" s="1528"/>
      <c r="T2295" s="327"/>
      <c r="U2295" s="147"/>
      <c r="V2295" s="147"/>
      <c r="W2295" s="1455"/>
      <c r="X2295" s="60"/>
      <c r="Y2295" s="147"/>
      <c r="Z2295" s="60"/>
      <c r="AA2295" s="147"/>
      <c r="AB2295" s="147"/>
      <c r="AC2295" s="147"/>
      <c r="AD2295" s="147"/>
      <c r="AE2295" s="144"/>
      <c r="AF2295" s="144"/>
      <c r="AG2295" s="147"/>
      <c r="AH2295" s="147"/>
      <c r="AI2295" s="144"/>
      <c r="AJ2295" s="147"/>
      <c r="AK2295" s="147"/>
      <c r="AL2295" s="60"/>
      <c r="AM2295" s="60"/>
      <c r="AN2295" s="144"/>
      <c r="AO2295" s="144"/>
      <c r="AP2295" s="147"/>
      <c r="AQ2295" s="147"/>
      <c r="AR2295" s="144"/>
      <c r="AS2295" s="147"/>
      <c r="AT2295" s="147"/>
      <c r="AU2295" s="60"/>
      <c r="AV2295" s="410"/>
      <c r="AW2295" s="60"/>
    </row>
    <row r="2296">
      <c r="A2296" s="60"/>
      <c r="B2296" s="41"/>
      <c r="C2296" s="41"/>
      <c r="E2296" s="60"/>
      <c r="F2296" s="60"/>
      <c r="G2296" s="147"/>
      <c r="H2296" s="140"/>
      <c r="I2296" s="60"/>
      <c r="J2296" s="147"/>
      <c r="K2296" s="60"/>
      <c r="L2296" s="60"/>
      <c r="M2296" s="60"/>
      <c r="N2296" s="327"/>
      <c r="O2296" s="145"/>
      <c r="P2296" s="1572"/>
      <c r="Q2296" s="1526"/>
      <c r="R2296" s="60"/>
      <c r="S2296" s="1528"/>
      <c r="T2296" s="327"/>
      <c r="U2296" s="147"/>
      <c r="V2296" s="147"/>
      <c r="W2296" s="1455"/>
      <c r="X2296" s="60"/>
      <c r="Y2296" s="147"/>
      <c r="Z2296" s="60"/>
      <c r="AA2296" s="147"/>
      <c r="AB2296" s="147"/>
      <c r="AC2296" s="147"/>
      <c r="AD2296" s="147"/>
      <c r="AE2296" s="144"/>
      <c r="AF2296" s="144"/>
      <c r="AG2296" s="147"/>
      <c r="AH2296" s="147"/>
      <c r="AI2296" s="144"/>
      <c r="AJ2296" s="147"/>
      <c r="AK2296" s="147"/>
      <c r="AL2296" s="60"/>
      <c r="AM2296" s="60"/>
      <c r="AN2296" s="144"/>
      <c r="AO2296" s="144"/>
      <c r="AP2296" s="147"/>
      <c r="AQ2296" s="147"/>
      <c r="AR2296" s="144"/>
      <c r="AS2296" s="147"/>
      <c r="AT2296" s="147"/>
      <c r="AU2296" s="60"/>
      <c r="AV2296" s="410"/>
      <c r="AW2296" s="60"/>
    </row>
    <row r="2297">
      <c r="A2297" s="60"/>
      <c r="B2297" s="41"/>
      <c r="C2297" s="41"/>
      <c r="E2297" s="60"/>
      <c r="F2297" s="60"/>
      <c r="G2297" s="147"/>
      <c r="H2297" s="140"/>
      <c r="I2297" s="60"/>
      <c r="J2297" s="147"/>
      <c r="K2297" s="60"/>
      <c r="L2297" s="60"/>
      <c r="M2297" s="60"/>
      <c r="N2297" s="327"/>
      <c r="O2297" s="145"/>
      <c r="P2297" s="1572"/>
      <c r="Q2297" s="1526"/>
      <c r="R2297" s="60"/>
      <c r="S2297" s="1528"/>
      <c r="T2297" s="327"/>
      <c r="U2297" s="147"/>
      <c r="V2297" s="147"/>
      <c r="W2297" s="1455"/>
      <c r="X2297" s="60"/>
      <c r="Y2297" s="147"/>
      <c r="Z2297" s="60"/>
      <c r="AA2297" s="147"/>
      <c r="AB2297" s="147"/>
      <c r="AC2297" s="147"/>
      <c r="AD2297" s="147"/>
      <c r="AE2297" s="144"/>
      <c r="AF2297" s="144"/>
      <c r="AG2297" s="147"/>
      <c r="AH2297" s="147"/>
      <c r="AI2297" s="144"/>
      <c r="AJ2297" s="147"/>
      <c r="AK2297" s="147"/>
      <c r="AL2297" s="60"/>
      <c r="AM2297" s="60"/>
      <c r="AN2297" s="144"/>
      <c r="AO2297" s="144"/>
      <c r="AP2297" s="147"/>
      <c r="AQ2297" s="147"/>
      <c r="AR2297" s="144"/>
      <c r="AS2297" s="147"/>
      <c r="AT2297" s="147"/>
      <c r="AU2297" s="60"/>
      <c r="AV2297" s="410"/>
      <c r="AW2297" s="60"/>
    </row>
    <row r="2298">
      <c r="A2298" s="60"/>
      <c r="B2298" s="41"/>
      <c r="C2298" s="41"/>
      <c r="E2298" s="60"/>
      <c r="F2298" s="60"/>
      <c r="G2298" s="147"/>
      <c r="H2298" s="140"/>
      <c r="I2298" s="60"/>
      <c r="J2298" s="147"/>
      <c r="K2298" s="60"/>
      <c r="L2298" s="60"/>
      <c r="M2298" s="60"/>
      <c r="N2298" s="327"/>
      <c r="O2298" s="145"/>
      <c r="P2298" s="1572"/>
      <c r="Q2298" s="1526"/>
      <c r="R2298" s="60"/>
      <c r="S2298" s="1528"/>
      <c r="T2298" s="327"/>
      <c r="U2298" s="147"/>
      <c r="V2298" s="147"/>
      <c r="W2298" s="1455"/>
      <c r="X2298" s="60"/>
      <c r="Y2298" s="147"/>
      <c r="Z2298" s="60"/>
      <c r="AA2298" s="147"/>
      <c r="AB2298" s="147"/>
      <c r="AC2298" s="147"/>
      <c r="AD2298" s="147"/>
      <c r="AE2298" s="144"/>
      <c r="AF2298" s="144"/>
      <c r="AG2298" s="147"/>
      <c r="AH2298" s="147"/>
      <c r="AI2298" s="144"/>
      <c r="AJ2298" s="147"/>
      <c r="AK2298" s="147"/>
      <c r="AL2298" s="60"/>
      <c r="AM2298" s="60"/>
      <c r="AN2298" s="144"/>
      <c r="AO2298" s="144"/>
      <c r="AP2298" s="147"/>
      <c r="AQ2298" s="147"/>
      <c r="AR2298" s="144"/>
      <c r="AS2298" s="147"/>
      <c r="AT2298" s="147"/>
      <c r="AU2298" s="60"/>
      <c r="AV2298" s="410"/>
      <c r="AW2298" s="60"/>
    </row>
    <row r="2299">
      <c r="A2299" s="60"/>
      <c r="B2299" s="41"/>
      <c r="C2299" s="41"/>
      <c r="E2299" s="60"/>
      <c r="F2299" s="60"/>
      <c r="G2299" s="147"/>
      <c r="H2299" s="140"/>
      <c r="I2299" s="60"/>
      <c r="J2299" s="147"/>
      <c r="K2299" s="60"/>
      <c r="L2299" s="60"/>
      <c r="M2299" s="60"/>
      <c r="N2299" s="327"/>
      <c r="O2299" s="145"/>
      <c r="P2299" s="1572"/>
      <c r="Q2299" s="1526"/>
      <c r="R2299" s="60"/>
      <c r="S2299" s="1528"/>
      <c r="T2299" s="327"/>
      <c r="U2299" s="147"/>
      <c r="V2299" s="147"/>
      <c r="W2299" s="1455"/>
      <c r="X2299" s="60"/>
      <c r="Y2299" s="147"/>
      <c r="Z2299" s="60"/>
      <c r="AA2299" s="147"/>
      <c r="AB2299" s="147"/>
      <c r="AC2299" s="147"/>
      <c r="AD2299" s="147"/>
      <c r="AE2299" s="144"/>
      <c r="AF2299" s="144"/>
      <c r="AG2299" s="147"/>
      <c r="AH2299" s="147"/>
      <c r="AI2299" s="144"/>
      <c r="AJ2299" s="147"/>
      <c r="AK2299" s="147"/>
      <c r="AL2299" s="60"/>
      <c r="AM2299" s="60"/>
      <c r="AN2299" s="144"/>
      <c r="AO2299" s="144"/>
      <c r="AP2299" s="147"/>
      <c r="AQ2299" s="147"/>
      <c r="AR2299" s="144"/>
      <c r="AS2299" s="147"/>
      <c r="AT2299" s="147"/>
      <c r="AU2299" s="60"/>
      <c r="AV2299" s="410"/>
      <c r="AW2299" s="60"/>
    </row>
    <row r="2300">
      <c r="A2300" s="60"/>
      <c r="B2300" s="41"/>
      <c r="C2300" s="41"/>
      <c r="E2300" s="60"/>
      <c r="F2300" s="60"/>
      <c r="G2300" s="147"/>
      <c r="H2300" s="140"/>
      <c r="I2300" s="60"/>
      <c r="J2300" s="147"/>
      <c r="K2300" s="60"/>
      <c r="L2300" s="60"/>
      <c r="M2300" s="60"/>
      <c r="N2300" s="327"/>
      <c r="O2300" s="145"/>
      <c r="P2300" s="1572"/>
      <c r="Q2300" s="1526"/>
      <c r="R2300" s="60"/>
      <c r="S2300" s="1528"/>
      <c r="T2300" s="327"/>
      <c r="U2300" s="147"/>
      <c r="V2300" s="147"/>
      <c r="W2300" s="1455"/>
      <c r="X2300" s="60"/>
      <c r="Y2300" s="147"/>
      <c r="Z2300" s="60"/>
      <c r="AA2300" s="147"/>
      <c r="AB2300" s="147"/>
      <c r="AC2300" s="147"/>
      <c r="AD2300" s="147"/>
      <c r="AE2300" s="144"/>
      <c r="AF2300" s="144"/>
      <c r="AG2300" s="147"/>
      <c r="AH2300" s="147"/>
      <c r="AI2300" s="144"/>
      <c r="AJ2300" s="147"/>
      <c r="AK2300" s="147"/>
      <c r="AL2300" s="60"/>
      <c r="AM2300" s="60"/>
      <c r="AN2300" s="144"/>
      <c r="AO2300" s="144"/>
      <c r="AP2300" s="147"/>
      <c r="AQ2300" s="147"/>
      <c r="AR2300" s="144"/>
      <c r="AS2300" s="147"/>
      <c r="AT2300" s="147"/>
      <c r="AU2300" s="60"/>
      <c r="AV2300" s="410"/>
      <c r="AW2300" s="60"/>
    </row>
    <row r="2301">
      <c r="A2301" s="60"/>
      <c r="B2301" s="41"/>
      <c r="C2301" s="41"/>
      <c r="E2301" s="60"/>
      <c r="F2301" s="60"/>
      <c r="G2301" s="147"/>
      <c r="H2301" s="140"/>
      <c r="I2301" s="60"/>
      <c r="J2301" s="147"/>
      <c r="K2301" s="60"/>
      <c r="L2301" s="60"/>
      <c r="M2301" s="60"/>
      <c r="N2301" s="327"/>
      <c r="O2301" s="145"/>
      <c r="P2301" s="1572"/>
      <c r="Q2301" s="1526"/>
      <c r="R2301" s="60"/>
      <c r="S2301" s="1528"/>
      <c r="T2301" s="327"/>
      <c r="U2301" s="147"/>
      <c r="V2301" s="147"/>
      <c r="W2301" s="1455"/>
      <c r="X2301" s="60"/>
      <c r="Y2301" s="147"/>
      <c r="Z2301" s="60"/>
      <c r="AA2301" s="147"/>
      <c r="AB2301" s="147"/>
      <c r="AC2301" s="147"/>
      <c r="AD2301" s="147"/>
      <c r="AE2301" s="144"/>
      <c r="AF2301" s="144"/>
      <c r="AG2301" s="147"/>
      <c r="AH2301" s="147"/>
      <c r="AI2301" s="144"/>
      <c r="AJ2301" s="147"/>
      <c r="AK2301" s="147"/>
      <c r="AL2301" s="60"/>
      <c r="AM2301" s="60"/>
      <c r="AN2301" s="144"/>
      <c r="AO2301" s="144"/>
      <c r="AP2301" s="147"/>
      <c r="AQ2301" s="147"/>
      <c r="AR2301" s="144"/>
      <c r="AS2301" s="147"/>
      <c r="AT2301" s="147"/>
      <c r="AU2301" s="60"/>
      <c r="AV2301" s="410"/>
      <c r="AW2301" s="60"/>
    </row>
    <row r="2302">
      <c r="A2302" s="60"/>
      <c r="B2302" s="41"/>
      <c r="C2302" s="41"/>
      <c r="E2302" s="60"/>
      <c r="F2302" s="60"/>
      <c r="G2302" s="147"/>
      <c r="H2302" s="140"/>
      <c r="I2302" s="60"/>
      <c r="J2302" s="147"/>
      <c r="K2302" s="60"/>
      <c r="L2302" s="60"/>
      <c r="M2302" s="60"/>
      <c r="N2302" s="327"/>
      <c r="O2302" s="145"/>
      <c r="P2302" s="1572"/>
      <c r="Q2302" s="1526"/>
      <c r="R2302" s="60"/>
      <c r="S2302" s="1528"/>
      <c r="T2302" s="327"/>
      <c r="U2302" s="147"/>
      <c r="V2302" s="147"/>
      <c r="W2302" s="1455"/>
      <c r="X2302" s="60"/>
      <c r="Y2302" s="147"/>
      <c r="Z2302" s="60"/>
      <c r="AA2302" s="147"/>
      <c r="AB2302" s="147"/>
      <c r="AC2302" s="147"/>
      <c r="AD2302" s="147"/>
      <c r="AE2302" s="144"/>
      <c r="AF2302" s="144"/>
      <c r="AG2302" s="147"/>
      <c r="AH2302" s="147"/>
      <c r="AI2302" s="144"/>
      <c r="AJ2302" s="147"/>
      <c r="AK2302" s="147"/>
      <c r="AL2302" s="60"/>
      <c r="AM2302" s="60"/>
      <c r="AN2302" s="144"/>
      <c r="AO2302" s="144"/>
      <c r="AP2302" s="147"/>
      <c r="AQ2302" s="147"/>
      <c r="AR2302" s="144"/>
      <c r="AS2302" s="147"/>
      <c r="AT2302" s="147"/>
      <c r="AU2302" s="60"/>
      <c r="AV2302" s="410"/>
      <c r="AW2302" s="60"/>
    </row>
    <row r="2303">
      <c r="A2303" s="60"/>
      <c r="B2303" s="41"/>
      <c r="C2303" s="41"/>
      <c r="E2303" s="60"/>
      <c r="F2303" s="60"/>
      <c r="G2303" s="147"/>
      <c r="H2303" s="140"/>
      <c r="I2303" s="60"/>
      <c r="J2303" s="147"/>
      <c r="K2303" s="60"/>
      <c r="L2303" s="60"/>
      <c r="M2303" s="60"/>
      <c r="N2303" s="327"/>
      <c r="O2303" s="145"/>
      <c r="P2303" s="1572"/>
      <c r="Q2303" s="1526"/>
      <c r="R2303" s="60"/>
      <c r="S2303" s="1528"/>
      <c r="T2303" s="327"/>
      <c r="U2303" s="147"/>
      <c r="V2303" s="147"/>
      <c r="W2303" s="1455"/>
      <c r="X2303" s="60"/>
      <c r="Y2303" s="147"/>
      <c r="Z2303" s="60"/>
      <c r="AA2303" s="147"/>
      <c r="AB2303" s="147"/>
      <c r="AC2303" s="147"/>
      <c r="AD2303" s="147"/>
      <c r="AE2303" s="144"/>
      <c r="AF2303" s="144"/>
      <c r="AG2303" s="147"/>
      <c r="AH2303" s="147"/>
      <c r="AI2303" s="144"/>
      <c r="AJ2303" s="147"/>
      <c r="AK2303" s="147"/>
      <c r="AL2303" s="60"/>
      <c r="AM2303" s="60"/>
      <c r="AN2303" s="144"/>
      <c r="AO2303" s="144"/>
      <c r="AP2303" s="147"/>
      <c r="AQ2303" s="147"/>
      <c r="AR2303" s="144"/>
      <c r="AS2303" s="147"/>
      <c r="AT2303" s="147"/>
      <c r="AU2303" s="60"/>
      <c r="AV2303" s="410"/>
      <c r="AW2303" s="60"/>
    </row>
    <row r="2304">
      <c r="A2304" s="60"/>
      <c r="B2304" s="41"/>
      <c r="C2304" s="41"/>
      <c r="E2304" s="60"/>
      <c r="F2304" s="60"/>
      <c r="G2304" s="147"/>
      <c r="H2304" s="140"/>
      <c r="I2304" s="60"/>
      <c r="J2304" s="147"/>
      <c r="K2304" s="60"/>
      <c r="L2304" s="60"/>
      <c r="M2304" s="60"/>
      <c r="N2304" s="327"/>
      <c r="O2304" s="145"/>
      <c r="P2304" s="1572"/>
      <c r="Q2304" s="1526"/>
      <c r="R2304" s="60"/>
      <c r="S2304" s="1528"/>
      <c r="T2304" s="327"/>
      <c r="U2304" s="147"/>
      <c r="V2304" s="147"/>
      <c r="W2304" s="1455"/>
      <c r="X2304" s="60"/>
      <c r="Y2304" s="147"/>
      <c r="Z2304" s="60"/>
      <c r="AA2304" s="147"/>
      <c r="AB2304" s="147"/>
      <c r="AC2304" s="147"/>
      <c r="AD2304" s="147"/>
      <c r="AE2304" s="144"/>
      <c r="AF2304" s="144"/>
      <c r="AG2304" s="147"/>
      <c r="AH2304" s="147"/>
      <c r="AI2304" s="144"/>
      <c r="AJ2304" s="147"/>
      <c r="AK2304" s="147"/>
      <c r="AL2304" s="60"/>
      <c r="AM2304" s="60"/>
      <c r="AN2304" s="144"/>
      <c r="AO2304" s="144"/>
      <c r="AP2304" s="147"/>
      <c r="AQ2304" s="147"/>
      <c r="AR2304" s="144"/>
      <c r="AS2304" s="147"/>
      <c r="AT2304" s="147"/>
      <c r="AU2304" s="60"/>
      <c r="AV2304" s="410"/>
      <c r="AW2304" s="60"/>
    </row>
    <row r="2305">
      <c r="A2305" s="60"/>
      <c r="B2305" s="41"/>
      <c r="C2305" s="41"/>
      <c r="E2305" s="60"/>
      <c r="F2305" s="60"/>
      <c r="G2305" s="147"/>
      <c r="H2305" s="140"/>
      <c r="I2305" s="60"/>
      <c r="J2305" s="147"/>
      <c r="K2305" s="60"/>
      <c r="L2305" s="60"/>
      <c r="M2305" s="60"/>
      <c r="N2305" s="327"/>
      <c r="O2305" s="145"/>
      <c r="P2305" s="1572"/>
      <c r="Q2305" s="1526"/>
      <c r="R2305" s="60"/>
      <c r="S2305" s="1528"/>
      <c r="T2305" s="327"/>
      <c r="U2305" s="147"/>
      <c r="V2305" s="147"/>
      <c r="W2305" s="1455"/>
      <c r="X2305" s="60"/>
      <c r="Y2305" s="147"/>
      <c r="Z2305" s="60"/>
      <c r="AA2305" s="147"/>
      <c r="AB2305" s="147"/>
      <c r="AC2305" s="147"/>
      <c r="AD2305" s="147"/>
      <c r="AE2305" s="144"/>
      <c r="AF2305" s="144"/>
      <c r="AG2305" s="147"/>
      <c r="AH2305" s="147"/>
      <c r="AI2305" s="144"/>
      <c r="AJ2305" s="147"/>
      <c r="AK2305" s="147"/>
      <c r="AL2305" s="60"/>
      <c r="AM2305" s="60"/>
      <c r="AN2305" s="144"/>
      <c r="AO2305" s="144"/>
      <c r="AP2305" s="147"/>
      <c r="AQ2305" s="147"/>
      <c r="AR2305" s="144"/>
      <c r="AS2305" s="147"/>
      <c r="AT2305" s="147"/>
      <c r="AU2305" s="60"/>
      <c r="AV2305" s="410"/>
      <c r="AW2305" s="60"/>
    </row>
    <row r="2306">
      <c r="A2306" s="60"/>
      <c r="B2306" s="41"/>
      <c r="C2306" s="41"/>
      <c r="E2306" s="60"/>
      <c r="F2306" s="60"/>
      <c r="G2306" s="147"/>
      <c r="H2306" s="140"/>
      <c r="I2306" s="60"/>
      <c r="J2306" s="147"/>
      <c r="K2306" s="60"/>
      <c r="L2306" s="60"/>
      <c r="M2306" s="60"/>
      <c r="N2306" s="327"/>
      <c r="O2306" s="145"/>
      <c r="P2306" s="1572"/>
      <c r="Q2306" s="1526"/>
      <c r="R2306" s="60"/>
      <c r="S2306" s="1528"/>
      <c r="T2306" s="327"/>
      <c r="U2306" s="147"/>
      <c r="V2306" s="147"/>
      <c r="W2306" s="1455"/>
      <c r="X2306" s="60"/>
      <c r="Y2306" s="147"/>
      <c r="Z2306" s="60"/>
      <c r="AA2306" s="147"/>
      <c r="AB2306" s="147"/>
      <c r="AC2306" s="147"/>
      <c r="AD2306" s="147"/>
      <c r="AE2306" s="144"/>
      <c r="AF2306" s="144"/>
      <c r="AG2306" s="147"/>
      <c r="AH2306" s="147"/>
      <c r="AI2306" s="144"/>
      <c r="AJ2306" s="147"/>
      <c r="AK2306" s="147"/>
      <c r="AL2306" s="60"/>
      <c r="AM2306" s="60"/>
      <c r="AN2306" s="144"/>
      <c r="AO2306" s="144"/>
      <c r="AP2306" s="147"/>
      <c r="AQ2306" s="147"/>
      <c r="AR2306" s="144"/>
      <c r="AS2306" s="147"/>
      <c r="AT2306" s="147"/>
      <c r="AU2306" s="60"/>
      <c r="AV2306" s="410"/>
      <c r="AW2306" s="60"/>
    </row>
    <row r="2307">
      <c r="A2307" s="60"/>
      <c r="B2307" s="41"/>
      <c r="C2307" s="41"/>
      <c r="E2307" s="60"/>
      <c r="F2307" s="60"/>
      <c r="G2307" s="147"/>
      <c r="H2307" s="140"/>
      <c r="I2307" s="60"/>
      <c r="J2307" s="147"/>
      <c r="K2307" s="60"/>
      <c r="L2307" s="60"/>
      <c r="M2307" s="60"/>
      <c r="N2307" s="327"/>
      <c r="O2307" s="145"/>
      <c r="P2307" s="1572"/>
      <c r="Q2307" s="1526"/>
      <c r="R2307" s="60"/>
      <c r="S2307" s="1528"/>
      <c r="T2307" s="327"/>
      <c r="U2307" s="147"/>
      <c r="V2307" s="147"/>
      <c r="W2307" s="1455"/>
      <c r="X2307" s="60"/>
      <c r="Y2307" s="147"/>
      <c r="Z2307" s="60"/>
      <c r="AA2307" s="147"/>
      <c r="AB2307" s="147"/>
      <c r="AC2307" s="147"/>
      <c r="AD2307" s="147"/>
      <c r="AE2307" s="144"/>
      <c r="AF2307" s="144"/>
      <c r="AG2307" s="147"/>
      <c r="AH2307" s="147"/>
      <c r="AI2307" s="144"/>
      <c r="AJ2307" s="147"/>
      <c r="AK2307" s="147"/>
      <c r="AL2307" s="60"/>
      <c r="AM2307" s="60"/>
      <c r="AN2307" s="144"/>
      <c r="AO2307" s="144"/>
      <c r="AP2307" s="147"/>
      <c r="AQ2307" s="147"/>
      <c r="AR2307" s="144"/>
      <c r="AS2307" s="147"/>
      <c r="AT2307" s="147"/>
      <c r="AU2307" s="60"/>
      <c r="AV2307" s="410"/>
      <c r="AW2307" s="60"/>
    </row>
    <row r="2308">
      <c r="A2308" s="60"/>
      <c r="B2308" s="41"/>
      <c r="C2308" s="41"/>
      <c r="E2308" s="60"/>
      <c r="F2308" s="60"/>
      <c r="G2308" s="147"/>
      <c r="H2308" s="140"/>
      <c r="I2308" s="60"/>
      <c r="J2308" s="147"/>
      <c r="K2308" s="60"/>
      <c r="L2308" s="60"/>
      <c r="M2308" s="60"/>
      <c r="N2308" s="327"/>
      <c r="O2308" s="145"/>
      <c r="P2308" s="1572"/>
      <c r="Q2308" s="1526"/>
      <c r="R2308" s="60"/>
      <c r="S2308" s="1528"/>
      <c r="T2308" s="327"/>
      <c r="U2308" s="147"/>
      <c r="V2308" s="147"/>
      <c r="W2308" s="1455"/>
      <c r="X2308" s="60"/>
      <c r="Y2308" s="147"/>
      <c r="Z2308" s="60"/>
      <c r="AA2308" s="147"/>
      <c r="AB2308" s="147"/>
      <c r="AC2308" s="147"/>
      <c r="AD2308" s="147"/>
      <c r="AE2308" s="144"/>
      <c r="AF2308" s="144"/>
      <c r="AG2308" s="147"/>
      <c r="AH2308" s="147"/>
      <c r="AI2308" s="144"/>
      <c r="AJ2308" s="147"/>
      <c r="AK2308" s="147"/>
      <c r="AL2308" s="60"/>
      <c r="AM2308" s="60"/>
      <c r="AN2308" s="144"/>
      <c r="AO2308" s="144"/>
      <c r="AP2308" s="147"/>
      <c r="AQ2308" s="147"/>
      <c r="AR2308" s="144"/>
      <c r="AS2308" s="147"/>
      <c r="AT2308" s="147"/>
      <c r="AU2308" s="60"/>
      <c r="AV2308" s="410"/>
      <c r="AW2308" s="60"/>
    </row>
    <row r="2309">
      <c r="A2309" s="60"/>
      <c r="B2309" s="41"/>
      <c r="C2309" s="41"/>
      <c r="E2309" s="60"/>
      <c r="F2309" s="60"/>
      <c r="G2309" s="147"/>
      <c r="H2309" s="140"/>
      <c r="I2309" s="60"/>
      <c r="J2309" s="147"/>
      <c r="K2309" s="60"/>
      <c r="L2309" s="60"/>
      <c r="M2309" s="60"/>
      <c r="N2309" s="327"/>
      <c r="O2309" s="145"/>
      <c r="P2309" s="1572"/>
      <c r="Q2309" s="1526"/>
      <c r="R2309" s="60"/>
      <c r="S2309" s="1528"/>
      <c r="T2309" s="327"/>
      <c r="U2309" s="147"/>
      <c r="V2309" s="147"/>
      <c r="W2309" s="1455"/>
      <c r="X2309" s="60"/>
      <c r="Y2309" s="147"/>
      <c r="Z2309" s="60"/>
      <c r="AA2309" s="147"/>
      <c r="AB2309" s="147"/>
      <c r="AC2309" s="147"/>
      <c r="AD2309" s="147"/>
      <c r="AE2309" s="144"/>
      <c r="AF2309" s="144"/>
      <c r="AG2309" s="147"/>
      <c r="AH2309" s="147"/>
      <c r="AI2309" s="144"/>
      <c r="AJ2309" s="147"/>
      <c r="AK2309" s="147"/>
      <c r="AL2309" s="60"/>
      <c r="AM2309" s="60"/>
      <c r="AN2309" s="144"/>
      <c r="AO2309" s="144"/>
      <c r="AP2309" s="147"/>
      <c r="AQ2309" s="147"/>
      <c r="AR2309" s="144"/>
      <c r="AS2309" s="147"/>
      <c r="AT2309" s="147"/>
      <c r="AU2309" s="60"/>
      <c r="AV2309" s="410"/>
      <c r="AW2309" s="60"/>
    </row>
    <row r="2310">
      <c r="A2310" s="60"/>
      <c r="B2310" s="41"/>
      <c r="C2310" s="41"/>
      <c r="E2310" s="60"/>
      <c r="F2310" s="60"/>
      <c r="G2310" s="147"/>
      <c r="H2310" s="140"/>
      <c r="I2310" s="60"/>
      <c r="J2310" s="147"/>
      <c r="K2310" s="60"/>
      <c r="L2310" s="60"/>
      <c r="M2310" s="60"/>
      <c r="N2310" s="327"/>
      <c r="O2310" s="145"/>
      <c r="P2310" s="1572"/>
      <c r="Q2310" s="1526"/>
      <c r="R2310" s="60"/>
      <c r="S2310" s="1528"/>
      <c r="T2310" s="327"/>
      <c r="U2310" s="147"/>
      <c r="V2310" s="147"/>
      <c r="W2310" s="1455"/>
      <c r="X2310" s="60"/>
      <c r="Y2310" s="147"/>
      <c r="Z2310" s="60"/>
      <c r="AA2310" s="147"/>
      <c r="AB2310" s="147"/>
      <c r="AC2310" s="147"/>
      <c r="AD2310" s="147"/>
      <c r="AE2310" s="144"/>
      <c r="AF2310" s="144"/>
      <c r="AG2310" s="147"/>
      <c r="AH2310" s="147"/>
      <c r="AI2310" s="144"/>
      <c r="AJ2310" s="147"/>
      <c r="AK2310" s="147"/>
      <c r="AL2310" s="60"/>
      <c r="AM2310" s="60"/>
      <c r="AN2310" s="144"/>
      <c r="AO2310" s="144"/>
      <c r="AP2310" s="147"/>
      <c r="AQ2310" s="147"/>
      <c r="AR2310" s="144"/>
      <c r="AS2310" s="147"/>
      <c r="AT2310" s="147"/>
      <c r="AU2310" s="60"/>
      <c r="AV2310" s="410"/>
      <c r="AW2310" s="60"/>
    </row>
    <row r="2311">
      <c r="A2311" s="60"/>
      <c r="B2311" s="41"/>
      <c r="C2311" s="41"/>
      <c r="E2311" s="60"/>
      <c r="F2311" s="60"/>
      <c r="G2311" s="147"/>
      <c r="H2311" s="140"/>
      <c r="I2311" s="60"/>
      <c r="J2311" s="147"/>
      <c r="K2311" s="60"/>
      <c r="L2311" s="60"/>
      <c r="M2311" s="60"/>
      <c r="N2311" s="327"/>
      <c r="O2311" s="145"/>
      <c r="P2311" s="1572"/>
      <c r="Q2311" s="1526"/>
      <c r="R2311" s="60"/>
      <c r="S2311" s="1528"/>
      <c r="T2311" s="327"/>
      <c r="U2311" s="147"/>
      <c r="V2311" s="147"/>
      <c r="W2311" s="1455"/>
      <c r="X2311" s="60"/>
      <c r="Y2311" s="147"/>
      <c r="Z2311" s="60"/>
      <c r="AA2311" s="147"/>
      <c r="AB2311" s="147"/>
      <c r="AC2311" s="147"/>
      <c r="AD2311" s="147"/>
      <c r="AE2311" s="144"/>
      <c r="AF2311" s="144"/>
      <c r="AG2311" s="147"/>
      <c r="AH2311" s="147"/>
      <c r="AI2311" s="144"/>
      <c r="AJ2311" s="147"/>
      <c r="AK2311" s="147"/>
      <c r="AL2311" s="60"/>
      <c r="AM2311" s="60"/>
      <c r="AN2311" s="144"/>
      <c r="AO2311" s="144"/>
      <c r="AP2311" s="147"/>
      <c r="AQ2311" s="147"/>
      <c r="AR2311" s="144"/>
      <c r="AS2311" s="147"/>
      <c r="AT2311" s="147"/>
      <c r="AU2311" s="60"/>
      <c r="AV2311" s="410"/>
      <c r="AW2311" s="60"/>
    </row>
    <row r="2312">
      <c r="A2312" s="60"/>
      <c r="B2312" s="41"/>
      <c r="C2312" s="41"/>
      <c r="E2312" s="60"/>
      <c r="F2312" s="60"/>
      <c r="G2312" s="147"/>
      <c r="H2312" s="140"/>
      <c r="I2312" s="60"/>
      <c r="J2312" s="147"/>
      <c r="K2312" s="60"/>
      <c r="L2312" s="60"/>
      <c r="M2312" s="60"/>
      <c r="N2312" s="327"/>
      <c r="O2312" s="145"/>
      <c r="P2312" s="1572"/>
      <c r="Q2312" s="1526"/>
      <c r="R2312" s="60"/>
      <c r="S2312" s="1528"/>
      <c r="T2312" s="327"/>
      <c r="U2312" s="147"/>
      <c r="V2312" s="147"/>
      <c r="W2312" s="1455"/>
      <c r="X2312" s="60"/>
      <c r="Y2312" s="147"/>
      <c r="Z2312" s="60"/>
      <c r="AA2312" s="147"/>
      <c r="AB2312" s="147"/>
      <c r="AC2312" s="147"/>
      <c r="AD2312" s="147"/>
      <c r="AE2312" s="144"/>
      <c r="AF2312" s="144"/>
      <c r="AG2312" s="147"/>
      <c r="AH2312" s="147"/>
      <c r="AI2312" s="144"/>
      <c r="AJ2312" s="147"/>
      <c r="AK2312" s="147"/>
      <c r="AL2312" s="60"/>
      <c r="AM2312" s="60"/>
      <c r="AN2312" s="144"/>
      <c r="AO2312" s="144"/>
      <c r="AP2312" s="147"/>
      <c r="AQ2312" s="147"/>
      <c r="AR2312" s="144"/>
      <c r="AS2312" s="147"/>
      <c r="AT2312" s="147"/>
      <c r="AU2312" s="60"/>
      <c r="AV2312" s="410"/>
      <c r="AW2312" s="60"/>
    </row>
    <row r="2313">
      <c r="A2313" s="60"/>
      <c r="B2313" s="41"/>
      <c r="C2313" s="41"/>
      <c r="E2313" s="60"/>
      <c r="F2313" s="60"/>
      <c r="G2313" s="147"/>
      <c r="H2313" s="140"/>
      <c r="I2313" s="60"/>
      <c r="J2313" s="147"/>
      <c r="K2313" s="60"/>
      <c r="L2313" s="60"/>
      <c r="M2313" s="60"/>
      <c r="N2313" s="327"/>
      <c r="O2313" s="145"/>
      <c r="P2313" s="1572"/>
      <c r="Q2313" s="1526"/>
      <c r="R2313" s="60"/>
      <c r="S2313" s="1528"/>
      <c r="T2313" s="327"/>
      <c r="U2313" s="147"/>
      <c r="V2313" s="147"/>
      <c r="W2313" s="1455"/>
      <c r="X2313" s="60"/>
      <c r="Y2313" s="147"/>
      <c r="Z2313" s="60"/>
      <c r="AA2313" s="147"/>
      <c r="AB2313" s="147"/>
      <c r="AC2313" s="147"/>
      <c r="AD2313" s="147"/>
      <c r="AE2313" s="144"/>
      <c r="AF2313" s="144"/>
      <c r="AG2313" s="147"/>
      <c r="AH2313" s="147"/>
      <c r="AI2313" s="144"/>
      <c r="AJ2313" s="147"/>
      <c r="AK2313" s="147"/>
      <c r="AL2313" s="60"/>
      <c r="AM2313" s="60"/>
      <c r="AN2313" s="144"/>
      <c r="AO2313" s="144"/>
      <c r="AP2313" s="147"/>
      <c r="AQ2313" s="147"/>
      <c r="AR2313" s="144"/>
      <c r="AS2313" s="147"/>
      <c r="AT2313" s="147"/>
      <c r="AU2313" s="60"/>
      <c r="AV2313" s="410"/>
      <c r="AW2313" s="60"/>
    </row>
    <row r="2314">
      <c r="A2314" s="60"/>
      <c r="B2314" s="41"/>
      <c r="C2314" s="41"/>
      <c r="E2314" s="60"/>
      <c r="F2314" s="60"/>
      <c r="G2314" s="147"/>
      <c r="H2314" s="140"/>
      <c r="I2314" s="60"/>
      <c r="J2314" s="147"/>
      <c r="K2314" s="60"/>
      <c r="L2314" s="60"/>
      <c r="M2314" s="60"/>
      <c r="N2314" s="327"/>
      <c r="O2314" s="145"/>
      <c r="P2314" s="1572"/>
      <c r="Q2314" s="1526"/>
      <c r="R2314" s="60"/>
      <c r="S2314" s="1528"/>
      <c r="T2314" s="327"/>
      <c r="U2314" s="147"/>
      <c r="V2314" s="147"/>
      <c r="W2314" s="1455"/>
      <c r="X2314" s="60"/>
      <c r="Y2314" s="147"/>
      <c r="Z2314" s="60"/>
      <c r="AA2314" s="147"/>
      <c r="AB2314" s="147"/>
      <c r="AC2314" s="147"/>
      <c r="AD2314" s="147"/>
      <c r="AE2314" s="144"/>
      <c r="AF2314" s="144"/>
      <c r="AG2314" s="147"/>
      <c r="AH2314" s="147"/>
      <c r="AI2314" s="144"/>
      <c r="AJ2314" s="147"/>
      <c r="AK2314" s="147"/>
      <c r="AL2314" s="60"/>
      <c r="AM2314" s="60"/>
      <c r="AN2314" s="144"/>
      <c r="AO2314" s="144"/>
      <c r="AP2314" s="147"/>
      <c r="AQ2314" s="147"/>
      <c r="AR2314" s="144"/>
      <c r="AS2314" s="147"/>
      <c r="AT2314" s="147"/>
      <c r="AU2314" s="60"/>
      <c r="AV2314" s="410"/>
      <c r="AW2314" s="60"/>
    </row>
    <row r="2315">
      <c r="A2315" s="60"/>
      <c r="B2315" s="41"/>
      <c r="C2315" s="41"/>
      <c r="E2315" s="60"/>
      <c r="F2315" s="60"/>
      <c r="G2315" s="147"/>
      <c r="H2315" s="140"/>
      <c r="I2315" s="60"/>
      <c r="J2315" s="147"/>
      <c r="K2315" s="60"/>
      <c r="L2315" s="60"/>
      <c r="M2315" s="60"/>
      <c r="N2315" s="327"/>
      <c r="O2315" s="145"/>
      <c r="P2315" s="1572"/>
      <c r="Q2315" s="1526"/>
      <c r="R2315" s="60"/>
      <c r="S2315" s="1528"/>
      <c r="T2315" s="327"/>
      <c r="U2315" s="147"/>
      <c r="V2315" s="147"/>
      <c r="W2315" s="1455"/>
      <c r="X2315" s="60"/>
      <c r="Y2315" s="147"/>
      <c r="Z2315" s="60"/>
      <c r="AA2315" s="147"/>
      <c r="AB2315" s="147"/>
      <c r="AC2315" s="147"/>
      <c r="AD2315" s="147"/>
      <c r="AE2315" s="144"/>
      <c r="AF2315" s="144"/>
      <c r="AG2315" s="147"/>
      <c r="AH2315" s="147"/>
      <c r="AI2315" s="144"/>
      <c r="AJ2315" s="147"/>
      <c r="AK2315" s="147"/>
      <c r="AL2315" s="60"/>
      <c r="AM2315" s="60"/>
      <c r="AN2315" s="144"/>
      <c r="AO2315" s="144"/>
      <c r="AP2315" s="147"/>
      <c r="AQ2315" s="147"/>
      <c r="AR2315" s="144"/>
      <c r="AS2315" s="147"/>
      <c r="AT2315" s="147"/>
      <c r="AU2315" s="60"/>
      <c r="AV2315" s="410"/>
      <c r="AW2315" s="60"/>
    </row>
    <row r="2316">
      <c r="A2316" s="60"/>
      <c r="B2316" s="41"/>
      <c r="C2316" s="41"/>
      <c r="E2316" s="60"/>
      <c r="F2316" s="60"/>
      <c r="G2316" s="147"/>
      <c r="H2316" s="140"/>
      <c r="I2316" s="60"/>
      <c r="J2316" s="147"/>
      <c r="K2316" s="60"/>
      <c r="L2316" s="60"/>
      <c r="M2316" s="60"/>
      <c r="N2316" s="327"/>
      <c r="O2316" s="145"/>
      <c r="P2316" s="1572"/>
      <c r="Q2316" s="1526"/>
      <c r="R2316" s="60"/>
      <c r="S2316" s="1528"/>
      <c r="T2316" s="327"/>
      <c r="U2316" s="147"/>
      <c r="V2316" s="147"/>
      <c r="W2316" s="1455"/>
      <c r="X2316" s="60"/>
      <c r="Y2316" s="147"/>
      <c r="Z2316" s="60"/>
      <c r="AA2316" s="147"/>
      <c r="AB2316" s="147"/>
      <c r="AC2316" s="147"/>
      <c r="AD2316" s="147"/>
      <c r="AE2316" s="144"/>
      <c r="AF2316" s="144"/>
      <c r="AG2316" s="147"/>
      <c r="AH2316" s="147"/>
      <c r="AI2316" s="144"/>
      <c r="AJ2316" s="147"/>
      <c r="AK2316" s="147"/>
      <c r="AL2316" s="60"/>
      <c r="AM2316" s="60"/>
      <c r="AN2316" s="144"/>
      <c r="AO2316" s="144"/>
      <c r="AP2316" s="147"/>
      <c r="AQ2316" s="147"/>
      <c r="AR2316" s="144"/>
      <c r="AS2316" s="147"/>
      <c r="AT2316" s="147"/>
      <c r="AU2316" s="60"/>
      <c r="AV2316" s="410"/>
      <c r="AW2316" s="60"/>
    </row>
    <row r="2317">
      <c r="A2317" s="60"/>
      <c r="B2317" s="41"/>
      <c r="C2317" s="41"/>
      <c r="E2317" s="60"/>
      <c r="F2317" s="60"/>
      <c r="G2317" s="147"/>
      <c r="H2317" s="140"/>
      <c r="I2317" s="60"/>
      <c r="J2317" s="147"/>
      <c r="K2317" s="60"/>
      <c r="L2317" s="60"/>
      <c r="M2317" s="60"/>
      <c r="N2317" s="327"/>
      <c r="O2317" s="145"/>
      <c r="P2317" s="1572"/>
      <c r="Q2317" s="1526"/>
      <c r="R2317" s="60"/>
      <c r="S2317" s="1528"/>
      <c r="T2317" s="327"/>
      <c r="U2317" s="147"/>
      <c r="V2317" s="147"/>
      <c r="W2317" s="1455"/>
      <c r="X2317" s="60"/>
      <c r="Y2317" s="147"/>
      <c r="Z2317" s="60"/>
      <c r="AA2317" s="147"/>
      <c r="AB2317" s="147"/>
      <c r="AC2317" s="147"/>
      <c r="AD2317" s="147"/>
      <c r="AE2317" s="144"/>
      <c r="AF2317" s="144"/>
      <c r="AG2317" s="147"/>
      <c r="AH2317" s="147"/>
      <c r="AI2317" s="144"/>
      <c r="AJ2317" s="147"/>
      <c r="AK2317" s="147"/>
      <c r="AL2317" s="60"/>
      <c r="AM2317" s="60"/>
      <c r="AN2317" s="144"/>
      <c r="AO2317" s="144"/>
      <c r="AP2317" s="147"/>
      <c r="AQ2317" s="147"/>
      <c r="AR2317" s="144"/>
      <c r="AS2317" s="147"/>
      <c r="AT2317" s="147"/>
      <c r="AU2317" s="60"/>
      <c r="AV2317" s="410"/>
      <c r="AW2317" s="60"/>
    </row>
    <row r="2318">
      <c r="A2318" s="60"/>
      <c r="B2318" s="41"/>
      <c r="C2318" s="41"/>
      <c r="E2318" s="60"/>
      <c r="F2318" s="60"/>
      <c r="G2318" s="147"/>
      <c r="H2318" s="140"/>
      <c r="I2318" s="60"/>
      <c r="J2318" s="147"/>
      <c r="K2318" s="60"/>
      <c r="L2318" s="60"/>
      <c r="M2318" s="60"/>
      <c r="N2318" s="327"/>
      <c r="O2318" s="145"/>
      <c r="P2318" s="1572"/>
      <c r="Q2318" s="1526"/>
      <c r="R2318" s="60"/>
      <c r="S2318" s="1528"/>
      <c r="T2318" s="327"/>
      <c r="U2318" s="147"/>
      <c r="V2318" s="147"/>
      <c r="W2318" s="1455"/>
      <c r="X2318" s="60"/>
      <c r="Y2318" s="147"/>
      <c r="Z2318" s="60"/>
      <c r="AA2318" s="147"/>
      <c r="AB2318" s="147"/>
      <c r="AC2318" s="147"/>
      <c r="AD2318" s="147"/>
      <c r="AE2318" s="144"/>
      <c r="AF2318" s="144"/>
      <c r="AG2318" s="147"/>
      <c r="AH2318" s="147"/>
      <c r="AI2318" s="144"/>
      <c r="AJ2318" s="147"/>
      <c r="AK2318" s="147"/>
      <c r="AL2318" s="60"/>
      <c r="AM2318" s="60"/>
      <c r="AN2318" s="144"/>
      <c r="AO2318" s="144"/>
      <c r="AP2318" s="147"/>
      <c r="AQ2318" s="147"/>
      <c r="AR2318" s="144"/>
      <c r="AS2318" s="147"/>
      <c r="AT2318" s="147"/>
      <c r="AU2318" s="60"/>
      <c r="AV2318" s="410"/>
      <c r="AW2318" s="60"/>
    </row>
    <row r="2319">
      <c r="A2319" s="60"/>
      <c r="B2319" s="41"/>
      <c r="C2319" s="41"/>
      <c r="E2319" s="60"/>
      <c r="F2319" s="60"/>
      <c r="G2319" s="147"/>
      <c r="H2319" s="140"/>
      <c r="I2319" s="60"/>
      <c r="J2319" s="147"/>
      <c r="K2319" s="60"/>
      <c r="L2319" s="60"/>
      <c r="M2319" s="60"/>
      <c r="N2319" s="327"/>
      <c r="O2319" s="145"/>
      <c r="P2319" s="1572"/>
      <c r="Q2319" s="1526"/>
      <c r="R2319" s="60"/>
      <c r="S2319" s="1528"/>
      <c r="T2319" s="327"/>
      <c r="U2319" s="147"/>
      <c r="V2319" s="147"/>
      <c r="W2319" s="1455"/>
      <c r="X2319" s="60"/>
      <c r="Y2319" s="147"/>
      <c r="Z2319" s="60"/>
      <c r="AA2319" s="147"/>
      <c r="AB2319" s="147"/>
      <c r="AC2319" s="147"/>
      <c r="AD2319" s="147"/>
      <c r="AE2319" s="144"/>
      <c r="AF2319" s="144"/>
      <c r="AG2319" s="147"/>
      <c r="AH2319" s="147"/>
      <c r="AI2319" s="144"/>
      <c r="AJ2319" s="147"/>
      <c r="AK2319" s="147"/>
      <c r="AL2319" s="60"/>
      <c r="AM2319" s="60"/>
      <c r="AN2319" s="144"/>
      <c r="AO2319" s="144"/>
      <c r="AP2319" s="147"/>
      <c r="AQ2319" s="147"/>
      <c r="AR2319" s="144"/>
      <c r="AS2319" s="147"/>
      <c r="AT2319" s="147"/>
      <c r="AU2319" s="60"/>
      <c r="AV2319" s="410"/>
      <c r="AW2319" s="60"/>
    </row>
    <row r="2320">
      <c r="A2320" s="60"/>
      <c r="B2320" s="41"/>
      <c r="C2320" s="41"/>
      <c r="E2320" s="60"/>
      <c r="F2320" s="60"/>
      <c r="G2320" s="147"/>
      <c r="H2320" s="140"/>
      <c r="I2320" s="60"/>
      <c r="J2320" s="147"/>
      <c r="K2320" s="60"/>
      <c r="L2320" s="60"/>
      <c r="M2320" s="60"/>
      <c r="N2320" s="327"/>
      <c r="O2320" s="145"/>
      <c r="P2320" s="1572"/>
      <c r="Q2320" s="1526"/>
      <c r="R2320" s="60"/>
      <c r="S2320" s="1528"/>
      <c r="T2320" s="327"/>
      <c r="U2320" s="147"/>
      <c r="V2320" s="147"/>
      <c r="W2320" s="1455"/>
      <c r="X2320" s="60"/>
      <c r="Y2320" s="147"/>
      <c r="Z2320" s="60"/>
      <c r="AA2320" s="147"/>
      <c r="AB2320" s="147"/>
      <c r="AC2320" s="147"/>
      <c r="AD2320" s="147"/>
      <c r="AE2320" s="144"/>
      <c r="AF2320" s="144"/>
      <c r="AG2320" s="147"/>
      <c r="AH2320" s="147"/>
      <c r="AI2320" s="144"/>
      <c r="AJ2320" s="147"/>
      <c r="AK2320" s="147"/>
      <c r="AL2320" s="60"/>
      <c r="AM2320" s="60"/>
      <c r="AN2320" s="144"/>
      <c r="AO2320" s="144"/>
      <c r="AP2320" s="147"/>
      <c r="AQ2320" s="147"/>
      <c r="AR2320" s="144"/>
      <c r="AS2320" s="147"/>
      <c r="AT2320" s="147"/>
      <c r="AU2320" s="60"/>
      <c r="AV2320" s="410"/>
      <c r="AW2320" s="60"/>
    </row>
    <row r="2321">
      <c r="A2321" s="60"/>
      <c r="B2321" s="41"/>
      <c r="C2321" s="41"/>
      <c r="E2321" s="60"/>
      <c r="F2321" s="60"/>
      <c r="G2321" s="147"/>
      <c r="H2321" s="140"/>
      <c r="I2321" s="60"/>
      <c r="J2321" s="147"/>
      <c r="K2321" s="60"/>
      <c r="L2321" s="60"/>
      <c r="M2321" s="60"/>
      <c r="N2321" s="327"/>
      <c r="O2321" s="145"/>
      <c r="P2321" s="1572"/>
      <c r="Q2321" s="1526"/>
      <c r="R2321" s="60"/>
      <c r="S2321" s="1528"/>
      <c r="T2321" s="327"/>
      <c r="U2321" s="147"/>
      <c r="V2321" s="147"/>
      <c r="W2321" s="1455"/>
      <c r="X2321" s="60"/>
      <c r="Y2321" s="147"/>
      <c r="Z2321" s="60"/>
      <c r="AA2321" s="147"/>
      <c r="AB2321" s="147"/>
      <c r="AC2321" s="147"/>
      <c r="AD2321" s="147"/>
      <c r="AE2321" s="144"/>
      <c r="AF2321" s="144"/>
      <c r="AG2321" s="147"/>
      <c r="AH2321" s="147"/>
      <c r="AI2321" s="144"/>
      <c r="AJ2321" s="147"/>
      <c r="AK2321" s="147"/>
      <c r="AL2321" s="60"/>
      <c r="AM2321" s="60"/>
      <c r="AN2321" s="144"/>
      <c r="AO2321" s="144"/>
      <c r="AP2321" s="147"/>
      <c r="AQ2321" s="147"/>
      <c r="AR2321" s="144"/>
      <c r="AS2321" s="147"/>
      <c r="AT2321" s="147"/>
      <c r="AU2321" s="60"/>
      <c r="AV2321" s="410"/>
      <c r="AW2321" s="60"/>
    </row>
    <row r="2322">
      <c r="A2322" s="60"/>
      <c r="B2322" s="41"/>
      <c r="C2322" s="41"/>
      <c r="E2322" s="60"/>
      <c r="F2322" s="60"/>
      <c r="G2322" s="147"/>
      <c r="H2322" s="140"/>
      <c r="I2322" s="60"/>
      <c r="J2322" s="147"/>
      <c r="K2322" s="60"/>
      <c r="L2322" s="60"/>
      <c r="M2322" s="60"/>
      <c r="N2322" s="327"/>
      <c r="O2322" s="145"/>
      <c r="P2322" s="1572"/>
      <c r="Q2322" s="1526"/>
      <c r="R2322" s="60"/>
      <c r="S2322" s="1528"/>
      <c r="T2322" s="327"/>
      <c r="U2322" s="147"/>
      <c r="V2322" s="147"/>
      <c r="W2322" s="1455"/>
      <c r="X2322" s="60"/>
      <c r="Y2322" s="147"/>
      <c r="Z2322" s="60"/>
      <c r="AA2322" s="147"/>
      <c r="AB2322" s="147"/>
      <c r="AC2322" s="147"/>
      <c r="AD2322" s="147"/>
      <c r="AE2322" s="144"/>
      <c r="AF2322" s="144"/>
      <c r="AG2322" s="147"/>
      <c r="AH2322" s="147"/>
      <c r="AI2322" s="144"/>
      <c r="AJ2322" s="147"/>
      <c r="AK2322" s="147"/>
      <c r="AL2322" s="60"/>
      <c r="AM2322" s="60"/>
      <c r="AN2322" s="144"/>
      <c r="AO2322" s="144"/>
      <c r="AP2322" s="147"/>
      <c r="AQ2322" s="147"/>
      <c r="AR2322" s="144"/>
      <c r="AS2322" s="147"/>
      <c r="AT2322" s="147"/>
      <c r="AU2322" s="60"/>
      <c r="AV2322" s="410"/>
      <c r="AW2322" s="60"/>
    </row>
    <row r="2323">
      <c r="A2323" s="60"/>
      <c r="B2323" s="41"/>
      <c r="C2323" s="41"/>
      <c r="E2323" s="60"/>
      <c r="F2323" s="60"/>
      <c r="G2323" s="147"/>
      <c r="H2323" s="140"/>
      <c r="I2323" s="60"/>
      <c r="J2323" s="147"/>
      <c r="K2323" s="60"/>
      <c r="L2323" s="60"/>
      <c r="M2323" s="60"/>
      <c r="N2323" s="327"/>
      <c r="O2323" s="145"/>
      <c r="P2323" s="1572"/>
      <c r="Q2323" s="1526"/>
      <c r="R2323" s="60"/>
      <c r="S2323" s="1528"/>
      <c r="T2323" s="327"/>
      <c r="U2323" s="147"/>
      <c r="V2323" s="147"/>
      <c r="W2323" s="1455"/>
      <c r="X2323" s="60"/>
      <c r="Y2323" s="147"/>
      <c r="Z2323" s="60"/>
      <c r="AA2323" s="147"/>
      <c r="AB2323" s="147"/>
      <c r="AC2323" s="147"/>
      <c r="AD2323" s="147"/>
      <c r="AE2323" s="144"/>
      <c r="AF2323" s="144"/>
      <c r="AG2323" s="147"/>
      <c r="AH2323" s="147"/>
      <c r="AI2323" s="144"/>
      <c r="AJ2323" s="147"/>
      <c r="AK2323" s="147"/>
      <c r="AL2323" s="60"/>
      <c r="AM2323" s="60"/>
      <c r="AN2323" s="144"/>
      <c r="AO2323" s="144"/>
      <c r="AP2323" s="147"/>
      <c r="AQ2323" s="147"/>
      <c r="AR2323" s="144"/>
      <c r="AS2323" s="147"/>
      <c r="AT2323" s="147"/>
      <c r="AU2323" s="60"/>
      <c r="AV2323" s="410"/>
      <c r="AW2323" s="60"/>
    </row>
    <row r="2324">
      <c r="A2324" s="60"/>
      <c r="B2324" s="41"/>
      <c r="C2324" s="41"/>
      <c r="E2324" s="60"/>
      <c r="F2324" s="60"/>
      <c r="G2324" s="147"/>
      <c r="H2324" s="140"/>
      <c r="I2324" s="60"/>
      <c r="J2324" s="147"/>
      <c r="K2324" s="60"/>
      <c r="L2324" s="60"/>
      <c r="M2324" s="60"/>
      <c r="N2324" s="327"/>
      <c r="O2324" s="145"/>
      <c r="P2324" s="1572"/>
      <c r="Q2324" s="1526"/>
      <c r="R2324" s="60"/>
      <c r="S2324" s="1528"/>
      <c r="T2324" s="327"/>
      <c r="U2324" s="147"/>
      <c r="V2324" s="147"/>
      <c r="W2324" s="1455"/>
      <c r="X2324" s="60"/>
      <c r="Y2324" s="147"/>
      <c r="Z2324" s="60"/>
      <c r="AA2324" s="147"/>
      <c r="AB2324" s="147"/>
      <c r="AC2324" s="147"/>
      <c r="AD2324" s="147"/>
      <c r="AE2324" s="144"/>
      <c r="AF2324" s="144"/>
      <c r="AG2324" s="147"/>
      <c r="AH2324" s="147"/>
      <c r="AI2324" s="144"/>
      <c r="AJ2324" s="147"/>
      <c r="AK2324" s="147"/>
      <c r="AL2324" s="60"/>
      <c r="AM2324" s="60"/>
      <c r="AN2324" s="144"/>
      <c r="AO2324" s="144"/>
      <c r="AP2324" s="147"/>
      <c r="AQ2324" s="147"/>
      <c r="AR2324" s="144"/>
      <c r="AS2324" s="147"/>
      <c r="AT2324" s="147"/>
      <c r="AU2324" s="60"/>
      <c r="AV2324" s="410"/>
      <c r="AW2324" s="60"/>
    </row>
    <row r="2325">
      <c r="A2325" s="60"/>
      <c r="B2325" s="41"/>
      <c r="C2325" s="41"/>
      <c r="E2325" s="60"/>
      <c r="F2325" s="60"/>
      <c r="G2325" s="147"/>
      <c r="H2325" s="140"/>
      <c r="I2325" s="60"/>
      <c r="J2325" s="147"/>
      <c r="K2325" s="60"/>
      <c r="L2325" s="60"/>
      <c r="M2325" s="60"/>
      <c r="N2325" s="327"/>
      <c r="O2325" s="145"/>
      <c r="P2325" s="1572"/>
      <c r="Q2325" s="1526"/>
      <c r="R2325" s="60"/>
      <c r="S2325" s="1528"/>
      <c r="T2325" s="327"/>
      <c r="U2325" s="147"/>
      <c r="V2325" s="147"/>
      <c r="W2325" s="1455"/>
      <c r="X2325" s="60"/>
      <c r="Y2325" s="147"/>
      <c r="Z2325" s="60"/>
      <c r="AA2325" s="147"/>
      <c r="AB2325" s="147"/>
      <c r="AC2325" s="147"/>
      <c r="AD2325" s="147"/>
      <c r="AE2325" s="144"/>
      <c r="AF2325" s="144"/>
      <c r="AG2325" s="147"/>
      <c r="AH2325" s="147"/>
      <c r="AI2325" s="144"/>
      <c r="AJ2325" s="147"/>
      <c r="AK2325" s="147"/>
      <c r="AL2325" s="60"/>
      <c r="AM2325" s="60"/>
      <c r="AN2325" s="144"/>
      <c r="AO2325" s="144"/>
      <c r="AP2325" s="147"/>
      <c r="AQ2325" s="147"/>
      <c r="AR2325" s="144"/>
      <c r="AS2325" s="147"/>
      <c r="AT2325" s="147"/>
      <c r="AU2325" s="60"/>
      <c r="AV2325" s="410"/>
      <c r="AW2325" s="60"/>
    </row>
    <row r="2326">
      <c r="A2326" s="60"/>
      <c r="B2326" s="41"/>
      <c r="C2326" s="41"/>
      <c r="E2326" s="60"/>
      <c r="F2326" s="60"/>
      <c r="G2326" s="147"/>
      <c r="H2326" s="140"/>
      <c r="I2326" s="60"/>
      <c r="J2326" s="147"/>
      <c r="K2326" s="60"/>
      <c r="L2326" s="60"/>
      <c r="M2326" s="60"/>
      <c r="N2326" s="327"/>
      <c r="O2326" s="145"/>
      <c r="P2326" s="1572"/>
      <c r="Q2326" s="1526"/>
      <c r="R2326" s="60"/>
      <c r="S2326" s="1528"/>
      <c r="T2326" s="327"/>
      <c r="U2326" s="147"/>
      <c r="V2326" s="147"/>
      <c r="W2326" s="1455"/>
      <c r="X2326" s="60"/>
      <c r="Y2326" s="147"/>
      <c r="Z2326" s="60"/>
      <c r="AA2326" s="147"/>
      <c r="AB2326" s="147"/>
      <c r="AC2326" s="147"/>
      <c r="AD2326" s="147"/>
      <c r="AE2326" s="144"/>
      <c r="AF2326" s="144"/>
      <c r="AG2326" s="147"/>
      <c r="AH2326" s="147"/>
      <c r="AI2326" s="144"/>
      <c r="AJ2326" s="147"/>
      <c r="AK2326" s="147"/>
      <c r="AL2326" s="60"/>
      <c r="AM2326" s="60"/>
      <c r="AN2326" s="144"/>
      <c r="AO2326" s="144"/>
      <c r="AP2326" s="147"/>
      <c r="AQ2326" s="147"/>
      <c r="AR2326" s="144"/>
      <c r="AS2326" s="147"/>
      <c r="AT2326" s="147"/>
      <c r="AU2326" s="60"/>
      <c r="AV2326" s="410"/>
      <c r="AW2326" s="60"/>
    </row>
    <row r="2327">
      <c r="A2327" s="60"/>
      <c r="B2327" s="41"/>
      <c r="C2327" s="41"/>
      <c r="E2327" s="60"/>
      <c r="F2327" s="60"/>
      <c r="G2327" s="147"/>
      <c r="H2327" s="140"/>
      <c r="I2327" s="60"/>
      <c r="J2327" s="147"/>
      <c r="K2327" s="60"/>
      <c r="L2327" s="60"/>
      <c r="M2327" s="60"/>
      <c r="N2327" s="327"/>
      <c r="O2327" s="145"/>
      <c r="P2327" s="1572"/>
      <c r="Q2327" s="1526"/>
      <c r="R2327" s="60"/>
      <c r="S2327" s="1528"/>
      <c r="T2327" s="327"/>
      <c r="U2327" s="147"/>
      <c r="V2327" s="147"/>
      <c r="W2327" s="1455"/>
      <c r="X2327" s="60"/>
      <c r="Y2327" s="147"/>
      <c r="Z2327" s="60"/>
      <c r="AA2327" s="147"/>
      <c r="AB2327" s="147"/>
      <c r="AC2327" s="147"/>
      <c r="AD2327" s="147"/>
      <c r="AE2327" s="144"/>
      <c r="AF2327" s="144"/>
      <c r="AG2327" s="147"/>
      <c r="AH2327" s="147"/>
      <c r="AI2327" s="144"/>
      <c r="AJ2327" s="147"/>
      <c r="AK2327" s="147"/>
      <c r="AL2327" s="60"/>
      <c r="AM2327" s="60"/>
      <c r="AN2327" s="144"/>
      <c r="AO2327" s="144"/>
      <c r="AP2327" s="147"/>
      <c r="AQ2327" s="147"/>
      <c r="AR2327" s="144"/>
      <c r="AS2327" s="147"/>
      <c r="AT2327" s="147"/>
      <c r="AU2327" s="60"/>
      <c r="AV2327" s="410"/>
      <c r="AW2327" s="60"/>
    </row>
    <row r="2328">
      <c r="A2328" s="60"/>
      <c r="B2328" s="41"/>
      <c r="C2328" s="41"/>
      <c r="E2328" s="60"/>
      <c r="F2328" s="60"/>
      <c r="G2328" s="147"/>
      <c r="H2328" s="140"/>
      <c r="I2328" s="60"/>
      <c r="J2328" s="147"/>
      <c r="K2328" s="60"/>
      <c r="L2328" s="60"/>
      <c r="M2328" s="60"/>
      <c r="N2328" s="327"/>
      <c r="O2328" s="145"/>
      <c r="P2328" s="1572"/>
      <c r="Q2328" s="1526"/>
      <c r="R2328" s="60"/>
      <c r="S2328" s="1528"/>
      <c r="T2328" s="327"/>
      <c r="U2328" s="147"/>
      <c r="V2328" s="147"/>
      <c r="W2328" s="1455"/>
      <c r="X2328" s="60"/>
      <c r="Y2328" s="147"/>
      <c r="Z2328" s="60"/>
      <c r="AA2328" s="147"/>
      <c r="AB2328" s="147"/>
      <c r="AC2328" s="147"/>
      <c r="AD2328" s="147"/>
      <c r="AE2328" s="144"/>
      <c r="AF2328" s="144"/>
      <c r="AG2328" s="147"/>
      <c r="AH2328" s="147"/>
      <c r="AI2328" s="144"/>
      <c r="AJ2328" s="147"/>
      <c r="AK2328" s="147"/>
      <c r="AL2328" s="60"/>
      <c r="AM2328" s="60"/>
      <c r="AN2328" s="144"/>
      <c r="AO2328" s="144"/>
      <c r="AP2328" s="147"/>
      <c r="AQ2328" s="147"/>
      <c r="AR2328" s="144"/>
      <c r="AS2328" s="147"/>
      <c r="AT2328" s="147"/>
      <c r="AU2328" s="60"/>
      <c r="AV2328" s="410"/>
      <c r="AW2328" s="60"/>
    </row>
    <row r="2329">
      <c r="A2329" s="60"/>
      <c r="B2329" s="41"/>
      <c r="C2329" s="41"/>
      <c r="E2329" s="60"/>
      <c r="F2329" s="60"/>
      <c r="G2329" s="147"/>
      <c r="H2329" s="140"/>
      <c r="I2329" s="60"/>
      <c r="J2329" s="147"/>
      <c r="K2329" s="60"/>
      <c r="L2329" s="60"/>
      <c r="M2329" s="60"/>
      <c r="N2329" s="327"/>
      <c r="O2329" s="145"/>
      <c r="P2329" s="1572"/>
      <c r="Q2329" s="1526"/>
      <c r="R2329" s="60"/>
      <c r="S2329" s="1528"/>
      <c r="T2329" s="327"/>
      <c r="U2329" s="147"/>
      <c r="V2329" s="147"/>
      <c r="W2329" s="1455"/>
      <c r="X2329" s="60"/>
      <c r="Y2329" s="147"/>
      <c r="Z2329" s="60"/>
      <c r="AA2329" s="147"/>
      <c r="AB2329" s="147"/>
      <c r="AC2329" s="147"/>
      <c r="AD2329" s="147"/>
      <c r="AE2329" s="144"/>
      <c r="AF2329" s="144"/>
      <c r="AG2329" s="147"/>
      <c r="AH2329" s="147"/>
      <c r="AI2329" s="144"/>
      <c r="AJ2329" s="147"/>
      <c r="AK2329" s="147"/>
      <c r="AL2329" s="60"/>
      <c r="AM2329" s="60"/>
      <c r="AN2329" s="144"/>
      <c r="AO2329" s="144"/>
      <c r="AP2329" s="147"/>
      <c r="AQ2329" s="147"/>
      <c r="AR2329" s="144"/>
      <c r="AS2329" s="147"/>
      <c r="AT2329" s="147"/>
      <c r="AU2329" s="60"/>
      <c r="AV2329" s="410"/>
      <c r="AW2329" s="60"/>
    </row>
    <row r="2330">
      <c r="A2330" s="60"/>
      <c r="B2330" s="41"/>
      <c r="C2330" s="41"/>
      <c r="E2330" s="60"/>
      <c r="F2330" s="60"/>
      <c r="G2330" s="147"/>
      <c r="H2330" s="140"/>
      <c r="I2330" s="60"/>
      <c r="J2330" s="147"/>
      <c r="K2330" s="60"/>
      <c r="L2330" s="60"/>
      <c r="M2330" s="60"/>
      <c r="N2330" s="327"/>
      <c r="O2330" s="145"/>
      <c r="P2330" s="1572"/>
      <c r="Q2330" s="1526"/>
      <c r="R2330" s="60"/>
      <c r="S2330" s="1528"/>
      <c r="T2330" s="327"/>
      <c r="U2330" s="147"/>
      <c r="V2330" s="147"/>
      <c r="W2330" s="1455"/>
      <c r="X2330" s="60"/>
      <c r="Y2330" s="147"/>
      <c r="Z2330" s="60"/>
      <c r="AA2330" s="147"/>
      <c r="AB2330" s="147"/>
      <c r="AC2330" s="147"/>
      <c r="AD2330" s="147"/>
      <c r="AE2330" s="144"/>
      <c r="AF2330" s="144"/>
      <c r="AG2330" s="147"/>
      <c r="AH2330" s="147"/>
      <c r="AI2330" s="144"/>
      <c r="AJ2330" s="147"/>
      <c r="AK2330" s="147"/>
      <c r="AL2330" s="60"/>
      <c r="AM2330" s="60"/>
      <c r="AN2330" s="144"/>
      <c r="AO2330" s="144"/>
      <c r="AP2330" s="147"/>
      <c r="AQ2330" s="147"/>
      <c r="AR2330" s="144"/>
      <c r="AS2330" s="147"/>
      <c r="AT2330" s="147"/>
      <c r="AU2330" s="60"/>
      <c r="AV2330" s="410"/>
      <c r="AW2330" s="60"/>
    </row>
    <row r="2331">
      <c r="A2331" s="60"/>
      <c r="B2331" s="41"/>
      <c r="C2331" s="41"/>
      <c r="E2331" s="60"/>
      <c r="F2331" s="60"/>
      <c r="G2331" s="147"/>
      <c r="H2331" s="140"/>
      <c r="I2331" s="60"/>
      <c r="J2331" s="147"/>
      <c r="K2331" s="60"/>
      <c r="L2331" s="60"/>
      <c r="M2331" s="60"/>
      <c r="N2331" s="327"/>
      <c r="O2331" s="145"/>
      <c r="P2331" s="1572"/>
      <c r="Q2331" s="1526"/>
      <c r="R2331" s="60"/>
      <c r="S2331" s="1528"/>
      <c r="T2331" s="327"/>
      <c r="U2331" s="147"/>
      <c r="V2331" s="147"/>
      <c r="W2331" s="1455"/>
      <c r="X2331" s="60"/>
      <c r="Y2331" s="147"/>
      <c r="Z2331" s="60"/>
      <c r="AA2331" s="147"/>
      <c r="AB2331" s="147"/>
      <c r="AC2331" s="147"/>
      <c r="AD2331" s="147"/>
      <c r="AE2331" s="144"/>
      <c r="AF2331" s="144"/>
      <c r="AG2331" s="147"/>
      <c r="AH2331" s="147"/>
      <c r="AI2331" s="144"/>
      <c r="AJ2331" s="147"/>
      <c r="AK2331" s="147"/>
      <c r="AL2331" s="60"/>
      <c r="AM2331" s="60"/>
      <c r="AN2331" s="144"/>
      <c r="AO2331" s="144"/>
      <c r="AP2331" s="147"/>
      <c r="AQ2331" s="147"/>
      <c r="AR2331" s="144"/>
      <c r="AS2331" s="147"/>
      <c r="AT2331" s="147"/>
      <c r="AU2331" s="60"/>
      <c r="AV2331" s="410"/>
      <c r="AW2331" s="60"/>
    </row>
    <row r="2332">
      <c r="A2332" s="60"/>
      <c r="B2332" s="41"/>
      <c r="C2332" s="41"/>
      <c r="E2332" s="60"/>
      <c r="F2332" s="60"/>
      <c r="G2332" s="147"/>
      <c r="H2332" s="140"/>
      <c r="I2332" s="60"/>
      <c r="J2332" s="147"/>
      <c r="K2332" s="60"/>
      <c r="L2332" s="60"/>
      <c r="M2332" s="60"/>
      <c r="N2332" s="327"/>
      <c r="O2332" s="145"/>
      <c r="P2332" s="1572"/>
      <c r="Q2332" s="1526"/>
      <c r="R2332" s="60"/>
      <c r="S2332" s="1528"/>
      <c r="T2332" s="327"/>
      <c r="U2332" s="147"/>
      <c r="V2332" s="147"/>
      <c r="W2332" s="1455"/>
      <c r="X2332" s="60"/>
      <c r="Y2332" s="147"/>
      <c r="Z2332" s="60"/>
      <c r="AA2332" s="147"/>
      <c r="AB2332" s="147"/>
      <c r="AC2332" s="147"/>
      <c r="AD2332" s="147"/>
      <c r="AE2332" s="144"/>
      <c r="AF2332" s="144"/>
      <c r="AG2332" s="147"/>
      <c r="AH2332" s="147"/>
      <c r="AI2332" s="144"/>
      <c r="AJ2332" s="147"/>
      <c r="AK2332" s="147"/>
      <c r="AL2332" s="60"/>
      <c r="AM2332" s="60"/>
      <c r="AN2332" s="144"/>
      <c r="AO2332" s="144"/>
      <c r="AP2332" s="147"/>
      <c r="AQ2332" s="147"/>
      <c r="AR2332" s="144"/>
      <c r="AS2332" s="147"/>
      <c r="AT2332" s="147"/>
      <c r="AU2332" s="60"/>
      <c r="AV2332" s="410"/>
      <c r="AW2332" s="60"/>
    </row>
    <row r="2333">
      <c r="A2333" s="60"/>
      <c r="B2333" s="41"/>
      <c r="C2333" s="41"/>
      <c r="E2333" s="60"/>
      <c r="F2333" s="60"/>
      <c r="G2333" s="147"/>
      <c r="H2333" s="140"/>
      <c r="I2333" s="60"/>
      <c r="J2333" s="147"/>
      <c r="K2333" s="60"/>
      <c r="L2333" s="60"/>
      <c r="M2333" s="60"/>
      <c r="N2333" s="327"/>
      <c r="O2333" s="145"/>
      <c r="P2333" s="1572"/>
      <c r="Q2333" s="1526"/>
      <c r="R2333" s="60"/>
      <c r="S2333" s="1528"/>
      <c r="T2333" s="327"/>
      <c r="U2333" s="147"/>
      <c r="V2333" s="147"/>
      <c r="W2333" s="1455"/>
      <c r="X2333" s="60"/>
      <c r="Y2333" s="147"/>
      <c r="Z2333" s="60"/>
      <c r="AA2333" s="147"/>
      <c r="AB2333" s="147"/>
      <c r="AC2333" s="147"/>
      <c r="AD2333" s="147"/>
      <c r="AE2333" s="144"/>
      <c r="AF2333" s="144"/>
      <c r="AG2333" s="147"/>
      <c r="AH2333" s="147"/>
      <c r="AI2333" s="144"/>
      <c r="AJ2333" s="147"/>
      <c r="AK2333" s="147"/>
      <c r="AL2333" s="60"/>
      <c r="AM2333" s="60"/>
      <c r="AN2333" s="144"/>
      <c r="AO2333" s="144"/>
      <c r="AP2333" s="147"/>
      <c r="AQ2333" s="147"/>
      <c r="AR2333" s="144"/>
      <c r="AS2333" s="147"/>
      <c r="AT2333" s="147"/>
      <c r="AU2333" s="60"/>
      <c r="AV2333" s="410"/>
      <c r="AW2333" s="60"/>
    </row>
    <row r="2334">
      <c r="A2334" s="60"/>
      <c r="B2334" s="41"/>
      <c r="C2334" s="41"/>
      <c r="E2334" s="60"/>
      <c r="F2334" s="60"/>
      <c r="G2334" s="147"/>
      <c r="H2334" s="140"/>
      <c r="I2334" s="60"/>
      <c r="J2334" s="147"/>
      <c r="K2334" s="60"/>
      <c r="L2334" s="60"/>
      <c r="M2334" s="60"/>
      <c r="N2334" s="327"/>
      <c r="O2334" s="145"/>
      <c r="P2334" s="1572"/>
      <c r="Q2334" s="1526"/>
      <c r="R2334" s="60"/>
      <c r="S2334" s="1528"/>
      <c r="T2334" s="327"/>
      <c r="U2334" s="147"/>
      <c r="V2334" s="147"/>
      <c r="W2334" s="1455"/>
      <c r="X2334" s="60"/>
      <c r="Y2334" s="147"/>
      <c r="Z2334" s="60"/>
      <c r="AA2334" s="147"/>
      <c r="AB2334" s="147"/>
      <c r="AC2334" s="147"/>
      <c r="AD2334" s="147"/>
      <c r="AE2334" s="144"/>
      <c r="AF2334" s="144"/>
      <c r="AG2334" s="147"/>
      <c r="AH2334" s="147"/>
      <c r="AI2334" s="144"/>
      <c r="AJ2334" s="147"/>
      <c r="AK2334" s="147"/>
      <c r="AL2334" s="60"/>
      <c r="AM2334" s="60"/>
      <c r="AN2334" s="144"/>
      <c r="AO2334" s="144"/>
      <c r="AP2334" s="147"/>
      <c r="AQ2334" s="147"/>
      <c r="AR2334" s="144"/>
      <c r="AS2334" s="147"/>
      <c r="AT2334" s="147"/>
      <c r="AU2334" s="60"/>
      <c r="AV2334" s="410"/>
      <c r="AW2334" s="60"/>
    </row>
    <row r="2335">
      <c r="A2335" s="60"/>
      <c r="B2335" s="41"/>
      <c r="C2335" s="41"/>
      <c r="E2335" s="60"/>
      <c r="F2335" s="60"/>
      <c r="G2335" s="147"/>
      <c r="H2335" s="140"/>
      <c r="I2335" s="60"/>
      <c r="J2335" s="147"/>
      <c r="K2335" s="60"/>
      <c r="L2335" s="60"/>
      <c r="M2335" s="60"/>
      <c r="N2335" s="327"/>
      <c r="O2335" s="145"/>
      <c r="P2335" s="1572"/>
      <c r="Q2335" s="1526"/>
      <c r="R2335" s="60"/>
      <c r="S2335" s="1528"/>
      <c r="T2335" s="327"/>
      <c r="U2335" s="147"/>
      <c r="V2335" s="147"/>
      <c r="W2335" s="1455"/>
      <c r="X2335" s="60"/>
      <c r="Y2335" s="147"/>
      <c r="Z2335" s="60"/>
      <c r="AA2335" s="147"/>
      <c r="AB2335" s="147"/>
      <c r="AC2335" s="147"/>
      <c r="AD2335" s="147"/>
      <c r="AE2335" s="144"/>
      <c r="AF2335" s="144"/>
      <c r="AG2335" s="147"/>
      <c r="AH2335" s="147"/>
      <c r="AI2335" s="144"/>
      <c r="AJ2335" s="147"/>
      <c r="AK2335" s="147"/>
      <c r="AL2335" s="60"/>
      <c r="AM2335" s="60"/>
      <c r="AN2335" s="144"/>
      <c r="AO2335" s="144"/>
      <c r="AP2335" s="147"/>
      <c r="AQ2335" s="147"/>
      <c r="AR2335" s="144"/>
      <c r="AS2335" s="147"/>
      <c r="AT2335" s="147"/>
      <c r="AU2335" s="60"/>
      <c r="AV2335" s="410"/>
      <c r="AW2335" s="60"/>
    </row>
    <row r="2336">
      <c r="A2336" s="60"/>
      <c r="B2336" s="41"/>
      <c r="C2336" s="41"/>
      <c r="E2336" s="60"/>
      <c r="F2336" s="60"/>
      <c r="G2336" s="147"/>
      <c r="H2336" s="140"/>
      <c r="I2336" s="60"/>
      <c r="J2336" s="147"/>
      <c r="K2336" s="60"/>
      <c r="L2336" s="60"/>
      <c r="M2336" s="60"/>
      <c r="N2336" s="327"/>
      <c r="O2336" s="145"/>
      <c r="P2336" s="1572"/>
      <c r="Q2336" s="1526"/>
      <c r="R2336" s="60"/>
      <c r="S2336" s="1528"/>
      <c r="T2336" s="327"/>
      <c r="U2336" s="147"/>
      <c r="V2336" s="147"/>
      <c r="W2336" s="1455"/>
      <c r="X2336" s="60"/>
      <c r="Y2336" s="147"/>
      <c r="Z2336" s="60"/>
      <c r="AA2336" s="147"/>
      <c r="AB2336" s="147"/>
      <c r="AC2336" s="147"/>
      <c r="AD2336" s="147"/>
      <c r="AE2336" s="144"/>
      <c r="AF2336" s="144"/>
      <c r="AG2336" s="147"/>
      <c r="AH2336" s="147"/>
      <c r="AI2336" s="144"/>
      <c r="AJ2336" s="147"/>
      <c r="AK2336" s="147"/>
      <c r="AL2336" s="60"/>
      <c r="AM2336" s="60"/>
      <c r="AN2336" s="144"/>
      <c r="AO2336" s="144"/>
      <c r="AP2336" s="147"/>
      <c r="AQ2336" s="147"/>
      <c r="AR2336" s="144"/>
      <c r="AS2336" s="147"/>
      <c r="AT2336" s="147"/>
      <c r="AU2336" s="60"/>
      <c r="AV2336" s="410"/>
      <c r="AW2336" s="60"/>
    </row>
    <row r="2337">
      <c r="A2337" s="60"/>
      <c r="B2337" s="41"/>
      <c r="C2337" s="41"/>
      <c r="E2337" s="60"/>
      <c r="F2337" s="60"/>
      <c r="G2337" s="147"/>
      <c r="H2337" s="140"/>
      <c r="I2337" s="60"/>
      <c r="J2337" s="147"/>
      <c r="K2337" s="60"/>
      <c r="L2337" s="60"/>
      <c r="M2337" s="60"/>
      <c r="N2337" s="327"/>
      <c r="O2337" s="145"/>
      <c r="P2337" s="1572"/>
      <c r="Q2337" s="1526"/>
      <c r="R2337" s="60"/>
      <c r="S2337" s="1528"/>
      <c r="T2337" s="327"/>
      <c r="U2337" s="147"/>
      <c r="V2337" s="147"/>
      <c r="W2337" s="1455"/>
      <c r="X2337" s="60"/>
      <c r="Y2337" s="147"/>
      <c r="Z2337" s="60"/>
      <c r="AA2337" s="147"/>
      <c r="AB2337" s="147"/>
      <c r="AC2337" s="147"/>
      <c r="AD2337" s="147"/>
      <c r="AE2337" s="144"/>
      <c r="AF2337" s="144"/>
      <c r="AG2337" s="147"/>
      <c r="AH2337" s="147"/>
      <c r="AI2337" s="144"/>
      <c r="AJ2337" s="147"/>
      <c r="AK2337" s="147"/>
      <c r="AL2337" s="60"/>
      <c r="AM2337" s="60"/>
      <c r="AN2337" s="144"/>
      <c r="AO2337" s="144"/>
      <c r="AP2337" s="147"/>
      <c r="AQ2337" s="147"/>
      <c r="AR2337" s="144"/>
      <c r="AS2337" s="147"/>
      <c r="AT2337" s="147"/>
      <c r="AU2337" s="60"/>
      <c r="AV2337" s="410"/>
      <c r="AW2337" s="60"/>
    </row>
    <row r="2338">
      <c r="A2338" s="60"/>
      <c r="B2338" s="41"/>
      <c r="C2338" s="41"/>
      <c r="E2338" s="60"/>
      <c r="F2338" s="60"/>
      <c r="G2338" s="147"/>
      <c r="H2338" s="140"/>
      <c r="I2338" s="60"/>
      <c r="J2338" s="147"/>
      <c r="K2338" s="60"/>
      <c r="L2338" s="60"/>
      <c r="M2338" s="60"/>
      <c r="N2338" s="327"/>
      <c r="O2338" s="145"/>
      <c r="P2338" s="1572"/>
      <c r="Q2338" s="1526"/>
      <c r="R2338" s="60"/>
      <c r="S2338" s="1528"/>
      <c r="T2338" s="327"/>
      <c r="U2338" s="147"/>
      <c r="V2338" s="147"/>
      <c r="W2338" s="1455"/>
      <c r="X2338" s="60"/>
      <c r="Y2338" s="147"/>
      <c r="Z2338" s="60"/>
      <c r="AA2338" s="147"/>
      <c r="AB2338" s="147"/>
      <c r="AC2338" s="147"/>
      <c r="AD2338" s="147"/>
      <c r="AE2338" s="144"/>
      <c r="AF2338" s="144"/>
      <c r="AG2338" s="147"/>
      <c r="AH2338" s="147"/>
      <c r="AI2338" s="144"/>
      <c r="AJ2338" s="147"/>
      <c r="AK2338" s="147"/>
      <c r="AL2338" s="60"/>
      <c r="AM2338" s="60"/>
      <c r="AN2338" s="144"/>
      <c r="AO2338" s="144"/>
      <c r="AP2338" s="147"/>
      <c r="AQ2338" s="147"/>
      <c r="AR2338" s="144"/>
      <c r="AS2338" s="147"/>
      <c r="AT2338" s="147"/>
      <c r="AU2338" s="60"/>
      <c r="AV2338" s="410"/>
      <c r="AW2338" s="60"/>
    </row>
    <row r="2339">
      <c r="A2339" s="60"/>
      <c r="B2339" s="41"/>
      <c r="C2339" s="41"/>
      <c r="E2339" s="60"/>
      <c r="F2339" s="60"/>
      <c r="G2339" s="147"/>
      <c r="H2339" s="140"/>
      <c r="I2339" s="60"/>
      <c r="J2339" s="147"/>
      <c r="K2339" s="60"/>
      <c r="L2339" s="60"/>
      <c r="M2339" s="60"/>
      <c r="N2339" s="327"/>
      <c r="O2339" s="145"/>
      <c r="P2339" s="1572"/>
      <c r="Q2339" s="1526"/>
      <c r="R2339" s="60"/>
      <c r="S2339" s="1528"/>
      <c r="T2339" s="327"/>
      <c r="U2339" s="147"/>
      <c r="V2339" s="147"/>
      <c r="W2339" s="1455"/>
      <c r="X2339" s="60"/>
      <c r="Y2339" s="147"/>
      <c r="Z2339" s="60"/>
      <c r="AA2339" s="147"/>
      <c r="AB2339" s="147"/>
      <c r="AC2339" s="147"/>
      <c r="AD2339" s="147"/>
      <c r="AE2339" s="144"/>
      <c r="AF2339" s="144"/>
      <c r="AG2339" s="147"/>
      <c r="AH2339" s="147"/>
      <c r="AI2339" s="144"/>
      <c r="AJ2339" s="147"/>
      <c r="AK2339" s="147"/>
      <c r="AL2339" s="60"/>
      <c r="AM2339" s="60"/>
      <c r="AN2339" s="144"/>
      <c r="AO2339" s="144"/>
      <c r="AP2339" s="147"/>
      <c r="AQ2339" s="147"/>
      <c r="AR2339" s="144"/>
      <c r="AS2339" s="147"/>
      <c r="AT2339" s="147"/>
      <c r="AU2339" s="60"/>
      <c r="AV2339" s="410"/>
      <c r="AW2339" s="60"/>
    </row>
    <row r="2340">
      <c r="A2340" s="60"/>
      <c r="B2340" s="41"/>
      <c r="C2340" s="41"/>
      <c r="E2340" s="60"/>
      <c r="F2340" s="60"/>
      <c r="G2340" s="147"/>
      <c r="H2340" s="140"/>
      <c r="I2340" s="60"/>
      <c r="J2340" s="147"/>
      <c r="K2340" s="60"/>
      <c r="L2340" s="60"/>
      <c r="M2340" s="60"/>
      <c r="N2340" s="327"/>
      <c r="O2340" s="145"/>
      <c r="P2340" s="1572"/>
      <c r="Q2340" s="1526"/>
      <c r="R2340" s="60"/>
      <c r="S2340" s="1528"/>
      <c r="T2340" s="327"/>
      <c r="U2340" s="147"/>
      <c r="V2340" s="147"/>
      <c r="W2340" s="1455"/>
      <c r="X2340" s="60"/>
      <c r="Y2340" s="147"/>
      <c r="Z2340" s="60"/>
      <c r="AA2340" s="147"/>
      <c r="AB2340" s="147"/>
      <c r="AC2340" s="147"/>
      <c r="AD2340" s="147"/>
      <c r="AE2340" s="144"/>
      <c r="AF2340" s="144"/>
      <c r="AG2340" s="147"/>
      <c r="AH2340" s="147"/>
      <c r="AI2340" s="144"/>
      <c r="AJ2340" s="147"/>
      <c r="AK2340" s="147"/>
      <c r="AL2340" s="60"/>
      <c r="AM2340" s="60"/>
      <c r="AN2340" s="144"/>
      <c r="AO2340" s="144"/>
      <c r="AP2340" s="147"/>
      <c r="AQ2340" s="147"/>
      <c r="AR2340" s="144"/>
      <c r="AS2340" s="147"/>
      <c r="AT2340" s="147"/>
      <c r="AU2340" s="60"/>
      <c r="AV2340" s="410"/>
      <c r="AW2340" s="60"/>
    </row>
    <row r="2341">
      <c r="A2341" s="60"/>
      <c r="B2341" s="41"/>
      <c r="C2341" s="41"/>
      <c r="E2341" s="60"/>
      <c r="F2341" s="60"/>
      <c r="G2341" s="147"/>
      <c r="H2341" s="140"/>
      <c r="I2341" s="60"/>
      <c r="J2341" s="147"/>
      <c r="K2341" s="60"/>
      <c r="L2341" s="60"/>
      <c r="M2341" s="60"/>
      <c r="N2341" s="327"/>
      <c r="O2341" s="145"/>
      <c r="P2341" s="1572"/>
      <c r="Q2341" s="1526"/>
      <c r="R2341" s="60"/>
      <c r="S2341" s="1528"/>
      <c r="T2341" s="327"/>
      <c r="U2341" s="147"/>
      <c r="V2341" s="147"/>
      <c r="W2341" s="1455"/>
      <c r="X2341" s="60"/>
      <c r="Y2341" s="147"/>
      <c r="Z2341" s="60"/>
      <c r="AA2341" s="147"/>
      <c r="AB2341" s="147"/>
      <c r="AC2341" s="147"/>
      <c r="AD2341" s="147"/>
      <c r="AE2341" s="144"/>
      <c r="AF2341" s="144"/>
      <c r="AG2341" s="147"/>
      <c r="AH2341" s="147"/>
      <c r="AI2341" s="144"/>
      <c r="AJ2341" s="147"/>
      <c r="AK2341" s="147"/>
      <c r="AL2341" s="60"/>
      <c r="AM2341" s="60"/>
      <c r="AN2341" s="144"/>
      <c r="AO2341" s="144"/>
      <c r="AP2341" s="147"/>
      <c r="AQ2341" s="147"/>
      <c r="AR2341" s="144"/>
      <c r="AS2341" s="147"/>
      <c r="AT2341" s="147"/>
      <c r="AU2341" s="60"/>
      <c r="AV2341" s="410"/>
      <c r="AW2341" s="60"/>
    </row>
    <row r="2342">
      <c r="A2342" s="60"/>
      <c r="B2342" s="41"/>
      <c r="C2342" s="41"/>
      <c r="E2342" s="60"/>
      <c r="F2342" s="60"/>
      <c r="G2342" s="147"/>
      <c r="H2342" s="140"/>
      <c r="I2342" s="60"/>
      <c r="J2342" s="147"/>
      <c r="K2342" s="60"/>
      <c r="L2342" s="60"/>
      <c r="M2342" s="60"/>
      <c r="N2342" s="327"/>
      <c r="O2342" s="145"/>
      <c r="P2342" s="1572"/>
      <c r="Q2342" s="1526"/>
      <c r="R2342" s="60"/>
      <c r="S2342" s="1528"/>
      <c r="T2342" s="327"/>
      <c r="U2342" s="147"/>
      <c r="V2342" s="147"/>
      <c r="W2342" s="1455"/>
      <c r="X2342" s="60"/>
      <c r="Y2342" s="147"/>
      <c r="Z2342" s="60"/>
      <c r="AA2342" s="147"/>
      <c r="AB2342" s="147"/>
      <c r="AC2342" s="147"/>
      <c r="AD2342" s="147"/>
      <c r="AE2342" s="144"/>
      <c r="AF2342" s="144"/>
      <c r="AG2342" s="147"/>
      <c r="AH2342" s="147"/>
      <c r="AI2342" s="144"/>
      <c r="AJ2342" s="147"/>
      <c r="AK2342" s="147"/>
      <c r="AL2342" s="60"/>
      <c r="AM2342" s="60"/>
      <c r="AN2342" s="144"/>
      <c r="AO2342" s="144"/>
      <c r="AP2342" s="147"/>
      <c r="AQ2342" s="147"/>
      <c r="AR2342" s="144"/>
      <c r="AS2342" s="147"/>
      <c r="AT2342" s="147"/>
      <c r="AU2342" s="60"/>
      <c r="AV2342" s="410"/>
      <c r="AW2342" s="60"/>
    </row>
    <row r="2343">
      <c r="A2343" s="60"/>
      <c r="B2343" s="41"/>
      <c r="C2343" s="41"/>
      <c r="E2343" s="60"/>
      <c r="F2343" s="60"/>
      <c r="G2343" s="147"/>
      <c r="H2343" s="140"/>
      <c r="I2343" s="60"/>
      <c r="J2343" s="147"/>
      <c r="K2343" s="60"/>
      <c r="L2343" s="60"/>
      <c r="M2343" s="60"/>
      <c r="N2343" s="327"/>
      <c r="O2343" s="145"/>
      <c r="P2343" s="1572"/>
      <c r="Q2343" s="1526"/>
      <c r="R2343" s="60"/>
      <c r="S2343" s="1528"/>
      <c r="T2343" s="327"/>
      <c r="U2343" s="147"/>
      <c r="V2343" s="147"/>
      <c r="W2343" s="1455"/>
      <c r="X2343" s="60"/>
      <c r="Y2343" s="147"/>
      <c r="Z2343" s="60"/>
      <c r="AA2343" s="147"/>
      <c r="AB2343" s="147"/>
      <c r="AC2343" s="147"/>
      <c r="AD2343" s="147"/>
      <c r="AE2343" s="144"/>
      <c r="AF2343" s="144"/>
      <c r="AG2343" s="147"/>
      <c r="AH2343" s="147"/>
      <c r="AI2343" s="144"/>
      <c r="AJ2343" s="147"/>
      <c r="AK2343" s="147"/>
      <c r="AL2343" s="60"/>
      <c r="AM2343" s="60"/>
      <c r="AN2343" s="144"/>
      <c r="AO2343" s="144"/>
      <c r="AP2343" s="147"/>
      <c r="AQ2343" s="147"/>
      <c r="AR2343" s="144"/>
      <c r="AS2343" s="147"/>
      <c r="AT2343" s="147"/>
      <c r="AU2343" s="60"/>
      <c r="AV2343" s="410"/>
      <c r="AW2343" s="60"/>
    </row>
    <row r="2344">
      <c r="A2344" s="60"/>
      <c r="B2344" s="41"/>
      <c r="C2344" s="41"/>
      <c r="E2344" s="60"/>
      <c r="F2344" s="60"/>
      <c r="G2344" s="147"/>
      <c r="H2344" s="140"/>
      <c r="I2344" s="60"/>
      <c r="J2344" s="147"/>
      <c r="K2344" s="60"/>
      <c r="L2344" s="60"/>
      <c r="M2344" s="60"/>
      <c r="N2344" s="327"/>
      <c r="O2344" s="145"/>
      <c r="P2344" s="1572"/>
      <c r="Q2344" s="1526"/>
      <c r="R2344" s="60"/>
      <c r="S2344" s="1528"/>
      <c r="T2344" s="327"/>
      <c r="U2344" s="147"/>
      <c r="V2344" s="147"/>
      <c r="W2344" s="1455"/>
      <c r="X2344" s="60"/>
      <c r="Y2344" s="147"/>
      <c r="Z2344" s="60"/>
      <c r="AA2344" s="147"/>
      <c r="AB2344" s="147"/>
      <c r="AC2344" s="147"/>
      <c r="AD2344" s="147"/>
      <c r="AE2344" s="144"/>
      <c r="AF2344" s="144"/>
      <c r="AG2344" s="147"/>
      <c r="AH2344" s="147"/>
      <c r="AI2344" s="144"/>
      <c r="AJ2344" s="147"/>
      <c r="AK2344" s="147"/>
      <c r="AL2344" s="60"/>
      <c r="AM2344" s="60"/>
      <c r="AN2344" s="144"/>
      <c r="AO2344" s="144"/>
      <c r="AP2344" s="147"/>
      <c r="AQ2344" s="147"/>
      <c r="AR2344" s="144"/>
      <c r="AS2344" s="147"/>
      <c r="AT2344" s="147"/>
      <c r="AU2344" s="60"/>
      <c r="AV2344" s="410"/>
      <c r="AW2344" s="60"/>
    </row>
    <row r="2345">
      <c r="A2345" s="60"/>
      <c r="B2345" s="41"/>
      <c r="C2345" s="41"/>
      <c r="E2345" s="60"/>
      <c r="F2345" s="60"/>
      <c r="G2345" s="147"/>
      <c r="H2345" s="140"/>
      <c r="I2345" s="60"/>
      <c r="J2345" s="147"/>
      <c r="K2345" s="60"/>
      <c r="L2345" s="60"/>
      <c r="M2345" s="60"/>
      <c r="N2345" s="327"/>
      <c r="O2345" s="145"/>
      <c r="P2345" s="1572"/>
      <c r="Q2345" s="1526"/>
      <c r="R2345" s="60"/>
      <c r="S2345" s="1528"/>
      <c r="T2345" s="327"/>
      <c r="U2345" s="147"/>
      <c r="V2345" s="147"/>
      <c r="W2345" s="1455"/>
      <c r="X2345" s="60"/>
      <c r="Y2345" s="147"/>
      <c r="Z2345" s="60"/>
      <c r="AA2345" s="147"/>
      <c r="AB2345" s="147"/>
      <c r="AC2345" s="147"/>
      <c r="AD2345" s="147"/>
      <c r="AE2345" s="144"/>
      <c r="AF2345" s="144"/>
      <c r="AG2345" s="147"/>
      <c r="AH2345" s="147"/>
      <c r="AI2345" s="144"/>
      <c r="AJ2345" s="147"/>
      <c r="AK2345" s="147"/>
      <c r="AL2345" s="60"/>
      <c r="AM2345" s="60"/>
      <c r="AN2345" s="144"/>
      <c r="AO2345" s="144"/>
      <c r="AP2345" s="147"/>
      <c r="AQ2345" s="147"/>
      <c r="AR2345" s="144"/>
      <c r="AS2345" s="147"/>
      <c r="AT2345" s="147"/>
      <c r="AU2345" s="60"/>
      <c r="AV2345" s="410"/>
      <c r="AW2345" s="60"/>
    </row>
    <row r="2346">
      <c r="A2346" s="60"/>
      <c r="B2346" s="41"/>
      <c r="C2346" s="41"/>
      <c r="E2346" s="60"/>
      <c r="F2346" s="60"/>
      <c r="G2346" s="147"/>
      <c r="H2346" s="140"/>
      <c r="I2346" s="60"/>
      <c r="J2346" s="147"/>
      <c r="K2346" s="60"/>
      <c r="L2346" s="60"/>
      <c r="M2346" s="60"/>
      <c r="N2346" s="327"/>
      <c r="O2346" s="145"/>
      <c r="P2346" s="1572"/>
      <c r="Q2346" s="1526"/>
      <c r="R2346" s="60"/>
      <c r="S2346" s="1528"/>
      <c r="T2346" s="327"/>
      <c r="U2346" s="147"/>
      <c r="V2346" s="147"/>
      <c r="W2346" s="1455"/>
      <c r="X2346" s="60"/>
      <c r="Y2346" s="147"/>
      <c r="Z2346" s="60"/>
      <c r="AA2346" s="147"/>
      <c r="AB2346" s="147"/>
      <c r="AC2346" s="147"/>
      <c r="AD2346" s="147"/>
      <c r="AE2346" s="144"/>
      <c r="AF2346" s="144"/>
      <c r="AG2346" s="147"/>
      <c r="AH2346" s="147"/>
      <c r="AI2346" s="144"/>
      <c r="AJ2346" s="147"/>
      <c r="AK2346" s="147"/>
      <c r="AL2346" s="60"/>
      <c r="AM2346" s="60"/>
      <c r="AN2346" s="144"/>
      <c r="AO2346" s="144"/>
      <c r="AP2346" s="147"/>
      <c r="AQ2346" s="147"/>
      <c r="AR2346" s="144"/>
      <c r="AS2346" s="147"/>
      <c r="AT2346" s="147"/>
      <c r="AU2346" s="60"/>
      <c r="AV2346" s="410"/>
      <c r="AW2346" s="60"/>
    </row>
    <row r="2347">
      <c r="A2347" s="60"/>
      <c r="B2347" s="41"/>
      <c r="C2347" s="41"/>
      <c r="E2347" s="60"/>
      <c r="F2347" s="60"/>
      <c r="G2347" s="147"/>
      <c r="H2347" s="140"/>
      <c r="I2347" s="60"/>
      <c r="J2347" s="147"/>
      <c r="K2347" s="60"/>
      <c r="L2347" s="60"/>
      <c r="M2347" s="60"/>
      <c r="N2347" s="327"/>
      <c r="O2347" s="145"/>
      <c r="P2347" s="1572"/>
      <c r="Q2347" s="1526"/>
      <c r="R2347" s="60"/>
      <c r="S2347" s="1528"/>
      <c r="T2347" s="327"/>
      <c r="U2347" s="147"/>
      <c r="V2347" s="147"/>
      <c r="W2347" s="1455"/>
      <c r="X2347" s="60"/>
      <c r="Y2347" s="147"/>
      <c r="Z2347" s="60"/>
      <c r="AA2347" s="147"/>
      <c r="AB2347" s="147"/>
      <c r="AC2347" s="147"/>
      <c r="AD2347" s="147"/>
      <c r="AE2347" s="144"/>
      <c r="AF2347" s="144"/>
      <c r="AG2347" s="147"/>
      <c r="AH2347" s="147"/>
      <c r="AI2347" s="144"/>
      <c r="AJ2347" s="147"/>
      <c r="AK2347" s="147"/>
      <c r="AL2347" s="60"/>
      <c r="AM2347" s="60"/>
      <c r="AN2347" s="144"/>
      <c r="AO2347" s="144"/>
      <c r="AP2347" s="147"/>
      <c r="AQ2347" s="147"/>
      <c r="AR2347" s="144"/>
      <c r="AS2347" s="147"/>
      <c r="AT2347" s="147"/>
      <c r="AU2347" s="60"/>
      <c r="AV2347" s="410"/>
      <c r="AW2347" s="60"/>
    </row>
    <row r="2348">
      <c r="A2348" s="60"/>
      <c r="B2348" s="41"/>
      <c r="C2348" s="41"/>
      <c r="E2348" s="60"/>
      <c r="F2348" s="60"/>
      <c r="G2348" s="147"/>
      <c r="H2348" s="140"/>
      <c r="I2348" s="60"/>
      <c r="J2348" s="147"/>
      <c r="K2348" s="60"/>
      <c r="L2348" s="60"/>
      <c r="M2348" s="60"/>
      <c r="N2348" s="327"/>
      <c r="O2348" s="145"/>
      <c r="P2348" s="1572"/>
      <c r="Q2348" s="1526"/>
      <c r="R2348" s="60"/>
      <c r="S2348" s="1528"/>
      <c r="T2348" s="327"/>
      <c r="U2348" s="147"/>
      <c r="V2348" s="147"/>
      <c r="W2348" s="1455"/>
      <c r="X2348" s="60"/>
      <c r="Y2348" s="147"/>
      <c r="Z2348" s="60"/>
      <c r="AA2348" s="147"/>
      <c r="AB2348" s="147"/>
      <c r="AC2348" s="147"/>
      <c r="AD2348" s="147"/>
      <c r="AE2348" s="144"/>
      <c r="AF2348" s="144"/>
      <c r="AG2348" s="147"/>
      <c r="AH2348" s="147"/>
      <c r="AI2348" s="144"/>
      <c r="AJ2348" s="147"/>
      <c r="AK2348" s="147"/>
      <c r="AL2348" s="60"/>
      <c r="AM2348" s="60"/>
      <c r="AN2348" s="144"/>
      <c r="AO2348" s="144"/>
      <c r="AP2348" s="147"/>
      <c r="AQ2348" s="147"/>
      <c r="AR2348" s="144"/>
      <c r="AS2348" s="147"/>
      <c r="AT2348" s="147"/>
      <c r="AU2348" s="60"/>
      <c r="AV2348" s="410"/>
      <c r="AW2348" s="60"/>
    </row>
    <row r="2349">
      <c r="A2349" s="60"/>
      <c r="B2349" s="41"/>
      <c r="C2349" s="41"/>
      <c r="E2349" s="60"/>
      <c r="F2349" s="60"/>
      <c r="G2349" s="147"/>
      <c r="H2349" s="140"/>
      <c r="I2349" s="60"/>
      <c r="J2349" s="147"/>
      <c r="K2349" s="60"/>
      <c r="L2349" s="60"/>
      <c r="M2349" s="60"/>
      <c r="N2349" s="327"/>
      <c r="O2349" s="145"/>
      <c r="P2349" s="1572"/>
      <c r="Q2349" s="1526"/>
      <c r="R2349" s="60"/>
      <c r="S2349" s="1528"/>
      <c r="T2349" s="327"/>
      <c r="U2349" s="147"/>
      <c r="V2349" s="147"/>
      <c r="W2349" s="1455"/>
      <c r="X2349" s="60"/>
      <c r="Y2349" s="147"/>
      <c r="Z2349" s="60"/>
      <c r="AA2349" s="147"/>
      <c r="AB2349" s="147"/>
      <c r="AC2349" s="147"/>
      <c r="AD2349" s="147"/>
      <c r="AE2349" s="144"/>
      <c r="AF2349" s="144"/>
      <c r="AG2349" s="147"/>
      <c r="AH2349" s="147"/>
      <c r="AI2349" s="144"/>
      <c r="AJ2349" s="147"/>
      <c r="AK2349" s="147"/>
      <c r="AL2349" s="60"/>
      <c r="AM2349" s="60"/>
      <c r="AN2349" s="144"/>
      <c r="AO2349" s="144"/>
      <c r="AP2349" s="147"/>
      <c r="AQ2349" s="147"/>
      <c r="AR2349" s="144"/>
      <c r="AS2349" s="147"/>
      <c r="AT2349" s="147"/>
      <c r="AU2349" s="60"/>
      <c r="AV2349" s="410"/>
      <c r="AW2349" s="60"/>
    </row>
    <row r="2350">
      <c r="A2350" s="60"/>
      <c r="B2350" s="41"/>
      <c r="C2350" s="41"/>
      <c r="E2350" s="60"/>
      <c r="F2350" s="60"/>
      <c r="G2350" s="147"/>
      <c r="H2350" s="140"/>
      <c r="I2350" s="60"/>
      <c r="J2350" s="147"/>
      <c r="K2350" s="60"/>
      <c r="L2350" s="60"/>
      <c r="M2350" s="60"/>
      <c r="N2350" s="327"/>
      <c r="O2350" s="145"/>
      <c r="P2350" s="1572"/>
      <c r="Q2350" s="1526"/>
      <c r="R2350" s="60"/>
      <c r="S2350" s="1528"/>
      <c r="T2350" s="327"/>
      <c r="U2350" s="147"/>
      <c r="V2350" s="147"/>
      <c r="W2350" s="1455"/>
      <c r="X2350" s="60"/>
      <c r="Y2350" s="147"/>
      <c r="Z2350" s="60"/>
      <c r="AA2350" s="147"/>
      <c r="AB2350" s="147"/>
      <c r="AC2350" s="147"/>
      <c r="AD2350" s="147"/>
      <c r="AE2350" s="144"/>
      <c r="AF2350" s="144"/>
      <c r="AG2350" s="147"/>
      <c r="AH2350" s="147"/>
      <c r="AI2350" s="144"/>
      <c r="AJ2350" s="147"/>
      <c r="AK2350" s="147"/>
      <c r="AL2350" s="60"/>
      <c r="AM2350" s="60"/>
      <c r="AN2350" s="144"/>
      <c r="AO2350" s="144"/>
      <c r="AP2350" s="147"/>
      <c r="AQ2350" s="147"/>
      <c r="AR2350" s="144"/>
      <c r="AS2350" s="147"/>
      <c r="AT2350" s="147"/>
      <c r="AU2350" s="60"/>
      <c r="AV2350" s="410"/>
      <c r="AW2350" s="60"/>
    </row>
    <row r="2351">
      <c r="A2351" s="60"/>
      <c r="B2351" s="41"/>
      <c r="C2351" s="41"/>
      <c r="E2351" s="60"/>
      <c r="F2351" s="60"/>
      <c r="G2351" s="147"/>
      <c r="H2351" s="140"/>
      <c r="I2351" s="60"/>
      <c r="J2351" s="147"/>
      <c r="K2351" s="60"/>
      <c r="L2351" s="60"/>
      <c r="M2351" s="60"/>
      <c r="N2351" s="327"/>
      <c r="O2351" s="145"/>
      <c r="P2351" s="1572"/>
      <c r="Q2351" s="1526"/>
      <c r="R2351" s="60"/>
      <c r="S2351" s="1528"/>
      <c r="T2351" s="327"/>
      <c r="U2351" s="147"/>
      <c r="V2351" s="147"/>
      <c r="W2351" s="1455"/>
      <c r="X2351" s="60"/>
      <c r="Y2351" s="147"/>
      <c r="Z2351" s="60"/>
      <c r="AA2351" s="147"/>
      <c r="AB2351" s="147"/>
      <c r="AC2351" s="147"/>
      <c r="AD2351" s="147"/>
      <c r="AE2351" s="144"/>
      <c r="AF2351" s="144"/>
      <c r="AG2351" s="147"/>
      <c r="AH2351" s="147"/>
      <c r="AI2351" s="144"/>
      <c r="AJ2351" s="147"/>
      <c r="AK2351" s="147"/>
      <c r="AL2351" s="60"/>
      <c r="AM2351" s="60"/>
      <c r="AN2351" s="144"/>
      <c r="AO2351" s="144"/>
      <c r="AP2351" s="147"/>
      <c r="AQ2351" s="147"/>
      <c r="AR2351" s="144"/>
      <c r="AS2351" s="147"/>
      <c r="AT2351" s="147"/>
      <c r="AU2351" s="60"/>
      <c r="AV2351" s="410"/>
      <c r="AW2351" s="60"/>
    </row>
    <row r="2352">
      <c r="A2352" s="60"/>
      <c r="B2352" s="41"/>
      <c r="C2352" s="41"/>
      <c r="E2352" s="60"/>
      <c r="F2352" s="60"/>
      <c r="G2352" s="147"/>
      <c r="H2352" s="140"/>
      <c r="I2352" s="60"/>
      <c r="J2352" s="147"/>
      <c r="K2352" s="60"/>
      <c r="L2352" s="60"/>
      <c r="M2352" s="60"/>
      <c r="N2352" s="327"/>
      <c r="O2352" s="145"/>
      <c r="P2352" s="1572"/>
      <c r="Q2352" s="1526"/>
      <c r="R2352" s="60"/>
      <c r="S2352" s="1528"/>
      <c r="T2352" s="327"/>
      <c r="U2352" s="147"/>
      <c r="V2352" s="147"/>
      <c r="W2352" s="1455"/>
      <c r="X2352" s="60"/>
      <c r="Y2352" s="147"/>
      <c r="Z2352" s="60"/>
      <c r="AA2352" s="147"/>
      <c r="AB2352" s="147"/>
      <c r="AC2352" s="147"/>
      <c r="AD2352" s="147"/>
      <c r="AE2352" s="144"/>
      <c r="AF2352" s="144"/>
      <c r="AG2352" s="147"/>
      <c r="AH2352" s="147"/>
      <c r="AI2352" s="144"/>
      <c r="AJ2352" s="147"/>
      <c r="AK2352" s="147"/>
      <c r="AL2352" s="60"/>
      <c r="AM2352" s="60"/>
      <c r="AN2352" s="144"/>
      <c r="AO2352" s="144"/>
      <c r="AP2352" s="147"/>
      <c r="AQ2352" s="147"/>
      <c r="AR2352" s="144"/>
      <c r="AS2352" s="147"/>
      <c r="AT2352" s="147"/>
      <c r="AU2352" s="60"/>
      <c r="AV2352" s="410"/>
      <c r="AW2352" s="60"/>
    </row>
    <row r="2353">
      <c r="A2353" s="60"/>
      <c r="B2353" s="41"/>
      <c r="C2353" s="41"/>
      <c r="E2353" s="60"/>
      <c r="F2353" s="60"/>
      <c r="G2353" s="147"/>
      <c r="H2353" s="140"/>
      <c r="I2353" s="60"/>
      <c r="J2353" s="147"/>
      <c r="K2353" s="60"/>
      <c r="L2353" s="60"/>
      <c r="M2353" s="60"/>
      <c r="N2353" s="327"/>
      <c r="O2353" s="145"/>
      <c r="P2353" s="1572"/>
      <c r="Q2353" s="1526"/>
      <c r="R2353" s="60"/>
      <c r="S2353" s="1528"/>
      <c r="T2353" s="327"/>
      <c r="U2353" s="147"/>
      <c r="V2353" s="147"/>
      <c r="W2353" s="1455"/>
      <c r="X2353" s="60"/>
      <c r="Y2353" s="147"/>
      <c r="Z2353" s="60"/>
      <c r="AA2353" s="147"/>
      <c r="AB2353" s="147"/>
      <c r="AC2353" s="147"/>
      <c r="AD2353" s="147"/>
      <c r="AE2353" s="144"/>
      <c r="AF2353" s="144"/>
      <c r="AG2353" s="147"/>
      <c r="AH2353" s="147"/>
      <c r="AI2353" s="144"/>
      <c r="AJ2353" s="147"/>
      <c r="AK2353" s="147"/>
      <c r="AL2353" s="60"/>
      <c r="AM2353" s="60"/>
      <c r="AN2353" s="144"/>
      <c r="AO2353" s="144"/>
      <c r="AP2353" s="147"/>
      <c r="AQ2353" s="147"/>
      <c r="AR2353" s="144"/>
      <c r="AS2353" s="147"/>
      <c r="AT2353" s="147"/>
      <c r="AU2353" s="60"/>
      <c r="AV2353" s="410"/>
      <c r="AW2353" s="60"/>
    </row>
    <row r="2354">
      <c r="A2354" s="60"/>
      <c r="B2354" s="41"/>
      <c r="C2354" s="41"/>
      <c r="E2354" s="60"/>
      <c r="F2354" s="60"/>
      <c r="G2354" s="147"/>
      <c r="H2354" s="140"/>
      <c r="I2354" s="60"/>
      <c r="J2354" s="147"/>
      <c r="K2354" s="60"/>
      <c r="L2354" s="60"/>
      <c r="M2354" s="60"/>
      <c r="N2354" s="327"/>
      <c r="O2354" s="145"/>
      <c r="P2354" s="1572"/>
      <c r="Q2354" s="1526"/>
      <c r="R2354" s="60"/>
      <c r="S2354" s="1528"/>
      <c r="T2354" s="327"/>
      <c r="U2354" s="147"/>
      <c r="V2354" s="147"/>
      <c r="W2354" s="1455"/>
      <c r="X2354" s="60"/>
      <c r="Y2354" s="147"/>
      <c r="Z2354" s="60"/>
      <c r="AA2354" s="147"/>
      <c r="AB2354" s="147"/>
      <c r="AC2354" s="147"/>
      <c r="AD2354" s="147"/>
      <c r="AE2354" s="144"/>
      <c r="AF2354" s="144"/>
      <c r="AG2354" s="147"/>
      <c r="AH2354" s="147"/>
      <c r="AI2354" s="144"/>
      <c r="AJ2354" s="147"/>
      <c r="AK2354" s="147"/>
      <c r="AL2354" s="60"/>
      <c r="AM2354" s="60"/>
      <c r="AN2354" s="144"/>
      <c r="AO2354" s="144"/>
      <c r="AP2354" s="147"/>
      <c r="AQ2354" s="147"/>
      <c r="AR2354" s="144"/>
      <c r="AS2354" s="147"/>
      <c r="AT2354" s="147"/>
      <c r="AU2354" s="60"/>
      <c r="AV2354" s="410"/>
      <c r="AW2354" s="60"/>
    </row>
    <row r="2355">
      <c r="A2355" s="60"/>
      <c r="B2355" s="41"/>
      <c r="C2355" s="41"/>
      <c r="E2355" s="60"/>
      <c r="F2355" s="60"/>
      <c r="G2355" s="147"/>
      <c r="H2355" s="140"/>
      <c r="I2355" s="60"/>
      <c r="J2355" s="147"/>
      <c r="K2355" s="60"/>
      <c r="L2355" s="60"/>
      <c r="M2355" s="60"/>
      <c r="N2355" s="327"/>
      <c r="O2355" s="145"/>
      <c r="P2355" s="1572"/>
      <c r="Q2355" s="1526"/>
      <c r="R2355" s="60"/>
      <c r="S2355" s="1528"/>
      <c r="T2355" s="327"/>
      <c r="U2355" s="147"/>
      <c r="V2355" s="147"/>
      <c r="W2355" s="1455"/>
      <c r="X2355" s="60"/>
      <c r="Y2355" s="147"/>
      <c r="Z2355" s="60"/>
      <c r="AA2355" s="147"/>
      <c r="AB2355" s="147"/>
      <c r="AC2355" s="147"/>
      <c r="AD2355" s="147"/>
      <c r="AE2355" s="144"/>
      <c r="AF2355" s="144"/>
      <c r="AG2355" s="147"/>
      <c r="AH2355" s="147"/>
      <c r="AI2355" s="144"/>
      <c r="AJ2355" s="147"/>
      <c r="AK2355" s="147"/>
      <c r="AL2355" s="60"/>
      <c r="AM2355" s="60"/>
      <c r="AN2355" s="144"/>
      <c r="AO2355" s="144"/>
      <c r="AP2355" s="147"/>
      <c r="AQ2355" s="147"/>
      <c r="AR2355" s="144"/>
      <c r="AS2355" s="147"/>
      <c r="AT2355" s="147"/>
      <c r="AU2355" s="60"/>
      <c r="AV2355" s="410"/>
      <c r="AW2355" s="60"/>
    </row>
    <row r="2356">
      <c r="A2356" s="60"/>
      <c r="B2356" s="41"/>
      <c r="C2356" s="41"/>
      <c r="E2356" s="60"/>
      <c r="F2356" s="60"/>
      <c r="G2356" s="147"/>
      <c r="H2356" s="140"/>
      <c r="I2356" s="60"/>
      <c r="J2356" s="147"/>
      <c r="K2356" s="60"/>
      <c r="L2356" s="60"/>
      <c r="M2356" s="60"/>
      <c r="N2356" s="327"/>
      <c r="O2356" s="145"/>
      <c r="P2356" s="1572"/>
      <c r="Q2356" s="1526"/>
      <c r="R2356" s="60"/>
      <c r="S2356" s="1528"/>
      <c r="T2356" s="327"/>
      <c r="U2356" s="147"/>
      <c r="V2356" s="147"/>
      <c r="W2356" s="1455"/>
      <c r="X2356" s="60"/>
      <c r="Y2356" s="147"/>
      <c r="Z2356" s="60"/>
      <c r="AA2356" s="147"/>
      <c r="AB2356" s="147"/>
      <c r="AC2356" s="147"/>
      <c r="AD2356" s="147"/>
      <c r="AE2356" s="144"/>
      <c r="AF2356" s="144"/>
      <c r="AG2356" s="147"/>
      <c r="AH2356" s="147"/>
      <c r="AI2356" s="144"/>
      <c r="AJ2356" s="147"/>
      <c r="AK2356" s="147"/>
      <c r="AL2356" s="60"/>
      <c r="AM2356" s="60"/>
      <c r="AN2356" s="144"/>
      <c r="AO2356" s="144"/>
      <c r="AP2356" s="147"/>
      <c r="AQ2356" s="147"/>
      <c r="AR2356" s="144"/>
      <c r="AS2356" s="147"/>
      <c r="AT2356" s="147"/>
      <c r="AU2356" s="60"/>
      <c r="AV2356" s="410"/>
      <c r="AW2356" s="60"/>
    </row>
    <row r="2357">
      <c r="A2357" s="60"/>
      <c r="B2357" s="41"/>
      <c r="C2357" s="41"/>
      <c r="E2357" s="60"/>
      <c r="F2357" s="60"/>
      <c r="G2357" s="147"/>
      <c r="H2357" s="140"/>
      <c r="I2357" s="60"/>
      <c r="J2357" s="147"/>
      <c r="K2357" s="60"/>
      <c r="L2357" s="60"/>
      <c r="M2357" s="60"/>
      <c r="N2357" s="327"/>
      <c r="O2357" s="145"/>
      <c r="P2357" s="1572"/>
      <c r="Q2357" s="1526"/>
      <c r="R2357" s="60"/>
      <c r="S2357" s="1528"/>
      <c r="T2357" s="327"/>
      <c r="U2357" s="147"/>
      <c r="V2357" s="147"/>
      <c r="W2357" s="1455"/>
      <c r="X2357" s="60"/>
      <c r="Y2357" s="147"/>
      <c r="Z2357" s="60"/>
      <c r="AA2357" s="147"/>
      <c r="AB2357" s="147"/>
      <c r="AC2357" s="147"/>
      <c r="AD2357" s="147"/>
      <c r="AE2357" s="144"/>
      <c r="AF2357" s="144"/>
      <c r="AG2357" s="147"/>
      <c r="AH2357" s="147"/>
      <c r="AI2357" s="144"/>
      <c r="AJ2357" s="147"/>
      <c r="AK2357" s="147"/>
      <c r="AL2357" s="60"/>
      <c r="AM2357" s="60"/>
      <c r="AN2357" s="144"/>
      <c r="AO2357" s="144"/>
      <c r="AP2357" s="147"/>
      <c r="AQ2357" s="147"/>
      <c r="AR2357" s="144"/>
      <c r="AS2357" s="147"/>
      <c r="AT2357" s="147"/>
      <c r="AU2357" s="60"/>
      <c r="AV2357" s="410"/>
      <c r="AW2357" s="60"/>
    </row>
    <row r="2358">
      <c r="A2358" s="60"/>
      <c r="B2358" s="41"/>
      <c r="C2358" s="41"/>
      <c r="E2358" s="60"/>
      <c r="F2358" s="60"/>
      <c r="G2358" s="147"/>
      <c r="H2358" s="140"/>
      <c r="I2358" s="60"/>
      <c r="J2358" s="147"/>
      <c r="K2358" s="60"/>
      <c r="L2358" s="60"/>
      <c r="M2358" s="60"/>
      <c r="N2358" s="327"/>
      <c r="O2358" s="145"/>
      <c r="P2358" s="1572"/>
      <c r="Q2358" s="1526"/>
      <c r="R2358" s="60"/>
      <c r="S2358" s="1528"/>
      <c r="T2358" s="327"/>
      <c r="U2358" s="147"/>
      <c r="V2358" s="147"/>
      <c r="W2358" s="1455"/>
      <c r="X2358" s="60"/>
      <c r="Y2358" s="147"/>
      <c r="Z2358" s="60"/>
      <c r="AA2358" s="147"/>
      <c r="AB2358" s="147"/>
      <c r="AC2358" s="147"/>
      <c r="AD2358" s="147"/>
      <c r="AE2358" s="144"/>
      <c r="AF2358" s="144"/>
      <c r="AG2358" s="147"/>
      <c r="AH2358" s="147"/>
      <c r="AI2358" s="144"/>
      <c r="AJ2358" s="147"/>
      <c r="AK2358" s="147"/>
      <c r="AL2358" s="60"/>
      <c r="AM2358" s="60"/>
      <c r="AN2358" s="144"/>
      <c r="AO2358" s="144"/>
      <c r="AP2358" s="147"/>
      <c r="AQ2358" s="147"/>
      <c r="AR2358" s="144"/>
      <c r="AS2358" s="147"/>
      <c r="AT2358" s="147"/>
      <c r="AU2358" s="60"/>
      <c r="AV2358" s="410"/>
      <c r="AW2358" s="60"/>
    </row>
    <row r="2359">
      <c r="A2359" s="60"/>
      <c r="B2359" s="41"/>
      <c r="C2359" s="41"/>
      <c r="E2359" s="60"/>
      <c r="F2359" s="60"/>
      <c r="G2359" s="147"/>
      <c r="H2359" s="140"/>
      <c r="I2359" s="60"/>
      <c r="J2359" s="147"/>
      <c r="K2359" s="60"/>
      <c r="L2359" s="60"/>
      <c r="M2359" s="60"/>
      <c r="N2359" s="327"/>
      <c r="O2359" s="145"/>
      <c r="P2359" s="1572"/>
      <c r="Q2359" s="1526"/>
      <c r="R2359" s="60"/>
      <c r="S2359" s="1528"/>
      <c r="T2359" s="327"/>
      <c r="U2359" s="147"/>
      <c r="V2359" s="147"/>
      <c r="W2359" s="1455"/>
      <c r="X2359" s="60"/>
      <c r="Y2359" s="147"/>
      <c r="Z2359" s="60"/>
      <c r="AA2359" s="147"/>
      <c r="AB2359" s="147"/>
      <c r="AC2359" s="147"/>
      <c r="AD2359" s="147"/>
      <c r="AE2359" s="144"/>
      <c r="AF2359" s="144"/>
      <c r="AG2359" s="147"/>
      <c r="AH2359" s="147"/>
      <c r="AI2359" s="144"/>
      <c r="AJ2359" s="147"/>
      <c r="AK2359" s="147"/>
      <c r="AL2359" s="60"/>
      <c r="AM2359" s="60"/>
      <c r="AN2359" s="144"/>
      <c r="AO2359" s="144"/>
      <c r="AP2359" s="147"/>
      <c r="AQ2359" s="147"/>
      <c r="AR2359" s="144"/>
      <c r="AS2359" s="147"/>
      <c r="AT2359" s="147"/>
      <c r="AU2359" s="60"/>
      <c r="AV2359" s="410"/>
      <c r="AW2359" s="60"/>
    </row>
    <row r="2360">
      <c r="A2360" s="60"/>
      <c r="B2360" s="41"/>
      <c r="C2360" s="41"/>
      <c r="E2360" s="60"/>
      <c r="F2360" s="60"/>
      <c r="G2360" s="147"/>
      <c r="H2360" s="140"/>
      <c r="I2360" s="60"/>
      <c r="J2360" s="147"/>
      <c r="K2360" s="60"/>
      <c r="L2360" s="60"/>
      <c r="M2360" s="60"/>
      <c r="N2360" s="327"/>
      <c r="O2360" s="145"/>
      <c r="P2360" s="1572"/>
      <c r="Q2360" s="1526"/>
      <c r="R2360" s="60"/>
      <c r="S2360" s="1528"/>
      <c r="T2360" s="327"/>
      <c r="U2360" s="147"/>
      <c r="V2360" s="147"/>
      <c r="W2360" s="1455"/>
      <c r="X2360" s="60"/>
      <c r="Y2360" s="147"/>
      <c r="Z2360" s="60"/>
      <c r="AA2360" s="147"/>
      <c r="AB2360" s="147"/>
      <c r="AC2360" s="147"/>
      <c r="AD2360" s="147"/>
      <c r="AE2360" s="144"/>
      <c r="AF2360" s="144"/>
      <c r="AG2360" s="147"/>
      <c r="AH2360" s="147"/>
      <c r="AI2360" s="144"/>
      <c r="AJ2360" s="147"/>
      <c r="AK2360" s="147"/>
      <c r="AL2360" s="60"/>
      <c r="AM2360" s="60"/>
      <c r="AN2360" s="144"/>
      <c r="AO2360" s="144"/>
      <c r="AP2360" s="147"/>
      <c r="AQ2360" s="147"/>
      <c r="AR2360" s="144"/>
      <c r="AS2360" s="147"/>
      <c r="AT2360" s="147"/>
      <c r="AU2360" s="60"/>
      <c r="AV2360" s="410"/>
      <c r="AW2360" s="60"/>
    </row>
    <row r="2361">
      <c r="A2361" s="60"/>
      <c r="B2361" s="41"/>
      <c r="C2361" s="41"/>
      <c r="E2361" s="60"/>
      <c r="F2361" s="60"/>
      <c r="G2361" s="147"/>
      <c r="H2361" s="140"/>
      <c r="I2361" s="60"/>
      <c r="J2361" s="147"/>
      <c r="K2361" s="60"/>
      <c r="L2361" s="60"/>
      <c r="M2361" s="60"/>
      <c r="N2361" s="327"/>
      <c r="O2361" s="145"/>
      <c r="P2361" s="1572"/>
      <c r="Q2361" s="1526"/>
      <c r="R2361" s="60"/>
      <c r="S2361" s="1528"/>
      <c r="T2361" s="327"/>
      <c r="U2361" s="147"/>
      <c r="V2361" s="147"/>
      <c r="W2361" s="1455"/>
      <c r="X2361" s="60"/>
      <c r="Y2361" s="147"/>
      <c r="Z2361" s="60"/>
      <c r="AA2361" s="147"/>
      <c r="AB2361" s="147"/>
      <c r="AC2361" s="147"/>
      <c r="AD2361" s="147"/>
      <c r="AE2361" s="144"/>
      <c r="AF2361" s="144"/>
      <c r="AG2361" s="147"/>
      <c r="AH2361" s="147"/>
      <c r="AI2361" s="144"/>
      <c r="AJ2361" s="147"/>
      <c r="AK2361" s="147"/>
      <c r="AL2361" s="60"/>
      <c r="AM2361" s="60"/>
      <c r="AN2361" s="144"/>
      <c r="AO2361" s="144"/>
      <c r="AP2361" s="147"/>
      <c r="AQ2361" s="147"/>
      <c r="AR2361" s="144"/>
      <c r="AS2361" s="147"/>
      <c r="AT2361" s="147"/>
      <c r="AU2361" s="60"/>
      <c r="AV2361" s="410"/>
      <c r="AW2361" s="60"/>
    </row>
    <row r="2362">
      <c r="A2362" s="60"/>
      <c r="B2362" s="41"/>
      <c r="C2362" s="41"/>
      <c r="E2362" s="60"/>
      <c r="F2362" s="60"/>
      <c r="G2362" s="147"/>
      <c r="H2362" s="140"/>
      <c r="I2362" s="60"/>
      <c r="J2362" s="147"/>
      <c r="K2362" s="60"/>
      <c r="L2362" s="60"/>
      <c r="M2362" s="60"/>
      <c r="N2362" s="327"/>
      <c r="O2362" s="145"/>
      <c r="P2362" s="1572"/>
      <c r="Q2362" s="1526"/>
      <c r="R2362" s="60"/>
      <c r="S2362" s="1528"/>
      <c r="T2362" s="327"/>
      <c r="U2362" s="147"/>
      <c r="V2362" s="147"/>
      <c r="W2362" s="1455"/>
      <c r="X2362" s="60"/>
      <c r="Y2362" s="147"/>
      <c r="Z2362" s="60"/>
      <c r="AA2362" s="147"/>
      <c r="AB2362" s="147"/>
      <c r="AC2362" s="147"/>
      <c r="AD2362" s="147"/>
      <c r="AE2362" s="144"/>
      <c r="AF2362" s="144"/>
      <c r="AG2362" s="147"/>
      <c r="AH2362" s="147"/>
      <c r="AI2362" s="144"/>
      <c r="AJ2362" s="147"/>
      <c r="AK2362" s="147"/>
      <c r="AL2362" s="60"/>
      <c r="AM2362" s="60"/>
      <c r="AN2362" s="144"/>
      <c r="AO2362" s="144"/>
      <c r="AP2362" s="147"/>
      <c r="AQ2362" s="147"/>
      <c r="AR2362" s="144"/>
      <c r="AS2362" s="147"/>
      <c r="AT2362" s="147"/>
      <c r="AU2362" s="60"/>
      <c r="AV2362" s="410"/>
      <c r="AW2362" s="60"/>
    </row>
    <row r="2363">
      <c r="A2363" s="60"/>
      <c r="B2363" s="41"/>
      <c r="C2363" s="41"/>
      <c r="E2363" s="60"/>
      <c r="F2363" s="60"/>
      <c r="G2363" s="147"/>
      <c r="H2363" s="140"/>
      <c r="I2363" s="60"/>
      <c r="J2363" s="147"/>
      <c r="K2363" s="60"/>
      <c r="L2363" s="60"/>
      <c r="M2363" s="60"/>
      <c r="N2363" s="327"/>
      <c r="O2363" s="145"/>
      <c r="P2363" s="1572"/>
      <c r="Q2363" s="1526"/>
      <c r="R2363" s="60"/>
      <c r="S2363" s="1528"/>
      <c r="T2363" s="327"/>
      <c r="U2363" s="147"/>
      <c r="V2363" s="147"/>
      <c r="W2363" s="1455"/>
      <c r="X2363" s="60"/>
      <c r="Y2363" s="147"/>
      <c r="Z2363" s="60"/>
      <c r="AA2363" s="147"/>
      <c r="AB2363" s="147"/>
      <c r="AC2363" s="147"/>
      <c r="AD2363" s="147"/>
      <c r="AE2363" s="144"/>
      <c r="AF2363" s="144"/>
      <c r="AG2363" s="147"/>
      <c r="AH2363" s="147"/>
      <c r="AI2363" s="144"/>
      <c r="AJ2363" s="147"/>
      <c r="AK2363" s="147"/>
      <c r="AL2363" s="60"/>
      <c r="AM2363" s="60"/>
      <c r="AN2363" s="144"/>
      <c r="AO2363" s="144"/>
      <c r="AP2363" s="147"/>
      <c r="AQ2363" s="147"/>
      <c r="AR2363" s="144"/>
      <c r="AS2363" s="147"/>
      <c r="AT2363" s="147"/>
      <c r="AU2363" s="60"/>
      <c r="AV2363" s="410"/>
      <c r="AW2363" s="60"/>
    </row>
    <row r="2364">
      <c r="A2364" s="60"/>
      <c r="B2364" s="41"/>
      <c r="C2364" s="41"/>
      <c r="E2364" s="60"/>
      <c r="F2364" s="60"/>
      <c r="G2364" s="147"/>
      <c r="H2364" s="140"/>
      <c r="I2364" s="60"/>
      <c r="J2364" s="147"/>
      <c r="K2364" s="60"/>
      <c r="L2364" s="60"/>
      <c r="M2364" s="60"/>
      <c r="N2364" s="327"/>
      <c r="O2364" s="145"/>
      <c r="P2364" s="1572"/>
      <c r="Q2364" s="1526"/>
      <c r="R2364" s="60"/>
      <c r="S2364" s="1528"/>
      <c r="T2364" s="327"/>
      <c r="U2364" s="147"/>
      <c r="V2364" s="147"/>
      <c r="W2364" s="1455"/>
      <c r="X2364" s="60"/>
      <c r="Y2364" s="147"/>
      <c r="Z2364" s="60"/>
      <c r="AA2364" s="147"/>
      <c r="AB2364" s="147"/>
      <c r="AC2364" s="147"/>
      <c r="AD2364" s="147"/>
      <c r="AE2364" s="144"/>
      <c r="AF2364" s="144"/>
      <c r="AG2364" s="147"/>
      <c r="AH2364" s="147"/>
      <c r="AI2364" s="144"/>
      <c r="AJ2364" s="147"/>
      <c r="AK2364" s="147"/>
      <c r="AL2364" s="60"/>
      <c r="AM2364" s="60"/>
      <c r="AN2364" s="144"/>
      <c r="AO2364" s="144"/>
      <c r="AP2364" s="147"/>
      <c r="AQ2364" s="147"/>
      <c r="AR2364" s="144"/>
      <c r="AS2364" s="147"/>
      <c r="AT2364" s="147"/>
      <c r="AU2364" s="60"/>
      <c r="AV2364" s="410"/>
      <c r="AW2364" s="60"/>
    </row>
    <row r="2365">
      <c r="A2365" s="60"/>
      <c r="B2365" s="41"/>
      <c r="C2365" s="41"/>
      <c r="E2365" s="60"/>
      <c r="F2365" s="60"/>
      <c r="G2365" s="147"/>
      <c r="H2365" s="140"/>
      <c r="I2365" s="60"/>
      <c r="J2365" s="147"/>
      <c r="K2365" s="60"/>
      <c r="L2365" s="60"/>
      <c r="M2365" s="60"/>
      <c r="N2365" s="327"/>
      <c r="O2365" s="145"/>
      <c r="P2365" s="1572"/>
      <c r="Q2365" s="1526"/>
      <c r="R2365" s="60"/>
      <c r="S2365" s="1528"/>
      <c r="T2365" s="327"/>
      <c r="U2365" s="147"/>
      <c r="V2365" s="147"/>
      <c r="W2365" s="1455"/>
      <c r="X2365" s="60"/>
      <c r="Y2365" s="147"/>
      <c r="Z2365" s="60"/>
      <c r="AA2365" s="147"/>
      <c r="AB2365" s="147"/>
      <c r="AC2365" s="147"/>
      <c r="AD2365" s="147"/>
      <c r="AE2365" s="144"/>
      <c r="AF2365" s="144"/>
      <c r="AG2365" s="147"/>
      <c r="AH2365" s="147"/>
      <c r="AI2365" s="144"/>
      <c r="AJ2365" s="147"/>
      <c r="AK2365" s="147"/>
      <c r="AL2365" s="60"/>
      <c r="AM2365" s="60"/>
      <c r="AN2365" s="144"/>
      <c r="AO2365" s="144"/>
      <c r="AP2365" s="147"/>
      <c r="AQ2365" s="147"/>
      <c r="AR2365" s="144"/>
      <c r="AS2365" s="147"/>
      <c r="AT2365" s="147"/>
      <c r="AU2365" s="60"/>
      <c r="AV2365" s="410"/>
      <c r="AW2365" s="60"/>
    </row>
    <row r="2366">
      <c r="A2366" s="60"/>
      <c r="B2366" s="41"/>
      <c r="C2366" s="41"/>
      <c r="E2366" s="60"/>
      <c r="F2366" s="60"/>
      <c r="G2366" s="147"/>
      <c r="H2366" s="140"/>
      <c r="I2366" s="60"/>
      <c r="J2366" s="147"/>
      <c r="K2366" s="60"/>
      <c r="L2366" s="60"/>
      <c r="M2366" s="60"/>
      <c r="N2366" s="327"/>
      <c r="O2366" s="145"/>
      <c r="P2366" s="1572"/>
      <c r="Q2366" s="1526"/>
      <c r="R2366" s="60"/>
      <c r="S2366" s="1528"/>
      <c r="T2366" s="327"/>
      <c r="U2366" s="147"/>
      <c r="V2366" s="147"/>
      <c r="W2366" s="1455"/>
      <c r="X2366" s="60"/>
      <c r="Y2366" s="147"/>
      <c r="Z2366" s="60"/>
      <c r="AA2366" s="147"/>
      <c r="AB2366" s="147"/>
      <c r="AC2366" s="147"/>
      <c r="AD2366" s="147"/>
      <c r="AE2366" s="144"/>
      <c r="AF2366" s="144"/>
      <c r="AG2366" s="147"/>
      <c r="AH2366" s="147"/>
      <c r="AI2366" s="144"/>
      <c r="AJ2366" s="147"/>
      <c r="AK2366" s="147"/>
      <c r="AL2366" s="60"/>
      <c r="AM2366" s="60"/>
      <c r="AN2366" s="144"/>
      <c r="AO2366" s="144"/>
      <c r="AP2366" s="147"/>
      <c r="AQ2366" s="147"/>
      <c r="AR2366" s="144"/>
      <c r="AS2366" s="147"/>
      <c r="AT2366" s="147"/>
      <c r="AU2366" s="60"/>
      <c r="AV2366" s="410"/>
      <c r="AW2366" s="60"/>
    </row>
    <row r="2367">
      <c r="A2367" s="60"/>
      <c r="B2367" s="41"/>
      <c r="C2367" s="41"/>
      <c r="E2367" s="60"/>
      <c r="F2367" s="60"/>
      <c r="G2367" s="147"/>
      <c r="H2367" s="140"/>
      <c r="I2367" s="60"/>
      <c r="J2367" s="147"/>
      <c r="K2367" s="60"/>
      <c r="L2367" s="60"/>
      <c r="M2367" s="60"/>
      <c r="N2367" s="327"/>
      <c r="O2367" s="145"/>
      <c r="P2367" s="1572"/>
      <c r="Q2367" s="1526"/>
      <c r="R2367" s="60"/>
      <c r="S2367" s="1528"/>
      <c r="T2367" s="327"/>
      <c r="U2367" s="147"/>
      <c r="V2367" s="147"/>
      <c r="W2367" s="1455"/>
      <c r="X2367" s="60"/>
      <c r="Y2367" s="147"/>
      <c r="Z2367" s="60"/>
      <c r="AA2367" s="147"/>
      <c r="AB2367" s="147"/>
      <c r="AC2367" s="147"/>
      <c r="AD2367" s="147"/>
      <c r="AE2367" s="144"/>
      <c r="AF2367" s="144"/>
      <c r="AG2367" s="147"/>
      <c r="AH2367" s="147"/>
      <c r="AI2367" s="144"/>
      <c r="AJ2367" s="147"/>
      <c r="AK2367" s="147"/>
      <c r="AL2367" s="60"/>
      <c r="AM2367" s="60"/>
      <c r="AN2367" s="144"/>
      <c r="AO2367" s="144"/>
      <c r="AP2367" s="147"/>
      <c r="AQ2367" s="147"/>
      <c r="AR2367" s="144"/>
      <c r="AS2367" s="147"/>
      <c r="AT2367" s="147"/>
      <c r="AU2367" s="60"/>
      <c r="AV2367" s="410"/>
      <c r="AW2367" s="60"/>
    </row>
    <row r="2368">
      <c r="A2368" s="60"/>
      <c r="B2368" s="41"/>
      <c r="C2368" s="41"/>
      <c r="E2368" s="60"/>
      <c r="F2368" s="60"/>
      <c r="G2368" s="147"/>
      <c r="H2368" s="140"/>
      <c r="I2368" s="60"/>
      <c r="J2368" s="147"/>
      <c r="K2368" s="60"/>
      <c r="L2368" s="60"/>
      <c r="M2368" s="60"/>
      <c r="N2368" s="327"/>
      <c r="O2368" s="145"/>
      <c r="P2368" s="1572"/>
      <c r="Q2368" s="1526"/>
      <c r="R2368" s="60"/>
      <c r="S2368" s="1528"/>
      <c r="T2368" s="327"/>
      <c r="U2368" s="147"/>
      <c r="V2368" s="147"/>
      <c r="W2368" s="1455"/>
      <c r="X2368" s="60"/>
      <c r="Y2368" s="147"/>
      <c r="Z2368" s="60"/>
      <c r="AA2368" s="147"/>
      <c r="AB2368" s="147"/>
      <c r="AC2368" s="147"/>
      <c r="AD2368" s="147"/>
      <c r="AE2368" s="144"/>
      <c r="AF2368" s="144"/>
      <c r="AG2368" s="147"/>
      <c r="AH2368" s="147"/>
      <c r="AI2368" s="144"/>
      <c r="AJ2368" s="147"/>
      <c r="AK2368" s="147"/>
      <c r="AL2368" s="60"/>
      <c r="AM2368" s="60"/>
      <c r="AN2368" s="144"/>
      <c r="AO2368" s="144"/>
      <c r="AP2368" s="147"/>
      <c r="AQ2368" s="147"/>
      <c r="AR2368" s="144"/>
      <c r="AS2368" s="147"/>
      <c r="AT2368" s="147"/>
      <c r="AU2368" s="60"/>
      <c r="AV2368" s="410"/>
      <c r="AW2368" s="60"/>
    </row>
    <row r="2369">
      <c r="A2369" s="60"/>
      <c r="B2369" s="41"/>
      <c r="C2369" s="41"/>
      <c r="E2369" s="60"/>
      <c r="F2369" s="60"/>
      <c r="G2369" s="147"/>
      <c r="H2369" s="140"/>
      <c r="I2369" s="60"/>
      <c r="J2369" s="147"/>
      <c r="K2369" s="60"/>
      <c r="L2369" s="60"/>
      <c r="M2369" s="60"/>
      <c r="N2369" s="327"/>
      <c r="O2369" s="145"/>
      <c r="P2369" s="1572"/>
      <c r="Q2369" s="1526"/>
      <c r="R2369" s="60"/>
      <c r="S2369" s="1528"/>
      <c r="T2369" s="327"/>
      <c r="U2369" s="147"/>
      <c r="V2369" s="147"/>
      <c r="W2369" s="1455"/>
      <c r="X2369" s="60"/>
      <c r="Y2369" s="147"/>
      <c r="Z2369" s="60"/>
      <c r="AA2369" s="147"/>
      <c r="AB2369" s="147"/>
      <c r="AC2369" s="147"/>
      <c r="AD2369" s="147"/>
      <c r="AE2369" s="144"/>
      <c r="AF2369" s="144"/>
      <c r="AG2369" s="147"/>
      <c r="AH2369" s="147"/>
      <c r="AI2369" s="144"/>
      <c r="AJ2369" s="147"/>
      <c r="AK2369" s="147"/>
      <c r="AL2369" s="60"/>
      <c r="AM2369" s="60"/>
      <c r="AN2369" s="144"/>
      <c r="AO2369" s="144"/>
      <c r="AP2369" s="147"/>
      <c r="AQ2369" s="147"/>
      <c r="AR2369" s="144"/>
      <c r="AS2369" s="147"/>
      <c r="AT2369" s="147"/>
      <c r="AU2369" s="60"/>
      <c r="AV2369" s="410"/>
      <c r="AW2369" s="60"/>
    </row>
    <row r="2370">
      <c r="A2370" s="60"/>
      <c r="B2370" s="41"/>
      <c r="C2370" s="41"/>
      <c r="E2370" s="60"/>
      <c r="F2370" s="60"/>
      <c r="G2370" s="147"/>
      <c r="H2370" s="140"/>
      <c r="I2370" s="60"/>
      <c r="J2370" s="147"/>
      <c r="K2370" s="60"/>
      <c r="L2370" s="60"/>
      <c r="M2370" s="60"/>
      <c r="N2370" s="327"/>
      <c r="O2370" s="145"/>
      <c r="P2370" s="1572"/>
      <c r="Q2370" s="1526"/>
      <c r="R2370" s="60"/>
      <c r="S2370" s="1528"/>
      <c r="T2370" s="327"/>
      <c r="U2370" s="147"/>
      <c r="V2370" s="147"/>
      <c r="W2370" s="1455"/>
      <c r="X2370" s="60"/>
      <c r="Y2370" s="147"/>
      <c r="Z2370" s="60"/>
      <c r="AA2370" s="147"/>
      <c r="AB2370" s="147"/>
      <c r="AC2370" s="147"/>
      <c r="AD2370" s="147"/>
      <c r="AE2370" s="144"/>
      <c r="AF2370" s="144"/>
      <c r="AG2370" s="147"/>
      <c r="AH2370" s="147"/>
      <c r="AI2370" s="144"/>
      <c r="AJ2370" s="147"/>
      <c r="AK2370" s="147"/>
      <c r="AL2370" s="60"/>
      <c r="AM2370" s="60"/>
      <c r="AN2370" s="144"/>
      <c r="AO2370" s="144"/>
      <c r="AP2370" s="147"/>
      <c r="AQ2370" s="147"/>
      <c r="AR2370" s="144"/>
      <c r="AS2370" s="147"/>
      <c r="AT2370" s="147"/>
      <c r="AU2370" s="60"/>
      <c r="AV2370" s="410"/>
      <c r="AW2370" s="60"/>
    </row>
    <row r="2371">
      <c r="A2371" s="60"/>
      <c r="B2371" s="41"/>
      <c r="C2371" s="41"/>
      <c r="E2371" s="60"/>
      <c r="F2371" s="60"/>
      <c r="G2371" s="147"/>
      <c r="H2371" s="140"/>
      <c r="I2371" s="60"/>
      <c r="J2371" s="147"/>
      <c r="K2371" s="60"/>
      <c r="L2371" s="60"/>
      <c r="M2371" s="60"/>
      <c r="N2371" s="327"/>
      <c r="O2371" s="145"/>
      <c r="P2371" s="1572"/>
      <c r="Q2371" s="1526"/>
      <c r="R2371" s="60"/>
      <c r="S2371" s="1528"/>
      <c r="T2371" s="327"/>
      <c r="U2371" s="147"/>
      <c r="V2371" s="147"/>
      <c r="W2371" s="1455"/>
      <c r="X2371" s="60"/>
      <c r="Y2371" s="147"/>
      <c r="Z2371" s="60"/>
      <c r="AA2371" s="147"/>
      <c r="AB2371" s="147"/>
      <c r="AC2371" s="147"/>
      <c r="AD2371" s="147"/>
      <c r="AE2371" s="144"/>
      <c r="AF2371" s="144"/>
      <c r="AG2371" s="147"/>
      <c r="AH2371" s="147"/>
      <c r="AI2371" s="144"/>
      <c r="AJ2371" s="147"/>
      <c r="AK2371" s="147"/>
      <c r="AL2371" s="60"/>
      <c r="AM2371" s="60"/>
      <c r="AN2371" s="144"/>
      <c r="AO2371" s="144"/>
      <c r="AP2371" s="147"/>
      <c r="AQ2371" s="147"/>
      <c r="AR2371" s="144"/>
      <c r="AS2371" s="147"/>
      <c r="AT2371" s="147"/>
      <c r="AU2371" s="60"/>
      <c r="AV2371" s="410"/>
      <c r="AW2371" s="60"/>
    </row>
    <row r="2372">
      <c r="A2372" s="60"/>
      <c r="B2372" s="41"/>
      <c r="C2372" s="41"/>
      <c r="E2372" s="60"/>
      <c r="F2372" s="60"/>
      <c r="G2372" s="147"/>
      <c r="H2372" s="140"/>
      <c r="I2372" s="60"/>
      <c r="J2372" s="147"/>
      <c r="K2372" s="60"/>
      <c r="L2372" s="60"/>
      <c r="M2372" s="60"/>
      <c r="N2372" s="327"/>
      <c r="O2372" s="145"/>
      <c r="P2372" s="1572"/>
      <c r="Q2372" s="1526"/>
      <c r="R2372" s="60"/>
      <c r="S2372" s="1528"/>
      <c r="T2372" s="327"/>
      <c r="U2372" s="147"/>
      <c r="V2372" s="147"/>
      <c r="W2372" s="1455"/>
      <c r="X2372" s="60"/>
      <c r="Y2372" s="147"/>
      <c r="Z2372" s="60"/>
      <c r="AA2372" s="147"/>
      <c r="AB2372" s="147"/>
      <c r="AC2372" s="147"/>
      <c r="AD2372" s="147"/>
      <c r="AE2372" s="144"/>
      <c r="AF2372" s="144"/>
      <c r="AG2372" s="147"/>
      <c r="AH2372" s="147"/>
      <c r="AI2372" s="144"/>
      <c r="AJ2372" s="147"/>
      <c r="AK2372" s="147"/>
      <c r="AL2372" s="60"/>
      <c r="AM2372" s="60"/>
      <c r="AN2372" s="144"/>
      <c r="AO2372" s="144"/>
      <c r="AP2372" s="147"/>
      <c r="AQ2372" s="147"/>
      <c r="AR2372" s="144"/>
      <c r="AS2372" s="147"/>
      <c r="AT2372" s="147"/>
      <c r="AU2372" s="60"/>
      <c r="AV2372" s="410"/>
      <c r="AW2372" s="60"/>
    </row>
    <row r="2373">
      <c r="A2373" s="60"/>
      <c r="B2373" s="41"/>
      <c r="C2373" s="41"/>
      <c r="E2373" s="60"/>
      <c r="F2373" s="60"/>
      <c r="G2373" s="147"/>
      <c r="H2373" s="140"/>
      <c r="I2373" s="60"/>
      <c r="J2373" s="147"/>
      <c r="K2373" s="60"/>
      <c r="L2373" s="60"/>
      <c r="M2373" s="60"/>
      <c r="N2373" s="327"/>
      <c r="O2373" s="145"/>
      <c r="P2373" s="1572"/>
      <c r="Q2373" s="1526"/>
      <c r="R2373" s="60"/>
      <c r="S2373" s="1528"/>
      <c r="T2373" s="327"/>
      <c r="U2373" s="147"/>
      <c r="V2373" s="147"/>
      <c r="W2373" s="1455"/>
      <c r="X2373" s="60"/>
      <c r="Y2373" s="147"/>
      <c r="Z2373" s="60"/>
      <c r="AA2373" s="147"/>
      <c r="AB2373" s="147"/>
      <c r="AC2373" s="147"/>
      <c r="AD2373" s="147"/>
      <c r="AE2373" s="144"/>
      <c r="AF2373" s="144"/>
      <c r="AG2373" s="147"/>
      <c r="AH2373" s="147"/>
      <c r="AI2373" s="144"/>
      <c r="AJ2373" s="147"/>
      <c r="AK2373" s="147"/>
      <c r="AL2373" s="60"/>
      <c r="AM2373" s="60"/>
      <c r="AN2373" s="144"/>
      <c r="AO2373" s="144"/>
      <c r="AP2373" s="147"/>
      <c r="AQ2373" s="147"/>
      <c r="AR2373" s="144"/>
      <c r="AS2373" s="147"/>
      <c r="AT2373" s="147"/>
      <c r="AU2373" s="60"/>
      <c r="AV2373" s="410"/>
      <c r="AW2373" s="60"/>
    </row>
    <row r="2374">
      <c r="A2374" s="60"/>
      <c r="B2374" s="41"/>
      <c r="C2374" s="41"/>
      <c r="E2374" s="60"/>
      <c r="F2374" s="60"/>
      <c r="G2374" s="147"/>
      <c r="H2374" s="140"/>
      <c r="I2374" s="60"/>
      <c r="J2374" s="147"/>
      <c r="K2374" s="60"/>
      <c r="L2374" s="60"/>
      <c r="M2374" s="60"/>
      <c r="N2374" s="327"/>
      <c r="O2374" s="145"/>
      <c r="P2374" s="1572"/>
      <c r="Q2374" s="1526"/>
      <c r="R2374" s="60"/>
      <c r="S2374" s="1528"/>
      <c r="T2374" s="327"/>
      <c r="U2374" s="147"/>
      <c r="V2374" s="147"/>
      <c r="W2374" s="1455"/>
      <c r="X2374" s="60"/>
      <c r="Y2374" s="147"/>
      <c r="Z2374" s="60"/>
      <c r="AA2374" s="147"/>
      <c r="AB2374" s="147"/>
      <c r="AC2374" s="147"/>
      <c r="AD2374" s="147"/>
      <c r="AE2374" s="144"/>
      <c r="AF2374" s="144"/>
      <c r="AG2374" s="147"/>
      <c r="AH2374" s="147"/>
      <c r="AI2374" s="144"/>
      <c r="AJ2374" s="147"/>
      <c r="AK2374" s="147"/>
      <c r="AL2374" s="60"/>
      <c r="AM2374" s="60"/>
      <c r="AN2374" s="144"/>
      <c r="AO2374" s="144"/>
      <c r="AP2374" s="147"/>
      <c r="AQ2374" s="147"/>
      <c r="AR2374" s="144"/>
      <c r="AS2374" s="147"/>
      <c r="AT2374" s="147"/>
      <c r="AU2374" s="60"/>
      <c r="AV2374" s="410"/>
      <c r="AW2374" s="60"/>
    </row>
    <row r="2375">
      <c r="A2375" s="60"/>
      <c r="B2375" s="41"/>
      <c r="C2375" s="41"/>
      <c r="E2375" s="60"/>
      <c r="F2375" s="60"/>
      <c r="G2375" s="147"/>
      <c r="H2375" s="140"/>
      <c r="I2375" s="60"/>
      <c r="J2375" s="147"/>
      <c r="K2375" s="60"/>
      <c r="L2375" s="60"/>
      <c r="M2375" s="60"/>
      <c r="N2375" s="327"/>
      <c r="O2375" s="145"/>
      <c r="P2375" s="1572"/>
      <c r="Q2375" s="1526"/>
      <c r="R2375" s="60"/>
      <c r="S2375" s="1528"/>
      <c r="T2375" s="327"/>
      <c r="U2375" s="147"/>
      <c r="V2375" s="147"/>
      <c r="W2375" s="1455"/>
      <c r="X2375" s="60"/>
      <c r="Y2375" s="147"/>
      <c r="Z2375" s="60"/>
      <c r="AA2375" s="147"/>
      <c r="AB2375" s="147"/>
      <c r="AC2375" s="147"/>
      <c r="AD2375" s="147"/>
      <c r="AE2375" s="144"/>
      <c r="AF2375" s="144"/>
      <c r="AG2375" s="147"/>
      <c r="AH2375" s="147"/>
      <c r="AI2375" s="144"/>
      <c r="AJ2375" s="147"/>
      <c r="AK2375" s="147"/>
      <c r="AL2375" s="60"/>
      <c r="AM2375" s="60"/>
      <c r="AN2375" s="144"/>
      <c r="AO2375" s="144"/>
      <c r="AP2375" s="147"/>
      <c r="AQ2375" s="147"/>
      <c r="AR2375" s="144"/>
      <c r="AS2375" s="147"/>
      <c r="AT2375" s="147"/>
      <c r="AU2375" s="60"/>
      <c r="AV2375" s="410"/>
      <c r="AW2375" s="60"/>
    </row>
    <row r="2376">
      <c r="A2376" s="60"/>
      <c r="B2376" s="41"/>
      <c r="C2376" s="41"/>
      <c r="E2376" s="60"/>
      <c r="F2376" s="60"/>
      <c r="G2376" s="147"/>
      <c r="H2376" s="140"/>
      <c r="I2376" s="60"/>
      <c r="J2376" s="147"/>
      <c r="K2376" s="60"/>
      <c r="L2376" s="60"/>
      <c r="M2376" s="60"/>
      <c r="N2376" s="327"/>
      <c r="O2376" s="145"/>
      <c r="P2376" s="1572"/>
      <c r="Q2376" s="1526"/>
      <c r="R2376" s="60"/>
      <c r="S2376" s="1528"/>
      <c r="T2376" s="327"/>
      <c r="U2376" s="147"/>
      <c r="V2376" s="147"/>
      <c r="W2376" s="1455"/>
      <c r="X2376" s="60"/>
      <c r="Y2376" s="147"/>
      <c r="Z2376" s="60"/>
      <c r="AA2376" s="147"/>
      <c r="AB2376" s="147"/>
      <c r="AC2376" s="147"/>
      <c r="AD2376" s="147"/>
      <c r="AE2376" s="144"/>
      <c r="AF2376" s="144"/>
      <c r="AG2376" s="147"/>
      <c r="AH2376" s="147"/>
      <c r="AI2376" s="144"/>
      <c r="AJ2376" s="147"/>
      <c r="AK2376" s="147"/>
      <c r="AL2376" s="60"/>
      <c r="AM2376" s="60"/>
      <c r="AN2376" s="144"/>
      <c r="AO2376" s="144"/>
      <c r="AP2376" s="147"/>
      <c r="AQ2376" s="147"/>
      <c r="AR2376" s="144"/>
      <c r="AS2376" s="147"/>
      <c r="AT2376" s="147"/>
      <c r="AU2376" s="60"/>
      <c r="AV2376" s="410"/>
      <c r="AW2376" s="60"/>
    </row>
    <row r="2377">
      <c r="A2377" s="60"/>
      <c r="B2377" s="41"/>
      <c r="C2377" s="41"/>
      <c r="E2377" s="60"/>
      <c r="F2377" s="60"/>
      <c r="G2377" s="147"/>
      <c r="H2377" s="140"/>
      <c r="I2377" s="60"/>
      <c r="J2377" s="147"/>
      <c r="K2377" s="60"/>
      <c r="L2377" s="60"/>
      <c r="M2377" s="60"/>
      <c r="N2377" s="327"/>
      <c r="O2377" s="145"/>
      <c r="P2377" s="1572"/>
      <c r="Q2377" s="1526"/>
      <c r="R2377" s="60"/>
      <c r="S2377" s="1528"/>
      <c r="T2377" s="327"/>
      <c r="U2377" s="147"/>
      <c r="V2377" s="147"/>
      <c r="W2377" s="1455"/>
      <c r="X2377" s="60"/>
      <c r="Y2377" s="147"/>
      <c r="Z2377" s="60"/>
      <c r="AA2377" s="147"/>
      <c r="AB2377" s="147"/>
      <c r="AC2377" s="147"/>
      <c r="AD2377" s="147"/>
      <c r="AE2377" s="144"/>
      <c r="AF2377" s="144"/>
      <c r="AG2377" s="147"/>
      <c r="AH2377" s="147"/>
      <c r="AI2377" s="144"/>
      <c r="AJ2377" s="147"/>
      <c r="AK2377" s="147"/>
      <c r="AL2377" s="60"/>
      <c r="AM2377" s="60"/>
      <c r="AN2377" s="144"/>
      <c r="AO2377" s="144"/>
      <c r="AP2377" s="147"/>
      <c r="AQ2377" s="147"/>
      <c r="AR2377" s="144"/>
      <c r="AS2377" s="147"/>
      <c r="AT2377" s="147"/>
      <c r="AU2377" s="60"/>
      <c r="AV2377" s="410"/>
      <c r="AW2377" s="60"/>
    </row>
    <row r="2378">
      <c r="A2378" s="60"/>
      <c r="B2378" s="41"/>
      <c r="C2378" s="41"/>
      <c r="E2378" s="60"/>
      <c r="F2378" s="60"/>
      <c r="G2378" s="147"/>
      <c r="H2378" s="140"/>
      <c r="I2378" s="60"/>
      <c r="J2378" s="147"/>
      <c r="K2378" s="60"/>
      <c r="L2378" s="60"/>
      <c r="M2378" s="60"/>
      <c r="N2378" s="327"/>
      <c r="O2378" s="145"/>
      <c r="P2378" s="1572"/>
      <c r="Q2378" s="1526"/>
      <c r="R2378" s="60"/>
      <c r="S2378" s="1528"/>
      <c r="T2378" s="327"/>
      <c r="U2378" s="147"/>
      <c r="V2378" s="147"/>
      <c r="W2378" s="1455"/>
      <c r="X2378" s="60"/>
      <c r="Y2378" s="147"/>
      <c r="Z2378" s="60"/>
      <c r="AA2378" s="147"/>
      <c r="AB2378" s="147"/>
      <c r="AC2378" s="147"/>
      <c r="AD2378" s="147"/>
      <c r="AE2378" s="144"/>
      <c r="AF2378" s="144"/>
      <c r="AG2378" s="147"/>
      <c r="AH2378" s="147"/>
      <c r="AI2378" s="144"/>
      <c r="AJ2378" s="147"/>
      <c r="AK2378" s="147"/>
      <c r="AL2378" s="60"/>
      <c r="AM2378" s="60"/>
      <c r="AN2378" s="144"/>
      <c r="AO2378" s="144"/>
      <c r="AP2378" s="147"/>
      <c r="AQ2378" s="147"/>
      <c r="AR2378" s="144"/>
      <c r="AS2378" s="147"/>
      <c r="AT2378" s="147"/>
      <c r="AU2378" s="60"/>
      <c r="AV2378" s="410"/>
      <c r="AW2378" s="60"/>
    </row>
    <row r="2379">
      <c r="A2379" s="60"/>
      <c r="B2379" s="41"/>
      <c r="C2379" s="41"/>
      <c r="E2379" s="60"/>
      <c r="F2379" s="60"/>
      <c r="G2379" s="147"/>
      <c r="H2379" s="140"/>
      <c r="I2379" s="60"/>
      <c r="J2379" s="147"/>
      <c r="K2379" s="60"/>
      <c r="L2379" s="60"/>
      <c r="M2379" s="60"/>
      <c r="N2379" s="327"/>
      <c r="O2379" s="145"/>
      <c r="P2379" s="1572"/>
      <c r="Q2379" s="1526"/>
      <c r="R2379" s="60"/>
      <c r="S2379" s="1528"/>
      <c r="T2379" s="327"/>
      <c r="U2379" s="147"/>
      <c r="V2379" s="147"/>
      <c r="W2379" s="1455"/>
      <c r="X2379" s="60"/>
      <c r="Y2379" s="147"/>
      <c r="Z2379" s="60"/>
      <c r="AA2379" s="147"/>
      <c r="AB2379" s="147"/>
      <c r="AC2379" s="147"/>
      <c r="AD2379" s="147"/>
      <c r="AE2379" s="144"/>
      <c r="AF2379" s="144"/>
      <c r="AG2379" s="147"/>
      <c r="AH2379" s="147"/>
      <c r="AI2379" s="144"/>
      <c r="AJ2379" s="147"/>
      <c r="AK2379" s="147"/>
      <c r="AL2379" s="60"/>
      <c r="AM2379" s="60"/>
      <c r="AN2379" s="144"/>
      <c r="AO2379" s="144"/>
      <c r="AP2379" s="147"/>
      <c r="AQ2379" s="147"/>
      <c r="AR2379" s="144"/>
      <c r="AS2379" s="147"/>
      <c r="AT2379" s="147"/>
      <c r="AU2379" s="60"/>
      <c r="AV2379" s="410"/>
      <c r="AW2379" s="60"/>
    </row>
    <row r="2380">
      <c r="A2380" s="60"/>
      <c r="B2380" s="41"/>
      <c r="C2380" s="41"/>
      <c r="E2380" s="60"/>
      <c r="F2380" s="60"/>
      <c r="G2380" s="147"/>
      <c r="H2380" s="140"/>
      <c r="I2380" s="60"/>
      <c r="J2380" s="147"/>
      <c r="K2380" s="60"/>
      <c r="L2380" s="60"/>
      <c r="M2380" s="60"/>
      <c r="N2380" s="327"/>
      <c r="O2380" s="145"/>
      <c r="P2380" s="1572"/>
      <c r="Q2380" s="1526"/>
      <c r="R2380" s="60"/>
      <c r="S2380" s="1528"/>
      <c r="T2380" s="327"/>
      <c r="U2380" s="147"/>
      <c r="V2380" s="147"/>
      <c r="W2380" s="1455"/>
      <c r="X2380" s="60"/>
      <c r="Y2380" s="147"/>
      <c r="Z2380" s="60"/>
      <c r="AA2380" s="147"/>
      <c r="AB2380" s="147"/>
      <c r="AC2380" s="147"/>
      <c r="AD2380" s="147"/>
      <c r="AE2380" s="144"/>
      <c r="AF2380" s="144"/>
      <c r="AG2380" s="147"/>
      <c r="AH2380" s="147"/>
      <c r="AI2380" s="144"/>
      <c r="AJ2380" s="147"/>
      <c r="AK2380" s="147"/>
      <c r="AL2380" s="60"/>
      <c r="AM2380" s="60"/>
      <c r="AN2380" s="144"/>
      <c r="AO2380" s="144"/>
      <c r="AP2380" s="147"/>
      <c r="AQ2380" s="147"/>
      <c r="AR2380" s="144"/>
      <c r="AS2380" s="147"/>
      <c r="AT2380" s="147"/>
      <c r="AU2380" s="60"/>
      <c r="AV2380" s="410"/>
      <c r="AW2380" s="60"/>
    </row>
    <row r="2381">
      <c r="A2381" s="60"/>
      <c r="B2381" s="41"/>
      <c r="C2381" s="41"/>
      <c r="E2381" s="60"/>
      <c r="F2381" s="60"/>
      <c r="G2381" s="147"/>
      <c r="H2381" s="140"/>
      <c r="I2381" s="60"/>
      <c r="J2381" s="147"/>
      <c r="K2381" s="60"/>
      <c r="L2381" s="60"/>
      <c r="M2381" s="60"/>
      <c r="N2381" s="327"/>
      <c r="O2381" s="145"/>
      <c r="P2381" s="1572"/>
      <c r="Q2381" s="1526"/>
      <c r="R2381" s="60"/>
      <c r="S2381" s="1528"/>
      <c r="T2381" s="327"/>
      <c r="U2381" s="147"/>
      <c r="V2381" s="147"/>
      <c r="W2381" s="1455"/>
      <c r="X2381" s="60"/>
      <c r="Y2381" s="147"/>
      <c r="Z2381" s="60"/>
      <c r="AA2381" s="147"/>
      <c r="AB2381" s="147"/>
      <c r="AC2381" s="147"/>
      <c r="AD2381" s="147"/>
      <c r="AE2381" s="144"/>
      <c r="AF2381" s="144"/>
      <c r="AG2381" s="147"/>
      <c r="AH2381" s="147"/>
      <c r="AI2381" s="144"/>
      <c r="AJ2381" s="147"/>
      <c r="AK2381" s="147"/>
      <c r="AL2381" s="60"/>
      <c r="AM2381" s="60"/>
      <c r="AN2381" s="144"/>
      <c r="AO2381" s="144"/>
      <c r="AP2381" s="147"/>
      <c r="AQ2381" s="147"/>
      <c r="AR2381" s="144"/>
      <c r="AS2381" s="147"/>
      <c r="AT2381" s="147"/>
      <c r="AU2381" s="60"/>
      <c r="AV2381" s="410"/>
      <c r="AW2381" s="60"/>
    </row>
    <row r="2382">
      <c r="A2382" s="60"/>
      <c r="B2382" s="41"/>
      <c r="C2382" s="41"/>
      <c r="E2382" s="60"/>
      <c r="F2382" s="60"/>
      <c r="G2382" s="147"/>
      <c r="H2382" s="140"/>
      <c r="I2382" s="60"/>
      <c r="J2382" s="147"/>
      <c r="K2382" s="60"/>
      <c r="L2382" s="60"/>
      <c r="M2382" s="60"/>
      <c r="N2382" s="327"/>
      <c r="O2382" s="145"/>
      <c r="P2382" s="1572"/>
      <c r="Q2382" s="1526"/>
      <c r="R2382" s="60"/>
      <c r="S2382" s="1528"/>
      <c r="T2382" s="327"/>
      <c r="U2382" s="147"/>
      <c r="V2382" s="147"/>
      <c r="W2382" s="1455"/>
      <c r="X2382" s="60"/>
      <c r="Y2382" s="147"/>
      <c r="Z2382" s="60"/>
      <c r="AA2382" s="147"/>
      <c r="AB2382" s="147"/>
      <c r="AC2382" s="147"/>
      <c r="AD2382" s="147"/>
      <c r="AE2382" s="144"/>
      <c r="AF2382" s="144"/>
      <c r="AG2382" s="147"/>
      <c r="AH2382" s="147"/>
      <c r="AI2382" s="144"/>
      <c r="AJ2382" s="147"/>
      <c r="AK2382" s="147"/>
      <c r="AL2382" s="60"/>
      <c r="AM2382" s="60"/>
      <c r="AN2382" s="144"/>
      <c r="AO2382" s="144"/>
      <c r="AP2382" s="147"/>
      <c r="AQ2382" s="147"/>
      <c r="AR2382" s="144"/>
      <c r="AS2382" s="147"/>
      <c r="AT2382" s="147"/>
      <c r="AU2382" s="60"/>
      <c r="AV2382" s="410"/>
      <c r="AW2382" s="60"/>
    </row>
    <row r="2383">
      <c r="A2383" s="60"/>
      <c r="B2383" s="41"/>
      <c r="C2383" s="41"/>
      <c r="E2383" s="60"/>
      <c r="F2383" s="60"/>
      <c r="G2383" s="147"/>
      <c r="H2383" s="140"/>
      <c r="I2383" s="60"/>
      <c r="J2383" s="147"/>
      <c r="K2383" s="60"/>
      <c r="L2383" s="60"/>
      <c r="M2383" s="60"/>
      <c r="N2383" s="327"/>
      <c r="O2383" s="145"/>
      <c r="P2383" s="1572"/>
      <c r="Q2383" s="1526"/>
      <c r="R2383" s="60"/>
      <c r="S2383" s="1528"/>
      <c r="T2383" s="327"/>
      <c r="U2383" s="147"/>
      <c r="V2383" s="147"/>
      <c r="W2383" s="1455"/>
      <c r="X2383" s="60"/>
      <c r="Y2383" s="147"/>
      <c r="Z2383" s="60"/>
      <c r="AA2383" s="147"/>
      <c r="AB2383" s="147"/>
      <c r="AC2383" s="147"/>
      <c r="AD2383" s="147"/>
      <c r="AE2383" s="144"/>
      <c r="AF2383" s="144"/>
      <c r="AG2383" s="147"/>
      <c r="AH2383" s="147"/>
      <c r="AI2383" s="144"/>
      <c r="AJ2383" s="147"/>
      <c r="AK2383" s="147"/>
      <c r="AL2383" s="60"/>
      <c r="AM2383" s="60"/>
      <c r="AN2383" s="144"/>
      <c r="AO2383" s="144"/>
      <c r="AP2383" s="147"/>
      <c r="AQ2383" s="147"/>
      <c r="AR2383" s="144"/>
      <c r="AS2383" s="147"/>
      <c r="AT2383" s="147"/>
      <c r="AU2383" s="60"/>
      <c r="AV2383" s="410"/>
      <c r="AW2383" s="60"/>
    </row>
    <row r="2384">
      <c r="A2384" s="60"/>
      <c r="B2384" s="41"/>
      <c r="C2384" s="41"/>
      <c r="E2384" s="60"/>
      <c r="F2384" s="60"/>
      <c r="G2384" s="147"/>
      <c r="H2384" s="140"/>
      <c r="I2384" s="60"/>
      <c r="J2384" s="147"/>
      <c r="K2384" s="60"/>
      <c r="L2384" s="60"/>
      <c r="M2384" s="60"/>
      <c r="N2384" s="327"/>
      <c r="O2384" s="145"/>
      <c r="P2384" s="1572"/>
      <c r="Q2384" s="1526"/>
      <c r="R2384" s="60"/>
      <c r="S2384" s="1528"/>
      <c r="T2384" s="327"/>
      <c r="U2384" s="147"/>
      <c r="V2384" s="147"/>
      <c r="W2384" s="1455"/>
      <c r="X2384" s="60"/>
      <c r="Y2384" s="147"/>
      <c r="Z2384" s="60"/>
      <c r="AA2384" s="147"/>
      <c r="AB2384" s="147"/>
      <c r="AC2384" s="147"/>
      <c r="AD2384" s="147"/>
      <c r="AE2384" s="144"/>
      <c r="AF2384" s="144"/>
      <c r="AG2384" s="147"/>
      <c r="AH2384" s="147"/>
      <c r="AI2384" s="144"/>
      <c r="AJ2384" s="147"/>
      <c r="AK2384" s="147"/>
      <c r="AL2384" s="60"/>
      <c r="AM2384" s="60"/>
      <c r="AN2384" s="144"/>
      <c r="AO2384" s="144"/>
      <c r="AP2384" s="147"/>
      <c r="AQ2384" s="147"/>
      <c r="AR2384" s="144"/>
      <c r="AS2384" s="147"/>
      <c r="AT2384" s="147"/>
      <c r="AU2384" s="60"/>
      <c r="AV2384" s="410"/>
      <c r="AW2384" s="60"/>
    </row>
    <row r="2385">
      <c r="A2385" s="60"/>
      <c r="B2385" s="41"/>
      <c r="C2385" s="41"/>
      <c r="E2385" s="60"/>
      <c r="F2385" s="60"/>
      <c r="G2385" s="147"/>
      <c r="H2385" s="140"/>
      <c r="I2385" s="60"/>
      <c r="J2385" s="147"/>
      <c r="K2385" s="60"/>
      <c r="L2385" s="60"/>
      <c r="M2385" s="60"/>
      <c r="N2385" s="327"/>
      <c r="O2385" s="145"/>
      <c r="P2385" s="1572"/>
      <c r="Q2385" s="1526"/>
      <c r="R2385" s="60"/>
      <c r="S2385" s="1528"/>
      <c r="T2385" s="327"/>
      <c r="U2385" s="147"/>
      <c r="V2385" s="147"/>
      <c r="W2385" s="1455"/>
      <c r="X2385" s="60"/>
      <c r="Y2385" s="147"/>
      <c r="Z2385" s="60"/>
      <c r="AA2385" s="147"/>
      <c r="AB2385" s="147"/>
      <c r="AC2385" s="147"/>
      <c r="AD2385" s="147"/>
      <c r="AE2385" s="144"/>
      <c r="AF2385" s="144"/>
      <c r="AG2385" s="147"/>
      <c r="AH2385" s="147"/>
      <c r="AI2385" s="144"/>
      <c r="AJ2385" s="147"/>
      <c r="AK2385" s="147"/>
      <c r="AL2385" s="60"/>
      <c r="AM2385" s="60"/>
      <c r="AN2385" s="144"/>
      <c r="AO2385" s="144"/>
      <c r="AP2385" s="147"/>
      <c r="AQ2385" s="147"/>
      <c r="AR2385" s="144"/>
      <c r="AS2385" s="147"/>
      <c r="AT2385" s="147"/>
      <c r="AU2385" s="60"/>
      <c r="AV2385" s="410"/>
      <c r="AW2385" s="60"/>
    </row>
    <row r="2386">
      <c r="A2386" s="60"/>
      <c r="B2386" s="41"/>
      <c r="C2386" s="41"/>
      <c r="E2386" s="60"/>
      <c r="F2386" s="60"/>
      <c r="G2386" s="147"/>
      <c r="H2386" s="140"/>
      <c r="I2386" s="60"/>
      <c r="J2386" s="147"/>
      <c r="K2386" s="60"/>
      <c r="L2386" s="60"/>
      <c r="M2386" s="60"/>
      <c r="N2386" s="327"/>
      <c r="O2386" s="145"/>
      <c r="P2386" s="1572"/>
      <c r="Q2386" s="1526"/>
      <c r="R2386" s="60"/>
      <c r="S2386" s="1528"/>
      <c r="T2386" s="327"/>
      <c r="U2386" s="147"/>
      <c r="V2386" s="147"/>
      <c r="W2386" s="1455"/>
      <c r="X2386" s="60"/>
      <c r="Y2386" s="147"/>
      <c r="Z2386" s="60"/>
      <c r="AA2386" s="147"/>
      <c r="AB2386" s="147"/>
      <c r="AC2386" s="147"/>
      <c r="AD2386" s="147"/>
      <c r="AE2386" s="144"/>
      <c r="AF2386" s="144"/>
      <c r="AG2386" s="147"/>
      <c r="AH2386" s="147"/>
      <c r="AI2386" s="144"/>
      <c r="AJ2386" s="147"/>
      <c r="AK2386" s="147"/>
      <c r="AL2386" s="60"/>
      <c r="AM2386" s="60"/>
      <c r="AN2386" s="144"/>
      <c r="AO2386" s="144"/>
      <c r="AP2386" s="147"/>
      <c r="AQ2386" s="147"/>
      <c r="AR2386" s="144"/>
      <c r="AS2386" s="147"/>
      <c r="AT2386" s="147"/>
      <c r="AU2386" s="60"/>
      <c r="AV2386" s="410"/>
      <c r="AW2386" s="60"/>
    </row>
    <row r="2387">
      <c r="A2387" s="60"/>
      <c r="B2387" s="41"/>
      <c r="C2387" s="41"/>
      <c r="E2387" s="60"/>
      <c r="F2387" s="60"/>
      <c r="G2387" s="147"/>
      <c r="H2387" s="140"/>
      <c r="I2387" s="60"/>
      <c r="J2387" s="147"/>
      <c r="K2387" s="60"/>
      <c r="L2387" s="60"/>
      <c r="M2387" s="60"/>
      <c r="N2387" s="327"/>
      <c r="O2387" s="145"/>
      <c r="P2387" s="1572"/>
      <c r="Q2387" s="1526"/>
      <c r="R2387" s="60"/>
      <c r="S2387" s="1528"/>
      <c r="T2387" s="327"/>
      <c r="U2387" s="147"/>
      <c r="V2387" s="147"/>
      <c r="W2387" s="1455"/>
      <c r="X2387" s="60"/>
      <c r="Y2387" s="147"/>
      <c r="Z2387" s="60"/>
      <c r="AA2387" s="147"/>
      <c r="AB2387" s="147"/>
      <c r="AC2387" s="147"/>
      <c r="AD2387" s="147"/>
      <c r="AE2387" s="144"/>
      <c r="AF2387" s="144"/>
      <c r="AG2387" s="147"/>
      <c r="AH2387" s="147"/>
      <c r="AI2387" s="144"/>
      <c r="AJ2387" s="147"/>
      <c r="AK2387" s="147"/>
      <c r="AL2387" s="60"/>
      <c r="AM2387" s="60"/>
      <c r="AN2387" s="144"/>
      <c r="AO2387" s="144"/>
      <c r="AP2387" s="147"/>
      <c r="AQ2387" s="147"/>
      <c r="AR2387" s="144"/>
      <c r="AS2387" s="147"/>
      <c r="AT2387" s="147"/>
      <c r="AU2387" s="60"/>
      <c r="AV2387" s="410"/>
      <c r="AW2387" s="60"/>
    </row>
    <row r="2388">
      <c r="A2388" s="60"/>
      <c r="B2388" s="41"/>
      <c r="C2388" s="41"/>
      <c r="E2388" s="60"/>
      <c r="F2388" s="60"/>
      <c r="G2388" s="147"/>
      <c r="H2388" s="140"/>
      <c r="I2388" s="60"/>
      <c r="J2388" s="147"/>
      <c r="K2388" s="60"/>
      <c r="L2388" s="60"/>
      <c r="M2388" s="60"/>
      <c r="N2388" s="327"/>
      <c r="O2388" s="145"/>
      <c r="P2388" s="1572"/>
      <c r="Q2388" s="1526"/>
      <c r="R2388" s="60"/>
      <c r="S2388" s="1528"/>
      <c r="T2388" s="327"/>
      <c r="U2388" s="147"/>
      <c r="V2388" s="147"/>
      <c r="W2388" s="1455"/>
      <c r="X2388" s="60"/>
      <c r="Y2388" s="147"/>
      <c r="Z2388" s="60"/>
      <c r="AA2388" s="147"/>
      <c r="AB2388" s="147"/>
      <c r="AC2388" s="147"/>
      <c r="AD2388" s="147"/>
      <c r="AE2388" s="144"/>
      <c r="AF2388" s="144"/>
      <c r="AG2388" s="147"/>
      <c r="AH2388" s="147"/>
      <c r="AI2388" s="144"/>
      <c r="AJ2388" s="147"/>
      <c r="AK2388" s="147"/>
      <c r="AL2388" s="60"/>
      <c r="AM2388" s="60"/>
      <c r="AN2388" s="144"/>
      <c r="AO2388" s="144"/>
      <c r="AP2388" s="147"/>
      <c r="AQ2388" s="147"/>
      <c r="AR2388" s="144"/>
      <c r="AS2388" s="147"/>
      <c r="AT2388" s="147"/>
      <c r="AU2388" s="60"/>
      <c r="AV2388" s="410"/>
      <c r="AW2388" s="60"/>
    </row>
    <row r="2389">
      <c r="A2389" s="60"/>
      <c r="B2389" s="41"/>
      <c r="C2389" s="41"/>
      <c r="E2389" s="60"/>
      <c r="F2389" s="60"/>
      <c r="G2389" s="147"/>
      <c r="H2389" s="140"/>
      <c r="I2389" s="60"/>
      <c r="J2389" s="147"/>
      <c r="K2389" s="60"/>
      <c r="L2389" s="60"/>
      <c r="M2389" s="60"/>
      <c r="N2389" s="327"/>
      <c r="O2389" s="145"/>
      <c r="P2389" s="1572"/>
      <c r="Q2389" s="1526"/>
      <c r="R2389" s="60"/>
      <c r="S2389" s="1528"/>
      <c r="T2389" s="327"/>
      <c r="U2389" s="147"/>
      <c r="V2389" s="147"/>
      <c r="W2389" s="1455"/>
      <c r="X2389" s="60"/>
      <c r="Y2389" s="147"/>
      <c r="Z2389" s="60"/>
      <c r="AA2389" s="147"/>
      <c r="AB2389" s="147"/>
      <c r="AC2389" s="147"/>
      <c r="AD2389" s="147"/>
      <c r="AE2389" s="144"/>
      <c r="AF2389" s="144"/>
      <c r="AG2389" s="147"/>
      <c r="AH2389" s="147"/>
      <c r="AI2389" s="144"/>
      <c r="AJ2389" s="147"/>
      <c r="AK2389" s="147"/>
      <c r="AL2389" s="60"/>
      <c r="AM2389" s="60"/>
      <c r="AN2389" s="144"/>
      <c r="AO2389" s="144"/>
      <c r="AP2389" s="147"/>
      <c r="AQ2389" s="147"/>
      <c r="AR2389" s="144"/>
      <c r="AS2389" s="147"/>
      <c r="AT2389" s="147"/>
      <c r="AU2389" s="60"/>
      <c r="AV2389" s="410"/>
      <c r="AW2389" s="60"/>
    </row>
    <row r="2390">
      <c r="A2390" s="60"/>
      <c r="B2390" s="41"/>
      <c r="C2390" s="41"/>
      <c r="E2390" s="60"/>
      <c r="F2390" s="60"/>
      <c r="G2390" s="147"/>
      <c r="H2390" s="140"/>
      <c r="I2390" s="60"/>
      <c r="J2390" s="147"/>
      <c r="K2390" s="60"/>
      <c r="L2390" s="60"/>
      <c r="M2390" s="60"/>
      <c r="N2390" s="327"/>
      <c r="O2390" s="145"/>
      <c r="P2390" s="1572"/>
      <c r="Q2390" s="1526"/>
      <c r="R2390" s="60"/>
      <c r="S2390" s="1528"/>
      <c r="T2390" s="327"/>
      <c r="U2390" s="147"/>
      <c r="V2390" s="147"/>
      <c r="W2390" s="1455"/>
      <c r="X2390" s="60"/>
      <c r="Y2390" s="147"/>
      <c r="Z2390" s="60"/>
      <c r="AA2390" s="147"/>
      <c r="AB2390" s="147"/>
      <c r="AC2390" s="147"/>
      <c r="AD2390" s="147"/>
      <c r="AE2390" s="144"/>
      <c r="AF2390" s="144"/>
      <c r="AG2390" s="147"/>
      <c r="AH2390" s="147"/>
      <c r="AI2390" s="144"/>
      <c r="AJ2390" s="147"/>
      <c r="AK2390" s="147"/>
      <c r="AL2390" s="60"/>
      <c r="AM2390" s="60"/>
      <c r="AN2390" s="144"/>
      <c r="AO2390" s="144"/>
      <c r="AP2390" s="147"/>
      <c r="AQ2390" s="147"/>
      <c r="AR2390" s="144"/>
      <c r="AS2390" s="147"/>
      <c r="AT2390" s="147"/>
      <c r="AU2390" s="60"/>
      <c r="AV2390" s="410"/>
      <c r="AW2390" s="60"/>
    </row>
    <row r="2391">
      <c r="A2391" s="60"/>
      <c r="B2391" s="41"/>
      <c r="C2391" s="41"/>
      <c r="E2391" s="60"/>
      <c r="F2391" s="60"/>
      <c r="G2391" s="147"/>
      <c r="H2391" s="140"/>
      <c r="I2391" s="60"/>
      <c r="J2391" s="147"/>
      <c r="K2391" s="60"/>
      <c r="L2391" s="60"/>
      <c r="M2391" s="60"/>
      <c r="N2391" s="327"/>
      <c r="O2391" s="145"/>
      <c r="P2391" s="1572"/>
      <c r="Q2391" s="1526"/>
      <c r="R2391" s="60"/>
      <c r="S2391" s="1528"/>
      <c r="T2391" s="327"/>
      <c r="U2391" s="147"/>
      <c r="V2391" s="147"/>
      <c r="W2391" s="1455"/>
      <c r="X2391" s="60"/>
      <c r="Y2391" s="147"/>
      <c r="Z2391" s="60"/>
      <c r="AA2391" s="147"/>
      <c r="AB2391" s="147"/>
      <c r="AC2391" s="147"/>
      <c r="AD2391" s="147"/>
      <c r="AE2391" s="144"/>
      <c r="AF2391" s="144"/>
      <c r="AG2391" s="147"/>
      <c r="AH2391" s="147"/>
      <c r="AI2391" s="144"/>
      <c r="AJ2391" s="147"/>
      <c r="AK2391" s="147"/>
      <c r="AL2391" s="60"/>
      <c r="AM2391" s="60"/>
      <c r="AN2391" s="144"/>
      <c r="AO2391" s="144"/>
      <c r="AP2391" s="147"/>
      <c r="AQ2391" s="147"/>
      <c r="AR2391" s="144"/>
      <c r="AS2391" s="147"/>
      <c r="AT2391" s="147"/>
      <c r="AU2391" s="60"/>
      <c r="AV2391" s="410"/>
      <c r="AW2391" s="60"/>
    </row>
    <row r="2392">
      <c r="A2392" s="60"/>
      <c r="B2392" s="41"/>
      <c r="C2392" s="41"/>
      <c r="E2392" s="60"/>
      <c r="F2392" s="60"/>
      <c r="G2392" s="147"/>
      <c r="H2392" s="140"/>
      <c r="I2392" s="60"/>
      <c r="J2392" s="147"/>
      <c r="K2392" s="60"/>
      <c r="L2392" s="60"/>
      <c r="M2392" s="60"/>
      <c r="N2392" s="327"/>
      <c r="O2392" s="145"/>
      <c r="P2392" s="1572"/>
      <c r="Q2392" s="1526"/>
      <c r="R2392" s="60"/>
      <c r="S2392" s="1528"/>
      <c r="T2392" s="327"/>
      <c r="U2392" s="147"/>
      <c r="V2392" s="147"/>
      <c r="W2392" s="1455"/>
      <c r="X2392" s="60"/>
      <c r="Y2392" s="147"/>
      <c r="Z2392" s="60"/>
      <c r="AA2392" s="147"/>
      <c r="AB2392" s="147"/>
      <c r="AC2392" s="147"/>
      <c r="AD2392" s="147"/>
      <c r="AE2392" s="144"/>
      <c r="AF2392" s="144"/>
      <c r="AG2392" s="147"/>
      <c r="AH2392" s="147"/>
      <c r="AI2392" s="144"/>
      <c r="AJ2392" s="147"/>
      <c r="AK2392" s="147"/>
      <c r="AL2392" s="60"/>
      <c r="AM2392" s="60"/>
      <c r="AN2392" s="144"/>
      <c r="AO2392" s="144"/>
      <c r="AP2392" s="147"/>
      <c r="AQ2392" s="147"/>
      <c r="AR2392" s="144"/>
      <c r="AS2392" s="147"/>
      <c r="AT2392" s="147"/>
      <c r="AU2392" s="60"/>
      <c r="AV2392" s="410"/>
      <c r="AW2392" s="60"/>
    </row>
    <row r="2393">
      <c r="A2393" s="60"/>
      <c r="B2393" s="41"/>
      <c r="C2393" s="41"/>
      <c r="E2393" s="60"/>
      <c r="F2393" s="60"/>
      <c r="G2393" s="147"/>
      <c r="H2393" s="140"/>
      <c r="I2393" s="60"/>
      <c r="J2393" s="147"/>
      <c r="K2393" s="60"/>
      <c r="L2393" s="60"/>
      <c r="M2393" s="60"/>
      <c r="N2393" s="327"/>
      <c r="O2393" s="145"/>
      <c r="P2393" s="1572"/>
      <c r="Q2393" s="1526"/>
      <c r="R2393" s="60"/>
      <c r="S2393" s="1528"/>
      <c r="T2393" s="327"/>
      <c r="U2393" s="147"/>
      <c r="V2393" s="147"/>
      <c r="W2393" s="1455"/>
      <c r="X2393" s="60"/>
      <c r="Y2393" s="147"/>
      <c r="Z2393" s="60"/>
      <c r="AA2393" s="147"/>
      <c r="AB2393" s="147"/>
      <c r="AC2393" s="147"/>
      <c r="AD2393" s="147"/>
      <c r="AE2393" s="144"/>
      <c r="AF2393" s="144"/>
      <c r="AG2393" s="147"/>
      <c r="AH2393" s="147"/>
      <c r="AI2393" s="144"/>
      <c r="AJ2393" s="147"/>
      <c r="AK2393" s="147"/>
      <c r="AL2393" s="60"/>
      <c r="AM2393" s="60"/>
      <c r="AN2393" s="144"/>
      <c r="AO2393" s="144"/>
      <c r="AP2393" s="147"/>
      <c r="AQ2393" s="147"/>
      <c r="AR2393" s="144"/>
      <c r="AS2393" s="147"/>
      <c r="AT2393" s="147"/>
      <c r="AU2393" s="60"/>
      <c r="AV2393" s="410"/>
      <c r="AW2393" s="60"/>
    </row>
    <row r="2394">
      <c r="A2394" s="60"/>
      <c r="B2394" s="41"/>
      <c r="C2394" s="41"/>
      <c r="E2394" s="60"/>
      <c r="F2394" s="60"/>
      <c r="G2394" s="147"/>
      <c r="H2394" s="140"/>
      <c r="I2394" s="60"/>
      <c r="J2394" s="147"/>
      <c r="K2394" s="60"/>
      <c r="L2394" s="60"/>
      <c r="M2394" s="60"/>
      <c r="N2394" s="327"/>
      <c r="O2394" s="145"/>
      <c r="P2394" s="1572"/>
      <c r="Q2394" s="1526"/>
      <c r="R2394" s="60"/>
      <c r="S2394" s="1528"/>
      <c r="T2394" s="327"/>
      <c r="U2394" s="147"/>
      <c r="V2394" s="147"/>
      <c r="W2394" s="1455"/>
      <c r="X2394" s="60"/>
      <c r="Y2394" s="147"/>
      <c r="Z2394" s="60"/>
      <c r="AA2394" s="147"/>
      <c r="AB2394" s="147"/>
      <c r="AC2394" s="147"/>
      <c r="AD2394" s="147"/>
      <c r="AE2394" s="144"/>
      <c r="AF2394" s="144"/>
      <c r="AG2394" s="147"/>
      <c r="AH2394" s="147"/>
      <c r="AI2394" s="144"/>
      <c r="AJ2394" s="147"/>
      <c r="AK2394" s="147"/>
      <c r="AL2394" s="60"/>
      <c r="AM2394" s="60"/>
      <c r="AN2394" s="144"/>
      <c r="AO2394" s="144"/>
      <c r="AP2394" s="147"/>
      <c r="AQ2394" s="147"/>
      <c r="AR2394" s="144"/>
      <c r="AS2394" s="147"/>
      <c r="AT2394" s="147"/>
      <c r="AU2394" s="60"/>
      <c r="AV2394" s="410"/>
      <c r="AW2394" s="60"/>
    </row>
    <row r="2395">
      <c r="A2395" s="60"/>
      <c r="B2395" s="41"/>
      <c r="C2395" s="41"/>
      <c r="E2395" s="60"/>
      <c r="F2395" s="60"/>
      <c r="G2395" s="147"/>
      <c r="H2395" s="140"/>
      <c r="I2395" s="60"/>
      <c r="J2395" s="147"/>
      <c r="K2395" s="60"/>
      <c r="L2395" s="60"/>
      <c r="M2395" s="60"/>
      <c r="N2395" s="327"/>
      <c r="O2395" s="145"/>
      <c r="P2395" s="1572"/>
      <c r="Q2395" s="1526"/>
      <c r="R2395" s="60"/>
      <c r="S2395" s="1528"/>
      <c r="T2395" s="327"/>
      <c r="U2395" s="147"/>
      <c r="V2395" s="147"/>
      <c r="W2395" s="1455"/>
      <c r="X2395" s="60"/>
      <c r="Y2395" s="147"/>
      <c r="Z2395" s="60"/>
      <c r="AA2395" s="147"/>
      <c r="AB2395" s="147"/>
      <c r="AC2395" s="147"/>
      <c r="AD2395" s="147"/>
      <c r="AE2395" s="144"/>
      <c r="AF2395" s="144"/>
      <c r="AG2395" s="147"/>
      <c r="AH2395" s="147"/>
      <c r="AI2395" s="144"/>
      <c r="AJ2395" s="147"/>
      <c r="AK2395" s="147"/>
      <c r="AL2395" s="60"/>
      <c r="AM2395" s="60"/>
      <c r="AN2395" s="144"/>
      <c r="AO2395" s="144"/>
      <c r="AP2395" s="147"/>
      <c r="AQ2395" s="147"/>
      <c r="AR2395" s="144"/>
      <c r="AS2395" s="147"/>
      <c r="AT2395" s="147"/>
      <c r="AU2395" s="60"/>
      <c r="AV2395" s="410"/>
      <c r="AW2395" s="60"/>
    </row>
    <row r="2396">
      <c r="A2396" s="60"/>
      <c r="B2396" s="41"/>
      <c r="C2396" s="41"/>
      <c r="E2396" s="60"/>
      <c r="F2396" s="60"/>
      <c r="G2396" s="147"/>
      <c r="H2396" s="140"/>
      <c r="I2396" s="60"/>
      <c r="J2396" s="147"/>
      <c r="K2396" s="60"/>
      <c r="L2396" s="60"/>
      <c r="M2396" s="60"/>
      <c r="N2396" s="327"/>
      <c r="O2396" s="145"/>
      <c r="P2396" s="1572"/>
      <c r="Q2396" s="1526"/>
      <c r="R2396" s="60"/>
      <c r="S2396" s="1528"/>
      <c r="T2396" s="327"/>
      <c r="U2396" s="147"/>
      <c r="V2396" s="147"/>
      <c r="W2396" s="1455"/>
      <c r="X2396" s="60"/>
      <c r="Y2396" s="147"/>
      <c r="Z2396" s="60"/>
      <c r="AA2396" s="147"/>
      <c r="AB2396" s="147"/>
      <c r="AC2396" s="147"/>
      <c r="AD2396" s="147"/>
      <c r="AE2396" s="144"/>
      <c r="AF2396" s="144"/>
      <c r="AG2396" s="147"/>
      <c r="AH2396" s="147"/>
      <c r="AI2396" s="144"/>
      <c r="AJ2396" s="147"/>
      <c r="AK2396" s="147"/>
      <c r="AL2396" s="60"/>
      <c r="AM2396" s="60"/>
      <c r="AN2396" s="144"/>
      <c r="AO2396" s="144"/>
      <c r="AP2396" s="147"/>
      <c r="AQ2396" s="147"/>
      <c r="AR2396" s="144"/>
      <c r="AS2396" s="147"/>
      <c r="AT2396" s="147"/>
      <c r="AU2396" s="60"/>
      <c r="AV2396" s="410"/>
      <c r="AW2396" s="60"/>
    </row>
    <row r="2397">
      <c r="A2397" s="60"/>
      <c r="B2397" s="41"/>
      <c r="C2397" s="41"/>
      <c r="E2397" s="60"/>
      <c r="F2397" s="60"/>
      <c r="G2397" s="147"/>
      <c r="H2397" s="140"/>
      <c r="I2397" s="60"/>
      <c r="J2397" s="147"/>
      <c r="K2397" s="60"/>
      <c r="L2397" s="60"/>
      <c r="M2397" s="60"/>
      <c r="N2397" s="327"/>
      <c r="O2397" s="145"/>
      <c r="P2397" s="1572"/>
      <c r="Q2397" s="1526"/>
      <c r="R2397" s="60"/>
      <c r="S2397" s="1528"/>
      <c r="T2397" s="327"/>
      <c r="U2397" s="147"/>
      <c r="V2397" s="147"/>
      <c r="W2397" s="1455"/>
      <c r="X2397" s="60"/>
      <c r="Y2397" s="147"/>
      <c r="Z2397" s="60"/>
      <c r="AA2397" s="147"/>
      <c r="AB2397" s="147"/>
      <c r="AC2397" s="147"/>
      <c r="AD2397" s="147"/>
      <c r="AE2397" s="144"/>
      <c r="AF2397" s="144"/>
      <c r="AG2397" s="147"/>
      <c r="AH2397" s="147"/>
      <c r="AI2397" s="144"/>
      <c r="AJ2397" s="147"/>
      <c r="AK2397" s="147"/>
      <c r="AL2397" s="60"/>
      <c r="AM2397" s="60"/>
      <c r="AN2397" s="144"/>
      <c r="AO2397" s="144"/>
      <c r="AP2397" s="147"/>
      <c r="AQ2397" s="147"/>
      <c r="AR2397" s="144"/>
      <c r="AS2397" s="147"/>
      <c r="AT2397" s="147"/>
      <c r="AU2397" s="60"/>
      <c r="AV2397" s="410"/>
      <c r="AW2397" s="60"/>
    </row>
  </sheetData>
  <autoFilter ref="$A$1:$BC$1933">
    <filterColumn colId="23">
      <filters blank="1">
        <filter val="exclusion"/>
        <filter val="Reason for study exclusion (usually only if R is not a replication)"/>
      </filters>
    </filterColumn>
  </autoFilter>
  <customSheetViews>
    <customSheetView guid="{BB09DBFA-6CD5-41DB-B679-F845FD17F921}" filter="1" showAutoFilter="1">
      <autoFilter ref="$A$2:$BC$1415"/>
    </customSheetView>
    <customSheetView guid="{0FA1AA6F-C912-4980-A389-9EC0A934BD66}" filter="1" showAutoFilter="1">
      <autoFilter ref="$A$2:$AY$1415">
        <filterColumn colId="15">
          <filters>
            <filter val="https://drive.google.com/file/d/1mWjj8mxrG8UD8YXr2nZ-cGzIZBtUwLal/view?usp=drivesdk"/>
            <filter val="https://drive.google.com/file/d/1jZb-p-3Rc26saHcNX9fyKAs8ayXvLp_G/view?usp=drivesdk"/>
            <filter val="#N/A"/>
          </filters>
        </filterColumn>
      </autoFilter>
    </customSheetView>
  </customSheetViews>
  <mergeCells count="87">
    <mergeCell ref="R1375:S1375"/>
    <mergeCell ref="R1376:S1376"/>
    <mergeCell ref="R1377:S1377"/>
    <mergeCell ref="R1378:S1378"/>
    <mergeCell ref="R1379:S1379"/>
    <mergeCell ref="R1380:S1380"/>
    <mergeCell ref="R1381:S1381"/>
    <mergeCell ref="R1382:S1382"/>
    <mergeCell ref="R1383:S1383"/>
    <mergeCell ref="R1384:S1384"/>
    <mergeCell ref="R1385:S1385"/>
    <mergeCell ref="R1386:S1386"/>
    <mergeCell ref="R1387:S1387"/>
    <mergeCell ref="R1388:S1388"/>
    <mergeCell ref="R1389:S1389"/>
    <mergeCell ref="R1390:S1390"/>
    <mergeCell ref="R1391:S1391"/>
    <mergeCell ref="R1392:S1392"/>
    <mergeCell ref="R1393:S1393"/>
    <mergeCell ref="R1394:S1394"/>
    <mergeCell ref="R1395:S1395"/>
    <mergeCell ref="R1403:S1403"/>
    <mergeCell ref="M1404:N1404"/>
    <mergeCell ref="R1404:S1404"/>
    <mergeCell ref="AB1404:AD1404"/>
    <mergeCell ref="M1405:N1405"/>
    <mergeCell ref="R1405:S1405"/>
    <mergeCell ref="R1406:S1406"/>
    <mergeCell ref="R1407:S1407"/>
    <mergeCell ref="M1408:N1408"/>
    <mergeCell ref="R1408:S1408"/>
    <mergeCell ref="AB1408:AD1408"/>
    <mergeCell ref="M1409:N1409"/>
    <mergeCell ref="R1409:S1409"/>
    <mergeCell ref="R1410:S1410"/>
    <mergeCell ref="R1411:S1411"/>
    <mergeCell ref="R1412:S1412"/>
    <mergeCell ref="AT1412:AU1412"/>
    <mergeCell ref="R1413:S1413"/>
    <mergeCell ref="R1414:S1414"/>
    <mergeCell ref="R1415:S1415"/>
    <mergeCell ref="R1396:S1396"/>
    <mergeCell ref="R1397:S1397"/>
    <mergeCell ref="R1398:S1398"/>
    <mergeCell ref="R1399:S1399"/>
    <mergeCell ref="R1400:S1400"/>
    <mergeCell ref="R1401:S1401"/>
    <mergeCell ref="R1402:S1402"/>
    <mergeCell ref="R206:S206"/>
    <mergeCell ref="R207:S207"/>
    <mergeCell ref="M300:N300"/>
    <mergeCell ref="M318:N318"/>
    <mergeCell ref="R318:S318"/>
    <mergeCell ref="R486:S486"/>
    <mergeCell ref="Y486:Z486"/>
    <mergeCell ref="Y507:Z507"/>
    <mergeCell ref="AT507:AU507"/>
    <mergeCell ref="R508:S508"/>
    <mergeCell ref="Y508:Z508"/>
    <mergeCell ref="AB508:AC508"/>
    <mergeCell ref="AT508:AU508"/>
    <mergeCell ref="R509:S509"/>
    <mergeCell ref="Y509:Z509"/>
    <mergeCell ref="AT509:AU509"/>
    <mergeCell ref="Y510:Z510"/>
    <mergeCell ref="AB510:AC510"/>
    <mergeCell ref="AA486:AB486"/>
    <mergeCell ref="AC486:AD486"/>
    <mergeCell ref="R498:S498"/>
    <mergeCell ref="R501:S501"/>
    <mergeCell ref="Y503:Z503"/>
    <mergeCell ref="AB503:AC503"/>
    <mergeCell ref="AC788:AD788"/>
    <mergeCell ref="R507:S507"/>
    <mergeCell ref="R1364:S1364"/>
    <mergeCell ref="R1365:S1365"/>
    <mergeCell ref="R1366:S1366"/>
    <mergeCell ref="R1367:S1367"/>
    <mergeCell ref="R1368:S1368"/>
    <mergeCell ref="R1369:S1369"/>
    <mergeCell ref="R1370:S1370"/>
    <mergeCell ref="R1371:S1371"/>
    <mergeCell ref="R1372:S1372"/>
    <mergeCell ref="R1373:S1373"/>
    <mergeCell ref="M1374:N1374"/>
    <mergeCell ref="R1374:S1374"/>
    <mergeCell ref="M1375:N1375"/>
  </mergeCells>
  <dataValidations>
    <dataValidation type="custom" allowBlank="1" showDropDown="1" sqref="AF4:AF60 AF65:AF100 AO4:AO100 AF102:AF152 AF155:AF158 AF162:AF173 AF178:AF188 AO102:AO188 AF191:AF521 AF537 AF539 AF541 AF548 AF550 AF552 AF559:AF578 AO191:AO578 AN579:AN583 AF584:AF590 AF594 AF596:AF630 AF632:AF642 AO584:AO642 AF649:AF731 AF734:AF736 AF738:AF740 AF742:AF921 AO644:AO924 AO926 AO928:AO930 AO932 AO934:AO936 AO938:AO940 AE941:AE954 AE956 AO957 AO959 AO961:AO962 AO964 AO966 AO968:AO970 AO972 AN973:AN974 AN976 AO978:AO980 AO982:AO984 AO986 AO988 AO990:AO991 AO993 AE1002:AE1008 AO1022 AQ1028 AO1026:AO1031 AO1036:AO1046 AR1049 AR1053 AR1074 AR1083 AR1091 AO1048:AO1093 AR1093 AO1095:AO1113 AF1134 AF1137 AO1115:AO1142 AR1154 AR1159 AR1204 AO1144:AO1212 AR1220 AO1214:AO1242 AO1244:AO1253 AF1360 AF1364:AF1415 AF1466:AF1470 AF1476 AF1479:AF1480 AF1483 AF1488:AF1489 AF1491 AF1495:AF1496 AF1498:AF1499 AF1501 AF1504:AF1508 AF1513:AF1516 AF1521:AF1522 AF1527:AF1528 AF1530:AF1539 AF1542:AF1543 AO1255:AO1550 AF1582:AF1583 AF1585 AF1588 AF1590 AF1593 AO1552:AO1597 AO1602:AO1608 AO1612:AO1614 AO1620:AO1626 AO1631:AO1632 AO1634:AO1645 AO1647:AO1649 AO1651:AO1658 AO1661:AO1668 AO1670:AO1673 AO1676:AO1677 AO1679:AO1680 AO1682:AO1687 AO1689 AO1695:AO1708 AO1710:AO1711 AO1713 AO1723:AO1724 AO1726 AO1729:AO1731 AO1733:AO1734 AO1741:AO1748 AO1751:AO1755 AO1757:AO1772 AF1881 AF1883 AF1885:AF1889 AF1891 AF1893:AF1895 AF1897 AF1899 AF1901 AF1903 AF1905 AF1907 AF1909 AF1911 AF1913 AF1915 AO1774:AO1933 AO1961:AO1967 AO1969:AO2397">
      <formula1>isnumber(AE4)</formula1>
    </dataValidation>
    <dataValidation type="custom" allowBlank="1" showDropDown="1" sqref="M61:M64 M128:M129 R128:R129 M153:M154 R153:R154 M159:M161 R159:R161 M174:M177 R174:R177 M189:M190 R189:R190 M269:M270 R269:R270 M522:M536 R522:R536 M538 R538 M540 R540 M542:M547 R542:R547 M549 R549 M551 R551 M553:M558 R553:R558 L579:L583 Q579:Q583 M591:M593 R591:R593 M595 R595 M631 R631 M644:M648 R644:R648 M732:M733 R732:R733 M737 R737 M741 R741 M923:M924 R923:R924 M926 R926 M928:M930 R928:R930 M932 R932 M934 R934 M936 R936 M938:M940 R938:R940 M942 R942 M944 R944 M946 R946 M948 R948 M950 R950 M952 R952 M954 R954 M956:M957 R956:R957 M959 R959 M961:M962 R961:R962 M964 R964 M966 R966 M968 R968 M970 R970 M972 R972 M974 R974 M976 R976 M978 R978 M980 R980 M982 R982 M984 R984 M986 R986 M988 R988 M990:M991 R990:R991 M993 R993 M1036:M1046 M1048:M1209 R1036:R1209 Q1210 Q1211:R1211 Q1212:S1213 M1211:M1214 Q1214:R1214 Q1215:Q1216 M1217:M1219 Q1217:R1219 Q1220:Q1223 M1224:M1225 Q1224:R1225 Q1226 M1227:M1229 Q1227:R1229 Q1230 M1231:M1233 Q1231:R1233 Q1234:Q1235 M1236 Q1236:R1236 Q1237:Q1239 M1240 Q1240:R1240 Q1242:Q1244 M1245:M1247 Q1245:R1247 Q1248:Q1252 Q1253:R1253 M1253:M1254 R1254 Q1255:Q1257 M1258 Q1258:R1258 Q1259:Q1260 M1261 Q1261:R1261 Q1262 M1263:M1265 Q1263:R1265 Q1266 M1267:M1268 Q1267:R1268 Q1269:Q1271 M1272:M1273 Q1272:R1273 Q1274:Q1275 M1276 Q1276:R1276 Q1277:Q1278 M1279:M1281 Q1279:R1281 Q1282 M1283:M1284 Q1283:R1284 Q1285 M1286 Q1286:R1286 Q1287:Q1288 M1289:M1291 Q1289:R1291 Q1292:Q1294 M1295 Q1295:R1295 Q1296 M1297 Q1297:R1297 Q1298:Q1304 M1305 Q1305:R1305 Q1306:Q1310 M1311 Q1311:R1311 Q1312:Q1314 M1315 Q1315:R1315 Q1316:Q1318 M1319:M1320 Q1319:R1320 Q1321:Q1324 M1325 Q1325:R1325 Q1326 M1327 Q1327:R1327 Q1328 M1329 Q1329:R1329 Q1330:Q1332 M1333 Q1333:R1333 Q1334:Q1336 Q1337:R1337 M1337:M1363 R1338:R1363 M1416:M1810 M1812:M1880 R1416:R1880 M1882 R1882 M1884 R1884 M1886 R1886 M1888 R1888 M1890 R1890 M1892 R1892 M1894 R1894 M1896 R1896 M1898 R1898 M1900 R1900 M1902 R1902 M1904 R1904 M1906 R1906 M1908 R1908 M1910 R1910 M1912 R1912 M1914 R1914 M1916:M1933 R1916:R1933 M1969:M2397 R1969:R2397">
      <formula1>LEFT(L61, 3) = "10."</formula1>
    </dataValidation>
    <dataValidation type="decimal" operator="lessThan" allowBlank="1" showDropDown="1" sqref="AI61:AI64 AR61:AR64 AI128:AI129 AR128:AR129 AI153:AI154 AR153:AR154 AI159:AI161 AR159:AR161 AI174:AI177 AR174:AR177 AI189:AI190 AO189:AO190 AI269:AI270 AR269:AR270 AR522:AR536 AI538 AR538 AI540 AI542:AI547 AR542:AR547 AI549 AR549 AI551 AR551 AI553:AI558 AR553:AR558 AH579:AH583 AQ579:AR583 AI591:AI593 AI595 AR595 AI631 AR631 AI643:AI648 AR643:AR648 AI732:AI733 AR732:AR733 AI737 AR737 AI741 AR741 AI923:AI924 AR923:AR924 AI926 AR926 AI929:AI930 AR928:AR930 AI932 AI934 AR932:AR934 AI936 AR936 AI938:AI940 AR938:AR940 AI942 AR942 AI944 AR944 AI946 AR946 AI948 AR948 AI950 AR950 AI952 AR952 AI954 AR954 AI956:AI957 AR956:AR957 AI959 AR959 AI961:AI962 AR961:AR962 AI964 AR964 AI966 AR966 AI968 AR968 AI970 AR970 AI972 AR972 AI974 AR974 AI976 AR976 AI978 AR978 AI980 AR980 AI982 AR982 AI984 AR984 AI986 AR986 AI988 AR988 AI990:AI991 AR990:AR991 AI993 AR993 AI995:AI1001 AR999:AR1001 AR1003 AR1023 AR1036 AR1038:AR1041 AR1043 AI1036:AI1046 AR1048 AR1050 AI1051 AR1052 AR1054 AR1056 AR1058:AR1063 AI1057:AI1064 AR1065:AR1070 AI1066:AI1073 AR1073 AI1076:AI1082 AR1075:AR1082 AI1084 AR1084 AR1086 AI1087:AI1090 AR1088:AR1090 AR1092 AR1095:AR1098 AI1095:AI1100 AR1100 AI1102:AI1106 AI1108:AI1112 AR1102:AR1112 AR1116 AR1118:AR1122 AR1124 AR1129 AR1131:AR1141 AI1115:AI1152 AR1144:AR1153 AI1156:AI1158 AR1155:AR1158 AR1160:AR1167 AI1161:AI1168 AR1169:AR1201 AR1203 AI1170:AI1209 AH1210 AH1211:AI1211 AI1212 AH1213:AI1214 AH1215 AH1216:AI1216 AI1217 AH1218:AI1219 AR1205:AR1219 AI1220:AI1221 AH1222:AH1223 AI1224 AH1225:AI1225 AH1226 AI1227 AH1228:AI1228 AI1229:AI1230 AH1231:AI1231 AI1232:AI1233 AH1234 AI1235:AI1236 AH1237:AI1237 AH1238:AH1239 AI1240:AI1241 AH1242:AI1242 AI1243:AI1244 AH1245:AI1247 AH1248:AH1249 AH1250:AI1250 AH1251:AH1252 AH1253:AI1253 AI1254 AH1255:AI1255 AH1256:AH1257 AI1258 AH1259:AI1259 AH1260 AI1261:AI1262 AH1263:AI1263 AI1264:AI1265 AH1266 AI1267:AI1268 AH1269:AI1269 AH1270:AH1271 AI1272:AI1273 AH1274:AH1275 AH1276:AI1276 AH1277 AI1278 AH1279:AI1281 AI1282:AI1283 AH1284:AI1284 AI1285:AI1286 AH1287:AH1288 AH1289:AI1289 AI1290:AI1291 AH1292:AH1293 AH1294:AI1295 AI1296:AI1297 AH1298:AI1299 AI1300 AH1301 AH1302:AI1302 AH1303:AH1304 AI1305:AI1306 AH1307:AI1308 AH1309 AI1310 AH1311:AI1311 AH1312 AH1313:AI1313 AI1314 AH1315:AI1315 AI1316:AI1317 AH1318:AI1318 AI1319 AH1320:AI1320 AI1321 AH1322:AI1322 AH1323 AI1324:AI1325 AH1326 AH1327:AI1327 AI1328:AI1329 AH1330:AH1331 AH1332:AI1332 AI1333:AI1334 AH1335 AH1336:AI1336 AI1337:AI1359 AR1221:AR1359 AI1362:AI1363 AR1362:AR1363 AI1416:AI1437 AH1438:AI1438 AR1416:AR1438 AI1439:AI1465 AR1440:AR1465 AR1473 AQ1474:AR1474 AI1471:AI1475 AR1475 AR1477 AI1477:AI1478 AQ1478:AR1478 AQ1479:AQ1480 AI1481:AI1482 AR1481:AR1482 AI1484:AI1486 AH1487:AI1487 AR1484:AR1487 AI1490 AR1490 AI1492:AI1494 AR1492:AR1494 AR1497 AI1500 AR1500 AI1502:AI1503 AR1502:AR1503 AR1509:AR1512 AR1514 AI1509:AI1520 AR1516:AR1520 AR1523:AR1526 AI1523:AI1529 AR1529 AI1540:AI1541 AR1540:AR1550 AO1551 AR1552:AR1580 AI1544:AI1581 AI1584 AR1583:AR1584 AI1586:AI1587 AR1586:AR1587 AI1589 AR1589 AR1591:AR1594 AI1591:AI1597 AR1596:AR1597 AR1602 AI1602:AI1608 AR1604:AR1608 AR1612:AR1614 AI1613:AI1616 AI1620:AI1626 AR1620:AR1626 AI1628 AI1631:AI1632 AR1631:AR1632 AR1634:AR1639 AR1642:AR1645 AI1634:AI1649 AR1648:AR1649 AI1651:AI1652 AI1654 AR1651:AR1655 AI1657:AI1658 AR1657:AR1658 AI1661:AI1668 AR1661:AR1668 AR1670:AR1673 AI1670:AI1674 AR1676:AR1680 AI1676:AI1687 AR1682:AR1687 AI1689:AI1708 AR1689:AR1708 AI1710:AI1711 AI1713 AR1710:AR1713 AI1722 AI1724 AR1723:AR1724 AR1726 AI1727 AR1729:AR1731 AI1729:AI1734 AR1733:AR1734 AR1741 AI1741:AI1745 AI1747:AI1748 AR1743:AR1748 AR1751:AR1755 AX1821 AR1757:AR1828 AI1751:AI1873 AR1831:AR1879 AI1875:AI1880 AI1882 AR1882 AI1884 AR1884 AI1886 AR1888 AR1890 AI1892 AI1896 AR1896 AI1898 AR1898 AI1900 AR1900 AI1902 AI1904 AR1904 AR1906 AI1910 AR1910 AI1912 AI1914 AI1916:AI1933 AR1916:AR1933 AI1961 AR1961 AI1969:AI2397 AR1969:AR2397">
      <formula1>1.1</formula1>
    </dataValidation>
    <dataValidation type="custom" allowBlank="1" showDropDown="1" sqref="AO643 AO1254">
      <formula1>isnumber(#REF!)</formula1>
    </dataValidation>
    <dataValidation type="list" allowBlank="1" showErrorMessage="1" sqref="AL1916:AL1933 AU1916:AU1933 AL2002:AL2397 AU2002:AU2397">
      <formula1>#REF!</formula1>
    </dataValidation>
    <dataValidation type="list" allowBlank="1" showErrorMessage="1" sqref="AW1934:AW1968">
      <formula1>#REF!</formula1>
    </dataValidation>
    <dataValidation type="decimal" operator="lessThanOrEqual" allowBlank="1" showDropDown="1" sqref="AI4:AI60 AR4:AR60 AI65:AI127 AR65:AR127 AI130:AI152 AR130:AR152 AI155:AI158 AR155:AR158 AI162:AI173 AR162:AR173 AI178:AI188 AI191:AI268 AR178:AR268 AR271:AR476 AR478 AI271:AI521 AR480:AR521 AI524 AI537 AR537 AI539 AI541 AR539:AR541 AI548 AR548 AI550 AR550 AI552 AR552 AR559:AR578 AI559:AI590 AR584:AR590 AI594 AR594 AI596:AI630 AR596:AR630 AI632:AI642 AR632:AR642 AV722 AV724 AI649:AI731 AR649:AR731 AI734:AI736 AR734:AR736 AI738:AI740 AR738:AR740 AI742:AI921 AR742:AR921 AQ922:AQ940 AH941:AH954 AQ955 AH956 AQ957:AQ968 AQ975 AQ977:AQ1001 AH1002:AH1008 AH1010:AH1020 AQ1009:AQ1024 AQ1027 AQ1029:AQ1035 AR1042 AR1045:AR1046 AR1057 AR1087 AR1099 AR1101 AR1113 AR1115 AR1117 AR1123 AR1125:AR1128 AR1130 AR1142 AR1168 AR1202 AI1210 AI1215 AI1222:AI1223 AI1226 AI1234 AI1238:AI1239 AI1248:AI1249 AI1251:AI1252 AI1256:AI1257 AI1260 AI1266 AI1270:AI1271 AI1274:AI1275 AI1277 AI1287:AI1288 AI1292:AI1293 AI1301 AI1303:AI1304 AI1309 AI1312 AI1323 AI1326 AI1330:AI1331 AI1335 AI1360:AI1361 AR1360:AR1361 AI1364:AI1415 AR1364:AR1415 AR1439 AI1466:AI1470 AR1466:AR1472 AI1476 AR1476 AI1479:AI1480 AR1479:AR1480 AI1483 AR1483 AI1488:AI1489 AR1488:AR1489 AI1491 AR1491 AI1495:AI1496 AR1495:AR1496 AI1498:AI1499 AR1498:AR1499 AI1501 AR1501 AI1504:AI1508 AR1504:AR1508 AR1513 AR1515 AI1521:AI1522 AR1521:AR1522 AR1527:AR1528 AI1530:AI1539 AR1530:AR1539 AI1542:AI1543 AR1551 AR1581:AR1582 AI1582:AI1583 AI1585 AR1585 AI1588 AR1588 AI1590 AR1590 AR1595 AI1881 AR1880:AR1881 AI1883 AR1883 AI1885 AR1885:AR1887 AR1889 AI1887:AI1891 AI1893:AI1895 AR1891:AR1895 AI1897 AR1897 AI1899 AR1899 AI1901 AI1903 AR1901:AR1903 AR1905 AI1905:AI1909 AR1907:AR1909 AI1911 AI1913 AI1915 AR1911:AR1915">
      <formula1>1.0</formula1>
    </dataValidation>
    <dataValidation type="list" allowBlank="1" showErrorMessage="1" sqref="AK1916:AK1933 AT1916:AT1933">
      <formula1>#REF!</formula1>
    </dataValidation>
    <dataValidation type="list" allowBlank="1" showErrorMessage="1" sqref="Y4:Y1915 Y1969:Y2001">
      <formula1>'Data validation'!$G$2:$G$20</formula1>
    </dataValidation>
    <dataValidation type="list" allowBlank="1" showErrorMessage="1" sqref="AK4:AK1915 AT4:AT1915 AK1969:AK2397 AT1969:AT2397">
      <formula1>'Data validation'!$E$2:$E$4</formula1>
    </dataValidation>
    <dataValidation type="custom" allowBlank="1" showDropDown="1" sqref="M643 R643 Q1241 Q1254">
      <formula1>LEFT(#REF!, 3) = "10."</formula1>
    </dataValidation>
    <dataValidation type="list" allowBlank="1" showErrorMessage="1" sqref="B3:B2397">
      <formula1>'Data validation'!$O$2:$O$4</formula1>
    </dataValidation>
    <dataValidation type="list" allowBlank="1" sqref="Y1934:Y1968">
      <formula1>#REF!</formula1>
    </dataValidation>
    <dataValidation type="custom" allowBlank="1" showDropDown="1" showErrorMessage="1" sqref="H61:H64 H128:I129 H153:I154 H159:I161 H174:I177 H189:I190 H269:I270 H522:I536 H538:I538 H540 H542:I547 H549:I549 H551 H553:H555 H556:I558 G579:H583 H591:I593 H595:I595 H631:I631 H643:I648 H732:I733 H737:I737 H741:I741 I922 H923:I924 I925 H926:I926 I927 H928:I930 I931 H932:I932 I933 H934:I934 I935 H936:I936 H938:H940 I941 H942:I942 I943 H944:I944 I945 H946:I946 I947 H948:I948 I949 H950:I950 I951 H952:I952 I953 H954:I954 I955 H956:I957 I958 H959:I959 I960 H961:I962 I963 H964:I964 I965 H966:I966 I967 H968:I968 I969 H970:I970 I971 H972:I972 I973 H974:I974 I975 H976:I976 I977 H978:I978 I979 H980:I980 I981 H982:I982 I983 H984:I984 I985 H986:I986 I987 H988:I988 I989 H990:I991 I992 H993:I993 I994 H995:I995 I996 H997:I997 I998 H999:I999 I1000:I1001 I1003:I1009 I1021:I1024 I1027 H1028:I1028 I1029 H1030:I1030 I1031:I1035 H1036:I1209 H1338:I1359 H1360:H1362 H1363:I1363 H1416:I1879 H1880 H1882 H1884 H1886 H1888 H1890 H1892 H1894 H1896 H1898 H1900 H1902 H1904 H1906 H1908 H1910 H1912 H1914 H1916:I1933 H1969:H2397">
      <formula1>OR(NOT(ISERROR(DATEVALUE(G61))), AND(ISNUMBER(G61), LEFT(CELL("format", G61))="D"))</formula1>
    </dataValidation>
    <dataValidation type="list" allowBlank="1" sqref="AQ544 AQ547 AO579:AO583 AQ970 AQ972 AQ974 AQ976 AG1916:AG1926 AG1928:AG1929 AG1931:AG1933 AP1916:AP1933 AP2002:AP2397">
      <formula1>#REF!</formula1>
    </dataValidation>
    <dataValidation type="decimal" operator="greaterThan" allowBlank="1" showDropDown="1" sqref="AE922:AF922 AH922 AM922:AN922 AF923 AE925:AF925 AH925 AM925:AN925 AF926 AE927:AF927 AH927 AM927:AO927 AF928 AE931:AF931 AH931 AM931:AN931 AE933:AF933 AH933 AM933:AN933 AE935:AF935 AH935 AM935:AN935 AE937:AF937 AH937 AM937:AN937 AM941:AO941 AQ941 AM943:AO943 AQ943 AM945:AO945 AQ945 AM947:AO947 AQ947 AM949:AO949 AQ949 AC951 AM951:AN951 AQ951 AM953:AO953 AQ953 AE955:AF955 AH955 AM955:AN955 AE958 AH958 AM958:AN958 AE960:AF960 AH960 AM960:AN960 AF961 AE963:AF963 AH963 AM963:AN963 AE965:AF965 AH965 AM965:AN965 AE967:AF967 AH967 AM967:AN967 AE969 AH969 AM969:AN969 AE971:AF971 AH971 AM971:AN971 AE973 AH973 AM973 AO973 AE975:AF975 AH975 AM975:AN975 AE977:AF977 AH977 AM977:AN977 AE979 AH979 AM979:AN979 AE981:AF981 AH981 AM981:AN981 AF982 AE983 AH983 AM983:AN983 AE985:AF985 AH985 AM985:AN985 AE987:AF987 AH987 AM987:AN987 AE989:AF989 AH989 AM989:AN989 AF990 AE992:AF992 AH992 AM992:AN992 AM994:AO994 AE994:AF1001 AH994:AH1001 AM995:AN1001 AM1002:AO1008 AQ1002:AQ1008 AE1009 AH1009 AM1009:AN1009 AN1010 AM1011:AN1011 AN1012 AM1013:AN1013 AN1014 AM1015:AN1015 AN1016 AM1017:AN1017 AN1018 AM1019:AN1019 AN1020 AE1010:AF1027 AE1028:AE1031 AE1032:AF1035 AH1021:AH1035 AM1021:AN1035 AM1934:AN1957 AM1958 AE1934:AH1960 AM1959:AN1960 AE1961 AG1961:AH1961 AN1961 AE1962:AH1968 AM1962:AN1968">
      <formula1>0.0</formula1>
    </dataValidation>
    <dataValidation type="list" allowBlank="1" showErrorMessage="1" sqref="AW1916:AW1933 AW2002:AW2397">
      <formula1>#REF!</formula1>
    </dataValidation>
    <dataValidation type="list" allowBlank="1" showErrorMessage="1" sqref="AL1934:AL1968 AU1934:AU1968">
      <formula1>#REF!</formula1>
    </dataValidation>
    <dataValidation type="list" allowBlank="1" sqref="AP1934:AP1960 AP1962:AP1968">
      <formula1>#REF!</formula1>
    </dataValidation>
    <dataValidation type="list" allowBlank="1" sqref="AP4:AP1054 AP1056:AP1084 AG4:AG1188 AG1190:AG1915 AP1086:AP1915 AP1961 AG1969:AG2001 AP1969:AP2001">
      <formula1>'Data validation'!$A$2:$A$13</formula1>
    </dataValidation>
    <dataValidation type="list" allowBlank="1" showErrorMessage="1" sqref="A1984:A2397">
      <formula1>#REF!</formula1>
    </dataValidation>
    <dataValidation type="custom" allowBlank="1" showDropDown="1" showErrorMessage="1" sqref="H922 H925 H927 H931 H933 H935 H937:I937 I938:I940 H941 H943 H945 H947 H949 H951 H953 H955 H958 H960 H963 H965 H967 H969 H971 H973 H975 H977 H979 H981 H983 H985 H987 H989 H992 H994 H996 H998 H1000:H1001 H1002:I1002 H1003:H1009 H1010:I1020 H1021:H1024 H1025:I1026 H1027 H1029 H1031:H1035 H1934:I1968">
      <formula1>OR(NOT(ISERROR(DATEVALUE(H922))), AND(ISNUMBER(H922), LEFT(CELL("format", H922))="D"))</formula1>
    </dataValidation>
    <dataValidation type="list" allowBlank="1" sqref="AG1189">
      <formula1>'Data validation'!$A$2:$A$14</formula1>
    </dataValidation>
    <dataValidation type="list" allowBlank="1" sqref="Y1916:Y1933 Y2002:Y2397">
      <formula1>#REF!</formula1>
    </dataValidation>
    <dataValidation type="list" allowBlank="1" showErrorMessage="1" sqref="AJ1916:AJ1933 AS1916:AS1933 AJ2002:AJ2397 AS2002:AS2397">
      <formula1>#REF!</formula1>
    </dataValidation>
    <dataValidation type="list" allowBlank="1" showErrorMessage="1" sqref="A4:A1983">
      <formula1>'Data validation'!$M$2:$M$8</formula1>
    </dataValidation>
    <dataValidation type="custom" allowBlank="1" showDropDown="1" sqref="AO925 AO931 AO933 AO937 AO955 AO958 AO960 AO963 AO965 AO967 AO971 AO975 AO977 AO981 AO985 AO987 AO989 AO992 AO995:AO1001 AO1009:AO1021 AO1023:AO1025 AO1032:AO1035 AO1934:AO1960 AO1968">
      <formula1>ISNUMBER(AO925)</formula1>
    </dataValidation>
    <dataValidation type="list" allowBlank="1" showErrorMessage="1" sqref="AJ1934:AJ1960 AJ1962:AJ1968 AS1934:AS1968">
      <formula1>#REF!</formula1>
    </dataValidation>
    <dataValidation type="list" allowBlank="1" showErrorMessage="1" sqref="AW4:AW1915 AW1969:AW2001">
      <formula1>'Data validation'!$Q$2:$Q$5</formula1>
    </dataValidation>
    <dataValidation type="list" allowBlank="1" showErrorMessage="1" sqref="AP1055 AJ4:AJ1915 AS4:AS1915 AJ1961 AJ1969:AJ2001 AS1969:AS2001">
      <formula1>'Data validation'!$C$2:$C$7</formula1>
    </dataValidation>
    <dataValidation type="list" allowBlank="1" sqref="AF101">
      <formula1>#REF!</formula1>
    </dataValidation>
    <dataValidation type="list" allowBlank="1" showErrorMessage="1" sqref="AK1934:AK1968 AT1934:AT1968">
      <formula1>#REF!</formula1>
    </dataValidation>
    <dataValidation type="list" allowBlank="1" showErrorMessage="1" sqref="AU4:AU506 AU510:AU1411 AL4:AL1915 AU1413:AU1915 AL1969:AL2001 AU1969:AU2001">
      <formula1>'Data validation'!$J$2:$J$4</formula1>
    </dataValidation>
    <dataValidation type="list" allowBlank="1" showErrorMessage="1" sqref="C4:C2397">
      <formula1>"Mariem,Roksana,Thomas,Maria,Shruti,Antony,Radoslaw,Fabienne,Daniel,Ray,Nikolay,Hakile,Raul,Alisa,Teshome,Adira,Jyoti,Maureen,Nikita,Husnain,Sarah,Alexsandr,Vidhi,Mario,Diego,Corinna"</formula1>
    </dataValidation>
    <dataValidation type="custom" allowBlank="1" showDropDown="1" sqref="M922 R922 M925 R925 M927 R927 M931 R931 M933 R933 M935 R935 M937 R937 M941 R941 M943 R943 M945 R945 M947 R947 M949 R949 M951 R951 M953 R953 M955 R955 M958 R958 M960 R960 M963 R963 M965 R965 M967 R967 M969 R969 M971 R971 M973 R973 M975 R975 M977 R977 M979 R979 M981 R981 M983 R983 M985 R985 M987 R987 M989 R989 M992 R992 M994:M1035 R994:R1035 M1934:M1968 R1934:R1968">
      <formula1>LEFT(M922, 3) = "10."</formula1>
    </dataValidation>
    <dataValidation type="decimal" operator="greaterThan" allowBlank="1" showDropDown="1" sqref="AE4:AE60 AN4:AN60 AE61:AF64 AH61:AH64 AM61:AN64 AE65:AE84 AN65:AN100 AH101 AN101:AO101 AN102:AN127 AH128:AH129 AM128:AN129 AV128:AV129 AE86:AE152 AN130:AN152 AE153:AF154 AH153:AH154 AM153:AN154 AE155:AE158 AN155:AN158 AE159:AF161 AH159:AH161 AM159:AN161 AE162:AE173 AN162:AN173 AE174:AF177 AH174:AH177 AM174:AN177 AE178:AE188 AN178:AN188 AE189:AF190 AH189:AH190 AM189:AN190 AN191:AN268 AC269:AC270 AH269:AH270 AM269:AN270 AE191:AE521 AN271:AN521 AH522:AI523 AH524 AE522:AF536 AH525:AI536 AM522:AN536 AE537 AN537 AE538:AF538 AH538 AM538:AN538 AE539 AE540:AF540 AE541 AN539:AN541 AE542:AF547 AH542:AH547 AM542:AN547 AE548 AN548 AE549:AF549 AH549 AM549:AN549 AE550 AN550 AE551:AF551 AH551 AM551:AN551 AE552 AN552:AN555 AE553:AF558 AH553:AH558 AM556:AN558 AV556:AV558 AE559:AE578 AN559:AN578 AD579:AF583 AM579:AM583 AE584:AE590 AN584:AN590 AE591:AF593 AM591:AN593 AR591:AR593 AE594 AN594 AE595:AF595 AH595 AM595:AN595 AE596:AE630 AN596:AN630 AE631:AF631 AH631 AM631:AN631 AE632:AE642 AN632:AN642 AE643:AF648 AH643:AH648 AM643:AN648 AE649:AE731 AN649:AN731 AE732:AF733 AH732:AH733 AM732:AN733 AE734:AE736 AN734:AN736 AE737:AF737 AH737 AM737:AN737 AE738:AE740 AN738:AN740 AE741:AF741 AH741 AM741:AN741 AE742:AE921 AN742:AN921 AD922 AD923:AE923 AD924:AF924 AH923:AH924 AM923:AN924 AD925 AD926:AE926 AH926 AM926:AN926 AD927 AD928:AE928 AD929:AF930 AH928:AH930 AM928:AN930 AD931 AD932:AF932 AH932 AM932:AN932 AD933 AD934:AF934 AH934 AM934:AN934 AD935 AD936:AF936 AH936 AM936:AN936 AD937 AD938:AF940 AH938:AH940 AM938:AN940 AM942:AO942 AQ942 AM944:AO944 AQ944 AM946:AO946 AQ946 AM948:AO948 AQ948 AM950:AO950 AQ950 AO951 AM952:AO952 AQ952 AM954:AO954 AQ954 AD941:AD956 AM956:AO956 AQ956 AD957:AF957 AH957 AM957:AN957 AD958 AF958 AD959:AF959 AH959 AM959:AN959 AD960 AD961:AE961 AD962:AF962 AH961:AH962 AM961:AN962 AD963 AD964:AF964 AH964 AM964:AN964 AD965 AD966:AF966 AH966 AM966:AN966 AD967 AD968:AF968 AH968 AM968:AN968 AD969 AF969 AD970:AF970 AH970 AM970:AN970 AD971 AD972:AF972 AH972 AM972:AN972 AD973 AF973 AD974:AF974 AH974 AM974 AO974 AD975 AD976:AF976 AH976 AM976 AO976 AD977 AD978:AF978 AH978 AM978:AN978 AD979 AF979 AD980:AF980 AH980 AM980:AN980 AD981 AD982:AE982 AH982 AM982:AN982 AD983 AF983 AD984:AF984 AH984 AM984:AN984 AD985 AD986:AF986 AH986 AM986:AN986 AD987 AD988:AF988 AH988 AM988:AN988 AD989 AD990:AE990 AD991:AF991 AH990:AH991 AM990:AN991 AD992 AD993:AF993 AH993 AM993:AN993 AF1009 AM1010 AM1012 AM1014 AM1016 AM1018 AM1020 AF1028:AF1031 AD994:AD1035 AE1036:AF1042 AD1043:AF1043 AH1036:AH1046 AM1036:AN1046 AM1047:AO1047 AR1047 AC1047:AC1048 AC1050 AH1047:AI1050 AH1051 AC1052 AC1054 AC1056 AH1052:AI1056 AE1044:AF1057 AD1058:AF1058 AH1057:AH1064 AH1065:AI1065 AH1066:AH1073 AC1075 AH1074:AI1075 AH1076:AH1082 AH1083:AI1083 AH1084 AC1086 AH1085:AI1086 AH1087:AH1090 AH1091:AI1091 AC1092 AI1092 AE1059:AF1093 AM1048:AN1093 AC1094:AF1094 AH1093:AI1094 AM1094:AO1094 AR1094 AH1095:AH1100 AH1101:AI1101 AH1102:AH1106 AH1107:AI1107 AH1108:AH1112 AM1095:AN1113 AC1114 AH1113:AI1114 AM1114:AO1114 AR1114 AE1095:AF1133 AD1134:AE1134 AD1135:AF1136 AD1137:AE1137 AM1115:AN1142 AM1143:AO1143 AR1143 AH1115:AH1152 AC1154 AH1153:AI1155 AH1156:AH1158 AH1159:AI1160 AH1161:AH1168 AH1169:AI1169 AE1138:AF1209 AH1170:AH1209 AH1212 AM1144:AN1212 AM1213:AO1213 AH1217 AH1220:AH1221 AH1224 AH1227 AH1229:AH1230 AH1232:AH1233 AH1235:AH1236 AH1240:AH1241 AM1214:AN1242 AM1243:AO1243 AH1243:AH1244 AH1254 AH1258 AH1261:AH1262 AH1264:AH1265 AH1267:AH1268 AH1272:AH1273 AH1278 AH1282:AH1283 AH1285:AH1286 AH1290:AH1291 AH1296:AH1297 AH1300 AH1305:AH1306 AH1310 AH1314 AH1316:AH1317 AH1319 AH1321 AH1324:AH1325 AH1328:AH1329 AH1333:AH1334 AD1210:AF1337 AE1338:AF1359 AH1337:AH1359 AE1360 AE1361:AF1363 AH1362:AH1363 AM1244:AN1363 AE1364:AE1415 AN1364:AN1415 AE1416:AF1420 AD1421:AF1421 AH1416:AH1437 AH1439 AE1422:AF1446 AD1447:AF1447 AV1446:AV1447 AE1448:AF1449 AD1450:AF1456 AE1457:AF1457 AD1458:AF1458 AH1446:AH1460 AE1459:AF1465 AH1465 AM1416:AN1465 AE1466:AE1470 AN1466:AN1470 AE1471:AF1475 AH1471:AH1475 AM1471:AN1475 AE1476 AN1476 AE1477:AF1478 AH1477:AH1478 AM1477:AN1478 AE1479:AE1480 AN1479:AN1480 AE1481:AF1482 AH1481:AH1482 AM1481:AN1482 AE1483 AN1483 AH1484:AH1486 AE1484:AF1487 AM1484:AN1487 AE1488:AE1489 AN1488:AN1489 AE1490:AF1490 AH1490 AM1490:AN1490 AE1491 AN1491 AE1492:AF1494 AH1492:AH1494 AE1495:AE1496 AC1497 AE1497:AF1497 AH1497:AI1497 AM1492:AN1497 AE1498:AE1499 AN1498:AN1499 AE1500:AF1500 AH1500 AM1500:AN1500 AE1501 AN1501 AE1502:AF1503 AH1502:AH1503 AM1502:AN1503 AE1504:AE1508 AN1504:AN1508 AH1509 AE1509:AF1512 AM1509:AN1512 AE1513:AE1516 AN1513:AN1516 AE1517:AF1520 AM1517:AN1520 AH1511:AH1521 AE1521:AE1522 AN1521:AN1522 AE1523:AF1526 AM1523:AN1526 AE1527:AE1528 AN1527:AN1528 AE1529:AF1529 AH1523:AH1529 AM1529:AN1530 AE1530:AE1539 AN1531:AN1539 AE1540:AF1541 AM1540:AN1541 AE1542:AE1543 AN1542:AN1543 AH1540:AH1554 AH1556:AH1559 AH1562 AH1566 AH1568 AH1570 AH1572 AH1574 AH1576 AE1544:AF1581 AH1578:AH1581 AE1582:AE1583 AE1584:AF1584 AM1544:AN1584 AE1585 AN1585 AE1586:AF1587 AH1584:AH1587 AM1586:AN1587 AE1588 AN1588 AE1589:AF1589 AH1589 AM1589:AN1589 AE1590 AN1590 AE1591:AF1592 AM1591:AN1592 AE1593 AN1593 AC1596 AH1591:AH1596 AE1594:AF1597 AM1594:AN1597 AE1598:AE1601 AN1598:AN1601 AE1602:AF1608 AH1602:AH1608 AM1602:AN1608 AE1609:AE1611 AN1609:AN1611 AE1612:AF1614 AH1612:AH1614 AM1612:AN1614 AE1615:AE1619 AN1615:AN1619 AE1620:AF1626 AM1620:AN1626 AE1627:AE1630 AE1631:AF1632 AM1631:AN1632 AE1633 AN1633 AH1620:AH1638 AE1634:AF1639 AM1634:AN1639 AE1640:AE1641 AN1640:AN1641 AE1642:AF1645 AH1642:AH1645 AM1642:AN1645 AE1646 AN1646 AE1647:AF1649 AH1647:AH1649 AM1647:AN1649 AE1650 AN1650 AH1651:AH1652 AH1653:AI1653 AH1654 AH1655:AI1655 AE1651:AF1658 AH1656:AH1658 AM1651:AN1658 AE1659:AE1660 AN1659:AN1660 AE1661:AF1668 AH1661:AH1668 AM1661:AN1668 AE1669 AN1669 AE1670:AF1673 AM1670:AN1673 AE1674:AE1675 AN1674:AN1675 AM1676:AN1677 AM1678:AO1678 AE1676:AF1680 AM1679:AN1680 AE1681 AN1681 AE1682:AF1687 AE1688 AM1682:AN1689 AM1690:AO1694 AE1689:AF1708 AM1695:AN1708 AE1709 AN1709 AE1710:AF1711 AH1670:AH1711 AM1710:AN1711 AE1712 AN1712 AE1713:AF1713 AM1713:AN1713 AE1714:AE1721 AH1713:AH1721 AN1714:AN1721 AH1723:AI1723 AE1722:AF1724 AM1722:AN1724 AM1725 AI1726 AE1726:AF1727 AH1727 AM1726:AN1727 AE1728 AN1728 AE1729:AF1731 AH1729:AH1731 AC1732 AE1732 AF1733 AE1734:AF1734 AH1733:AH1734 AM1729:AN1734 AE1735:AE1740 AN1735:AN1740 AH1741 AH1743:AH1745 AH1746:AI1746 AE1741:AF1748 AH1747:AH1748 AM1741:AN1748 AN1749:AN1750 AH1752:AH1755 AH1757:AH1815 AH1817:AH1819 AH1823:AH1828 AH1832:AH1852 AE1751:AF1859 AD1860:AF1860 AH1854:AH1868 AH1870 AH1872:AH1873 AC1874 AH1874:AI1874 AM1751:AN1879 AE1861:AF1880 AH1875:AH1880 AE1881 AN1880:AN1881 AE1882:AF1882 AH1882 AM1882:AN1882 AE1883 AN1883 AE1884:AF1884 AH1884 AM1884:AN1884 AN1885 AH1886 AM1886:AN1886 AN1887 AH1888 AM1888:AN1888 AE1885:AE1889 AN1889 AE1890:AF1890 AH1890 AM1890:AN1890 AE1891 AN1891 AE1892:AF1892 AH1892 AM1892:AN1892 AN1893 AM1894:AN1894 AE1893:AE1895 AN1895 AE1896:AF1896 AH1896 AM1896:AN1896 AE1897 AN1897 AE1898:AF1898 AM1898:AN1898 AE1899 AN1899 AE1900:AF1900 AH1900 AM1900:AN1900 AE1901 AN1901 AE1902:AF1902 AH1902 AM1902:AN1902 AE1903 AN1903 AE1904:AF1904 AH1904 AM1904:AN1904 AE1905 AN1905 AE1906:AF1906 AH1906 AM1906:AN1906 AE1907 AN1907 AE1908:AF1908 AH1908 AM1908:AN1908 AE1909 AN1909 AE1910:AF1910 AH1910 AM1910:AN1910 AE1911 AN1911 AE1912:AF1912 AM1912:AN1912 AE1913 AN1913 AE1914:AF1914 AH1914 AM1914:AN1914 AE1915 AN1915 AE1916:AF1926 AH1916:AH1926 AE1927:AH1927 AE1928:AF1929 AH1928:AH1929 AE1930:AH1930 AE1931:AF1933 AH1931:AH1933 AM1916:AN1933 AN1958 AF1961 AM1961 AE1969:AF2001 AH1969:AH2001 AE2002:AH2397 AM1969:AN2397">
      <formula1>0.0</formula1>
    </dataValidation>
    <dataValidation type="list" allowBlank="1" sqref="AQ969 AQ971 AQ973 AQ1025:AQ1026">
      <formula1>#REF!</formula1>
    </dataValidation>
    <dataValidation type="custom" allowBlank="1" showDropDown="1" sqref="M4:M60 M65:M127 R4:R127 M130:M152 R130:R152 M155:M158 R155:R158 M162:M173 R162:R173 M178:M188 R178:R188 M191:M268 R191:R268 M271:M521 R271:R521 M537 R537 M539 R539 M541 R541 M548 R548 M550 R550 M552 R552 M559:M590 R559:R590 M594 R594 M596:M630 R596:R630 M632:M642 R632:R642 M649:M731 R649:R731 M734:M736 R734:R736 M738:M740 R738:R740 M742:M921 R742:R921 L922:L1035 Q922:Q1035 M1047 M1210 R1210 M1215:M1216 R1215:R1216 M1220:M1223 R1220:R1223 M1226 R1226 M1230 R1230 M1234:M1235 R1234:R1235 M1237:M1239 R1237:R1239 M1241:M1244 R1241:R1244 M1248:M1252 R1248:R1252 M1255:M1257 R1255:R1257 M1259:M1260 R1259:R1260 M1262 R1262 M1266 R1266 M1269:M1271 R1269:R1271 M1274:M1275 R1274:R1275 M1277:M1278 R1277:R1278 M1282 R1282 M1285 R1285 M1287:M1288 R1287:R1288 M1292:M1294 R1292:R1294 M1296 R1296 M1298:M1304 R1298:R1304 M1306:M1310 R1306:R1310 M1312:M1314 R1312:R1314 M1316:M1318 R1316:R1318 M1321:M1324 R1321:R1324 M1326 R1326 M1328 R1328 M1330:M1332 R1330:R1332 M1334:M1336 R1334:R1336 M1364:M1415 R1364:R1415 M1881 R1881 M1883 R1883 M1885 R1885 M1887 R1887 M1889 R1889 M1891 R1891 M1893 R1893 M1895 R1895 M1897 R1897 M1899 R1899 M1901 R1901 M1903 R1903 M1905 R1905 M1907 R1907 M1909 R1909 M1911 R1911 M1913 R1913 M1915 R1915">
      <formula1>left(L4, 3)="10."</formula1>
    </dataValidation>
    <dataValidation type="custom" allowBlank="1" showDropDown="1" sqref="H4:I23 H24:H60 H65:I127 H130:I152 H155:I158 H162:I173 H178:I188 H191:I268 H271:I521 H537:I537 H539 H541:I541 H548:I548 H550 H552 H559:I578 I579:I583 H584:I590 H594:I594 H596:I630 H632:I642 H649:I731 H734:I736 H738:I740 H742:I921 G922:G1035 H1210:I1337 I1360:I1362 H1364:I1364 H1365:H1415 H1881:I1881 H1883:I1883 H1885:I1885 H1887:I1887 H1889:I1889 H1891:I1891 H1893:I1893 H1895:I1895 H1897:I1897 H1899:I1899 H1901:I1901 H1903:I1903 H1905:I1905 H1907:I1907 H1909:I1909 H1911:I1911 H1913:I1913 H1915:I1915">
      <formula1>OR(NOT(ISERROR(DATEVALUE(G4))), AND(ISNUMBER(G4), LEFT(CELL("format", G4))="D"))</formula1>
    </dataValidation>
    <dataValidation type="decimal" operator="lessThan" allowBlank="1" showDropDown="1" sqref="AI922 AR922 AI925 AR925 AR927 AI927:AI928 AI931 AR931 AI933 AI935 AR935 AI937 AR937 AI941 AR941 AI943 AR943 AI945 AR945 AI947 AR947 AI949 AR949 AI951 AR951 AI953 AR953 AI955 AR955 AI958 AR958 AI960 AR960 AI963 AR963 AI965 AR965 AI967 AR967 AI969 AR969 AI971 AR971 AI973 AR973 AI975 AR975 AI977 AR977 AI979 AR979 AI981 AR981 AI983 AR983 AI985 AR985 AI987 AR987 AI989 AR989 AI992 AR992 AI994 AR994:AR998 AR1002 AR1004:AR1022 AI1002:AI1035 AR1024:AR1035 AI1934:AI1960 AR1934:AR1960 AI1962:AI1968 AR1962:AR1968">
      <formula1>1.1</formula1>
    </dataValidation>
  </dataValidations>
  <hyperlinks>
    <hyperlink r:id="rId2" ref="AV4"/>
    <hyperlink r:id="rId3" ref="AW4"/>
    <hyperlink r:id="rId4" ref="AQ6"/>
    <hyperlink r:id="rId5" ref="AV6"/>
    <hyperlink r:id="rId6" ref="AW6"/>
    <hyperlink r:id="rId7" ref="AV7"/>
    <hyperlink r:id="rId8" ref="AW7"/>
    <hyperlink r:id="rId9" ref="AV8"/>
    <hyperlink r:id="rId10" ref="AW8"/>
    <hyperlink r:id="rId11" ref="K10"/>
    <hyperlink r:id="rId12" ref="AX10"/>
    <hyperlink r:id="rId13" ref="Q11"/>
    <hyperlink r:id="rId14" ref="AV11"/>
    <hyperlink r:id="rId15" ref="AV20"/>
    <hyperlink r:id="rId16" ref="AV21"/>
    <hyperlink r:id="rId17" ref="AV22"/>
    <hyperlink r:id="rId18" ref="AV23"/>
    <hyperlink r:id="rId19" ref="AV25"/>
    <hyperlink r:id="rId20" ref="AV26"/>
    <hyperlink r:id="rId21" ref="AV27"/>
    <hyperlink r:id="rId22" ref="R65"/>
    <hyperlink r:id="rId23" ref="R66"/>
    <hyperlink r:id="rId24" ref="R67"/>
    <hyperlink r:id="rId25" ref="R68"/>
    <hyperlink r:id="rId26" ref="R69"/>
    <hyperlink r:id="rId27" ref="J71"/>
    <hyperlink r:id="rId28" ref="Q71"/>
    <hyperlink r:id="rId29" ref="R71"/>
    <hyperlink r:id="rId30" ref="AV71"/>
    <hyperlink r:id="rId31" ref="AW71"/>
    <hyperlink r:id="rId32" ref="J80"/>
    <hyperlink r:id="rId33" ref="AV80"/>
    <hyperlink r:id="rId34" ref="AW80"/>
    <hyperlink r:id="rId35" ref="J81"/>
    <hyperlink r:id="rId36" ref="L81"/>
    <hyperlink r:id="rId37" ref="AV81"/>
    <hyperlink r:id="rId38" ref="AW81"/>
    <hyperlink r:id="rId39" ref="R86"/>
    <hyperlink r:id="rId40" ref="R88"/>
    <hyperlink r:id="rId41" ref="R90"/>
    <hyperlink r:id="rId42" ref="R92"/>
    <hyperlink r:id="rId43" ref="R94"/>
    <hyperlink r:id="rId44" ref="R95"/>
    <hyperlink r:id="rId45" ref="AV102"/>
    <hyperlink r:id="rId46" ref="AV103"/>
    <hyperlink r:id="rId47" ref="AV104"/>
    <hyperlink r:id="rId48" ref="AV105"/>
    <hyperlink r:id="rId49" ref="AV114"/>
    <hyperlink r:id="rId50" ref="Q120"/>
    <hyperlink r:id="rId51" ref="R120"/>
    <hyperlink r:id="rId52" ref="Q121"/>
    <hyperlink r:id="rId53" ref="R121"/>
    <hyperlink r:id="rId54" ref="Q122"/>
    <hyperlink r:id="rId55" ref="R122"/>
    <hyperlink r:id="rId56" ref="Q123"/>
    <hyperlink r:id="rId57" ref="R123"/>
    <hyperlink r:id="rId58" ref="AV130"/>
    <hyperlink r:id="rId59" ref="AW130"/>
    <hyperlink r:id="rId60" ref="Q131"/>
    <hyperlink r:id="rId61" ref="R131"/>
    <hyperlink r:id="rId62" ref="AV131"/>
    <hyperlink r:id="rId63" ref="AW131"/>
    <hyperlink r:id="rId64" ref="Q132"/>
    <hyperlink r:id="rId65" ref="R132"/>
    <hyperlink r:id="rId66" ref="AV132"/>
    <hyperlink r:id="rId67" ref="AW132"/>
    <hyperlink r:id="rId68" ref="Q133"/>
    <hyperlink r:id="rId69" ref="R133"/>
    <hyperlink r:id="rId70" ref="AV133"/>
    <hyperlink r:id="rId71" ref="AW133"/>
    <hyperlink r:id="rId72" ref="Q134"/>
    <hyperlink r:id="rId73" ref="R134"/>
    <hyperlink r:id="rId74" ref="AV134"/>
    <hyperlink r:id="rId75" ref="AW134"/>
    <hyperlink r:id="rId76" ref="AV135"/>
    <hyperlink r:id="rId77" ref="AW135"/>
    <hyperlink r:id="rId78" ref="AV136"/>
    <hyperlink r:id="rId79" ref="AW136"/>
    <hyperlink r:id="rId80" ref="AV137"/>
    <hyperlink r:id="rId81" ref="AW137"/>
    <hyperlink r:id="rId82" ref="AV138"/>
    <hyperlink r:id="rId83" ref="AW138"/>
    <hyperlink r:id="rId84" ref="R144"/>
    <hyperlink r:id="rId85" ref="Q145"/>
    <hyperlink r:id="rId86" ref="R145"/>
    <hyperlink r:id="rId87" ref="AH145"/>
    <hyperlink r:id="rId88" ref="AI145"/>
    <hyperlink r:id="rId89" ref="AJ145"/>
    <hyperlink r:id="rId90" ref="AQ145"/>
    <hyperlink r:id="rId91" ref="AR145"/>
    <hyperlink r:id="rId92" ref="AS145"/>
    <hyperlink r:id="rId93" ref="Q146"/>
    <hyperlink r:id="rId94" ref="R146"/>
    <hyperlink r:id="rId95" ref="AV152"/>
    <hyperlink r:id="rId96" ref="AW152"/>
    <hyperlink r:id="rId97" ref="AV153"/>
    <hyperlink r:id="rId98" ref="AV154"/>
    <hyperlink r:id="rId99" ref="AV155"/>
    <hyperlink r:id="rId100" ref="AW155"/>
    <hyperlink r:id="rId101" ref="R158"/>
    <hyperlink r:id="rId102" ref="AV158"/>
    <hyperlink r:id="rId103" ref="AW158"/>
    <hyperlink r:id="rId104" ref="Q159"/>
    <hyperlink r:id="rId105" ref="R162"/>
    <hyperlink r:id="rId106" ref="AV162"/>
    <hyperlink r:id="rId107" ref="AW162"/>
    <hyperlink r:id="rId108" ref="R163"/>
    <hyperlink r:id="rId109" ref="AV163"/>
    <hyperlink r:id="rId110" ref="AW163"/>
    <hyperlink r:id="rId111" ref="R164"/>
    <hyperlink r:id="rId112" ref="AV164"/>
    <hyperlink r:id="rId113" ref="AW164"/>
    <hyperlink r:id="rId114" ref="R165"/>
    <hyperlink r:id="rId115" ref="AV165"/>
    <hyperlink r:id="rId116" ref="AW165"/>
    <hyperlink r:id="rId117" ref="R166"/>
    <hyperlink r:id="rId118" ref="AV166"/>
    <hyperlink r:id="rId119" ref="AW166"/>
    <hyperlink r:id="rId120" ref="Q167"/>
    <hyperlink r:id="rId121" ref="Q168"/>
    <hyperlink r:id="rId122" ref="AV179"/>
    <hyperlink r:id="rId123" ref="AW179"/>
    <hyperlink r:id="rId124" ref="AV180"/>
    <hyperlink r:id="rId125" ref="AW180"/>
    <hyperlink r:id="rId126" ref="AV181"/>
    <hyperlink r:id="rId127" ref="AW181"/>
    <hyperlink r:id="rId128" ref="AV182"/>
    <hyperlink r:id="rId129" ref="AW182"/>
    <hyperlink r:id="rId130" ref="AV183"/>
    <hyperlink r:id="rId131" ref="AW183"/>
    <hyperlink r:id="rId132" ref="AV184"/>
    <hyperlink r:id="rId133" ref="AW184"/>
    <hyperlink r:id="rId134" ref="AV185"/>
    <hyperlink r:id="rId135" ref="AW185"/>
    <hyperlink r:id="rId136" ref="AV186"/>
    <hyperlink r:id="rId137" ref="AW186"/>
    <hyperlink r:id="rId138" ref="AV188"/>
    <hyperlink r:id="rId139" ref="AW188"/>
    <hyperlink r:id="rId140" ref="AV189"/>
    <hyperlink r:id="rId141" ref="AV190"/>
    <hyperlink r:id="rId142" ref="AV191"/>
    <hyperlink r:id="rId143" ref="AW191"/>
    <hyperlink r:id="rId144" ref="AV192"/>
    <hyperlink r:id="rId145" ref="AW192"/>
    <hyperlink r:id="rId146" ref="AV194"/>
    <hyperlink r:id="rId147" ref="AW194"/>
    <hyperlink r:id="rId148" ref="AV195"/>
    <hyperlink r:id="rId149" ref="AW195"/>
    <hyperlink r:id="rId150" ref="AV196"/>
    <hyperlink r:id="rId151" ref="AW196"/>
    <hyperlink r:id="rId152" ref="AV197"/>
    <hyperlink r:id="rId153" ref="AW197"/>
    <hyperlink r:id="rId154" ref="AV198"/>
    <hyperlink r:id="rId155" ref="AW198"/>
    <hyperlink r:id="rId156" ref="AV199"/>
    <hyperlink r:id="rId157" ref="AW199"/>
    <hyperlink r:id="rId158" ref="L207"/>
    <hyperlink r:id="rId159" ref="Q207"/>
    <hyperlink r:id="rId160" ref="J250"/>
    <hyperlink r:id="rId161" ref="L250"/>
    <hyperlink r:id="rId162" ref="Q250"/>
    <hyperlink r:id="rId163" ref="R250"/>
    <hyperlink r:id="rId164" ref="L252"/>
    <hyperlink r:id="rId165" ref="Q252"/>
    <hyperlink r:id="rId166" ref="R252"/>
    <hyperlink r:id="rId167" ref="L254"/>
    <hyperlink r:id="rId168" ref="Q254"/>
    <hyperlink r:id="rId169" ref="R254"/>
    <hyperlink r:id="rId170" ref="L256"/>
    <hyperlink r:id="rId171" ref="Q256"/>
    <hyperlink r:id="rId172" ref="R256"/>
    <hyperlink r:id="rId173" ref="V259"/>
    <hyperlink r:id="rId174" ref="Q260"/>
    <hyperlink r:id="rId175" ref="V263"/>
    <hyperlink r:id="rId176" ref="Q264"/>
    <hyperlink r:id="rId177" ref="R264"/>
    <hyperlink r:id="rId178" ref="AV265"/>
    <hyperlink r:id="rId179" ref="AW265"/>
    <hyperlink r:id="rId180" ref="AV266"/>
    <hyperlink r:id="rId181" ref="AW266"/>
    <hyperlink r:id="rId182" ref="AV267"/>
    <hyperlink r:id="rId183" ref="AW267"/>
    <hyperlink r:id="rId184" ref="AV268"/>
    <hyperlink r:id="rId185" ref="AW268"/>
    <hyperlink r:id="rId186" ref="AV269"/>
    <hyperlink r:id="rId187" ref="AW269"/>
    <hyperlink r:id="rId188" ref="L270"/>
    <hyperlink r:id="rId189" ref="AV270"/>
    <hyperlink r:id="rId190" ref="AW270"/>
    <hyperlink r:id="rId191" ref="S271"/>
    <hyperlink r:id="rId192" ref="T271"/>
    <hyperlink r:id="rId193" ref="L272"/>
    <hyperlink r:id="rId194" ref="Q272"/>
    <hyperlink r:id="rId195" ref="S272"/>
    <hyperlink r:id="rId196" ref="L273"/>
    <hyperlink r:id="rId197" ref="Q273"/>
    <hyperlink r:id="rId198" ref="S273"/>
    <hyperlink r:id="rId199" ref="L274"/>
    <hyperlink r:id="rId200" ref="Q274"/>
    <hyperlink r:id="rId201" ref="S274"/>
    <hyperlink r:id="rId202" ref="L275"/>
    <hyperlink r:id="rId203" ref="Q275"/>
    <hyperlink r:id="rId204" ref="S275"/>
    <hyperlink r:id="rId205" ref="L276"/>
    <hyperlink r:id="rId206" ref="Q276"/>
    <hyperlink r:id="rId207" ref="S276"/>
    <hyperlink r:id="rId208" ref="L277"/>
    <hyperlink r:id="rId209" ref="Q277"/>
    <hyperlink r:id="rId210" ref="S277"/>
    <hyperlink r:id="rId211" ref="L278"/>
    <hyperlink r:id="rId212" ref="Q278"/>
    <hyperlink r:id="rId213" ref="S278"/>
    <hyperlink r:id="rId214" ref="L279"/>
    <hyperlink r:id="rId215" ref="Q279"/>
    <hyperlink r:id="rId216" ref="S279"/>
    <hyperlink r:id="rId217" ref="L280"/>
    <hyperlink r:id="rId218" ref="Q280"/>
    <hyperlink r:id="rId219" ref="S280"/>
    <hyperlink r:id="rId220" ref="L281"/>
    <hyperlink r:id="rId221" ref="Q281"/>
    <hyperlink r:id="rId222" ref="S281"/>
    <hyperlink r:id="rId223" ref="L282"/>
    <hyperlink r:id="rId224" ref="R282"/>
    <hyperlink r:id="rId225" ref="AV282"/>
    <hyperlink r:id="rId226" ref="V283"/>
    <hyperlink r:id="rId227" ref="AV283"/>
    <hyperlink r:id="rId228" ref="AW283"/>
    <hyperlink r:id="rId229" ref="R284"/>
    <hyperlink r:id="rId230" ref="AV284"/>
    <hyperlink r:id="rId231" ref="V285"/>
    <hyperlink r:id="rId232" ref="AV285"/>
    <hyperlink r:id="rId233" ref="L286"/>
    <hyperlink r:id="rId234" ref="AV286"/>
    <hyperlink r:id="rId235" ref="V287"/>
    <hyperlink r:id="rId236" ref="AV287"/>
    <hyperlink r:id="rId237" ref="L288"/>
    <hyperlink r:id="rId238" ref="AV288"/>
    <hyperlink r:id="rId239" ref="AW288"/>
    <hyperlink r:id="rId240" ref="V289"/>
    <hyperlink r:id="rId241" ref="AV289"/>
    <hyperlink r:id="rId242" ref="L290"/>
    <hyperlink r:id="rId243" ref="AV290"/>
    <hyperlink r:id="rId244" ref="AW290"/>
    <hyperlink r:id="rId245" ref="V291"/>
    <hyperlink r:id="rId246" ref="AV291"/>
    <hyperlink r:id="rId247" ref="L292"/>
    <hyperlink r:id="rId248" ref="AV292"/>
    <hyperlink r:id="rId249" ref="AW292"/>
    <hyperlink r:id="rId250" ref="V293"/>
    <hyperlink r:id="rId251" ref="AV293"/>
    <hyperlink r:id="rId252" ref="V294"/>
    <hyperlink r:id="rId253" ref="AV294"/>
    <hyperlink r:id="rId254" ref="V295"/>
    <hyperlink r:id="rId255" ref="AV295"/>
    <hyperlink r:id="rId256" ref="V296"/>
    <hyperlink r:id="rId257" ref="AV296"/>
    <hyperlink r:id="rId258" ref="V297"/>
    <hyperlink r:id="rId259" ref="AV297"/>
    <hyperlink r:id="rId260" ref="S298"/>
    <hyperlink r:id="rId261" ref="T298"/>
    <hyperlink r:id="rId262" ref="L299"/>
    <hyperlink r:id="rId263" ref="R299"/>
    <hyperlink r:id="rId264" ref="L301"/>
    <hyperlink r:id="rId265" ref="S302"/>
    <hyperlink r:id="rId266" ref="T302"/>
    <hyperlink r:id="rId267" ref="S303"/>
    <hyperlink r:id="rId268" ref="T303"/>
    <hyperlink r:id="rId269" ref="AV304"/>
    <hyperlink r:id="rId270" ref="AW304"/>
    <hyperlink r:id="rId271" ref="Q305"/>
    <hyperlink r:id="rId272" ref="R305"/>
    <hyperlink r:id="rId273" ref="AV305"/>
    <hyperlink r:id="rId274" ref="AW305"/>
    <hyperlink r:id="rId275" ref="Q307"/>
    <hyperlink r:id="rId276" ref="R307"/>
    <hyperlink r:id="rId277" ref="AV307"/>
    <hyperlink r:id="rId278" ref="AW307"/>
    <hyperlink r:id="rId279" ref="Q309"/>
    <hyperlink r:id="rId280" ref="R309"/>
    <hyperlink r:id="rId281" ref="AV309"/>
    <hyperlink r:id="rId282" ref="AW309"/>
    <hyperlink r:id="rId283" ref="Q311"/>
    <hyperlink r:id="rId284" ref="R311"/>
    <hyperlink r:id="rId285" ref="AV311"/>
    <hyperlink r:id="rId286" ref="AW311"/>
    <hyperlink r:id="rId287" ref="Q312"/>
    <hyperlink r:id="rId288" ref="R312"/>
    <hyperlink r:id="rId289" ref="AV312"/>
    <hyperlink r:id="rId290" ref="V313"/>
    <hyperlink r:id="rId291" ref="X313"/>
    <hyperlink r:id="rId292" ref="M318"/>
    <hyperlink r:id="rId293" ref="M319"/>
    <hyperlink r:id="rId294" ref="Q319"/>
    <hyperlink r:id="rId295" ref="R319"/>
    <hyperlink r:id="rId296" ref="L330"/>
    <hyperlink r:id="rId297" ref="S330"/>
    <hyperlink r:id="rId298" ref="L332"/>
    <hyperlink r:id="rId299" ref="S332"/>
    <hyperlink r:id="rId300" ref="L334"/>
    <hyperlink r:id="rId301" ref="S334"/>
    <hyperlink r:id="rId302" ref="L336"/>
    <hyperlink r:id="rId303" ref="S336"/>
    <hyperlink r:id="rId304" ref="L338"/>
    <hyperlink r:id="rId305" ref="S338"/>
    <hyperlink r:id="rId306" ref="L340"/>
    <hyperlink r:id="rId307" ref="S340"/>
    <hyperlink r:id="rId308" ref="L342"/>
    <hyperlink r:id="rId309" ref="S342"/>
    <hyperlink r:id="rId310" ref="L344"/>
    <hyperlink r:id="rId311" ref="S344"/>
    <hyperlink r:id="rId312" ref="L346"/>
    <hyperlink r:id="rId313" ref="S346"/>
    <hyperlink r:id="rId314" ref="L347"/>
    <hyperlink r:id="rId315" ref="S347"/>
    <hyperlink r:id="rId316" ref="L353"/>
    <hyperlink r:id="rId317" ref="AV353"/>
    <hyperlink r:id="rId318" ref="M354"/>
    <hyperlink r:id="rId319" ref="M355"/>
    <hyperlink r:id="rId320" ref="S355"/>
    <hyperlink r:id="rId321" ref="AV359"/>
    <hyperlink r:id="rId322" ref="AW359"/>
    <hyperlink r:id="rId323" ref="K361"/>
    <hyperlink r:id="rId324" ref="Q361"/>
    <hyperlink r:id="rId325" ref="V361"/>
    <hyperlink r:id="rId326" ref="X361"/>
    <hyperlink r:id="rId327" ref="AX361"/>
    <hyperlink r:id="rId328" ref="V380"/>
    <hyperlink r:id="rId329" ref="V385"/>
    <hyperlink r:id="rId330" ref="V386"/>
    <hyperlink r:id="rId331" ref="V387"/>
    <hyperlink r:id="rId332" ref="V388"/>
    <hyperlink r:id="rId333" ref="V389"/>
    <hyperlink r:id="rId334" ref="V390"/>
    <hyperlink r:id="rId335" ref="V391"/>
    <hyperlink r:id="rId336" ref="V392"/>
    <hyperlink r:id="rId337" ref="V393"/>
    <hyperlink r:id="rId338" ref="V394"/>
    <hyperlink r:id="rId339" ref="V395"/>
    <hyperlink r:id="rId340" ref="V396"/>
    <hyperlink r:id="rId341" ref="Q400"/>
    <hyperlink r:id="rId342" ref="R400"/>
    <hyperlink r:id="rId343" ref="Q402"/>
    <hyperlink r:id="rId344" ref="R402"/>
    <hyperlink r:id="rId345" ref="Q403"/>
    <hyperlink r:id="rId346" ref="R403"/>
    <hyperlink r:id="rId347" ref="AV424"/>
    <hyperlink r:id="rId348" ref="AW424"/>
    <hyperlink r:id="rId349" ref="AV425"/>
    <hyperlink r:id="rId350" ref="AW425"/>
    <hyperlink r:id="rId351" ref="AV426"/>
    <hyperlink r:id="rId352" ref="AW426"/>
    <hyperlink r:id="rId353" ref="AV427"/>
    <hyperlink r:id="rId354" ref="AW427"/>
    <hyperlink r:id="rId355" ref="AV428"/>
    <hyperlink r:id="rId356" ref="AW428"/>
    <hyperlink r:id="rId357" ref="AV429"/>
    <hyperlink r:id="rId358" ref="AW429"/>
    <hyperlink r:id="rId359" ref="J430"/>
    <hyperlink r:id="rId360" ref="Q430"/>
    <hyperlink r:id="rId361" ref="J431"/>
    <hyperlink r:id="rId362" ref="Q431"/>
    <hyperlink r:id="rId363" ref="Q432"/>
    <hyperlink r:id="rId364" ref="AV432"/>
    <hyperlink r:id="rId365" ref="AW432"/>
    <hyperlink r:id="rId366" ref="Q433"/>
    <hyperlink r:id="rId367" ref="AV433"/>
    <hyperlink r:id="rId368" ref="AW433"/>
    <hyperlink r:id="rId369" ref="Q434"/>
    <hyperlink r:id="rId370" ref="AV434"/>
    <hyperlink r:id="rId371" ref="AW434"/>
    <hyperlink r:id="rId372" ref="Q435"/>
    <hyperlink r:id="rId373" ref="AV435"/>
    <hyperlink r:id="rId374" ref="AW435"/>
    <hyperlink r:id="rId375" ref="Q436"/>
    <hyperlink r:id="rId376" ref="AV436"/>
    <hyperlink r:id="rId377" ref="AW436"/>
    <hyperlink r:id="rId378" ref="AV438"/>
    <hyperlink r:id="rId379" ref="AW438"/>
    <hyperlink r:id="rId380" ref="AV439"/>
    <hyperlink r:id="rId381" ref="AW439"/>
    <hyperlink r:id="rId382" ref="AV440"/>
    <hyperlink r:id="rId383" ref="AW440"/>
    <hyperlink r:id="rId384" ref="AV441"/>
    <hyperlink r:id="rId385" ref="AW441"/>
    <hyperlink r:id="rId386" ref="AV442"/>
    <hyperlink r:id="rId387" ref="AW442"/>
    <hyperlink r:id="rId388" ref="AV443"/>
    <hyperlink r:id="rId389" ref="AW443"/>
    <hyperlink r:id="rId390" ref="L445"/>
    <hyperlink r:id="rId391" ref="L446"/>
    <hyperlink r:id="rId392" ref="AV447"/>
    <hyperlink r:id="rId393" ref="AW447"/>
    <hyperlink r:id="rId394" ref="AV448"/>
    <hyperlink r:id="rId395" ref="AW448"/>
    <hyperlink r:id="rId396" ref="Q450"/>
    <hyperlink r:id="rId397" ref="U450"/>
    <hyperlink r:id="rId398" ref="Q452"/>
    <hyperlink r:id="rId399" ref="U452"/>
    <hyperlink r:id="rId400" ref="Q454"/>
    <hyperlink r:id="rId401" ref="R454"/>
    <hyperlink r:id="rId402" ref="Q460"/>
    <hyperlink r:id="rId403" ref="K461"/>
    <hyperlink r:id="rId404" ref="L465"/>
    <hyperlink r:id="rId405" ref="Q465"/>
    <hyperlink r:id="rId406" ref="R465"/>
    <hyperlink r:id="rId407" ref="AV465"/>
    <hyperlink r:id="rId408" ref="AW465"/>
    <hyperlink r:id="rId409" ref="L477"/>
    <hyperlink r:id="rId410" ref="L478"/>
    <hyperlink r:id="rId411" ref="L479"/>
    <hyperlink r:id="rId412" ref="AM486"/>
    <hyperlink r:id="rId413" ref="AN486"/>
    <hyperlink r:id="rId414" ref="AV486"/>
    <hyperlink r:id="rId415" ref="L487"/>
    <hyperlink r:id="rId416" ref="AM487"/>
    <hyperlink r:id="rId417" ref="AN487"/>
    <hyperlink r:id="rId418" ref="AO487"/>
    <hyperlink r:id="rId419" ref="AV487"/>
    <hyperlink r:id="rId420" ref="AW487"/>
    <hyperlink r:id="rId421" ref="L488"/>
    <hyperlink r:id="rId422" ref="AM488"/>
    <hyperlink r:id="rId423" ref="AN488"/>
    <hyperlink r:id="rId424" ref="AO488"/>
    <hyperlink r:id="rId425" ref="AV488"/>
    <hyperlink r:id="rId426" ref="AW488"/>
    <hyperlink r:id="rId427" ref="L489"/>
    <hyperlink r:id="rId428" ref="AM489"/>
    <hyperlink r:id="rId429" ref="AN489"/>
    <hyperlink r:id="rId430" ref="AO489"/>
    <hyperlink r:id="rId431" ref="AV489"/>
    <hyperlink r:id="rId432" ref="AW489"/>
    <hyperlink r:id="rId433" ref="L490"/>
    <hyperlink r:id="rId434" ref="AM490"/>
    <hyperlink r:id="rId435" ref="AN490"/>
    <hyperlink r:id="rId436" ref="AO490"/>
    <hyperlink r:id="rId437" ref="AV490"/>
    <hyperlink r:id="rId438" ref="AW490"/>
    <hyperlink r:id="rId439" ref="L491"/>
    <hyperlink r:id="rId440" ref="AM491"/>
    <hyperlink r:id="rId441" ref="AN491"/>
    <hyperlink r:id="rId442" ref="AO491"/>
    <hyperlink r:id="rId443" ref="AV491"/>
    <hyperlink r:id="rId444" ref="AW491"/>
    <hyperlink r:id="rId445" ref="L492"/>
    <hyperlink r:id="rId446" ref="AM492"/>
    <hyperlink r:id="rId447" ref="AN492"/>
    <hyperlink r:id="rId448" ref="AO492"/>
    <hyperlink r:id="rId449" ref="AV492"/>
    <hyperlink r:id="rId450" ref="AW492"/>
    <hyperlink r:id="rId451" ref="L493"/>
    <hyperlink r:id="rId452" ref="AM493"/>
    <hyperlink r:id="rId453" ref="AN493"/>
    <hyperlink r:id="rId454" ref="AO493"/>
    <hyperlink r:id="rId455" ref="AV493"/>
    <hyperlink r:id="rId456" ref="AW493"/>
    <hyperlink r:id="rId457" ref="L494"/>
    <hyperlink r:id="rId458" ref="AM494"/>
    <hyperlink r:id="rId459" ref="AN494"/>
    <hyperlink r:id="rId460" ref="AO494"/>
    <hyperlink r:id="rId461" ref="AV494"/>
    <hyperlink r:id="rId462" ref="AW494"/>
    <hyperlink r:id="rId463" ref="L495"/>
    <hyperlink r:id="rId464" ref="AM495"/>
    <hyperlink r:id="rId465" ref="AN495"/>
    <hyperlink r:id="rId466" ref="AO495"/>
    <hyperlink r:id="rId467" ref="AV495"/>
    <hyperlink r:id="rId468" ref="AW495"/>
    <hyperlink r:id="rId469" ref="L496"/>
    <hyperlink r:id="rId470" ref="AM496"/>
    <hyperlink r:id="rId471" ref="AN496"/>
    <hyperlink r:id="rId472" ref="AO496"/>
    <hyperlink r:id="rId473" ref="AV496"/>
    <hyperlink r:id="rId474" ref="AW496"/>
    <hyperlink r:id="rId475" ref="L497"/>
    <hyperlink r:id="rId476" ref="AM497"/>
    <hyperlink r:id="rId477" ref="AN497"/>
    <hyperlink r:id="rId478" ref="AO497"/>
    <hyperlink r:id="rId479" ref="AV497"/>
    <hyperlink r:id="rId480" ref="AW497"/>
    <hyperlink r:id="rId481" ref="AV498"/>
    <hyperlink r:id="rId482" ref="J499"/>
    <hyperlink r:id="rId483" ref="L499"/>
    <hyperlink r:id="rId484" ref="AM499"/>
    <hyperlink r:id="rId485" ref="AN499"/>
    <hyperlink r:id="rId486" ref="AO499"/>
    <hyperlink r:id="rId487" ref="AV499"/>
    <hyperlink r:id="rId488" ref="AW499"/>
    <hyperlink r:id="rId489" ref="AX499"/>
    <hyperlink r:id="rId490" ref="J500"/>
    <hyperlink r:id="rId491" ref="L500"/>
    <hyperlink r:id="rId492" ref="AM500"/>
    <hyperlink r:id="rId493" ref="AN500"/>
    <hyperlink r:id="rId494" ref="AO500"/>
    <hyperlink r:id="rId495" ref="AV500"/>
    <hyperlink r:id="rId496" ref="AW500"/>
    <hyperlink r:id="rId497" ref="AV501"/>
    <hyperlink r:id="rId498" ref="J502"/>
    <hyperlink r:id="rId499" ref="L502"/>
    <hyperlink r:id="rId500" ref="AM502"/>
    <hyperlink r:id="rId501" ref="AN502"/>
    <hyperlink r:id="rId502" ref="AV502"/>
    <hyperlink r:id="rId503" ref="AW502"/>
    <hyperlink r:id="rId504" ref="S503"/>
    <hyperlink r:id="rId505" ref="T503"/>
    <hyperlink r:id="rId506" ref="S510"/>
    <hyperlink r:id="rId507" ref="T510"/>
    <hyperlink r:id="rId508" ref="AV516"/>
    <hyperlink r:id="rId509" ref="AW516"/>
    <hyperlink r:id="rId510" ref="AV517"/>
    <hyperlink r:id="rId511" ref="AW517"/>
    <hyperlink r:id="rId512" ref="AV518"/>
    <hyperlink r:id="rId513" ref="AW518"/>
    <hyperlink r:id="rId514" ref="AM519"/>
    <hyperlink r:id="rId515" ref="AM520"/>
    <hyperlink r:id="rId516" ref="AM521"/>
    <hyperlink r:id="rId517" ref="AM539"/>
    <hyperlink r:id="rId518" ref="AV539"/>
    <hyperlink r:id="rId519" ref="AM540"/>
    <hyperlink r:id="rId520" ref="AV540"/>
    <hyperlink r:id="rId521" ref="AV541"/>
    <hyperlink r:id="rId522" ref="AV542"/>
    <hyperlink r:id="rId523" ref="AV585"/>
    <hyperlink r:id="rId524" ref="AW585"/>
    <hyperlink r:id="rId525" ref="AV586"/>
    <hyperlink r:id="rId526" ref="AW586"/>
    <hyperlink r:id="rId527" ref="AV587"/>
    <hyperlink r:id="rId528" ref="AW587"/>
    <hyperlink r:id="rId529" ref="AV588"/>
    <hyperlink r:id="rId530" ref="AW588"/>
    <hyperlink r:id="rId531" ref="AV589"/>
    <hyperlink r:id="rId532" ref="AW589"/>
    <hyperlink r:id="rId533" ref="AV590"/>
    <hyperlink r:id="rId534" ref="AW590"/>
    <hyperlink r:id="rId535" ref="AV591"/>
    <hyperlink r:id="rId536" ref="AW591"/>
    <hyperlink r:id="rId537" ref="AV592"/>
    <hyperlink r:id="rId538" ref="AW592"/>
    <hyperlink r:id="rId539" ref="AV593"/>
    <hyperlink r:id="rId540" ref="AW593"/>
    <hyperlink r:id="rId541" ref="Q595"/>
    <hyperlink r:id="rId542" ref="AV643"/>
    <hyperlink r:id="rId543" ref="AW643"/>
    <hyperlink r:id="rId544" ref="AV644"/>
    <hyperlink r:id="rId545" ref="AW644"/>
    <hyperlink r:id="rId546" ref="AV645"/>
    <hyperlink r:id="rId547" ref="AW645"/>
    <hyperlink r:id="rId548" ref="AV646"/>
    <hyperlink r:id="rId549" ref="AW646"/>
    <hyperlink r:id="rId550" ref="AV647"/>
    <hyperlink r:id="rId551" ref="AW647"/>
    <hyperlink r:id="rId552" ref="AV648"/>
    <hyperlink r:id="rId553" ref="AW648"/>
    <hyperlink r:id="rId554" ref="AM649"/>
    <hyperlink r:id="rId555" ref="AN649"/>
    <hyperlink r:id="rId556" ref="AO649"/>
    <hyperlink r:id="rId557" ref="AV649"/>
    <hyperlink r:id="rId558" ref="AW649"/>
    <hyperlink r:id="rId559" ref="AM650"/>
    <hyperlink r:id="rId560" ref="AN650"/>
    <hyperlink r:id="rId561" ref="AO650"/>
    <hyperlink r:id="rId562" ref="AV650"/>
    <hyperlink r:id="rId563" ref="AW650"/>
    <hyperlink r:id="rId564" ref="AM651"/>
    <hyperlink r:id="rId565" ref="AN651"/>
    <hyperlink r:id="rId566" ref="AO651"/>
    <hyperlink r:id="rId567" ref="AV651"/>
    <hyperlink r:id="rId568" ref="AW651"/>
    <hyperlink r:id="rId569" ref="AM652"/>
    <hyperlink r:id="rId570" ref="AN652"/>
    <hyperlink r:id="rId571" ref="AO652"/>
    <hyperlink r:id="rId572" ref="AV652"/>
    <hyperlink r:id="rId573" ref="AW652"/>
    <hyperlink r:id="rId574" ref="AM653"/>
    <hyperlink r:id="rId575" ref="AN653"/>
    <hyperlink r:id="rId576" ref="AO653"/>
    <hyperlink r:id="rId577" ref="AV653"/>
    <hyperlink r:id="rId578" ref="AW653"/>
    <hyperlink r:id="rId579" ref="AM654"/>
    <hyperlink r:id="rId580" ref="AN654"/>
    <hyperlink r:id="rId581" ref="AO654"/>
    <hyperlink r:id="rId582" ref="AV654"/>
    <hyperlink r:id="rId583" ref="AW654"/>
    <hyperlink r:id="rId584" ref="AM655"/>
    <hyperlink r:id="rId585" ref="AN655"/>
    <hyperlink r:id="rId586" ref="AO655"/>
    <hyperlink r:id="rId587" ref="AV655"/>
    <hyperlink r:id="rId588" ref="AW655"/>
    <hyperlink r:id="rId589" ref="AM656"/>
    <hyperlink r:id="rId590" ref="AN656"/>
    <hyperlink r:id="rId591" ref="AO656"/>
    <hyperlink r:id="rId592" ref="AV656"/>
    <hyperlink r:id="rId593" ref="AW656"/>
    <hyperlink r:id="rId594" ref="AM657"/>
    <hyperlink r:id="rId595" ref="AN657"/>
    <hyperlink r:id="rId596" ref="AO657"/>
    <hyperlink r:id="rId597" ref="AV657"/>
    <hyperlink r:id="rId598" ref="AW657"/>
    <hyperlink r:id="rId599" ref="AM658"/>
    <hyperlink r:id="rId600" ref="AN658"/>
    <hyperlink r:id="rId601" ref="AO658"/>
    <hyperlink r:id="rId602" ref="AV658"/>
    <hyperlink r:id="rId603" ref="AW658"/>
    <hyperlink r:id="rId604" ref="AM659"/>
    <hyperlink r:id="rId605" ref="AN659"/>
    <hyperlink r:id="rId606" ref="AO659"/>
    <hyperlink r:id="rId607" ref="AV659"/>
    <hyperlink r:id="rId608" ref="AW659"/>
    <hyperlink r:id="rId609" ref="AM660"/>
    <hyperlink r:id="rId610" ref="AN660"/>
    <hyperlink r:id="rId611" ref="AO660"/>
    <hyperlink r:id="rId612" ref="AV660"/>
    <hyperlink r:id="rId613" ref="AW660"/>
    <hyperlink r:id="rId614" ref="AM661"/>
    <hyperlink r:id="rId615" ref="AN661"/>
    <hyperlink r:id="rId616" ref="AO661"/>
    <hyperlink r:id="rId617" ref="AV661"/>
    <hyperlink r:id="rId618" ref="AW661"/>
    <hyperlink r:id="rId619" ref="AM662"/>
    <hyperlink r:id="rId620" ref="AN662"/>
    <hyperlink r:id="rId621" ref="AO662"/>
    <hyperlink r:id="rId622" ref="AV662"/>
    <hyperlink r:id="rId623" ref="AW662"/>
    <hyperlink r:id="rId624" ref="AM663"/>
    <hyperlink r:id="rId625" ref="AN663"/>
    <hyperlink r:id="rId626" ref="AO663"/>
    <hyperlink r:id="rId627" ref="AV663"/>
    <hyperlink r:id="rId628" ref="AW663"/>
    <hyperlink r:id="rId629" ref="AM664"/>
    <hyperlink r:id="rId630" ref="AN664"/>
    <hyperlink r:id="rId631" ref="AO664"/>
    <hyperlink r:id="rId632" ref="AV664"/>
    <hyperlink r:id="rId633" ref="AW664"/>
    <hyperlink r:id="rId634" ref="Q665"/>
    <hyperlink r:id="rId635" ref="AV665"/>
    <hyperlink r:id="rId636" ref="AW665"/>
    <hyperlink r:id="rId637" ref="W673"/>
    <hyperlink r:id="rId638" ref="W674"/>
    <hyperlink r:id="rId639" ref="AV682"/>
    <hyperlink r:id="rId640" ref="AV683"/>
    <hyperlink r:id="rId641" ref="Q684"/>
    <hyperlink r:id="rId642" ref="R684"/>
    <hyperlink r:id="rId643" ref="Q686"/>
    <hyperlink r:id="rId644" ref="R686"/>
    <hyperlink r:id="rId645" ref="S689"/>
    <hyperlink r:id="rId646" ref="L691"/>
    <hyperlink r:id="rId647" ref="L692"/>
    <hyperlink r:id="rId648" ref="L693"/>
    <hyperlink r:id="rId649" ref="L694"/>
    <hyperlink r:id="rId650" ref="L695"/>
    <hyperlink r:id="rId651" ref="L696"/>
    <hyperlink r:id="rId652" ref="S697"/>
    <hyperlink r:id="rId653" ref="W697"/>
    <hyperlink r:id="rId654" ref="S699"/>
    <hyperlink r:id="rId655" ref="L700"/>
    <hyperlink r:id="rId656" ref="S700"/>
    <hyperlink r:id="rId657" ref="AV700"/>
    <hyperlink r:id="rId658" ref="L701"/>
    <hyperlink r:id="rId659" ref="L702"/>
    <hyperlink r:id="rId660" ref="L703"/>
    <hyperlink r:id="rId661" ref="L704"/>
    <hyperlink r:id="rId662" ref="L705"/>
    <hyperlink r:id="rId663" ref="L706"/>
    <hyperlink r:id="rId664" ref="S707"/>
    <hyperlink r:id="rId665" ref="S709"/>
    <hyperlink r:id="rId666" ref="S711"/>
    <hyperlink r:id="rId667" ref="S712"/>
    <hyperlink r:id="rId668" ref="AV712"/>
    <hyperlink r:id="rId669" ref="S713"/>
    <hyperlink r:id="rId670" ref="AV713"/>
    <hyperlink r:id="rId671" ref="S714"/>
    <hyperlink r:id="rId672" ref="AV714"/>
    <hyperlink r:id="rId673" ref="S715"/>
    <hyperlink r:id="rId674" ref="AV715"/>
    <hyperlink r:id="rId675" ref="S716"/>
    <hyperlink r:id="rId676" ref="AV716"/>
    <hyperlink r:id="rId677" ref="S717"/>
    <hyperlink r:id="rId678" ref="AV717"/>
    <hyperlink r:id="rId679" ref="AV719"/>
    <hyperlink r:id="rId680" ref="AW719"/>
    <hyperlink r:id="rId681" ref="AV721"/>
    <hyperlink r:id="rId682" ref="AW721"/>
    <hyperlink r:id="rId683" ref="K722"/>
    <hyperlink r:id="rId684" ref="K724"/>
    <hyperlink r:id="rId685" ref="S725"/>
    <hyperlink r:id="rId686" ref="W725"/>
    <hyperlink r:id="rId687" ref="S727"/>
    <hyperlink r:id="rId688" ref="W727"/>
    <hyperlink r:id="rId689" ref="S729"/>
    <hyperlink r:id="rId690" ref="W729"/>
    <hyperlink r:id="rId691" ref="AV731"/>
    <hyperlink r:id="rId692" ref="AW731"/>
    <hyperlink r:id="rId693" ref="AV732"/>
    <hyperlink r:id="rId694" ref="AV733"/>
    <hyperlink r:id="rId695" ref="S734"/>
    <hyperlink r:id="rId696" ref="V734"/>
    <hyperlink r:id="rId697" ref="AV736"/>
    <hyperlink r:id="rId698" ref="AW736"/>
    <hyperlink r:id="rId699" ref="Q738"/>
    <hyperlink r:id="rId700" ref="R738"/>
    <hyperlink r:id="rId701" ref="Q739"/>
    <hyperlink r:id="rId702" ref="R739"/>
    <hyperlink r:id="rId703" ref="Q740"/>
    <hyperlink r:id="rId704" ref="R740"/>
    <hyperlink r:id="rId705" ref="Q741"/>
    <hyperlink r:id="rId706" ref="S742"/>
    <hyperlink r:id="rId707" ref="W742"/>
    <hyperlink r:id="rId708" ref="S744"/>
    <hyperlink r:id="rId709" ref="W744"/>
    <hyperlink r:id="rId710" ref="S746"/>
    <hyperlink r:id="rId711" ref="W746"/>
    <hyperlink r:id="rId712" ref="S748"/>
    <hyperlink r:id="rId713" ref="W748"/>
    <hyperlink r:id="rId714" ref="AV750"/>
    <hyperlink r:id="rId715" ref="AW750"/>
    <hyperlink r:id="rId716" ref="AV751"/>
    <hyperlink r:id="rId717" ref="AW751"/>
    <hyperlink r:id="rId718" ref="AV752"/>
    <hyperlink r:id="rId719" ref="AW752"/>
    <hyperlink r:id="rId720" ref="AV753"/>
    <hyperlink r:id="rId721" ref="AW753"/>
    <hyperlink r:id="rId722" ref="AV754"/>
    <hyperlink r:id="rId723" ref="S755"/>
    <hyperlink r:id="rId724" ref="S757"/>
    <hyperlink r:id="rId725" ref="AV759"/>
    <hyperlink r:id="rId726" ref="AW759"/>
    <hyperlink r:id="rId727" ref="AV760"/>
    <hyperlink r:id="rId728" ref="AW760"/>
    <hyperlink r:id="rId729" ref="AV761"/>
    <hyperlink r:id="rId730" ref="AW761"/>
    <hyperlink r:id="rId731" ref="AV762"/>
    <hyperlink r:id="rId732" ref="AW762"/>
    <hyperlink r:id="rId733" ref="S763"/>
    <hyperlink r:id="rId734" ref="Q765"/>
    <hyperlink r:id="rId735" ref="AQ765"/>
    <hyperlink r:id="rId736" ref="AV765"/>
    <hyperlink r:id="rId737" ref="AW765"/>
    <hyperlink r:id="rId738" ref="AQ769"/>
    <hyperlink r:id="rId739" ref="AV769"/>
    <hyperlink r:id="rId740" ref="AW769"/>
    <hyperlink r:id="rId741" ref="AQ770"/>
    <hyperlink r:id="rId742" ref="AV770"/>
    <hyperlink r:id="rId743" ref="AW770"/>
    <hyperlink r:id="rId744" ref="AV771"/>
    <hyperlink r:id="rId745" ref="AW771"/>
    <hyperlink r:id="rId746" ref="AV773"/>
    <hyperlink r:id="rId747" ref="AW773"/>
    <hyperlink r:id="rId748" ref="AV774"/>
    <hyperlink r:id="rId749" ref="AW774"/>
    <hyperlink r:id="rId750" ref="AV775"/>
    <hyperlink r:id="rId751" ref="AW775"/>
    <hyperlink r:id="rId752" ref="AV776"/>
    <hyperlink r:id="rId753" ref="AW776"/>
    <hyperlink r:id="rId754" ref="AV777"/>
    <hyperlink r:id="rId755" ref="AW777"/>
    <hyperlink r:id="rId756" ref="AV778"/>
    <hyperlink r:id="rId757" ref="AW778"/>
    <hyperlink r:id="rId758" ref="AV779"/>
    <hyperlink r:id="rId759" ref="AW779"/>
    <hyperlink r:id="rId760" ref="AV780"/>
    <hyperlink r:id="rId761" ref="AW780"/>
    <hyperlink r:id="rId762" ref="AV781"/>
    <hyperlink r:id="rId763" ref="AW781"/>
    <hyperlink r:id="rId764" ref="AV782"/>
    <hyperlink r:id="rId765" ref="AW782"/>
    <hyperlink r:id="rId766" ref="AV783"/>
    <hyperlink r:id="rId767" ref="AW783"/>
    <hyperlink r:id="rId768" ref="AV784"/>
    <hyperlink r:id="rId769" ref="AW784"/>
    <hyperlink r:id="rId770" ref="Q785"/>
    <hyperlink r:id="rId771" ref="R785"/>
    <hyperlink r:id="rId772" ref="AV785"/>
    <hyperlink r:id="rId773" ref="AW785"/>
    <hyperlink r:id="rId774" ref="AV786"/>
    <hyperlink r:id="rId775" ref="AW786"/>
    <hyperlink r:id="rId776" ref="AV787"/>
    <hyperlink r:id="rId777" ref="AW787"/>
    <hyperlink r:id="rId778" ref="AQ788"/>
    <hyperlink r:id="rId779" ref="AR788"/>
    <hyperlink r:id="rId780" ref="AS788"/>
    <hyperlink r:id="rId781" ref="AV788"/>
    <hyperlink r:id="rId782" ref="AW788"/>
    <hyperlink r:id="rId783" ref="AV789"/>
    <hyperlink r:id="rId784" ref="AW789"/>
    <hyperlink r:id="rId785" ref="AV790"/>
    <hyperlink r:id="rId786" ref="AW790"/>
    <hyperlink r:id="rId787" ref="J791"/>
    <hyperlink r:id="rId788" ref="L791"/>
    <hyperlink r:id="rId789" ref="S791"/>
    <hyperlink r:id="rId790" ref="AV791"/>
    <hyperlink r:id="rId791" ref="L792"/>
    <hyperlink r:id="rId792" ref="S792"/>
    <hyperlink r:id="rId793" ref="L793"/>
    <hyperlink r:id="rId794" ref="S793"/>
    <hyperlink r:id="rId795" ref="AV793"/>
    <hyperlink r:id="rId796" ref="L794"/>
    <hyperlink r:id="rId797" ref="S794"/>
    <hyperlink r:id="rId798" ref="J795"/>
    <hyperlink r:id="rId799" ref="L795"/>
    <hyperlink r:id="rId800" ref="S795"/>
    <hyperlink r:id="rId801" ref="AV795"/>
    <hyperlink r:id="rId802" ref="L796"/>
    <hyperlink r:id="rId803" ref="S796"/>
    <hyperlink r:id="rId804" ref="L797"/>
    <hyperlink r:id="rId805" ref="S797"/>
    <hyperlink r:id="rId806" ref="AV797"/>
    <hyperlink r:id="rId807" ref="L798"/>
    <hyperlink r:id="rId808" ref="S798"/>
    <hyperlink r:id="rId809" ref="L799"/>
    <hyperlink r:id="rId810" ref="S799"/>
    <hyperlink r:id="rId811" ref="AV799"/>
    <hyperlink r:id="rId812" ref="L800"/>
    <hyperlink r:id="rId813" ref="S800"/>
    <hyperlink r:id="rId814" ref="L801"/>
    <hyperlink r:id="rId815" ref="S801"/>
    <hyperlink r:id="rId816" ref="AV801"/>
    <hyperlink r:id="rId817" ref="L802"/>
    <hyperlink r:id="rId818" ref="S802"/>
    <hyperlink r:id="rId819" ref="L803"/>
    <hyperlink r:id="rId820" ref="S803"/>
    <hyperlink r:id="rId821" ref="AV803"/>
    <hyperlink r:id="rId822" ref="L804"/>
    <hyperlink r:id="rId823" ref="S804"/>
    <hyperlink r:id="rId824" ref="L805"/>
    <hyperlink r:id="rId825" ref="S805"/>
    <hyperlink r:id="rId826" ref="AV805"/>
    <hyperlink r:id="rId827" ref="L806"/>
    <hyperlink r:id="rId828" ref="S806"/>
    <hyperlink r:id="rId829" ref="L807"/>
    <hyperlink r:id="rId830" ref="S807"/>
    <hyperlink r:id="rId831" ref="AM807"/>
    <hyperlink r:id="rId832" ref="AV807"/>
    <hyperlink r:id="rId833" ref="L808"/>
    <hyperlink r:id="rId834" ref="S808"/>
    <hyperlink r:id="rId835" ref="L809"/>
    <hyperlink r:id="rId836" ref="S809"/>
    <hyperlink r:id="rId837" ref="AM809"/>
    <hyperlink r:id="rId838" ref="AV809"/>
    <hyperlink r:id="rId839" ref="L810"/>
    <hyperlink r:id="rId840" ref="S810"/>
    <hyperlink r:id="rId841" ref="L811"/>
    <hyperlink r:id="rId842" ref="S811"/>
    <hyperlink r:id="rId843" ref="AV811"/>
    <hyperlink r:id="rId844" ref="L812"/>
    <hyperlink r:id="rId845" ref="S812"/>
    <hyperlink r:id="rId846" ref="J813"/>
    <hyperlink r:id="rId847" ref="L813"/>
    <hyperlink r:id="rId848" ref="S813"/>
    <hyperlink r:id="rId849" ref="AV813"/>
    <hyperlink r:id="rId850" ref="L814"/>
    <hyperlink r:id="rId851" ref="S814"/>
    <hyperlink r:id="rId852" ref="J815"/>
    <hyperlink r:id="rId853" ref="L815"/>
    <hyperlink r:id="rId854" ref="M815"/>
    <hyperlink r:id="rId855" ref="S815"/>
    <hyperlink r:id="rId856" ref="AV815"/>
    <hyperlink r:id="rId857" ref="L816"/>
    <hyperlink r:id="rId858" ref="M816"/>
    <hyperlink r:id="rId859" ref="S816"/>
    <hyperlink r:id="rId860" ref="L817"/>
    <hyperlink r:id="rId861" ref="S817"/>
    <hyperlink r:id="rId862" ref="AV817"/>
    <hyperlink r:id="rId863" ref="L818"/>
    <hyperlink r:id="rId864" ref="S818"/>
    <hyperlink r:id="rId865" ref="L819"/>
    <hyperlink r:id="rId866" ref="S819"/>
    <hyperlink r:id="rId867" ref="AV819"/>
    <hyperlink r:id="rId868" ref="L820"/>
    <hyperlink r:id="rId869" ref="S820"/>
    <hyperlink r:id="rId870" ref="J821"/>
    <hyperlink r:id="rId871" ref="L821"/>
    <hyperlink r:id="rId872" ref="S821"/>
    <hyperlink r:id="rId873" ref="AM821"/>
    <hyperlink r:id="rId874" ref="AV821"/>
    <hyperlink r:id="rId875" ref="L822"/>
    <hyperlink r:id="rId876" ref="S822"/>
    <hyperlink r:id="rId877" ref="J823"/>
    <hyperlink r:id="rId878" ref="L823"/>
    <hyperlink r:id="rId879" ref="S823"/>
    <hyperlink r:id="rId880" ref="AV823"/>
    <hyperlink r:id="rId881" ref="L824"/>
    <hyperlink r:id="rId882" ref="S824"/>
    <hyperlink r:id="rId883" ref="L825"/>
    <hyperlink r:id="rId884" ref="S825"/>
    <hyperlink r:id="rId885" ref="AM825"/>
    <hyperlink r:id="rId886" ref="AV825"/>
    <hyperlink r:id="rId887" ref="L826"/>
    <hyperlink r:id="rId888" ref="S826"/>
    <hyperlink r:id="rId889" ref="L827"/>
    <hyperlink r:id="rId890" ref="S827"/>
    <hyperlink r:id="rId891" ref="AV827"/>
    <hyperlink r:id="rId892" ref="L828"/>
    <hyperlink r:id="rId893" ref="S828"/>
    <hyperlink r:id="rId894" ref="L829"/>
    <hyperlink r:id="rId895" ref="S829"/>
    <hyperlink r:id="rId896" ref="AV829"/>
    <hyperlink r:id="rId897" ref="L830"/>
    <hyperlink r:id="rId898" ref="S830"/>
    <hyperlink r:id="rId899" ref="L831"/>
    <hyperlink r:id="rId900" ref="S831"/>
    <hyperlink r:id="rId901" ref="AV831"/>
    <hyperlink r:id="rId902" ref="L832"/>
    <hyperlink r:id="rId903" ref="S832"/>
    <hyperlink r:id="rId904" ref="L833"/>
    <hyperlink r:id="rId905" ref="S833"/>
    <hyperlink r:id="rId906" ref="AV833"/>
    <hyperlink r:id="rId907" ref="L834"/>
    <hyperlink r:id="rId908" ref="S834"/>
    <hyperlink r:id="rId909" ref="L835"/>
    <hyperlink r:id="rId910" ref="S835"/>
    <hyperlink r:id="rId911" ref="AV835"/>
    <hyperlink r:id="rId912" ref="L836"/>
    <hyperlink r:id="rId913" ref="S836"/>
    <hyperlink r:id="rId914" ref="L837"/>
    <hyperlink r:id="rId915" ref="S837"/>
    <hyperlink r:id="rId916" ref="AV837"/>
    <hyperlink r:id="rId917" ref="L838"/>
    <hyperlink r:id="rId918" ref="L839"/>
    <hyperlink r:id="rId919" ref="AV839"/>
    <hyperlink r:id="rId920" ref="L840"/>
    <hyperlink r:id="rId921" ref="L841"/>
    <hyperlink r:id="rId922" ref="AV841"/>
    <hyperlink r:id="rId923" ref="L842"/>
    <hyperlink r:id="rId924" ref="AV843"/>
    <hyperlink r:id="rId925" ref="AW843"/>
    <hyperlink r:id="rId926" ref="J844"/>
    <hyperlink r:id="rId927" ref="Q844"/>
    <hyperlink r:id="rId928" ref="R844"/>
    <hyperlink r:id="rId929" ref="AV844"/>
    <hyperlink r:id="rId930" ref="AW844"/>
    <hyperlink r:id="rId931" ref="J845"/>
    <hyperlink r:id="rId932" ref="Q845"/>
    <hyperlink r:id="rId933" ref="R845"/>
    <hyperlink r:id="rId934" ref="AV845"/>
    <hyperlink r:id="rId935" ref="AW845"/>
    <hyperlink r:id="rId936" ref="J846"/>
    <hyperlink r:id="rId937" ref="Q846"/>
    <hyperlink r:id="rId938" ref="R846"/>
    <hyperlink r:id="rId939" ref="AV846"/>
    <hyperlink r:id="rId940" ref="AW846"/>
    <hyperlink r:id="rId941" ref="J847"/>
    <hyperlink r:id="rId942" ref="Q847"/>
    <hyperlink r:id="rId943" ref="R847"/>
    <hyperlink r:id="rId944" ref="AV847"/>
    <hyperlink r:id="rId945" ref="AW847"/>
    <hyperlink r:id="rId946" ref="J848"/>
    <hyperlink r:id="rId947" ref="Q848"/>
    <hyperlink r:id="rId948" ref="R848"/>
    <hyperlink r:id="rId949" ref="AV848"/>
    <hyperlink r:id="rId950" ref="AW848"/>
    <hyperlink r:id="rId951" ref="J849"/>
    <hyperlink r:id="rId952" ref="Q849"/>
    <hyperlink r:id="rId953" ref="R849"/>
    <hyperlink r:id="rId954" ref="AV849"/>
    <hyperlink r:id="rId955" ref="AW849"/>
    <hyperlink r:id="rId956" ref="J850"/>
    <hyperlink r:id="rId957" ref="Q850"/>
    <hyperlink r:id="rId958" ref="R850"/>
    <hyperlink r:id="rId959" ref="AV850"/>
    <hyperlink r:id="rId960" ref="AW850"/>
    <hyperlink r:id="rId961" ref="AV914"/>
    <hyperlink r:id="rId962" ref="AW914"/>
    <hyperlink r:id="rId963" ref="AV915"/>
    <hyperlink r:id="rId964" ref="AW915"/>
    <hyperlink r:id="rId965" ref="AV916"/>
    <hyperlink r:id="rId966" ref="AW916"/>
    <hyperlink r:id="rId967" ref="Q918"/>
    <hyperlink r:id="rId968" ref="AV918"/>
    <hyperlink r:id="rId969" ref="AW918"/>
    <hyperlink r:id="rId970" ref="J920"/>
    <hyperlink r:id="rId971" ref="AV920"/>
    <hyperlink r:id="rId972" ref="AW920"/>
    <hyperlink r:id="rId973" ref="AV921"/>
    <hyperlink r:id="rId974" ref="R922"/>
    <hyperlink r:id="rId975" ref="S922"/>
    <hyperlink r:id="rId976" ref="AV922"/>
    <hyperlink r:id="rId977" ref="AV923"/>
    <hyperlink r:id="rId978" ref="AV924"/>
    <hyperlink r:id="rId979" ref="R925"/>
    <hyperlink r:id="rId980" ref="S925"/>
    <hyperlink r:id="rId981" ref="AV925"/>
    <hyperlink r:id="rId982" ref="AV926"/>
    <hyperlink r:id="rId983" ref="R927"/>
    <hyperlink r:id="rId984" ref="S927"/>
    <hyperlink r:id="rId985" ref="AV927"/>
    <hyperlink r:id="rId986" ref="AV928"/>
    <hyperlink r:id="rId987" ref="AV929"/>
    <hyperlink r:id="rId988" ref="AV930"/>
    <hyperlink r:id="rId989" ref="R931"/>
    <hyperlink r:id="rId990" ref="S931"/>
    <hyperlink r:id="rId991" ref="AV931"/>
    <hyperlink r:id="rId992" ref="AV932"/>
    <hyperlink r:id="rId993" ref="R933"/>
    <hyperlink r:id="rId994" ref="S933"/>
    <hyperlink r:id="rId995" ref="AQ933"/>
    <hyperlink r:id="rId996" ref="AV933"/>
    <hyperlink r:id="rId997" ref="AV934"/>
    <hyperlink r:id="rId998" ref="R935"/>
    <hyperlink r:id="rId999" ref="S935"/>
    <hyperlink r:id="rId1000" ref="AV936"/>
    <hyperlink r:id="rId1001" ref="R937"/>
    <hyperlink r:id="rId1002" ref="S937"/>
    <hyperlink r:id="rId1003" ref="AV937"/>
    <hyperlink r:id="rId1004" ref="AV938"/>
    <hyperlink r:id="rId1005" ref="AV939"/>
    <hyperlink r:id="rId1006" ref="AV940"/>
    <hyperlink r:id="rId1007" ref="L941"/>
    <hyperlink r:id="rId1008" ref="R941"/>
    <hyperlink r:id="rId1009" ref="S941"/>
    <hyperlink r:id="rId1010" ref="AV941"/>
    <hyperlink r:id="rId1011" ref="L942"/>
    <hyperlink r:id="rId1012" ref="AV942"/>
    <hyperlink r:id="rId1013" ref="L943"/>
    <hyperlink r:id="rId1014" ref="R943"/>
    <hyperlink r:id="rId1015" ref="S943"/>
    <hyperlink r:id="rId1016" ref="AV943"/>
    <hyperlink r:id="rId1017" ref="AV944"/>
    <hyperlink r:id="rId1018" ref="R945"/>
    <hyperlink r:id="rId1019" ref="S945"/>
    <hyperlink r:id="rId1020" ref="AV946"/>
    <hyperlink r:id="rId1021" ref="R947"/>
    <hyperlink r:id="rId1022" ref="S947"/>
    <hyperlink r:id="rId1023" ref="AV947"/>
    <hyperlink r:id="rId1024" ref="AV948"/>
    <hyperlink r:id="rId1025" ref="R949"/>
    <hyperlink r:id="rId1026" ref="S949"/>
    <hyperlink r:id="rId1027" ref="AV950"/>
    <hyperlink r:id="rId1028" ref="R951"/>
    <hyperlink r:id="rId1029" ref="S951"/>
    <hyperlink r:id="rId1030" ref="AV952"/>
    <hyperlink r:id="rId1031" ref="R953"/>
    <hyperlink r:id="rId1032" ref="S953"/>
    <hyperlink r:id="rId1033" ref="AV953"/>
    <hyperlink r:id="rId1034" ref="AV954"/>
    <hyperlink r:id="rId1035" ref="R955"/>
    <hyperlink r:id="rId1036" ref="S955"/>
    <hyperlink r:id="rId1037" ref="AV955"/>
    <hyperlink r:id="rId1038" ref="AV956"/>
    <hyperlink r:id="rId1039" ref="AV957"/>
    <hyperlink r:id="rId1040" ref="R958"/>
    <hyperlink r:id="rId1041" ref="S958"/>
    <hyperlink r:id="rId1042" ref="AV958"/>
    <hyperlink r:id="rId1043" ref="AV959"/>
    <hyperlink r:id="rId1044" ref="R960"/>
    <hyperlink r:id="rId1045" ref="S960"/>
    <hyperlink r:id="rId1046" ref="AV960"/>
    <hyperlink r:id="rId1047" ref="AV961"/>
    <hyperlink r:id="rId1048" ref="AV962"/>
    <hyperlink r:id="rId1049" ref="R963"/>
    <hyperlink r:id="rId1050" ref="S963"/>
    <hyperlink r:id="rId1051" ref="AV964"/>
    <hyperlink r:id="rId1052" ref="R965"/>
    <hyperlink r:id="rId1053" ref="S965"/>
    <hyperlink r:id="rId1054" ref="AV965"/>
    <hyperlink r:id="rId1055" ref="AV966"/>
    <hyperlink r:id="rId1056" ref="R967"/>
    <hyperlink r:id="rId1057" ref="S967"/>
    <hyperlink r:id="rId1058" ref="AV967"/>
    <hyperlink r:id="rId1059" ref="AV968"/>
    <hyperlink r:id="rId1060" ref="R969"/>
    <hyperlink r:id="rId1061" ref="S969"/>
    <hyperlink r:id="rId1062" ref="AV969"/>
    <hyperlink r:id="rId1063" ref="AV970"/>
    <hyperlink r:id="rId1064" ref="R971"/>
    <hyperlink r:id="rId1065" ref="S971"/>
    <hyperlink r:id="rId1066" ref="AV971"/>
    <hyperlink r:id="rId1067" ref="AV972"/>
    <hyperlink r:id="rId1068" ref="R973"/>
    <hyperlink r:id="rId1069" ref="S973"/>
    <hyperlink r:id="rId1070" ref="AV973"/>
    <hyperlink r:id="rId1071" ref="AV974"/>
    <hyperlink r:id="rId1072" ref="R975"/>
    <hyperlink r:id="rId1073" ref="S975"/>
    <hyperlink r:id="rId1074" ref="AV975"/>
    <hyperlink r:id="rId1075" ref="AV976"/>
    <hyperlink r:id="rId1076" ref="R977"/>
    <hyperlink r:id="rId1077" ref="S977"/>
    <hyperlink r:id="rId1078" ref="AV977"/>
    <hyperlink r:id="rId1079" ref="AV978"/>
    <hyperlink r:id="rId1080" ref="R979"/>
    <hyperlink r:id="rId1081" ref="S979"/>
    <hyperlink r:id="rId1082" ref="AV979"/>
    <hyperlink r:id="rId1083" ref="AV980"/>
    <hyperlink r:id="rId1084" ref="R981"/>
    <hyperlink r:id="rId1085" ref="S981"/>
    <hyperlink r:id="rId1086" ref="AV981"/>
    <hyperlink r:id="rId1087" ref="AV982"/>
    <hyperlink r:id="rId1088" ref="R983"/>
    <hyperlink r:id="rId1089" ref="S983"/>
    <hyperlink r:id="rId1090" ref="AV983"/>
    <hyperlink r:id="rId1091" ref="AV984"/>
    <hyperlink r:id="rId1092" ref="R985"/>
    <hyperlink r:id="rId1093" ref="S985"/>
    <hyperlink r:id="rId1094" ref="AV985"/>
    <hyperlink r:id="rId1095" ref="AV986"/>
    <hyperlink r:id="rId1096" ref="R987"/>
    <hyperlink r:id="rId1097" ref="S987"/>
    <hyperlink r:id="rId1098" ref="AV987"/>
    <hyperlink r:id="rId1099" ref="AV988"/>
    <hyperlink r:id="rId1100" ref="R989"/>
    <hyperlink r:id="rId1101" ref="S989"/>
    <hyperlink r:id="rId1102" ref="AV989"/>
    <hyperlink r:id="rId1103" ref="AV990"/>
    <hyperlink r:id="rId1104" ref="AV991"/>
    <hyperlink r:id="rId1105" ref="R992"/>
    <hyperlink r:id="rId1106" ref="S992"/>
    <hyperlink r:id="rId1107" ref="AV992"/>
    <hyperlink r:id="rId1108" ref="AV993"/>
    <hyperlink r:id="rId1109" ref="R994"/>
    <hyperlink r:id="rId1110" ref="S994"/>
    <hyperlink r:id="rId1111" ref="AV994"/>
    <hyperlink r:id="rId1112" ref="R995"/>
    <hyperlink r:id="rId1113" ref="S995"/>
    <hyperlink r:id="rId1114" ref="AV995"/>
    <hyperlink r:id="rId1115" ref="R996"/>
    <hyperlink r:id="rId1116" ref="S996"/>
    <hyperlink r:id="rId1117" ref="AV996"/>
    <hyperlink r:id="rId1118" ref="R997"/>
    <hyperlink r:id="rId1119" ref="S997"/>
    <hyperlink r:id="rId1120" ref="AV997"/>
    <hyperlink r:id="rId1121" ref="R998"/>
    <hyperlink r:id="rId1122" ref="S998"/>
    <hyperlink r:id="rId1123" ref="AV998"/>
    <hyperlink r:id="rId1124" ref="R999"/>
    <hyperlink r:id="rId1125" ref="S999"/>
    <hyperlink r:id="rId1126" ref="AV999"/>
    <hyperlink r:id="rId1127" ref="R1000"/>
    <hyperlink r:id="rId1128" ref="S1000"/>
    <hyperlink r:id="rId1129" ref="AV1000"/>
    <hyperlink r:id="rId1130" ref="R1001"/>
    <hyperlink r:id="rId1131" ref="S1001"/>
    <hyperlink r:id="rId1132" ref="AV1001"/>
    <hyperlink r:id="rId1133" ref="R1002"/>
    <hyperlink r:id="rId1134" ref="S1002"/>
    <hyperlink r:id="rId1135" ref="AV1002"/>
    <hyperlink r:id="rId1136" ref="R1003"/>
    <hyperlink r:id="rId1137" ref="S1003"/>
    <hyperlink r:id="rId1138" ref="AV1003"/>
    <hyperlink r:id="rId1139" ref="J1004"/>
    <hyperlink r:id="rId1140" ref="R1004"/>
    <hyperlink r:id="rId1141" ref="S1004"/>
    <hyperlink r:id="rId1142" ref="AV1004"/>
    <hyperlink r:id="rId1143" ref="R1005"/>
    <hyperlink r:id="rId1144" ref="S1005"/>
    <hyperlink r:id="rId1145" ref="AV1005"/>
    <hyperlink r:id="rId1146" ref="J1006"/>
    <hyperlink r:id="rId1147" ref="R1006"/>
    <hyperlink r:id="rId1148" ref="S1006"/>
    <hyperlink r:id="rId1149" ref="AV1006"/>
    <hyperlink r:id="rId1150" ref="R1007"/>
    <hyperlink r:id="rId1151" ref="S1007"/>
    <hyperlink r:id="rId1152" ref="AV1007"/>
    <hyperlink r:id="rId1153" ref="R1008"/>
    <hyperlink r:id="rId1154" ref="S1008"/>
    <hyperlink r:id="rId1155" ref="AV1008"/>
    <hyperlink r:id="rId1156" ref="J1009"/>
    <hyperlink r:id="rId1157" ref="R1009"/>
    <hyperlink r:id="rId1158" ref="S1009"/>
    <hyperlink r:id="rId1159" ref="AV1009"/>
    <hyperlink r:id="rId1160" ref="R1010"/>
    <hyperlink r:id="rId1161" ref="S1010"/>
    <hyperlink r:id="rId1162" ref="AV1010"/>
    <hyperlink r:id="rId1163" ref="R1011"/>
    <hyperlink r:id="rId1164" ref="S1011"/>
    <hyperlink r:id="rId1165" ref="AV1011"/>
    <hyperlink r:id="rId1166" ref="R1012"/>
    <hyperlink r:id="rId1167" ref="S1012"/>
    <hyperlink r:id="rId1168" ref="AV1012"/>
    <hyperlink r:id="rId1169" ref="R1013"/>
    <hyperlink r:id="rId1170" ref="S1013"/>
    <hyperlink r:id="rId1171" ref="AQ1013"/>
    <hyperlink r:id="rId1172" ref="AV1013"/>
    <hyperlink r:id="rId1173" ref="R1014"/>
    <hyperlink r:id="rId1174" ref="S1014"/>
    <hyperlink r:id="rId1175" ref="AV1014"/>
    <hyperlink r:id="rId1176" ref="R1015"/>
    <hyperlink r:id="rId1177" ref="S1015"/>
    <hyperlink r:id="rId1178" ref="AV1015"/>
    <hyperlink r:id="rId1179" ref="R1016"/>
    <hyperlink r:id="rId1180" ref="S1016"/>
    <hyperlink r:id="rId1181" ref="AV1016"/>
    <hyperlink r:id="rId1182" ref="R1017"/>
    <hyperlink r:id="rId1183" ref="S1017"/>
    <hyperlink r:id="rId1184" ref="AV1017"/>
    <hyperlink r:id="rId1185" ref="R1018"/>
    <hyperlink r:id="rId1186" ref="S1018"/>
    <hyperlink r:id="rId1187" ref="AV1018"/>
    <hyperlink r:id="rId1188" ref="R1019"/>
    <hyperlink r:id="rId1189" ref="S1019"/>
    <hyperlink r:id="rId1190" ref="AV1019"/>
    <hyperlink r:id="rId1191" ref="R1020"/>
    <hyperlink r:id="rId1192" ref="S1020"/>
    <hyperlink r:id="rId1193" ref="AV1020"/>
    <hyperlink r:id="rId1194" ref="R1021"/>
    <hyperlink r:id="rId1195" ref="S1021"/>
    <hyperlink r:id="rId1196" ref="AV1021"/>
    <hyperlink r:id="rId1197" ref="R1022"/>
    <hyperlink r:id="rId1198" ref="S1022"/>
    <hyperlink r:id="rId1199" ref="AV1022"/>
    <hyperlink r:id="rId1200" ref="R1023"/>
    <hyperlink r:id="rId1201" ref="S1023"/>
    <hyperlink r:id="rId1202" ref="AV1023"/>
    <hyperlink r:id="rId1203" ref="R1024"/>
    <hyperlink r:id="rId1204" ref="S1024"/>
    <hyperlink r:id="rId1205" ref="AV1024"/>
    <hyperlink r:id="rId1206" ref="R1025"/>
    <hyperlink r:id="rId1207" ref="S1025"/>
    <hyperlink r:id="rId1208" ref="AV1025"/>
    <hyperlink r:id="rId1209" ref="R1026"/>
    <hyperlink r:id="rId1210" ref="S1026"/>
    <hyperlink r:id="rId1211" ref="AV1026"/>
    <hyperlink r:id="rId1212" ref="J1027"/>
    <hyperlink r:id="rId1213" ref="R1027"/>
    <hyperlink r:id="rId1214" ref="S1027"/>
    <hyperlink r:id="rId1215" ref="AV1027"/>
    <hyperlink r:id="rId1216" ref="R1028"/>
    <hyperlink r:id="rId1217" ref="AV1028"/>
    <hyperlink r:id="rId1218" ref="AV1029"/>
    <hyperlink r:id="rId1219" ref="AV1030"/>
    <hyperlink r:id="rId1220" ref="AV1031"/>
    <hyperlink r:id="rId1221" ref="R1032"/>
    <hyperlink r:id="rId1222" ref="S1032"/>
    <hyperlink r:id="rId1223" ref="AV1032"/>
    <hyperlink r:id="rId1224" ref="R1033"/>
    <hyperlink r:id="rId1225" ref="S1033"/>
    <hyperlink r:id="rId1226" ref="AV1033"/>
    <hyperlink r:id="rId1227" ref="R1034"/>
    <hyperlink r:id="rId1228" ref="S1034"/>
    <hyperlink r:id="rId1229" ref="AV1034"/>
    <hyperlink r:id="rId1230" ref="R1035"/>
    <hyperlink r:id="rId1231" ref="S1035"/>
    <hyperlink r:id="rId1232" ref="AQ1035"/>
    <hyperlink r:id="rId1233" ref="AV1035"/>
    <hyperlink r:id="rId1234" ref="Q1038"/>
    <hyperlink r:id="rId1235" ref="AM1039"/>
    <hyperlink r:id="rId1236" ref="J1040"/>
    <hyperlink r:id="rId1237" ref="AM1040"/>
    <hyperlink r:id="rId1238" ref="AM1041"/>
    <hyperlink r:id="rId1239" ref="J1047"/>
    <hyperlink r:id="rId1240" ref="J1050"/>
    <hyperlink r:id="rId1241" ref="J1052"/>
    <hyperlink r:id="rId1242" ref="J1053"/>
    <hyperlink r:id="rId1243" ref="AM1055"/>
    <hyperlink r:id="rId1244" ref="J1065"/>
    <hyperlink r:id="rId1245" ref="S1066"/>
    <hyperlink r:id="rId1246" ref="S1067"/>
    <hyperlink r:id="rId1247" ref="J1075"/>
    <hyperlink r:id="rId1248" ref="J1076"/>
    <hyperlink r:id="rId1249" ref="J1079"/>
    <hyperlink r:id="rId1250" ref="AM1080"/>
    <hyperlink r:id="rId1251" ref="AM1081"/>
    <hyperlink r:id="rId1252" ref="AM1082"/>
    <hyperlink r:id="rId1253" ref="J1087"/>
    <hyperlink r:id="rId1254" ref="J1088"/>
    <hyperlink r:id="rId1255" ref="S1091"/>
    <hyperlink r:id="rId1256" ref="AW1091"/>
    <hyperlink r:id="rId1257" ref="S1092"/>
    <hyperlink r:id="rId1258" ref="AW1092"/>
    <hyperlink r:id="rId1259" ref="AW1093"/>
    <hyperlink r:id="rId1260" ref="Q1095"/>
    <hyperlink r:id="rId1261" ref="AW1095"/>
    <hyperlink r:id="rId1262" ref="J1097"/>
    <hyperlink r:id="rId1263" ref="AW1097"/>
    <hyperlink r:id="rId1264" ref="AW1099"/>
    <hyperlink r:id="rId1265" ref="AW1100"/>
    <hyperlink r:id="rId1266" ref="AW1101"/>
    <hyperlink r:id="rId1267" ref="AW1102"/>
    <hyperlink r:id="rId1268" ref="AW1103"/>
    <hyperlink r:id="rId1269" ref="AW1104"/>
    <hyperlink r:id="rId1270" ref="AW1105"/>
    <hyperlink r:id="rId1271" ref="AW1106"/>
    <hyperlink r:id="rId1272" ref="AW1107"/>
    <hyperlink r:id="rId1273" ref="AW1108"/>
    <hyperlink r:id="rId1274" ref="AM1109"/>
    <hyperlink r:id="rId1275" ref="AW1109"/>
    <hyperlink r:id="rId1276" ref="AM1110"/>
    <hyperlink r:id="rId1277" ref="AR1110"/>
    <hyperlink r:id="rId1278" ref="AW1110"/>
    <hyperlink r:id="rId1279" ref="AW1111"/>
    <hyperlink r:id="rId1280" ref="AW1113"/>
    <hyperlink r:id="rId1281" ref="AW1114"/>
    <hyperlink r:id="rId1282" ref="AM1115"/>
    <hyperlink r:id="rId1283" ref="AW1115"/>
    <hyperlink r:id="rId1284" ref="AM1116"/>
    <hyperlink r:id="rId1285" ref="AW1116"/>
    <hyperlink r:id="rId1286" ref="AW1117"/>
    <hyperlink r:id="rId1287" ref="AW1118"/>
    <hyperlink r:id="rId1288" ref="AW1119"/>
    <hyperlink r:id="rId1289" ref="AW1120"/>
    <hyperlink r:id="rId1290" ref="AW1121"/>
    <hyperlink r:id="rId1291" ref="AW1123"/>
    <hyperlink r:id="rId1292" ref="AW1124"/>
    <hyperlink r:id="rId1293" ref="AM1125"/>
    <hyperlink r:id="rId1294" ref="AW1125"/>
    <hyperlink r:id="rId1295" ref="AM1126"/>
    <hyperlink r:id="rId1296" ref="AM1127"/>
    <hyperlink r:id="rId1297" ref="AW1127"/>
    <hyperlink r:id="rId1298" ref="AM1128"/>
    <hyperlink r:id="rId1299" ref="AM1129"/>
    <hyperlink r:id="rId1300" ref="AW1129"/>
    <hyperlink r:id="rId1301" ref="AM1130"/>
    <hyperlink r:id="rId1302" ref="AW1130"/>
    <hyperlink r:id="rId1303" ref="AM1131"/>
    <hyperlink r:id="rId1304" ref="AW1131"/>
    <hyperlink r:id="rId1305" ref="AW1132"/>
    <hyperlink r:id="rId1306" ref="AW1133"/>
    <hyperlink r:id="rId1307" ref="AW1134"/>
    <hyperlink r:id="rId1308" ref="AW1135"/>
    <hyperlink r:id="rId1309" ref="AW1136"/>
    <hyperlink r:id="rId1310" ref="AW1137"/>
    <hyperlink r:id="rId1311" ref="AW1138"/>
    <hyperlink r:id="rId1312" ref="M1139"/>
    <hyperlink r:id="rId1313" ref="AW1139"/>
    <hyperlink r:id="rId1314" ref="AW1140"/>
    <hyperlink r:id="rId1315" ref="AW1141"/>
    <hyperlink r:id="rId1316" ref="AW1142"/>
    <hyperlink r:id="rId1317" ref="AW1143"/>
    <hyperlink r:id="rId1318" ref="AW1144"/>
    <hyperlink r:id="rId1319" ref="AW1145"/>
    <hyperlink r:id="rId1320" ref="AW1146"/>
    <hyperlink r:id="rId1321" ref="AW1147"/>
    <hyperlink r:id="rId1322" ref="AW1148"/>
    <hyperlink r:id="rId1323" ref="AW1149"/>
    <hyperlink r:id="rId1324" ref="AW1150"/>
    <hyperlink r:id="rId1325" ref="AW1151"/>
    <hyperlink r:id="rId1326" ref="AW1152"/>
    <hyperlink r:id="rId1327" ref="AW1153"/>
    <hyperlink r:id="rId1328" ref="AM1154"/>
    <hyperlink r:id="rId1329" ref="AW1154"/>
    <hyperlink r:id="rId1330" ref="AM1155"/>
    <hyperlink r:id="rId1331" ref="AW1155"/>
    <hyperlink r:id="rId1332" ref="AW1156"/>
    <hyperlink r:id="rId1333" ref="AM1157"/>
    <hyperlink r:id="rId1334" ref="AW1157"/>
    <hyperlink r:id="rId1335" ref="AW1158"/>
    <hyperlink r:id="rId1336" ref="AW1159"/>
    <hyperlink r:id="rId1337" ref="AW1160"/>
    <hyperlink r:id="rId1338" ref="S1161"/>
    <hyperlink r:id="rId1339" ref="AW1161"/>
    <hyperlink r:id="rId1340" ref="S1162"/>
    <hyperlink r:id="rId1341" ref="AW1162"/>
    <hyperlink r:id="rId1342" ref="S1163"/>
    <hyperlink r:id="rId1343" ref="AW1163"/>
    <hyperlink r:id="rId1344" ref="S1164"/>
    <hyperlink r:id="rId1345" ref="AW1164"/>
    <hyperlink r:id="rId1346" ref="S1165"/>
    <hyperlink r:id="rId1347" ref="AW1165"/>
    <hyperlink r:id="rId1348" ref="S1166"/>
    <hyperlink r:id="rId1349" ref="AW1166"/>
    <hyperlink r:id="rId1350" ref="S1167"/>
    <hyperlink r:id="rId1351" ref="S1168"/>
    <hyperlink r:id="rId1352" ref="AM1168"/>
    <hyperlink r:id="rId1353" ref="S1169"/>
    <hyperlink r:id="rId1354" ref="AW1169"/>
    <hyperlink r:id="rId1355" ref="S1170"/>
    <hyperlink r:id="rId1356" ref="S1171"/>
    <hyperlink r:id="rId1357" ref="AW1171"/>
    <hyperlink r:id="rId1358" ref="S1172"/>
    <hyperlink r:id="rId1359" ref="AW1172"/>
    <hyperlink r:id="rId1360" ref="S1173"/>
    <hyperlink r:id="rId1361" ref="AW1173"/>
    <hyperlink r:id="rId1362" ref="S1174"/>
    <hyperlink r:id="rId1363" ref="AW1174"/>
    <hyperlink r:id="rId1364" ref="S1175"/>
    <hyperlink r:id="rId1365" ref="AW1175"/>
    <hyperlink r:id="rId1366" ref="S1176"/>
    <hyperlink r:id="rId1367" ref="AM1176"/>
    <hyperlink r:id="rId1368" ref="AW1176"/>
    <hyperlink r:id="rId1369" ref="S1177"/>
    <hyperlink r:id="rId1370" ref="AM1177"/>
    <hyperlink r:id="rId1371" ref="AW1177"/>
    <hyperlink r:id="rId1372" ref="S1178"/>
    <hyperlink r:id="rId1373" ref="AW1178"/>
    <hyperlink r:id="rId1374" ref="S1179"/>
    <hyperlink r:id="rId1375" ref="AW1179"/>
    <hyperlink r:id="rId1376" ref="S1180"/>
    <hyperlink r:id="rId1377" ref="S1181"/>
    <hyperlink r:id="rId1378" ref="AW1181"/>
    <hyperlink r:id="rId1379" ref="S1182"/>
    <hyperlink r:id="rId1380" ref="AW1182"/>
    <hyperlink r:id="rId1381" ref="S1183"/>
    <hyperlink r:id="rId1382" ref="AW1183"/>
    <hyperlink r:id="rId1383" ref="S1184"/>
    <hyperlink r:id="rId1384" ref="AW1184"/>
    <hyperlink r:id="rId1385" ref="S1185"/>
    <hyperlink r:id="rId1386" ref="AW1185"/>
    <hyperlink r:id="rId1387" ref="S1186"/>
    <hyperlink r:id="rId1388" ref="AW1186"/>
    <hyperlink r:id="rId1389" ref="S1187"/>
    <hyperlink r:id="rId1390" ref="AM1187"/>
    <hyperlink r:id="rId1391" ref="AW1187"/>
    <hyperlink r:id="rId1392" ref="S1188"/>
    <hyperlink r:id="rId1393" ref="AM1188"/>
    <hyperlink r:id="rId1394" ref="AW1188"/>
    <hyperlink r:id="rId1395" ref="S1189"/>
    <hyperlink r:id="rId1396" ref="AW1189"/>
    <hyperlink r:id="rId1397" ref="S1190"/>
    <hyperlink r:id="rId1398" ref="AR1190"/>
    <hyperlink r:id="rId1399" ref="AW1190"/>
    <hyperlink r:id="rId1400" ref="S1191"/>
    <hyperlink r:id="rId1401" ref="AW1191"/>
    <hyperlink r:id="rId1402" ref="S1192"/>
    <hyperlink r:id="rId1403" ref="AW1192"/>
    <hyperlink r:id="rId1404" ref="S1193"/>
    <hyperlink r:id="rId1405" ref="AW1193"/>
    <hyperlink r:id="rId1406" ref="S1194"/>
    <hyperlink r:id="rId1407" ref="AW1194"/>
    <hyperlink r:id="rId1408" ref="BG1194"/>
    <hyperlink r:id="rId1409" ref="S1195"/>
    <hyperlink r:id="rId1410" ref="AW1195"/>
    <hyperlink r:id="rId1411" ref="S1196"/>
    <hyperlink r:id="rId1412" ref="AW1196"/>
    <hyperlink r:id="rId1413" ref="S1197"/>
    <hyperlink r:id="rId1414" ref="AW1197"/>
    <hyperlink r:id="rId1415" ref="S1198"/>
    <hyperlink r:id="rId1416" ref="AW1198"/>
    <hyperlink r:id="rId1417" ref="S1199"/>
    <hyperlink r:id="rId1418" ref="AW1199"/>
    <hyperlink r:id="rId1419" ref="S1200"/>
    <hyperlink r:id="rId1420" ref="AW1200"/>
    <hyperlink r:id="rId1421" ref="S1201"/>
    <hyperlink r:id="rId1422" ref="AW1201"/>
    <hyperlink r:id="rId1423" ref="S1202"/>
    <hyperlink r:id="rId1424" ref="AW1202"/>
    <hyperlink r:id="rId1425" ref="S1203"/>
    <hyperlink r:id="rId1426" ref="AM1203"/>
    <hyperlink r:id="rId1427" ref="AW1203"/>
    <hyperlink r:id="rId1428" ref="S1204"/>
    <hyperlink r:id="rId1429" ref="AV1204"/>
    <hyperlink r:id="rId1430" ref="AW1204"/>
    <hyperlink r:id="rId1431" ref="S1205"/>
    <hyperlink r:id="rId1432" ref="AW1205"/>
    <hyperlink r:id="rId1433" ref="S1206"/>
    <hyperlink r:id="rId1434" ref="AW1206"/>
    <hyperlink r:id="rId1435" ref="S1207"/>
    <hyperlink r:id="rId1436" ref="AW1207"/>
    <hyperlink r:id="rId1437" ref="S1208"/>
    <hyperlink r:id="rId1438" ref="AW1208"/>
    <hyperlink r:id="rId1439" ref="S1209"/>
    <hyperlink r:id="rId1440" ref="AW1209"/>
    <hyperlink r:id="rId1441" ref="W1210"/>
    <hyperlink r:id="rId1442" ref="AV1210"/>
    <hyperlink r:id="rId1443" ref="AV1211"/>
    <hyperlink r:id="rId1444" ref="R1212"/>
    <hyperlink r:id="rId1445" ref="S1212"/>
    <hyperlink r:id="rId1446" ref="W1212"/>
    <hyperlink r:id="rId1447" ref="AV1212"/>
    <hyperlink r:id="rId1448" ref="S1213"/>
    <hyperlink r:id="rId1449" ref="AV1213"/>
    <hyperlink r:id="rId1450" ref="J1214"/>
    <hyperlink r:id="rId1451" ref="Q1214"/>
    <hyperlink r:id="rId1452" ref="W1214"/>
    <hyperlink r:id="rId1453" ref="AV1214"/>
    <hyperlink r:id="rId1454" ref="AV1215"/>
    <hyperlink r:id="rId1455" ref="W1216"/>
    <hyperlink r:id="rId1456" ref="AV1216"/>
    <hyperlink r:id="rId1457" ref="W1217"/>
    <hyperlink r:id="rId1458" ref="AV1217"/>
    <hyperlink r:id="rId1459" ref="W1218"/>
    <hyperlink r:id="rId1460" ref="AV1218"/>
    <hyperlink r:id="rId1461" ref="AV1219"/>
    <hyperlink r:id="rId1462" ref="W1220"/>
    <hyperlink r:id="rId1463" ref="AV1220"/>
    <hyperlink r:id="rId1464" ref="AV1221"/>
    <hyperlink r:id="rId1465" ref="W1222"/>
    <hyperlink r:id="rId1466" ref="AV1222"/>
    <hyperlink r:id="rId1467" ref="AV1223"/>
    <hyperlink r:id="rId1468" ref="W1224"/>
    <hyperlink r:id="rId1469" ref="AV1224"/>
    <hyperlink r:id="rId1470" ref="AV1225"/>
    <hyperlink r:id="rId1471" ref="W1226"/>
    <hyperlink r:id="rId1472" ref="AV1226"/>
    <hyperlink r:id="rId1473" ref="AV1227"/>
    <hyperlink r:id="rId1474" ref="W1228"/>
    <hyperlink r:id="rId1475" ref="AV1228"/>
    <hyperlink r:id="rId1476" ref="AV1229"/>
    <hyperlink r:id="rId1477" ref="W1230"/>
    <hyperlink r:id="rId1478" ref="AV1230"/>
    <hyperlink r:id="rId1479" ref="AV1231"/>
    <hyperlink r:id="rId1480" ref="W1232"/>
    <hyperlink r:id="rId1481" ref="AV1232"/>
    <hyperlink r:id="rId1482" ref="AV1233"/>
    <hyperlink r:id="rId1483" ref="W1234"/>
    <hyperlink r:id="rId1484" ref="AV1234"/>
    <hyperlink r:id="rId1485" ref="AV1235"/>
    <hyperlink r:id="rId1486" ref="W1236"/>
    <hyperlink r:id="rId1487" ref="AV1236"/>
    <hyperlink r:id="rId1488" ref="AV1237"/>
    <hyperlink r:id="rId1489" ref="W1238"/>
    <hyperlink r:id="rId1490" ref="AV1238"/>
    <hyperlink r:id="rId1491" ref="AV1239"/>
    <hyperlink r:id="rId1492" ref="W1240"/>
    <hyperlink r:id="rId1493" ref="AV1241"/>
    <hyperlink r:id="rId1494" ref="W1242"/>
    <hyperlink r:id="rId1495" ref="AV1242"/>
    <hyperlink r:id="rId1496" ref="AV1243"/>
    <hyperlink r:id="rId1497" ref="W1244"/>
    <hyperlink r:id="rId1498" ref="W1245"/>
    <hyperlink r:id="rId1499" ref="AV1245"/>
    <hyperlink r:id="rId1500" ref="W1246"/>
    <hyperlink r:id="rId1501" ref="AV1246"/>
    <hyperlink r:id="rId1502" ref="AV1247"/>
    <hyperlink r:id="rId1503" ref="W1248"/>
    <hyperlink r:id="rId1504" ref="AV1248"/>
    <hyperlink r:id="rId1505" ref="AV1249"/>
    <hyperlink r:id="rId1506" ref="W1250"/>
    <hyperlink r:id="rId1507" ref="AV1250"/>
    <hyperlink r:id="rId1508" ref="AV1251"/>
    <hyperlink r:id="rId1509" ref="W1252"/>
    <hyperlink r:id="rId1510" ref="AV1252"/>
    <hyperlink r:id="rId1511" ref="AV1253"/>
    <hyperlink r:id="rId1512" ref="W1254"/>
    <hyperlink r:id="rId1513" ref="AV1255"/>
    <hyperlink r:id="rId1514" ref="W1256"/>
    <hyperlink r:id="rId1515" ref="AV1257"/>
    <hyperlink r:id="rId1516" ref="W1258"/>
    <hyperlink r:id="rId1517" ref="AV1258"/>
    <hyperlink r:id="rId1518" ref="AV1259"/>
    <hyperlink r:id="rId1519" ref="W1260"/>
    <hyperlink r:id="rId1520" ref="AV1261"/>
    <hyperlink r:id="rId1521" ref="W1262"/>
    <hyperlink r:id="rId1522" ref="AV1262"/>
    <hyperlink r:id="rId1523" ref="AV1263"/>
    <hyperlink r:id="rId1524" ref="W1264"/>
    <hyperlink r:id="rId1525" ref="AV1264"/>
    <hyperlink r:id="rId1526" ref="AV1265"/>
    <hyperlink r:id="rId1527" ref="W1266"/>
    <hyperlink r:id="rId1528" ref="W1267"/>
    <hyperlink r:id="rId1529" ref="AV1267"/>
    <hyperlink r:id="rId1530" ref="W1268"/>
    <hyperlink r:id="rId1531" ref="W1269"/>
    <hyperlink r:id="rId1532" ref="AV1269"/>
    <hyperlink r:id="rId1533" ref="W1270"/>
    <hyperlink r:id="rId1534" ref="AV1270"/>
    <hyperlink r:id="rId1535" ref="AV1271"/>
    <hyperlink r:id="rId1536" ref="T1272"/>
    <hyperlink r:id="rId1537" ref="W1272"/>
    <hyperlink r:id="rId1538" ref="AV1273"/>
    <hyperlink r:id="rId1539" ref="J1274"/>
    <hyperlink r:id="rId1540" ref="W1274"/>
    <hyperlink r:id="rId1541" ref="AV1274"/>
    <hyperlink r:id="rId1542" ref="AV1275"/>
    <hyperlink r:id="rId1543" ref="W1276"/>
    <hyperlink r:id="rId1544" ref="AV1276"/>
    <hyperlink r:id="rId1545" ref="AV1277"/>
    <hyperlink r:id="rId1546" ref="W1278"/>
    <hyperlink r:id="rId1547" ref="AV1278"/>
    <hyperlink r:id="rId1548" ref="W1279"/>
    <hyperlink r:id="rId1549" ref="AV1279"/>
    <hyperlink r:id="rId1550" ref="J1280"/>
    <hyperlink r:id="rId1551" ref="W1280"/>
    <hyperlink r:id="rId1552" ref="AV1280"/>
    <hyperlink r:id="rId1553" ref="AV1281"/>
    <hyperlink r:id="rId1554" ref="W1282"/>
    <hyperlink r:id="rId1555" ref="AV1282"/>
    <hyperlink r:id="rId1556" ref="AV1283"/>
    <hyperlink r:id="rId1557" ref="W1284"/>
    <hyperlink r:id="rId1558" ref="AV1285"/>
    <hyperlink r:id="rId1559" ref="W1286"/>
    <hyperlink r:id="rId1560" ref="W1287"/>
    <hyperlink r:id="rId1561" ref="AV1287"/>
    <hyperlink r:id="rId1562" ref="W1288"/>
    <hyperlink r:id="rId1563" ref="AV1288"/>
    <hyperlink r:id="rId1564" ref="AV1289"/>
    <hyperlink r:id="rId1565" ref="W1290"/>
    <hyperlink r:id="rId1566" ref="AV1290"/>
    <hyperlink r:id="rId1567" ref="AV1291"/>
    <hyperlink r:id="rId1568" ref="W1292"/>
    <hyperlink r:id="rId1569" ref="W1293"/>
    <hyperlink r:id="rId1570" ref="AV1293"/>
    <hyperlink r:id="rId1571" ref="W1294"/>
    <hyperlink r:id="rId1572" ref="W1295"/>
    <hyperlink r:id="rId1573" ref="AV1295"/>
    <hyperlink r:id="rId1574" ref="W1296"/>
    <hyperlink r:id="rId1575" ref="AV1296"/>
    <hyperlink r:id="rId1576" ref="AV1297"/>
    <hyperlink r:id="rId1577" ref="W1298"/>
    <hyperlink r:id="rId1578" ref="W1299"/>
    <hyperlink r:id="rId1579" ref="AV1299"/>
    <hyperlink r:id="rId1580" ref="J1300"/>
    <hyperlink r:id="rId1581" ref="W1300"/>
    <hyperlink r:id="rId1582" ref="AV1301"/>
    <hyperlink r:id="rId1583" ref="W1302"/>
    <hyperlink r:id="rId1584" ref="AV1302"/>
    <hyperlink r:id="rId1585" ref="AV1303"/>
    <hyperlink r:id="rId1586" ref="W1304"/>
    <hyperlink r:id="rId1587" ref="AV1305"/>
    <hyperlink r:id="rId1588" ref="W1306"/>
    <hyperlink r:id="rId1589" ref="AV1306"/>
    <hyperlink r:id="rId1590" ref="W1307"/>
    <hyperlink r:id="rId1591" ref="AV1307"/>
    <hyperlink r:id="rId1592" ref="W1308"/>
    <hyperlink r:id="rId1593" ref="AV1309"/>
    <hyperlink r:id="rId1594" ref="W1310"/>
    <hyperlink r:id="rId1595" ref="AV1311"/>
    <hyperlink r:id="rId1596" ref="W1312"/>
    <hyperlink r:id="rId1597" ref="AV1312"/>
    <hyperlink r:id="rId1598" ref="AV1313"/>
    <hyperlink r:id="rId1599" ref="W1314"/>
    <hyperlink r:id="rId1600" ref="AV1314"/>
    <hyperlink r:id="rId1601" ref="AV1315"/>
    <hyperlink r:id="rId1602" ref="J1316"/>
    <hyperlink r:id="rId1603" ref="W1316"/>
    <hyperlink r:id="rId1604" ref="AV1316"/>
    <hyperlink r:id="rId1605" ref="AV1317"/>
    <hyperlink r:id="rId1606" ref="W1318"/>
    <hyperlink r:id="rId1607" ref="AV1318"/>
    <hyperlink r:id="rId1608" ref="AV1319"/>
    <hyperlink r:id="rId1609" ref="W1320"/>
    <hyperlink r:id="rId1610" ref="AV1321"/>
    <hyperlink r:id="rId1611" ref="W1322"/>
    <hyperlink r:id="rId1612" ref="AV1323"/>
    <hyperlink r:id="rId1613" ref="J1324"/>
    <hyperlink r:id="rId1614" ref="W1324"/>
    <hyperlink r:id="rId1615" ref="W1325"/>
    <hyperlink r:id="rId1616" ref="AV1325"/>
    <hyperlink r:id="rId1617" ref="W1326"/>
    <hyperlink r:id="rId1618" ref="AV1326"/>
    <hyperlink r:id="rId1619" ref="AV1327"/>
    <hyperlink r:id="rId1620" ref="W1328"/>
    <hyperlink r:id="rId1621" ref="AV1328"/>
    <hyperlink r:id="rId1622" ref="W1329"/>
    <hyperlink r:id="rId1623" ref="AV1329"/>
    <hyperlink r:id="rId1624" ref="W1332"/>
    <hyperlink r:id="rId1625" ref="AV1332"/>
    <hyperlink r:id="rId1626" ref="AV1333"/>
    <hyperlink r:id="rId1627" ref="W1334"/>
    <hyperlink r:id="rId1628" ref="AV1334"/>
    <hyperlink r:id="rId1629" ref="W1335"/>
    <hyperlink r:id="rId1630" ref="AV1335"/>
    <hyperlink r:id="rId1631" ref="W1336"/>
    <hyperlink r:id="rId1632" ref="W1337"/>
    <hyperlink r:id="rId1633" ref="AV1337"/>
    <hyperlink r:id="rId1634" ref="L1338"/>
    <hyperlink r:id="rId1635" ref="Q1360"/>
    <hyperlink r:id="rId1636" ref="Q1363"/>
    <hyperlink r:id="rId1637" ref="AV1364"/>
    <hyperlink r:id="rId1638" ref="AV1365"/>
    <hyperlink r:id="rId1639" ref="AV1366"/>
    <hyperlink r:id="rId1640" ref="AV1367"/>
    <hyperlink r:id="rId1641" ref="AV1368"/>
    <hyperlink r:id="rId1642" ref="AV1369"/>
    <hyperlink r:id="rId1643" ref="AV1370"/>
    <hyperlink r:id="rId1644" ref="AV1371"/>
    <hyperlink r:id="rId1645" ref="AV1372"/>
    <hyperlink r:id="rId1646" ref="AV1373"/>
    <hyperlink r:id="rId1647" ref="AV1376"/>
    <hyperlink r:id="rId1648" ref="AV1377"/>
    <hyperlink r:id="rId1649" ref="AV1378"/>
    <hyperlink r:id="rId1650" ref="AV1379"/>
    <hyperlink r:id="rId1651" ref="AV1380"/>
    <hyperlink r:id="rId1652" ref="AV1381"/>
    <hyperlink r:id="rId1653" ref="AV1382"/>
    <hyperlink r:id="rId1654" ref="AV1383"/>
    <hyperlink r:id="rId1655" ref="AV1384"/>
    <hyperlink r:id="rId1656" ref="AV1385"/>
    <hyperlink r:id="rId1657" ref="AV1386"/>
    <hyperlink r:id="rId1658" ref="AV1387"/>
    <hyperlink r:id="rId1659" ref="AV1388"/>
    <hyperlink r:id="rId1660" ref="AV1389"/>
    <hyperlink r:id="rId1661" ref="AV1390"/>
    <hyperlink r:id="rId1662" ref="AV1391"/>
    <hyperlink r:id="rId1663" ref="AV1392"/>
    <hyperlink r:id="rId1664" ref="AV1393"/>
    <hyperlink r:id="rId1665" ref="AV1394"/>
    <hyperlink r:id="rId1666" ref="AV1395"/>
    <hyperlink r:id="rId1667" ref="AV1396"/>
    <hyperlink r:id="rId1668" ref="AV1397"/>
    <hyperlink r:id="rId1669" ref="AV1398"/>
    <hyperlink r:id="rId1670" ref="AV1399"/>
    <hyperlink r:id="rId1671" ref="AV1400"/>
    <hyperlink r:id="rId1672" ref="AV1401"/>
    <hyperlink r:id="rId1673" ref="AV1402"/>
    <hyperlink r:id="rId1674" ref="AV1403"/>
    <hyperlink r:id="rId1675" ref="AV1406"/>
    <hyperlink r:id="rId1676" ref="AV1407"/>
    <hyperlink r:id="rId1677" ref="AV1410"/>
    <hyperlink r:id="rId1678" ref="AV1411"/>
    <hyperlink r:id="rId1679" ref="Q1412"/>
    <hyperlink r:id="rId1680" ref="AV1412"/>
    <hyperlink r:id="rId1681" ref="Q1413"/>
    <hyperlink r:id="rId1682" ref="AV1413"/>
    <hyperlink r:id="rId1683" ref="AV1414"/>
    <hyperlink r:id="rId1684" ref="AV1415"/>
    <hyperlink r:id="rId1685" ref="J1416"/>
    <hyperlink r:id="rId1686" ref="AQ1418"/>
    <hyperlink r:id="rId1687" ref="J1425"/>
    <hyperlink r:id="rId1688" ref="S1425"/>
    <hyperlink r:id="rId1689" ref="AV1425"/>
    <hyperlink r:id="rId1690" ref="J1427"/>
    <hyperlink r:id="rId1691" ref="Q1427"/>
    <hyperlink r:id="rId1692" ref="AV1427"/>
    <hyperlink r:id="rId1693" ref="J1428"/>
    <hyperlink r:id="rId1694" ref="Q1428"/>
    <hyperlink r:id="rId1695" ref="AV1428"/>
    <hyperlink r:id="rId1696" ref="J1429"/>
    <hyperlink r:id="rId1697" ref="Q1429"/>
    <hyperlink r:id="rId1698" ref="AV1429"/>
    <hyperlink r:id="rId1699" ref="J1430"/>
    <hyperlink r:id="rId1700" ref="Q1430"/>
    <hyperlink r:id="rId1701" ref="AV1430"/>
    <hyperlink r:id="rId1702" ref="J1431"/>
    <hyperlink r:id="rId1703" ref="Q1431"/>
    <hyperlink r:id="rId1704" ref="AV1431"/>
    <hyperlink r:id="rId1705" ref="J1432"/>
    <hyperlink r:id="rId1706" ref="Q1432"/>
    <hyperlink r:id="rId1707" ref="AV1432"/>
    <hyperlink r:id="rId1708" ref="J1433"/>
    <hyperlink r:id="rId1709" ref="Q1433"/>
    <hyperlink r:id="rId1710" ref="AV1433"/>
    <hyperlink r:id="rId1711" ref="J1435"/>
    <hyperlink r:id="rId1712" ref="AV1435"/>
    <hyperlink r:id="rId1713" ref="J1436"/>
    <hyperlink r:id="rId1714" ref="AV1436"/>
    <hyperlink r:id="rId1715" ref="AV1439"/>
    <hyperlink r:id="rId1716" ref="J1440"/>
    <hyperlink r:id="rId1717" ref="AV1440"/>
    <hyperlink r:id="rId1718" ref="J1441"/>
    <hyperlink r:id="rId1719" ref="AV1441"/>
    <hyperlink r:id="rId1720" ref="J1442"/>
    <hyperlink r:id="rId1721" ref="AV1442"/>
    <hyperlink r:id="rId1722" ref="AV1443"/>
    <hyperlink r:id="rId1723" ref="J1444"/>
    <hyperlink r:id="rId1724" ref="AV1444"/>
    <hyperlink r:id="rId1725" ref="J1445"/>
    <hyperlink r:id="rId1726" ref="AV1445"/>
    <hyperlink r:id="rId1727" ref="AV1446"/>
    <hyperlink r:id="rId1728" ref="AQ1447"/>
    <hyperlink r:id="rId1729" ref="AV1447"/>
    <hyperlink r:id="rId1730" ref="J1451"/>
    <hyperlink r:id="rId1731" ref="J1452"/>
    <hyperlink r:id="rId1732" ref="J1453"/>
    <hyperlink r:id="rId1733" ref="J1454"/>
    <hyperlink r:id="rId1734" ref="J1455"/>
    <hyperlink r:id="rId1735" ref="J1456"/>
    <hyperlink r:id="rId1736" ref="S1458"/>
    <hyperlink r:id="rId1737" ref="W1458"/>
    <hyperlink r:id="rId1738" ref="J1459"/>
    <hyperlink r:id="rId1739" ref="AV1466"/>
    <hyperlink r:id="rId1740" ref="AV1467"/>
    <hyperlink r:id="rId1741" ref="AV1468"/>
    <hyperlink r:id="rId1742" ref="AV1469"/>
    <hyperlink r:id="rId1743" ref="AV1470"/>
    <hyperlink r:id="rId1744" ref="S1471"/>
    <hyperlink r:id="rId1745" ref="W1471"/>
    <hyperlink r:id="rId1746" ref="AM1471"/>
    <hyperlink r:id="rId1747" ref="AV1471"/>
    <hyperlink r:id="rId1748" ref="S1472"/>
    <hyperlink r:id="rId1749" ref="W1472"/>
    <hyperlink r:id="rId1750" ref="AM1472"/>
    <hyperlink r:id="rId1751" ref="AV1472"/>
    <hyperlink r:id="rId1752" location="Anticipated_challenges" ref="J1473"/>
    <hyperlink r:id="rId1753" ref="AM1473"/>
    <hyperlink r:id="rId1754" ref="AV1473"/>
    <hyperlink r:id="rId1755" ref="J1475"/>
    <hyperlink r:id="rId1756" ref="AV1475"/>
    <hyperlink r:id="rId1757" ref="J1476"/>
    <hyperlink r:id="rId1758" ref="AV1476"/>
    <hyperlink r:id="rId1759" ref="AV1478"/>
    <hyperlink r:id="rId1760" ref="AV1479"/>
    <hyperlink r:id="rId1761" ref="AV1480"/>
    <hyperlink r:id="rId1762" ref="J1488"/>
    <hyperlink r:id="rId1763" ref="J1489"/>
    <hyperlink r:id="rId1764" ref="J1491"/>
    <hyperlink r:id="rId1765" ref="J1492"/>
    <hyperlink r:id="rId1766" ref="AM1492"/>
    <hyperlink r:id="rId1767" ref="J1493"/>
    <hyperlink r:id="rId1768" ref="AM1493"/>
    <hyperlink r:id="rId1769" ref="J1494"/>
    <hyperlink r:id="rId1770" ref="AM1494"/>
    <hyperlink r:id="rId1771" ref="J1495"/>
    <hyperlink r:id="rId1772" ref="AM1495"/>
    <hyperlink r:id="rId1773" ref="J1496"/>
    <hyperlink r:id="rId1774" ref="AM1496"/>
    <hyperlink r:id="rId1775" ref="J1498"/>
    <hyperlink r:id="rId1776" ref="J1499"/>
    <hyperlink r:id="rId1777" ref="J1501"/>
    <hyperlink r:id="rId1778" ref="J1503"/>
    <hyperlink r:id="rId1779" ref="J1504"/>
    <hyperlink r:id="rId1780" ref="J1505"/>
    <hyperlink r:id="rId1781" ref="J1506"/>
    <hyperlink r:id="rId1782" ref="J1507"/>
    <hyperlink r:id="rId1783" ref="J1508"/>
    <hyperlink r:id="rId1784" ref="W1510"/>
    <hyperlink r:id="rId1785" ref="S1520"/>
    <hyperlink r:id="rId1786" ref="W1520"/>
    <hyperlink r:id="rId1787" ref="AM1529"/>
    <hyperlink r:id="rId1788" ref="AM1540"/>
    <hyperlink r:id="rId1789" ref="J1541"/>
    <hyperlink r:id="rId1790" ref="AV1541"/>
    <hyperlink r:id="rId1791" ref="J1542"/>
    <hyperlink r:id="rId1792" ref="AV1542"/>
    <hyperlink r:id="rId1793" ref="J1543"/>
    <hyperlink r:id="rId1794" ref="AV1543"/>
    <hyperlink r:id="rId1795" ref="S1544"/>
    <hyperlink r:id="rId1796" ref="S1545"/>
    <hyperlink r:id="rId1797" ref="J1555"/>
    <hyperlink r:id="rId1798" ref="W1555"/>
    <hyperlink r:id="rId1799" ref="AV1555"/>
    <hyperlink r:id="rId1800" ref="J1561"/>
    <hyperlink r:id="rId1801" ref="J1563"/>
    <hyperlink r:id="rId1802" ref="J1564"/>
    <hyperlink r:id="rId1803" ref="J1565"/>
    <hyperlink r:id="rId1804" ref="J1567"/>
    <hyperlink r:id="rId1805" ref="J1569"/>
    <hyperlink r:id="rId1806" ref="J1571"/>
    <hyperlink r:id="rId1807" ref="J1573"/>
    <hyperlink r:id="rId1808" ref="J1575"/>
    <hyperlink r:id="rId1809" ref="J1577"/>
    <hyperlink r:id="rId1810" ref="J1579"/>
    <hyperlink r:id="rId1811" ref="AM1580"/>
    <hyperlink r:id="rId1812" ref="J1581"/>
    <hyperlink r:id="rId1813" ref="AM1581"/>
    <hyperlink r:id="rId1814" ref="J1582"/>
    <hyperlink r:id="rId1815" ref="AM1582"/>
    <hyperlink r:id="rId1816" ref="J1583"/>
    <hyperlink r:id="rId1817" ref="AM1583"/>
    <hyperlink r:id="rId1818" ref="S1584"/>
    <hyperlink r:id="rId1819" ref="S1585"/>
    <hyperlink r:id="rId1820" ref="J1592"/>
    <hyperlink r:id="rId1821" ref="J1593"/>
    <hyperlink r:id="rId1822" ref="J1597"/>
    <hyperlink r:id="rId1823" ref="AV1597"/>
    <hyperlink r:id="rId1824" ref="J1598"/>
    <hyperlink r:id="rId1825" ref="AV1598"/>
    <hyperlink r:id="rId1826" ref="J1599"/>
    <hyperlink r:id="rId1827" ref="AV1599"/>
    <hyperlink r:id="rId1828" ref="J1600"/>
    <hyperlink r:id="rId1829" ref="AV1600"/>
    <hyperlink r:id="rId1830" ref="J1601"/>
    <hyperlink r:id="rId1831" ref="AV1601"/>
    <hyperlink r:id="rId1832" ref="AV1603"/>
    <hyperlink r:id="rId1833" ref="J1608"/>
    <hyperlink r:id="rId1834" ref="AV1608"/>
    <hyperlink r:id="rId1835" ref="J1609"/>
    <hyperlink r:id="rId1836" ref="AV1609"/>
    <hyperlink r:id="rId1837" ref="J1610"/>
    <hyperlink r:id="rId1838" ref="AV1610"/>
    <hyperlink r:id="rId1839" ref="J1611"/>
    <hyperlink r:id="rId1840" ref="AV1611"/>
    <hyperlink r:id="rId1841" ref="J1612"/>
    <hyperlink r:id="rId1842" ref="AV1612"/>
    <hyperlink r:id="rId1843" ref="AM1620"/>
    <hyperlink r:id="rId1844" ref="J1626"/>
    <hyperlink r:id="rId1845" ref="J1627"/>
    <hyperlink r:id="rId1846" ref="J1628"/>
    <hyperlink r:id="rId1847" ref="J1629"/>
    <hyperlink r:id="rId1848" ref="J1630"/>
    <hyperlink r:id="rId1849" ref="J1632"/>
    <hyperlink r:id="rId1850" ref="J1633"/>
    <hyperlink r:id="rId1851" ref="J1639"/>
    <hyperlink r:id="rId1852" ref="J1640"/>
    <hyperlink r:id="rId1853" ref="J1641"/>
    <hyperlink r:id="rId1854" ref="J1643"/>
    <hyperlink r:id="rId1855" ref="J1645"/>
    <hyperlink r:id="rId1856" ref="J1646"/>
    <hyperlink r:id="rId1857" ref="J1649"/>
    <hyperlink r:id="rId1858" ref="J1650"/>
    <hyperlink r:id="rId1859" ref="J1651"/>
    <hyperlink r:id="rId1860" ref="AM1652"/>
    <hyperlink r:id="rId1861" ref="S1653"/>
    <hyperlink r:id="rId1862" ref="S1654"/>
    <hyperlink r:id="rId1863" ref="S1655"/>
    <hyperlink r:id="rId1864" ref="S1656"/>
    <hyperlink r:id="rId1865" ref="J1658"/>
    <hyperlink r:id="rId1866" ref="J1659"/>
    <hyperlink r:id="rId1867" ref="J1660"/>
    <hyperlink r:id="rId1868" ref="J1662"/>
    <hyperlink r:id="rId1869" ref="AV1664"/>
    <hyperlink r:id="rId1870" ref="J1668"/>
    <hyperlink r:id="rId1871" ref="J1669"/>
    <hyperlink r:id="rId1872" ref="J1673"/>
    <hyperlink r:id="rId1873" ref="J1674"/>
    <hyperlink r:id="rId1874" ref="J1675"/>
    <hyperlink r:id="rId1875" ref="J1678"/>
    <hyperlink r:id="rId1876" ref="J1680"/>
    <hyperlink r:id="rId1877" ref="AV1680"/>
    <hyperlink r:id="rId1878" ref="J1681"/>
    <hyperlink r:id="rId1879" ref="AV1681"/>
    <hyperlink r:id="rId1880" ref="AM1682"/>
    <hyperlink r:id="rId1881" ref="AM1683"/>
    <hyperlink r:id="rId1882" ref="J1685"/>
    <hyperlink r:id="rId1883" ref="AM1686"/>
    <hyperlink r:id="rId1884" ref="J1687"/>
    <hyperlink r:id="rId1885" ref="AM1687"/>
    <hyperlink r:id="rId1886" ref="AV1687"/>
    <hyperlink r:id="rId1887" ref="J1688"/>
    <hyperlink r:id="rId1888" ref="AM1688"/>
    <hyperlink r:id="rId1889" ref="AV1688"/>
    <hyperlink r:id="rId1890" ref="J1690"/>
    <hyperlink r:id="rId1891" ref="J1691"/>
    <hyperlink r:id="rId1892" ref="J1692"/>
    <hyperlink r:id="rId1893" ref="J1693"/>
    <hyperlink r:id="rId1894" ref="J1694"/>
    <hyperlink r:id="rId1895" ref="J1695"/>
    <hyperlink r:id="rId1896" ref="J1696"/>
    <hyperlink r:id="rId1897" ref="J1697"/>
    <hyperlink r:id="rId1898" ref="J1698"/>
    <hyperlink r:id="rId1899" ref="J1699"/>
    <hyperlink r:id="rId1900" ref="J1700"/>
    <hyperlink r:id="rId1901" ref="J1701"/>
    <hyperlink r:id="rId1902" ref="J1702"/>
    <hyperlink r:id="rId1903" ref="J1703"/>
    <hyperlink r:id="rId1904" ref="J1705"/>
    <hyperlink r:id="rId1905" ref="J1706"/>
    <hyperlink r:id="rId1906" ref="J1707"/>
    <hyperlink r:id="rId1907" ref="J1708"/>
    <hyperlink r:id="rId1908" ref="J1709"/>
    <hyperlink r:id="rId1909" ref="S1723"/>
    <hyperlink r:id="rId1910" ref="S1724"/>
    <hyperlink r:id="rId1911" ref="AM1724"/>
    <hyperlink r:id="rId1912" ref="AV1724"/>
    <hyperlink r:id="rId1913" ref="S1725"/>
    <hyperlink r:id="rId1914" ref="AM1725"/>
    <hyperlink r:id="rId1915" ref="AV1725"/>
    <hyperlink r:id="rId1916" ref="S1726"/>
    <hyperlink r:id="rId1917" ref="J1727"/>
    <hyperlink r:id="rId1918" ref="S1727"/>
    <hyperlink r:id="rId1919" ref="AV1727"/>
    <hyperlink r:id="rId1920" ref="J1728"/>
    <hyperlink r:id="rId1921" ref="S1728"/>
    <hyperlink r:id="rId1922" ref="J1730"/>
    <hyperlink r:id="rId1923" ref="AV1730"/>
    <hyperlink r:id="rId1924" ref="S1733"/>
    <hyperlink r:id="rId1925" ref="S1734"/>
    <hyperlink r:id="rId1926" ref="AV1734"/>
    <hyperlink r:id="rId1927" ref="S1735"/>
    <hyperlink r:id="rId1928" ref="AV1735"/>
    <hyperlink r:id="rId1929" ref="S1736"/>
    <hyperlink r:id="rId1930" ref="AV1736"/>
    <hyperlink r:id="rId1931" ref="S1737"/>
    <hyperlink r:id="rId1932" ref="AV1737"/>
    <hyperlink r:id="rId1933" ref="S1738"/>
    <hyperlink r:id="rId1934" ref="AV1738"/>
    <hyperlink r:id="rId1935" ref="S1739"/>
    <hyperlink r:id="rId1936" ref="AV1739"/>
    <hyperlink r:id="rId1937" ref="S1740"/>
    <hyperlink r:id="rId1938" ref="AV1740"/>
    <hyperlink r:id="rId1939" ref="S1741"/>
    <hyperlink r:id="rId1940" ref="S1742"/>
    <hyperlink r:id="rId1941" ref="S1743"/>
    <hyperlink r:id="rId1942" ref="S1744"/>
    <hyperlink r:id="rId1943" ref="W1744"/>
    <hyperlink r:id="rId1944" ref="AV1744"/>
    <hyperlink r:id="rId1945" ref="S1745"/>
    <hyperlink r:id="rId1946" ref="W1745"/>
    <hyperlink r:id="rId1947" ref="S1746"/>
    <hyperlink r:id="rId1948" ref="J1748"/>
    <hyperlink r:id="rId1949" ref="J1749"/>
    <hyperlink r:id="rId1950" ref="J1750"/>
    <hyperlink r:id="rId1951" ref="J1752"/>
    <hyperlink r:id="rId1952" ref="W1754"/>
    <hyperlink r:id="rId1953" ref="S1757"/>
    <hyperlink r:id="rId1954" ref="W1757"/>
    <hyperlink r:id="rId1955" ref="AV1757"/>
    <hyperlink r:id="rId1956" ref="W1758"/>
    <hyperlink r:id="rId1957" ref="AV1758"/>
    <hyperlink r:id="rId1958" ref="S1759"/>
    <hyperlink r:id="rId1959" ref="AV1759"/>
    <hyperlink r:id="rId1960" ref="AV1760"/>
    <hyperlink r:id="rId1961" ref="S1761"/>
    <hyperlink r:id="rId1962" ref="AV1761"/>
    <hyperlink r:id="rId1963" ref="AV1762"/>
    <hyperlink r:id="rId1964" ref="S1763"/>
    <hyperlink r:id="rId1965" ref="W1763"/>
    <hyperlink r:id="rId1966" ref="AV1763"/>
    <hyperlink r:id="rId1967" ref="W1764"/>
    <hyperlink r:id="rId1968" ref="AV1764"/>
    <hyperlink r:id="rId1969" ref="S1765"/>
    <hyperlink r:id="rId1970" ref="AV1765"/>
    <hyperlink r:id="rId1971" ref="AV1766"/>
    <hyperlink r:id="rId1972" ref="AV1767"/>
    <hyperlink r:id="rId1973" ref="AV1768"/>
    <hyperlink r:id="rId1974" ref="AV1769"/>
    <hyperlink r:id="rId1975" ref="AV1770"/>
    <hyperlink r:id="rId1976" ref="AV1771"/>
    <hyperlink r:id="rId1977" ref="AV1772"/>
    <hyperlink r:id="rId1978" ref="S1773"/>
    <hyperlink r:id="rId1979" ref="AV1773"/>
    <hyperlink r:id="rId1980" ref="W1774"/>
    <hyperlink r:id="rId1981" ref="AV1774"/>
    <hyperlink r:id="rId1982" ref="S1775"/>
    <hyperlink r:id="rId1983" ref="AV1775"/>
    <hyperlink r:id="rId1984" ref="W1776"/>
    <hyperlink r:id="rId1985" ref="AV1776"/>
    <hyperlink r:id="rId1986" ref="AV1777"/>
    <hyperlink r:id="rId1987" ref="AV1778"/>
    <hyperlink r:id="rId1988" ref="S1779"/>
    <hyperlink r:id="rId1989" ref="AV1779"/>
    <hyperlink r:id="rId1990" ref="W1780"/>
    <hyperlink r:id="rId1991" ref="AV1780"/>
    <hyperlink r:id="rId1992" ref="S1781"/>
    <hyperlink r:id="rId1993" ref="W1781"/>
    <hyperlink r:id="rId1994" ref="AV1781"/>
    <hyperlink r:id="rId1995" ref="W1782"/>
    <hyperlink r:id="rId1996" ref="AV1782"/>
    <hyperlink r:id="rId1997" ref="AV1783"/>
    <hyperlink r:id="rId1998" ref="AV1784"/>
    <hyperlink r:id="rId1999" ref="S1785"/>
    <hyperlink r:id="rId2000" ref="AV1785"/>
    <hyperlink r:id="rId2001" ref="AV1786"/>
    <hyperlink r:id="rId2002" ref="S1787"/>
    <hyperlink r:id="rId2003" ref="AV1787"/>
    <hyperlink r:id="rId2004" ref="AV1788"/>
    <hyperlink r:id="rId2005" ref="S1789"/>
    <hyperlink r:id="rId2006" ref="AV1789"/>
    <hyperlink r:id="rId2007" ref="W1790"/>
    <hyperlink r:id="rId2008" ref="AV1790"/>
    <hyperlink r:id="rId2009" ref="S1791"/>
    <hyperlink r:id="rId2010" ref="AV1791"/>
    <hyperlink r:id="rId2011" ref="AV1792"/>
    <hyperlink r:id="rId2012" ref="AV1793"/>
    <hyperlink r:id="rId2013" ref="AV1794"/>
    <hyperlink r:id="rId2014" ref="S1795"/>
    <hyperlink r:id="rId2015" ref="W1795"/>
    <hyperlink r:id="rId2016" ref="AV1795"/>
    <hyperlink r:id="rId2017" ref="W1796"/>
    <hyperlink r:id="rId2018" ref="AV1796"/>
    <hyperlink r:id="rId2019" ref="S1797"/>
    <hyperlink r:id="rId2020" ref="AV1797"/>
    <hyperlink r:id="rId2021" ref="AV1798"/>
    <hyperlink r:id="rId2022" ref="AV1799"/>
    <hyperlink r:id="rId2023" ref="L1800"/>
    <hyperlink r:id="rId2024" ref="AV1800"/>
    <hyperlink r:id="rId2025" ref="L1801"/>
    <hyperlink r:id="rId2026" ref="AV1801"/>
    <hyperlink r:id="rId2027" ref="L1802"/>
    <hyperlink r:id="rId2028" ref="AV1802"/>
    <hyperlink r:id="rId2029" ref="AV1803"/>
    <hyperlink r:id="rId2030" ref="AV1804"/>
    <hyperlink r:id="rId2031" ref="AV1805"/>
    <hyperlink r:id="rId2032" ref="AV1806"/>
    <hyperlink r:id="rId2033" ref="AV1807"/>
    <hyperlink r:id="rId2034" ref="AV1808"/>
    <hyperlink r:id="rId2035" ref="AV1809"/>
    <hyperlink r:id="rId2036" ref="AV1810"/>
    <hyperlink r:id="rId2037" ref="AV1811"/>
    <hyperlink r:id="rId2038" ref="AV1812"/>
    <hyperlink r:id="rId2039" ref="AV1813"/>
    <hyperlink r:id="rId2040" ref="AV1814"/>
    <hyperlink r:id="rId2041" ref="AV1815"/>
    <hyperlink r:id="rId2042" ref="AV1816"/>
    <hyperlink r:id="rId2043" ref="AV1817"/>
    <hyperlink r:id="rId2044" ref="AV1818"/>
    <hyperlink r:id="rId2045" ref="AV1819"/>
    <hyperlink r:id="rId2046" ref="AV1820"/>
    <hyperlink r:id="rId2047" ref="AV1821"/>
    <hyperlink r:id="rId2048" ref="AV1822"/>
    <hyperlink r:id="rId2049" ref="AV1823"/>
    <hyperlink r:id="rId2050" ref="AV1824"/>
    <hyperlink r:id="rId2051" ref="AV1825"/>
    <hyperlink r:id="rId2052" ref="AV1826"/>
    <hyperlink r:id="rId2053" ref="AV1827"/>
    <hyperlink r:id="rId2054" ref="AV1828"/>
    <hyperlink r:id="rId2055" ref="AV1829"/>
    <hyperlink r:id="rId2056" ref="AV1830"/>
    <hyperlink r:id="rId2057" ref="AV1831"/>
    <hyperlink r:id="rId2058" ref="AV1832"/>
    <hyperlink r:id="rId2059" ref="AV1833"/>
    <hyperlink r:id="rId2060" ref="AV1834"/>
    <hyperlink r:id="rId2061" ref="AV1835"/>
    <hyperlink r:id="rId2062" ref="AV1836"/>
    <hyperlink r:id="rId2063" ref="AV1837"/>
    <hyperlink r:id="rId2064" ref="AV1838"/>
    <hyperlink r:id="rId2065" ref="AV1839"/>
    <hyperlink r:id="rId2066" ref="AV1840"/>
    <hyperlink r:id="rId2067" ref="AV1841"/>
    <hyperlink r:id="rId2068" ref="AV1842"/>
    <hyperlink r:id="rId2069" ref="AV1843"/>
    <hyperlink r:id="rId2070" ref="AV1844"/>
    <hyperlink r:id="rId2071" ref="AV1845"/>
    <hyperlink r:id="rId2072" ref="AV1846"/>
    <hyperlink r:id="rId2073" ref="AV1847"/>
    <hyperlink r:id="rId2074" ref="AV1848"/>
    <hyperlink r:id="rId2075" ref="AV1849"/>
    <hyperlink r:id="rId2076" ref="AV1850"/>
    <hyperlink r:id="rId2077" ref="AV1851"/>
    <hyperlink r:id="rId2078" ref="AV1852"/>
    <hyperlink r:id="rId2079" ref="AV1853"/>
    <hyperlink r:id="rId2080" ref="AV1854"/>
    <hyperlink r:id="rId2081" ref="AV1855"/>
    <hyperlink r:id="rId2082" ref="AV1856"/>
    <hyperlink r:id="rId2083" ref="AV1857"/>
    <hyperlink r:id="rId2084" ref="AV1858"/>
    <hyperlink r:id="rId2085" ref="AV1859"/>
    <hyperlink r:id="rId2086" ref="AV1860"/>
    <hyperlink r:id="rId2087" ref="AV1861"/>
    <hyperlink r:id="rId2088" ref="AV1862"/>
    <hyperlink r:id="rId2089" ref="AV1863"/>
    <hyperlink r:id="rId2090" ref="AV1864"/>
    <hyperlink r:id="rId2091" ref="AV1865"/>
    <hyperlink r:id="rId2092" ref="AV1866"/>
    <hyperlink r:id="rId2093" ref="AV1867"/>
    <hyperlink r:id="rId2094" ref="AV1868"/>
    <hyperlink r:id="rId2095" ref="AV1869"/>
    <hyperlink r:id="rId2096" ref="AV1870"/>
    <hyperlink r:id="rId2097" ref="AV1871"/>
    <hyperlink r:id="rId2098" ref="AV1872"/>
    <hyperlink r:id="rId2099" ref="AV1873"/>
    <hyperlink r:id="rId2100" ref="AV1874"/>
    <hyperlink r:id="rId2101" ref="AV1875"/>
    <hyperlink r:id="rId2102" ref="AV1876"/>
    <hyperlink r:id="rId2103" ref="AV1877"/>
    <hyperlink r:id="rId2104" ref="AV1878"/>
    <hyperlink r:id="rId2105" ref="AV1879"/>
    <hyperlink r:id="rId2106" ref="W1880"/>
    <hyperlink r:id="rId2107" ref="AV1880"/>
    <hyperlink r:id="rId2108" ref="W1882"/>
    <hyperlink r:id="rId2109" ref="AV1882"/>
    <hyperlink r:id="rId2110" ref="W1884"/>
    <hyperlink r:id="rId2111" ref="AV1884"/>
    <hyperlink r:id="rId2112" ref="W1886"/>
    <hyperlink r:id="rId2113" ref="AV1886"/>
    <hyperlink r:id="rId2114" ref="W1888"/>
    <hyperlink r:id="rId2115" ref="AV1888"/>
    <hyperlink r:id="rId2116" ref="W1890"/>
    <hyperlink r:id="rId2117" ref="AV1890"/>
    <hyperlink r:id="rId2118" ref="W1892"/>
    <hyperlink r:id="rId2119" ref="AV1892"/>
    <hyperlink r:id="rId2120" ref="W1894"/>
    <hyperlink r:id="rId2121" ref="AV1894"/>
    <hyperlink r:id="rId2122" ref="W1896"/>
    <hyperlink r:id="rId2123" ref="AV1896"/>
    <hyperlink r:id="rId2124" ref="W1898"/>
    <hyperlink r:id="rId2125" ref="AV1898"/>
    <hyperlink r:id="rId2126" ref="W1900"/>
    <hyperlink r:id="rId2127" ref="AV1900"/>
    <hyperlink r:id="rId2128" ref="W1902"/>
    <hyperlink r:id="rId2129" ref="AV1902"/>
    <hyperlink r:id="rId2130" ref="W1904"/>
    <hyperlink r:id="rId2131" ref="AV1904"/>
    <hyperlink r:id="rId2132" ref="W1906"/>
    <hyperlink r:id="rId2133" ref="AV1906"/>
    <hyperlink r:id="rId2134" ref="W1908"/>
    <hyperlink r:id="rId2135" ref="AV1908"/>
    <hyperlink r:id="rId2136" ref="W1910"/>
    <hyperlink r:id="rId2137" ref="AV1910"/>
    <hyperlink r:id="rId2138" ref="W1912"/>
    <hyperlink r:id="rId2139" ref="AV1912"/>
    <hyperlink r:id="rId2140" ref="W1914"/>
    <hyperlink r:id="rId2141" ref="AV1914"/>
    <hyperlink r:id="rId2142" ref="L1934"/>
    <hyperlink r:id="rId2143" ref="AV1936"/>
    <hyperlink r:id="rId2144" ref="AV1937"/>
    <hyperlink r:id="rId2145" ref="AV1938"/>
    <hyperlink r:id="rId2146" ref="X1939"/>
  </hyperlinks>
  <drawing r:id="rId2147"/>
  <legacyDrawing r:id="rId21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7.75"/>
  </cols>
  <sheetData>
    <row r="1">
      <c r="A1" s="25" t="s">
        <v>32</v>
      </c>
      <c r="B1" s="25" t="s">
        <v>12348</v>
      </c>
      <c r="C1" s="25" t="s">
        <v>12349</v>
      </c>
    </row>
    <row r="2">
      <c r="A2" s="25" t="s">
        <v>67</v>
      </c>
      <c r="B2" s="25">
        <v>1.0</v>
      </c>
      <c r="C2" s="25">
        <v>1.0</v>
      </c>
    </row>
    <row r="3">
      <c r="A3" s="25" t="s">
        <v>279</v>
      </c>
      <c r="B3" s="25">
        <v>189.0</v>
      </c>
      <c r="C3" s="25">
        <v>52.0</v>
      </c>
    </row>
    <row r="4">
      <c r="A4" s="25" t="s">
        <v>520</v>
      </c>
      <c r="B4" s="25">
        <v>294.0</v>
      </c>
      <c r="C4" s="25">
        <v>42.0</v>
      </c>
    </row>
    <row r="5">
      <c r="A5" s="25" t="s">
        <v>586</v>
      </c>
      <c r="B5" s="25">
        <v>120.0</v>
      </c>
      <c r="C5" s="25">
        <v>46.0</v>
      </c>
    </row>
    <row r="6">
      <c r="A6" s="25" t="s">
        <v>143</v>
      </c>
      <c r="B6" s="25">
        <v>400.0</v>
      </c>
      <c r="C6" s="25">
        <v>262.0</v>
      </c>
    </row>
    <row r="7">
      <c r="A7" s="25" t="s">
        <v>5350</v>
      </c>
      <c r="B7" s="25">
        <v>204.0</v>
      </c>
      <c r="C7" s="25">
        <v>104.0</v>
      </c>
    </row>
    <row r="8">
      <c r="A8" s="25" t="s">
        <v>106</v>
      </c>
      <c r="B8" s="25">
        <v>558.0</v>
      </c>
      <c r="C8" s="25">
        <v>378.0</v>
      </c>
    </row>
    <row r="9">
      <c r="A9" s="25" t="s">
        <v>2021</v>
      </c>
      <c r="B9" s="25">
        <v>16.0</v>
      </c>
      <c r="C9" s="25">
        <v>15.0</v>
      </c>
    </row>
    <row r="10">
      <c r="A10" s="25" t="s">
        <v>12350</v>
      </c>
      <c r="B10" s="25">
        <v>1782.0</v>
      </c>
      <c r="C10" s="25">
        <v>494.0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37.75"/>
  </cols>
  <sheetData>
    <row r="1">
      <c r="A1" s="1573" t="str">
        <f>IFERROR(__xludf.DUMMYFUNCTION("IMPORTRANGE(""https://docs.google.com/spreadsheets/d/1x68oW2H_Xrdv44fIeycl4fegsmQgCa60GxeZZ_hAR90/edit?gid=1787592819#gid=1787592819"", ""'File links'!A:D"")"),"DOI")</f>
        <v>DOI</v>
      </c>
      <c r="B1" s="1573" t="str">
        <f>IFERROR(__xludf.DUMMYFUNCTION("""COMPUTED_VALUE"""),"URL")</f>
        <v>URL</v>
      </c>
      <c r="C1" s="147"/>
      <c r="D1" s="147"/>
      <c r="E1" s="1574"/>
    </row>
    <row r="2">
      <c r="A2" s="147" t="str">
        <f>IFERROR(__xludf.DUMMYFUNCTION("""COMPUTED_VALUE"""),"10.1126/science.aaf0918")</f>
        <v>10.1126/science.aaf0918</v>
      </c>
      <c r="B2" s="419" t="str">
        <f>IFERROR(__xludf.DUMMYFUNCTION("""COMPUTED_VALUE"""),"https://drive.google.com/file/d/1g2LUlGntoVWUQi433rats2xlfqkwajdf/view?usp=drivesdk")</f>
        <v>https://drive.google.com/file/d/1g2LUlGntoVWUQi433rats2xlfqkwajdf/view?usp=drivesdk</v>
      </c>
      <c r="C2" s="330" t="str">
        <f>IFERROR(__xludf.DUMMYFUNCTION("""COMPUTED_VALUE"""),"10.1126--science.aaf0918.pdf")</f>
        <v>10.1126--science.aaf0918.pdf</v>
      </c>
      <c r="D2" s="330" t="str">
        <f>IFERROR(__xludf.DUMMYFUNCTION("""COMPUTED_VALUE"""),"application/pdf")</f>
        <v>application/pdf</v>
      </c>
    </row>
    <row r="3">
      <c r="A3" s="147" t="str">
        <f>IFERROR(__xludf.DUMMYFUNCTION("""COMPUTED_VALUE"""),"10.1016/0022-1031(77)90049-x")</f>
        <v>10.1016/0022-1031(77)90049-x</v>
      </c>
      <c r="B3" s="419" t="str">
        <f>IFERROR(__xludf.DUMMYFUNCTION("""COMPUTED_VALUE"""),"https://drive.google.com/file/d/16b2RhNig_5iqWitXUKqz28-xsE4N6txd/view?usp=drivesdk")</f>
        <v>https://drive.google.com/file/d/16b2RhNig_5iqWitXUKqz28-xsE4N6txd/view?usp=drivesdk</v>
      </c>
      <c r="C3" s="330" t="str">
        <f>IFERROR(__xludf.DUMMYFUNCTION("""COMPUTED_VALUE"""),"10.1016--0022-1031(77)90049-x.pdf")</f>
        <v>10.1016--0022-1031(77)90049-x.pdf</v>
      </c>
      <c r="D3" s="330" t="str">
        <f>IFERROR(__xludf.DUMMYFUNCTION("""COMPUTED_VALUE"""),"application/pdf")</f>
        <v>application/pdf</v>
      </c>
    </row>
    <row r="4">
      <c r="A4" s="147" t="str">
        <f>IFERROR(__xludf.DUMMYFUNCTION("""COMPUTED_VALUE"""),"3329308")</f>
        <v>3329308</v>
      </c>
      <c r="B4" s="419" t="str">
        <f>IFERROR(__xludf.DUMMYFUNCTION("""COMPUTED_VALUE"""),"https://drive.google.com/file/d/1tin9nciEOGqNUz2Yx-ZnwQtqTwJGFR6v/view?usp=drivesdk")</f>
        <v>https://drive.google.com/file/d/1tin9nciEOGqNUz2Yx-ZnwQtqTwJGFR6v/view?usp=drivesdk</v>
      </c>
      <c r="C4" s="330" t="str">
        <f>IFERROR(__xludf.DUMMYFUNCTION("""COMPUTED_VALUE"""),"3329308.pdf")</f>
        <v>3329308.pdf</v>
      </c>
      <c r="D4" s="330" t="str">
        <f>IFERROR(__xludf.DUMMYFUNCTION("""COMPUTED_VALUE"""),"application/pdf")</f>
        <v>application/pdf</v>
      </c>
    </row>
    <row r="5">
      <c r="A5" s="147" t="str">
        <f>IFERROR(__xludf.DUMMYFUNCTION("""COMPUTED_VALUE"""),"10.1038/nature13530")</f>
        <v>10.1038/nature13530</v>
      </c>
      <c r="B5" s="419" t="str">
        <f>IFERROR(__xludf.DUMMYFUNCTION("""COMPUTED_VALUE"""),"https://docs.google.com/document/d/15ukjAVIprceHouxCDvFr3DO3hAQxWGyoAXtWMm3JZas/edit?usp=drivesdk")</f>
        <v>https://docs.google.com/document/d/15ukjAVIprceHouxCDvFr3DO3hAQxWGyoAXtWMm3JZas/edit?usp=drivesdk</v>
      </c>
      <c r="C5" s="330" t="str">
        <f>IFERROR(__xludf.DUMMYFUNCTION("""COMPUTED_VALUE"""),"10.1038--nature13530")</f>
        <v>10.1038--nature13530</v>
      </c>
      <c r="D5" s="330" t="str">
        <f>IFERROR(__xludf.DUMMYFUNCTION("""COMPUTED_VALUE"""),"application/vnd.google-apps.document")</f>
        <v>application/vnd.google-apps.document</v>
      </c>
    </row>
    <row r="6">
      <c r="A6" s="147" t="str">
        <f>IFERROR(__xludf.DUMMYFUNCTION("""COMPUTED_VALUE"""),"10.1109/iccq60895.2024.10576941")</f>
        <v>10.1109/iccq60895.2024.10576941</v>
      </c>
      <c r="B6" s="419" t="str">
        <f>IFERROR(__xludf.DUMMYFUNCTION("""COMPUTED_VALUE"""),"https://drive.google.com/file/d/1ljVoDtYBz0iPIIVFLmoGyAGWDfVCncq9/view?usp=drivesdk")</f>
        <v>https://drive.google.com/file/d/1ljVoDtYBz0iPIIVFLmoGyAGWDfVCncq9/view?usp=drivesdk</v>
      </c>
      <c r="C6" s="330" t="str">
        <f>IFERROR(__xludf.DUMMYFUNCTION("""COMPUTED_VALUE"""),"10.1109--iccq60895.2024.10576941.pdf")</f>
        <v>10.1109--iccq60895.2024.10576941.pdf</v>
      </c>
      <c r="D6" s="330" t="str">
        <f>IFERROR(__xludf.DUMMYFUNCTION("""COMPUTED_VALUE"""),"application/pdf")</f>
        <v>application/pdf</v>
      </c>
    </row>
    <row r="7">
      <c r="A7" s="147" t="str">
        <f>IFERROR(__xludf.DUMMYFUNCTION("""COMPUTED_VALUE"""),"10.1037/emo0001389")</f>
        <v>10.1037/emo0001389</v>
      </c>
      <c r="B7" s="419" t="str">
        <f>IFERROR(__xludf.DUMMYFUNCTION("""COMPUTED_VALUE"""),"https://drive.google.com/file/d/1EK0iig6kRzrCroz49dDEP_mf3A-HoVQR/view?usp=drivesdk")</f>
        <v>https://drive.google.com/file/d/1EK0iig6kRzrCroz49dDEP_mf3A-HoVQR/view?usp=drivesdk</v>
      </c>
      <c r="C7" s="330" t="str">
        <f>IFERROR(__xludf.DUMMYFUNCTION("""COMPUTED_VALUE"""),"10.1037--emo0001389.pdf")</f>
        <v>10.1037--emo0001389.pdf</v>
      </c>
      <c r="D7" s="330" t="str">
        <f>IFERROR(__xludf.DUMMYFUNCTION("""COMPUTED_VALUE"""),"application/pdf")</f>
        <v>application/pdf</v>
      </c>
    </row>
    <row r="8">
      <c r="A8" s="147" t="str">
        <f>IFERROR(__xludf.DUMMYFUNCTION("""COMPUTED_VALUE"""),"10.1037/0096-3445.135.4.641 (1)")</f>
        <v>10.1037/0096-3445.135.4.641 (1)</v>
      </c>
      <c r="B8" s="419" t="str">
        <f>IFERROR(__xludf.DUMMYFUNCTION("""COMPUTED_VALUE"""),"https://drive.google.com/file/d/1zwRoxz5Sn0X6IsPbbi0ZGnyNqMlsqV_i/view?usp=drivesdk")</f>
        <v>https://drive.google.com/file/d/1zwRoxz5Sn0X6IsPbbi0ZGnyNqMlsqV_i/view?usp=drivesdk</v>
      </c>
      <c r="C8" s="330" t="str">
        <f>IFERROR(__xludf.DUMMYFUNCTION("""COMPUTED_VALUE"""),"10.1037--0096-3445.135.4.641 (1).pdf")</f>
        <v>10.1037--0096-3445.135.4.641 (1).pdf</v>
      </c>
      <c r="D8" s="330" t="str">
        <f>IFERROR(__xludf.DUMMYFUNCTION("""COMPUTED_VALUE"""),"application/pdf")</f>
        <v>application/pdf</v>
      </c>
    </row>
    <row r="9">
      <c r="A9" s="147" t="str">
        <f>IFERROR(__xludf.DUMMYFUNCTION("""COMPUTED_VALUE"""),"10.1016/j.cognition.2009.02.001")</f>
        <v>10.1016/j.cognition.2009.02.001</v>
      </c>
      <c r="B9" s="419" t="str">
        <f>IFERROR(__xludf.DUMMYFUNCTION("""COMPUTED_VALUE"""),"https://drive.google.com/file/d/14dOJ5ND4VtF3gZcZWTmHDAh5mU0QkdYy/view?usp=drivesdk")</f>
        <v>https://drive.google.com/file/d/14dOJ5ND4VtF3gZcZWTmHDAh5mU0QkdYy/view?usp=drivesdk</v>
      </c>
      <c r="C9" s="330" t="str">
        <f>IFERROR(__xludf.DUMMYFUNCTION("""COMPUTED_VALUE"""),"10.1016--j.cognition.2009.02.001.pdf")</f>
        <v>10.1016--j.cognition.2009.02.001.pdf</v>
      </c>
      <c r="D9" s="330" t="str">
        <f>IFERROR(__xludf.DUMMYFUNCTION("""COMPUTED_VALUE"""),"application/pdf")</f>
        <v>application/pdf</v>
      </c>
    </row>
    <row r="10">
      <c r="A10" s="147" t="str">
        <f>IFERROR(__xludf.DUMMYFUNCTION("""COMPUTED_VALUE"""),"10.1038/nn1504 (1)")</f>
        <v>10.1038/nn1504 (1)</v>
      </c>
      <c r="B10" s="419" t="str">
        <f>IFERROR(__xludf.DUMMYFUNCTION("""COMPUTED_VALUE"""),"https://drive.google.com/file/d/1VZDnfEGeyJj49a66gDRh43UDo7SaB9Cn/view?usp=drivesdk")</f>
        <v>https://drive.google.com/file/d/1VZDnfEGeyJj49a66gDRh43UDo7SaB9Cn/view?usp=drivesdk</v>
      </c>
      <c r="C10" s="330" t="str">
        <f>IFERROR(__xludf.DUMMYFUNCTION("""COMPUTED_VALUE"""),"10.1038--nn1504 (1).pdf")</f>
        <v>10.1038--nn1504 (1).pdf</v>
      </c>
      <c r="D10" s="330" t="str">
        <f>IFERROR(__xludf.DUMMYFUNCTION("""COMPUTED_VALUE"""),"application/pdf")</f>
        <v>application/pdf</v>
      </c>
    </row>
    <row r="11">
      <c r="A11" s="147" t="str">
        <f>IFERROR(__xludf.DUMMYFUNCTION("""COMPUTED_VALUE"""),"10.1037/0278-7393.34.2.302 (1)")</f>
        <v>10.1037/0278-7393.34.2.302 (1)</v>
      </c>
      <c r="B11" s="419" t="str">
        <f>IFERROR(__xludf.DUMMYFUNCTION("""COMPUTED_VALUE"""),"https://drive.google.com/file/d/1pN298dROLwX3oulVt9Wn2-PIOt25aqoR/view?usp=drivesdk")</f>
        <v>https://drive.google.com/file/d/1pN298dROLwX3oulVt9Wn2-PIOt25aqoR/view?usp=drivesdk</v>
      </c>
      <c r="C11" s="330" t="str">
        <f>IFERROR(__xludf.DUMMYFUNCTION("""COMPUTED_VALUE"""),"10.1037--0278-7393.34.2.302 (1).pdf")</f>
        <v>10.1037--0278-7393.34.2.302 (1).pdf</v>
      </c>
      <c r="D11" s="330" t="str">
        <f>IFERROR(__xludf.DUMMYFUNCTION("""COMPUTED_VALUE"""),"application/pdf")</f>
        <v>application/pdf</v>
      </c>
    </row>
    <row r="12">
      <c r="A12" s="147" t="str">
        <f>IFERROR(__xludf.DUMMYFUNCTION("""COMPUTED_VALUE"""),"10.1006/jmla.1998.2602 (1)")</f>
        <v>10.1006/jmla.1998.2602 (1)</v>
      </c>
      <c r="B12" s="419" t="str">
        <f>IFERROR(__xludf.DUMMYFUNCTION("""COMPUTED_VALUE"""),"https://drive.google.com/file/d/19a3lbO9orvIn9kSVhTa4wHPIOE8aXVyn/view?usp=drivesdk")</f>
        <v>https://drive.google.com/file/d/19a3lbO9orvIn9kSVhTa4wHPIOE8aXVyn/view?usp=drivesdk</v>
      </c>
      <c r="C12" s="330" t="str">
        <f>IFERROR(__xludf.DUMMYFUNCTION("""COMPUTED_VALUE"""),"10.1006--jmla.1998.2602 (1).pdf")</f>
        <v>10.1006--jmla.1998.2602 (1).pdf</v>
      </c>
      <c r="D12" s="330" t="str">
        <f>IFERROR(__xludf.DUMMYFUNCTION("""COMPUTED_VALUE"""),"application/pdf")</f>
        <v>application/pdf</v>
      </c>
    </row>
    <row r="13">
      <c r="A13" s="147" t="str">
        <f>IFERROR(__xludf.DUMMYFUNCTION("""COMPUTED_VALUE"""),"10.1007/s13752-015-0219-x")</f>
        <v>10.1007/s13752-015-0219-x</v>
      </c>
      <c r="B13" s="419" t="str">
        <f>IFERROR(__xludf.DUMMYFUNCTION("""COMPUTED_VALUE"""),"https://drive.google.com/file/d/1Vzq0za2tbbXf0MOd29FuWvFP-2e12RCg/view?usp=drivesdk")</f>
        <v>https://drive.google.com/file/d/1Vzq0za2tbbXf0MOd29FuWvFP-2e12RCg/view?usp=drivesdk</v>
      </c>
      <c r="C13" s="330" t="str">
        <f>IFERROR(__xludf.DUMMYFUNCTION("""COMPUTED_VALUE"""),"10.1007--s13752-015-0219-x.pdf")</f>
        <v>10.1007--s13752-015-0219-x.pdf</v>
      </c>
      <c r="D13" s="330" t="str">
        <f>IFERROR(__xludf.DUMMYFUNCTION("""COMPUTED_VALUE"""),"application/pdf")</f>
        <v>application/pdf</v>
      </c>
    </row>
    <row r="14">
      <c r="A14" s="147" t="str">
        <f>IFERROR(__xludf.DUMMYFUNCTION("""COMPUTED_VALUE"""),"10.1037/h0032317 (1)")</f>
        <v>10.1037/h0032317 (1)</v>
      </c>
      <c r="B14" s="419" t="str">
        <f>IFERROR(__xludf.DUMMYFUNCTION("""COMPUTED_VALUE"""),"https://drive.google.com/file/d/1gH5vScUQpI_fyA6bvJhOrh1BXm6M7wuu/view?usp=drivesdk")</f>
        <v>https://drive.google.com/file/d/1gH5vScUQpI_fyA6bvJhOrh1BXm6M7wuu/view?usp=drivesdk</v>
      </c>
      <c r="C14" s="330" t="str">
        <f>IFERROR(__xludf.DUMMYFUNCTION("""COMPUTED_VALUE"""),"10.1037--h0032317 (1).pdf")</f>
        <v>10.1037--h0032317 (1).pdf</v>
      </c>
      <c r="D14" s="330" t="str">
        <f>IFERROR(__xludf.DUMMYFUNCTION("""COMPUTED_VALUE"""),"application/pdf")</f>
        <v>application/pdf</v>
      </c>
    </row>
    <row r="15">
      <c r="A15" s="147" t="str">
        <f>IFERROR(__xludf.DUMMYFUNCTION("""COMPUTED_VALUE"""),"10.1037/0096-3445.108.4.441 (1)")</f>
        <v>10.1037/0096-3445.108.4.441 (1)</v>
      </c>
      <c r="B15" s="419" t="str">
        <f>IFERROR(__xludf.DUMMYFUNCTION("""COMPUTED_VALUE"""),"https://drive.google.com/file/d/1tZIfJB058zdF5aUmxzNo3WGNtaIxEYBi/view?usp=drivesdk")</f>
        <v>https://drive.google.com/file/d/1tZIfJB058zdF5aUmxzNo3WGNtaIxEYBi/view?usp=drivesdk</v>
      </c>
      <c r="C15" s="330" t="str">
        <f>IFERROR(__xludf.DUMMYFUNCTION("""COMPUTED_VALUE"""),"10.1037--0096-3445.108.4.441 (1).pdf")</f>
        <v>10.1037--0096-3445.108.4.441 (1).pdf</v>
      </c>
      <c r="D15" s="330" t="str">
        <f>IFERROR(__xludf.DUMMYFUNCTION("""COMPUTED_VALUE"""),"application/pdf")</f>
        <v>application/pdf</v>
      </c>
    </row>
    <row r="16">
      <c r="A16" s="147" t="str">
        <f>IFERROR(__xludf.DUMMYFUNCTION("""COMPUTED_VALUE"""),"10.1038/365611a0 (1)")</f>
        <v>10.1038/365611a0 (1)</v>
      </c>
      <c r="B16" s="419" t="str">
        <f>IFERROR(__xludf.DUMMYFUNCTION("""COMPUTED_VALUE"""),"https://drive.google.com/file/d/1zwhQmNxjp14soK3-40ryikikjujtIUBo/view?usp=drivesdk")</f>
        <v>https://drive.google.com/file/d/1zwhQmNxjp14soK3-40ryikikjujtIUBo/view?usp=drivesdk</v>
      </c>
      <c r="C16" s="330" t="str">
        <f>IFERROR(__xludf.DUMMYFUNCTION("""COMPUTED_VALUE"""),"10.1038--365611a0 (1).pdf")</f>
        <v>10.1038--365611a0 (1).pdf</v>
      </c>
      <c r="D16" s="330" t="str">
        <f>IFERROR(__xludf.DUMMYFUNCTION("""COMPUTED_VALUE"""),"application/pdf")</f>
        <v>application/pdf</v>
      </c>
    </row>
    <row r="17">
      <c r="A17" s="147" t="str">
        <f>IFERROR(__xludf.DUMMYFUNCTION("""COMPUTED_VALUE"""),"10.1037/0012-1649.27.5.703 (1)")</f>
        <v>10.1037/0012-1649.27.5.703 (1)</v>
      </c>
      <c r="B17" s="419" t="str">
        <f>IFERROR(__xludf.DUMMYFUNCTION("""COMPUTED_VALUE"""),"https://drive.google.com/file/d/1OFquFaz47F3N7YxYEZs3N0lm43AFUxqH/view?usp=drivesdk")</f>
        <v>https://drive.google.com/file/d/1OFquFaz47F3N7YxYEZs3N0lm43AFUxqH/view?usp=drivesdk</v>
      </c>
      <c r="C17" s="330" t="str">
        <f>IFERROR(__xludf.DUMMYFUNCTION("""COMPUTED_VALUE"""),"10.1037--0012-1649.27.5.703 (1).pdf")</f>
        <v>10.1037--0012-1649.27.5.703 (1).pdf</v>
      </c>
      <c r="D17" s="330" t="str">
        <f>IFERROR(__xludf.DUMMYFUNCTION("""COMPUTED_VALUE"""),"application/pdf")</f>
        <v>application/pdf</v>
      </c>
    </row>
    <row r="18">
      <c r="A18" s="147" t="str">
        <f>IFERROR(__xludf.DUMMYFUNCTION("""COMPUTED_VALUE"""),"10.3758/pbr.15.1.70")</f>
        <v>10.3758/pbr.15.1.70</v>
      </c>
      <c r="B18" s="419" t="str">
        <f>IFERROR(__xludf.DUMMYFUNCTION("""COMPUTED_VALUE"""),"https://drive.google.com/file/d/1kHUPZx3h_B6XPvWiwIKYjyxxXAvuCZky/view?usp=drivesdk")</f>
        <v>https://drive.google.com/file/d/1kHUPZx3h_B6XPvWiwIKYjyxxXAvuCZky/view?usp=drivesdk</v>
      </c>
      <c r="C18" s="330" t="str">
        <f>IFERROR(__xludf.DUMMYFUNCTION("""COMPUTED_VALUE"""),"10.3758--pbr.15.1.70.pdf")</f>
        <v>10.3758--pbr.15.1.70.pdf</v>
      </c>
      <c r="D18" s="330" t="str">
        <f>IFERROR(__xludf.DUMMYFUNCTION("""COMPUTED_VALUE"""),"application/pdf")</f>
        <v>application/pdf</v>
      </c>
    </row>
    <row r="19">
      <c r="A19" s="147" t="str">
        <f>IFERROR(__xludf.DUMMYFUNCTION("""COMPUTED_VALUE"""),"10.1016/j.cognition.2014.08.007")</f>
        <v>10.1016/j.cognition.2014.08.007</v>
      </c>
      <c r="B19" s="419" t="str">
        <f>IFERROR(__xludf.DUMMYFUNCTION("""COMPUTED_VALUE"""),"https://drive.google.com/file/d/1wLaBoP1xnyM5YvhTbp0wBKftvxK6iXtN/view?usp=drivesdk")</f>
        <v>https://drive.google.com/file/d/1wLaBoP1xnyM5YvhTbp0wBKftvxK6iXtN/view?usp=drivesdk</v>
      </c>
      <c r="C19" s="330" t="str">
        <f>IFERROR(__xludf.DUMMYFUNCTION("""COMPUTED_VALUE"""),"10.1016--j.cognition.2014.08.007.pdf")</f>
        <v>10.1016--j.cognition.2014.08.007.pdf</v>
      </c>
      <c r="D19" s="330" t="str">
        <f>IFERROR(__xludf.DUMMYFUNCTION("""COMPUTED_VALUE"""),"application/pdf")</f>
        <v>application/pdf</v>
      </c>
    </row>
    <row r="20">
      <c r="A20" s="147" t="str">
        <f>IFERROR(__xludf.DUMMYFUNCTION("""COMPUTED_VALUE"""),"10.1080/17470210903380830 (1)")</f>
        <v>10.1080/17470210903380830 (1)</v>
      </c>
      <c r="B20" s="419" t="str">
        <f>IFERROR(__xludf.DUMMYFUNCTION("""COMPUTED_VALUE"""),"https://drive.google.com/file/d/1k4G770E5hE0owoWvblXVTUu0uvORD8Qa/view?usp=drivesdk")</f>
        <v>https://drive.google.com/file/d/1k4G770E5hE0owoWvblXVTUu0uvORD8Qa/view?usp=drivesdk</v>
      </c>
      <c r="C20" s="330" t="str">
        <f>IFERROR(__xludf.DUMMYFUNCTION("""COMPUTED_VALUE"""),"10.1080--17470210903380830 (1).pdf")</f>
        <v>10.1080--17470210903380830 (1).pdf</v>
      </c>
      <c r="D20" s="330" t="str">
        <f>IFERROR(__xludf.DUMMYFUNCTION("""COMPUTED_VALUE"""),"application/pdf")</f>
        <v>application/pdf</v>
      </c>
    </row>
    <row r="21">
      <c r="A21" s="147" t="str">
        <f>IFERROR(__xludf.DUMMYFUNCTION("""COMPUTED_VALUE"""),"10.1080/713755779 (1)")</f>
        <v>10.1080/713755779 (1)</v>
      </c>
      <c r="B21" s="419" t="str">
        <f>IFERROR(__xludf.DUMMYFUNCTION("""COMPUTED_VALUE"""),"https://drive.google.com/file/d/1tJdhVk4Vn-qFJw4c7_lMMTliT5FjiQyV/view?usp=drivesdk")</f>
        <v>https://drive.google.com/file/d/1tJdhVk4Vn-qFJw4c7_lMMTliT5FjiQyV/view?usp=drivesdk</v>
      </c>
      <c r="C21" s="330" t="str">
        <f>IFERROR(__xludf.DUMMYFUNCTION("""COMPUTED_VALUE"""),"10.1080--713755779 (1).pdf")</f>
        <v>10.1080--713755779 (1).pdf</v>
      </c>
      <c r="D21" s="330" t="str">
        <f>IFERROR(__xludf.DUMMYFUNCTION("""COMPUTED_VALUE"""),"application/pdf")</f>
        <v>application/pdf</v>
      </c>
    </row>
    <row r="22">
      <c r="A22" s="147" t="str">
        <f>IFERROR(__xludf.DUMMYFUNCTION("""COMPUTED_VALUE"""),"10.1080/17470218.2016.1253756 (1)")</f>
        <v>10.1080/17470218.2016.1253756 (1)</v>
      </c>
      <c r="B22" s="419" t="str">
        <f>IFERROR(__xludf.DUMMYFUNCTION("""COMPUTED_VALUE"""),"https://drive.google.com/file/d/1RsHwxVTBzUNFBPZhCDdGTcSVgCrwTTK7/view?usp=drivesdk")</f>
        <v>https://drive.google.com/file/d/1RsHwxVTBzUNFBPZhCDdGTcSVgCrwTTK7/view?usp=drivesdk</v>
      </c>
      <c r="C22" s="330" t="str">
        <f>IFERROR(__xludf.DUMMYFUNCTION("""COMPUTED_VALUE"""),"10.1080--17470218.2016.1253756 (1).pdf")</f>
        <v>10.1080--17470218.2016.1253756 (1).pdf</v>
      </c>
      <c r="D22" s="330" t="str">
        <f>IFERROR(__xludf.DUMMYFUNCTION("""COMPUTED_VALUE"""),"application/pdf")</f>
        <v>application/pdf</v>
      </c>
    </row>
    <row r="23">
      <c r="A23" s="147" t="str">
        <f>IFERROR(__xludf.DUMMYFUNCTION("""COMPUTED_VALUE"""),"10.1037/0278-7393.29.6.1312 (1)")</f>
        <v>10.1037/0278-7393.29.6.1312 (1)</v>
      </c>
      <c r="B23" s="419" t="str">
        <f>IFERROR(__xludf.DUMMYFUNCTION("""COMPUTED_VALUE"""),"https://drive.google.com/file/d/1OGQs1lmQWehhi8Ls7qZW8us---Htsb3Q/view?usp=drivesdk")</f>
        <v>https://drive.google.com/file/d/1OGQs1lmQWehhi8Ls7qZW8us---Htsb3Q/view?usp=drivesdk</v>
      </c>
      <c r="C23" s="330" t="str">
        <f>IFERROR(__xludf.DUMMYFUNCTION("""COMPUTED_VALUE"""),"10.1037--0278-7393.29.6.1312 (1).pdf")</f>
        <v>10.1037--0278-7393.29.6.1312 (1).pdf</v>
      </c>
      <c r="D23" s="330" t="str">
        <f>IFERROR(__xludf.DUMMYFUNCTION("""COMPUTED_VALUE"""),"application/pdf")</f>
        <v>application/pdf</v>
      </c>
    </row>
    <row r="24">
      <c r="A24" s="147" t="str">
        <f>IFERROR(__xludf.DUMMYFUNCTION("""COMPUTED_VALUE"""),"10.1080/13506280544000093 (1)")</f>
        <v>10.1080/13506280544000093 (1)</v>
      </c>
      <c r="B24" s="419" t="str">
        <f>IFERROR(__xludf.DUMMYFUNCTION("""COMPUTED_VALUE"""),"https://drive.google.com/file/d/1RfTng7c7i7RaxBtl4QtmPb5tv1Ufc5Bc/view?usp=drivesdk")</f>
        <v>https://drive.google.com/file/d/1RfTng7c7i7RaxBtl4QtmPb5tv1Ufc5Bc/view?usp=drivesdk</v>
      </c>
      <c r="C24" s="330" t="str">
        <f>IFERROR(__xludf.DUMMYFUNCTION("""COMPUTED_VALUE"""),"10.1080--13506280544000093 (1).pdf")</f>
        <v>10.1080--13506280544000093 (1).pdf</v>
      </c>
      <c r="D24" s="330" t="str">
        <f>IFERROR(__xludf.DUMMYFUNCTION("""COMPUTED_VALUE"""),"application/pdf")</f>
        <v>application/pdf</v>
      </c>
    </row>
    <row r="25">
      <c r="A25" s="147" t="str">
        <f>IFERROR(__xludf.DUMMYFUNCTION("""COMPUTED_VALUE"""),"10.1080/095414400382208 (1)")</f>
        <v>10.1080/095414400382208 (1)</v>
      </c>
      <c r="B25" s="419" t="str">
        <f>IFERROR(__xludf.DUMMYFUNCTION("""COMPUTED_VALUE"""),"https://drive.google.com/file/d/1v0sDX0MqlrUpKGVTRWm4hWA1ClaDB-o4/view?usp=drivesdk")</f>
        <v>https://drive.google.com/file/d/1v0sDX0MqlrUpKGVTRWm4hWA1ClaDB-o4/view?usp=drivesdk</v>
      </c>
      <c r="C25" s="330" t="str">
        <f>IFERROR(__xludf.DUMMYFUNCTION("""COMPUTED_VALUE"""),"10.1080--095414400382208 (1).pdf")</f>
        <v>10.1080--095414400382208 (1).pdf</v>
      </c>
      <c r="D25" s="330" t="str">
        <f>IFERROR(__xludf.DUMMYFUNCTION("""COMPUTED_VALUE"""),"application/pdf")</f>
        <v>application/pdf</v>
      </c>
    </row>
    <row r="26">
      <c r="A26" s="147" t="str">
        <f>IFERROR(__xludf.DUMMYFUNCTION("""COMPUTED_VALUE"""),"10.1016/s0022-5371(78)90110-x")</f>
        <v>10.1016/s0022-5371(78)90110-x</v>
      </c>
      <c r="B26" s="419" t="str">
        <f>IFERROR(__xludf.DUMMYFUNCTION("""COMPUTED_VALUE"""),"https://drive.google.com/file/d/1ZD3-K7xghBRrVzzov8pEkGyv61Pn34My/view?usp=drivesdk")</f>
        <v>https://drive.google.com/file/d/1ZD3-K7xghBRrVzzov8pEkGyv61Pn34My/view?usp=drivesdk</v>
      </c>
      <c r="C26" s="330" t="str">
        <f>IFERROR(__xludf.DUMMYFUNCTION("""COMPUTED_VALUE"""),"10.1016--s0022-5371(78)90110-x.pdf")</f>
        <v>10.1016--s0022-5371(78)90110-x.pdf</v>
      </c>
      <c r="D26" s="330" t="str">
        <f>IFERROR(__xludf.DUMMYFUNCTION("""COMPUTED_VALUE"""),"application/pdf")</f>
        <v>application/pdf</v>
      </c>
    </row>
    <row r="27">
      <c r="A27" s="147" t="str">
        <f>IFERROR(__xludf.DUMMYFUNCTION("""COMPUTED_VALUE"""),"10.1016/0022-0965(84)90064-x")</f>
        <v>10.1016/0022-0965(84)90064-x</v>
      </c>
      <c r="B27" s="419" t="str">
        <f>IFERROR(__xludf.DUMMYFUNCTION("""COMPUTED_VALUE"""),"https://drive.google.com/file/d/1R4A7I9qCrUqFgaOi5jWAadFyXRp-Hhlv/view?usp=drivesdk")</f>
        <v>https://drive.google.com/file/d/1R4A7I9qCrUqFgaOi5jWAadFyXRp-Hhlv/view?usp=drivesdk</v>
      </c>
      <c r="C27" s="330" t="str">
        <f>IFERROR(__xludf.DUMMYFUNCTION("""COMPUTED_VALUE"""),"10.1016--0022-0965(84)90064-x.pdf")</f>
        <v>10.1016--0022-0965(84)90064-x.pdf</v>
      </c>
      <c r="D27" s="330" t="str">
        <f>IFERROR(__xludf.DUMMYFUNCTION("""COMPUTED_VALUE"""),"application/pdf")</f>
        <v>application/pdf</v>
      </c>
    </row>
    <row r="28">
      <c r="A28" s="147" t="str">
        <f>IFERROR(__xludf.DUMMYFUNCTION("""COMPUTED_VALUE"""),"10.1016/s0010-0277(99)00052-9 (1)")</f>
        <v>10.1016/s0010-0277(99)00052-9 (1)</v>
      </c>
      <c r="B28" s="419" t="str">
        <f>IFERROR(__xludf.DUMMYFUNCTION("""COMPUTED_VALUE"""),"https://drive.google.com/file/d/1Gz4uZ-S5sDQDTjnZX5WWbthnPV2eYmNm/view?usp=drivesdk")</f>
        <v>https://drive.google.com/file/d/1Gz4uZ-S5sDQDTjnZX5WWbthnPV2eYmNm/view?usp=drivesdk</v>
      </c>
      <c r="C28" s="330" t="str">
        <f>IFERROR(__xludf.DUMMYFUNCTION("""COMPUTED_VALUE"""),"10.1016--s0010-0277(99)00052-9 (1).pdf")</f>
        <v>10.1016--s0010-0277(99)00052-9 (1).pdf</v>
      </c>
      <c r="D28" s="330" t="str">
        <f>IFERROR(__xludf.DUMMYFUNCTION("""COMPUTED_VALUE"""),"application/pdf")</f>
        <v>application/pdf</v>
      </c>
    </row>
    <row r="29">
      <c r="A29" s="147" t="str">
        <f>IFERROR(__xludf.DUMMYFUNCTION("""COMPUTED_VALUE"""),"10.1111/j.2044-8295.1997.tb02648.x (1)")</f>
        <v>10.1111/j.2044-8295.1997.tb02648.x (1)</v>
      </c>
      <c r="B29" s="419" t="str">
        <f>IFERROR(__xludf.DUMMYFUNCTION("""COMPUTED_VALUE"""),"https://drive.google.com/file/d/1cC7F5Emgvx8u0Dfs1MQ2f29zE6TMWOU8/view?usp=drivesdk")</f>
        <v>https://drive.google.com/file/d/1cC7F5Emgvx8u0Dfs1MQ2f29zE6TMWOU8/view?usp=drivesdk</v>
      </c>
      <c r="C29" s="330" t="str">
        <f>IFERROR(__xludf.DUMMYFUNCTION("""COMPUTED_VALUE"""),"10.1111--j.2044-8295.1997.tb02648.x (1).pdf")</f>
        <v>10.1111--j.2044-8295.1997.tb02648.x (1).pdf</v>
      </c>
      <c r="D29" s="330" t="str">
        <f>IFERROR(__xludf.DUMMYFUNCTION("""COMPUTED_VALUE"""),"application/pdf")</f>
        <v>application/pdf</v>
      </c>
    </row>
    <row r="30">
      <c r="A30" s="147" t="str">
        <f>IFERROR(__xludf.DUMMYFUNCTION("""COMPUTED_VALUE"""),"10.1111/j.1467-9280.2006.01824.x (1)")</f>
        <v>10.1111/j.1467-9280.2006.01824.x (1)</v>
      </c>
      <c r="B30" s="419" t="str">
        <f>IFERROR(__xludf.DUMMYFUNCTION("""COMPUTED_VALUE"""),"https://drive.google.com/file/d/1Yi0-osiDCwvqr4jJfxit-NVW7RQ1SF29/view?usp=drivesdk")</f>
        <v>https://drive.google.com/file/d/1Yi0-osiDCwvqr4jJfxit-NVW7RQ1SF29/view?usp=drivesdk</v>
      </c>
      <c r="C30" s="330" t="str">
        <f>IFERROR(__xludf.DUMMYFUNCTION("""COMPUTED_VALUE"""),"10.1111--j.1467-9280.2006.01824.x (1).pdf")</f>
        <v>10.1111--j.1467-9280.2006.01824.x (1).pdf</v>
      </c>
      <c r="D30" s="330" t="str">
        <f>IFERROR(__xludf.DUMMYFUNCTION("""COMPUTED_VALUE"""),"application/pdf")</f>
        <v>application/pdf</v>
      </c>
    </row>
    <row r="31">
      <c r="A31" s="147" t="str">
        <f>IFERROR(__xludf.DUMMYFUNCTION("""COMPUTED_VALUE"""),"10.1016/j.paid.2009.12.007 (1)")</f>
        <v>10.1016/j.paid.2009.12.007 (1)</v>
      </c>
      <c r="B31" s="419" t="str">
        <f>IFERROR(__xludf.DUMMYFUNCTION("""COMPUTED_VALUE"""),"https://drive.google.com/file/d/1GqJOi3_wzA-P33ijSTbAmoPX6C_MOsTC/view?usp=drivesdk")</f>
        <v>https://drive.google.com/file/d/1GqJOi3_wzA-P33ijSTbAmoPX6C_MOsTC/view?usp=drivesdk</v>
      </c>
      <c r="C31" s="330" t="str">
        <f>IFERROR(__xludf.DUMMYFUNCTION("""COMPUTED_VALUE"""),"10.1016--j.paid.2009.12.007 (1).pdf")</f>
        <v>10.1016--j.paid.2009.12.007 (1).pdf</v>
      </c>
      <c r="D31" s="330" t="str">
        <f>IFERROR(__xludf.DUMMYFUNCTION("""COMPUTED_VALUE"""),"application/pdf")</f>
        <v>application/pdf</v>
      </c>
    </row>
    <row r="32">
      <c r="A32" s="147" t="str">
        <f>IFERROR(__xludf.DUMMYFUNCTION("""COMPUTED_VALUE"""),"10.1257/app.20160278")</f>
        <v>10.1257/app.20160278</v>
      </c>
      <c r="B32" s="419" t="str">
        <f>IFERROR(__xludf.DUMMYFUNCTION("""COMPUTED_VALUE"""),"https://drive.google.com/file/d/1B5OEhsR85ozE9snbNlRjA9--q4dxVbDt/view?usp=drivesdk")</f>
        <v>https://drive.google.com/file/d/1B5OEhsR85ozE9snbNlRjA9--q4dxVbDt/view?usp=drivesdk</v>
      </c>
      <c r="C32" s="330" t="str">
        <f>IFERROR(__xludf.DUMMYFUNCTION("""COMPUTED_VALUE"""),"10.1257--app.20160278.pdf")</f>
        <v>10.1257--app.20160278.pdf</v>
      </c>
      <c r="D32" s="330" t="str">
        <f>IFERROR(__xludf.DUMMYFUNCTION("""COMPUTED_VALUE"""),"application/pdf")</f>
        <v>application/pdf</v>
      </c>
    </row>
    <row r="33">
      <c r="A33" s="147" t="str">
        <f>IFERROR(__xludf.DUMMYFUNCTION("""COMPUTED_VALUE"""),"10.1126/science.1121629 (1)")</f>
        <v>10.1126/science.1121629 (1)</v>
      </c>
      <c r="B33" s="419" t="str">
        <f>IFERROR(__xludf.DUMMYFUNCTION("""COMPUTED_VALUE"""),"https://drive.google.com/file/d/1lJHfVkGHOcLEsOsMmffxCq25FloygVUf/view?usp=drivesdk")</f>
        <v>https://drive.google.com/file/d/1lJHfVkGHOcLEsOsMmffxCq25FloygVUf/view?usp=drivesdk</v>
      </c>
      <c r="C33" s="330" t="str">
        <f>IFERROR(__xludf.DUMMYFUNCTION("""COMPUTED_VALUE"""),"10.1126--science.1121629 (1).pdf")</f>
        <v>10.1126--science.1121629 (1).pdf</v>
      </c>
      <c r="D33" s="330" t="str">
        <f>IFERROR(__xludf.DUMMYFUNCTION("""COMPUTED_VALUE"""),"application/pdf")</f>
        <v>application/pdf</v>
      </c>
    </row>
    <row r="34">
      <c r="A34" s="147" t="str">
        <f>IFERROR(__xludf.DUMMYFUNCTION("""COMPUTED_VALUE"""),"10.1007/s00424-016-1852-3")</f>
        <v>10.1007/s00424-016-1852-3</v>
      </c>
      <c r="B34" s="419" t="str">
        <f>IFERROR(__xludf.DUMMYFUNCTION("""COMPUTED_VALUE"""),"https://drive.google.com/file/d/1ig1riLJkwYA9QD_LRKQNT-2fw-KmcoZV/view?usp=drivesdk")</f>
        <v>https://drive.google.com/file/d/1ig1riLJkwYA9QD_LRKQNT-2fw-KmcoZV/view?usp=drivesdk</v>
      </c>
      <c r="C34" s="330" t="str">
        <f>IFERROR(__xludf.DUMMYFUNCTION("""COMPUTED_VALUE"""),"10.1007--s00424-016-1852-3.pdf")</f>
        <v>10.1007--s00424-016-1852-3.pdf</v>
      </c>
      <c r="D34" s="330" t="str">
        <f>IFERROR(__xludf.DUMMYFUNCTION("""COMPUTED_VALUE"""),"application/pdf")</f>
        <v>application/pdf</v>
      </c>
    </row>
    <row r="35">
      <c r="A35" s="147" t="str">
        <f>IFERROR(__xludf.DUMMYFUNCTION("""COMPUTED_VALUE"""),"10.1093/brain/106.3.623")</f>
        <v>10.1093/brain/106.3.623</v>
      </c>
      <c r="B35" s="419" t="str">
        <f>IFERROR(__xludf.DUMMYFUNCTION("""COMPUTED_VALUE"""),"https://drive.google.com/file/d/1TyonuU8faoL3qvV0nV5rWJKfa6ikeq22/view?usp=drivesdk")</f>
        <v>https://drive.google.com/file/d/1TyonuU8faoL3qvV0nV5rWJKfa6ikeq22/view?usp=drivesdk</v>
      </c>
      <c r="C35" s="330" t="str">
        <f>IFERROR(__xludf.DUMMYFUNCTION("""COMPUTED_VALUE"""),"10.1093--brain--106.3.623.pdf")</f>
        <v>10.1093--brain--106.3.623.pdf</v>
      </c>
      <c r="D35" s="330" t="str">
        <f>IFERROR(__xludf.DUMMYFUNCTION("""COMPUTED_VALUE"""),"application/pdf")</f>
        <v>application/pdf</v>
      </c>
    </row>
    <row r="36">
      <c r="A36" s="147" t="str">
        <f>IFERROR(__xludf.DUMMYFUNCTION("""COMPUTED_VALUE"""),"10.1098/rsbl.2006.0509")</f>
        <v>10.1098/rsbl.2006.0509</v>
      </c>
      <c r="B36" s="419" t="str">
        <f>IFERROR(__xludf.DUMMYFUNCTION("""COMPUTED_VALUE"""),"https://drive.google.com/file/d/1lCXRjhgmnokQwUX121NSqljMp58vt7m8/view?usp=drivesdk")</f>
        <v>https://drive.google.com/file/d/1lCXRjhgmnokQwUX121NSqljMp58vt7m8/view?usp=drivesdk</v>
      </c>
      <c r="C36" s="330" t="str">
        <f>IFERROR(__xludf.DUMMYFUNCTION("""COMPUTED_VALUE"""),"10.1098--rsbl.2006.0509.pdf")</f>
        <v>10.1098--rsbl.2006.0509.pdf</v>
      </c>
      <c r="D36" s="330" t="str">
        <f>IFERROR(__xludf.DUMMYFUNCTION("""COMPUTED_VALUE"""),"application/pdf")</f>
        <v>application/pdf</v>
      </c>
    </row>
    <row r="37">
      <c r="A37" s="147" t="str">
        <f>IFERROR(__xludf.DUMMYFUNCTION("""COMPUTED_VALUE"""),"10.1073/pnas.1004932107 (1)")</f>
        <v>10.1073/pnas.1004932107 (1)</v>
      </c>
      <c r="B37" s="419" t="str">
        <f>IFERROR(__xludf.DUMMYFUNCTION("""COMPUTED_VALUE"""),"https://drive.google.com/file/d/1veAXPhnoaw_fYNAIAN16U6nUGzUSP79f/view?usp=drivesdk")</f>
        <v>https://drive.google.com/file/d/1veAXPhnoaw_fYNAIAN16U6nUGzUSP79f/view?usp=drivesdk</v>
      </c>
      <c r="C37" s="330" t="str">
        <f>IFERROR(__xludf.DUMMYFUNCTION("""COMPUTED_VALUE"""),"10.1073--pnas.1004932107 (1).pdf")</f>
        <v>10.1073--pnas.1004932107 (1).pdf</v>
      </c>
      <c r="D37" s="330" t="str">
        <f>IFERROR(__xludf.DUMMYFUNCTION("""COMPUTED_VALUE"""),"application/pdf")</f>
        <v>application/pdf</v>
      </c>
    </row>
    <row r="38">
      <c r="A38" s="147" t="str">
        <f>IFERROR(__xludf.DUMMYFUNCTION("""COMPUTED_VALUE"""),"10.1086/661890 (1)")</f>
        <v>10.1086/661890 (1)</v>
      </c>
      <c r="B38" s="419" t="str">
        <f>IFERROR(__xludf.DUMMYFUNCTION("""COMPUTED_VALUE"""),"https://drive.google.com/file/d/1i0NZPeE_Sgjxpph9OhoD2_wsnFtzErII/view?usp=drivesdk")</f>
        <v>https://drive.google.com/file/d/1i0NZPeE_Sgjxpph9OhoD2_wsnFtzErII/view?usp=drivesdk</v>
      </c>
      <c r="C38" s="330" t="str">
        <f>IFERROR(__xludf.DUMMYFUNCTION("""COMPUTED_VALUE"""),"10.1086--661890 (1).pdf")</f>
        <v>10.1086--661890 (1).pdf</v>
      </c>
      <c r="D38" s="330" t="str">
        <f>IFERROR(__xludf.DUMMYFUNCTION("""COMPUTED_VALUE"""),"application/pdf")</f>
        <v>application/pdf</v>
      </c>
    </row>
    <row r="39">
      <c r="A39" s="147" t="str">
        <f>IFERROR(__xludf.DUMMYFUNCTION("""COMPUTED_VALUE"""),"10.1098/rsbl.2003.0134")</f>
        <v>10.1098/rsbl.2003.0134</v>
      </c>
      <c r="B39" s="419" t="str">
        <f>IFERROR(__xludf.DUMMYFUNCTION("""COMPUTED_VALUE"""),"https://drive.google.com/file/d/1CGZJrQ0m_0WpdGbyy3zDWnj-cRg8cw5-/view?usp=drivesdk")</f>
        <v>https://drive.google.com/file/d/1CGZJrQ0m_0WpdGbyy3zDWnj-cRg8cw5-/view?usp=drivesdk</v>
      </c>
      <c r="C39" s="330" t="str">
        <f>IFERROR(__xludf.DUMMYFUNCTION("""COMPUTED_VALUE"""),"10.1098--rsbl.2003.0134.pdf")</f>
        <v>10.1098--rsbl.2003.0134.pdf</v>
      </c>
      <c r="D39" s="330" t="str">
        <f>IFERROR(__xludf.DUMMYFUNCTION("""COMPUTED_VALUE"""),"application/pdf")</f>
        <v>application/pdf</v>
      </c>
    </row>
    <row r="40">
      <c r="A40" s="147" t="str">
        <f>IFERROR(__xludf.DUMMYFUNCTION("""COMPUTED_VALUE"""),"10.1016/0047-2484(92)90081-j")</f>
        <v>10.1016/0047-2484(92)90081-j</v>
      </c>
      <c r="B40" s="419" t="str">
        <f>IFERROR(__xludf.DUMMYFUNCTION("""COMPUTED_VALUE"""),"https://drive.google.com/file/d/1crVTyBjSvkn5rjPdGKBZFEg4w7JSp2cs/view?usp=drivesdk")</f>
        <v>https://drive.google.com/file/d/1crVTyBjSvkn5rjPdGKBZFEg4w7JSp2cs/view?usp=drivesdk</v>
      </c>
      <c r="C40" s="330" t="str">
        <f>IFERROR(__xludf.DUMMYFUNCTION("""COMPUTED_VALUE"""),"10.1016--0047-2484(92)90081-j.pdf")</f>
        <v>10.1016--0047-2484(92)90081-j.pdf</v>
      </c>
      <c r="D40" s="330" t="str">
        <f>IFERROR(__xludf.DUMMYFUNCTION("""COMPUTED_VALUE"""),"application/pdf")</f>
        <v>application/pdf</v>
      </c>
    </row>
    <row r="41">
      <c r="A41" s="147" t="str">
        <f>IFERROR(__xludf.DUMMYFUNCTION("""COMPUTED_VALUE"""),"10.1038/21557 (1)")</f>
        <v>10.1038/21557 (1)</v>
      </c>
      <c r="B41" s="419" t="str">
        <f>IFERROR(__xludf.DUMMYFUNCTION("""COMPUTED_VALUE"""),"https://drive.google.com/file/d/1WIh1UwE7jPJA8hU3NXbY-M3lcnegUXKu/view?usp=drivesdk")</f>
        <v>https://drive.google.com/file/d/1WIh1UwE7jPJA8hU3NXbY-M3lcnegUXKu/view?usp=drivesdk</v>
      </c>
      <c r="C41" s="330" t="str">
        <f>IFERROR(__xludf.DUMMYFUNCTION("""COMPUTED_VALUE"""),"10.1038--21557 (1).pdf")</f>
        <v>10.1038--21557 (1).pdf</v>
      </c>
      <c r="D41" s="330" t="str">
        <f>IFERROR(__xludf.DUMMYFUNCTION("""COMPUTED_VALUE"""),"application/pdf")</f>
        <v>application/pdf</v>
      </c>
    </row>
    <row r="42">
      <c r="A42" s="147" t="str">
        <f>IFERROR(__xludf.DUMMYFUNCTION("""COMPUTED_VALUE"""),"rorschach1921")</f>
        <v>rorschach1921</v>
      </c>
      <c r="B42" s="419" t="str">
        <f>IFERROR(__xludf.DUMMYFUNCTION("""COMPUTED_VALUE"""),"https://drive.google.com/file/d/1FayKMGLmSMT_bov4BfYaWoMBrnwpsyI1/view?usp=drivesdk")</f>
        <v>https://drive.google.com/file/d/1FayKMGLmSMT_bov4BfYaWoMBrnwpsyI1/view?usp=drivesdk</v>
      </c>
      <c r="C42" s="330" t="str">
        <f>IFERROR(__xludf.DUMMYFUNCTION("""COMPUTED_VALUE"""),"rorschach1921.pdf")</f>
        <v>rorschach1921.pdf</v>
      </c>
      <c r="D42" s="330" t="str">
        <f>IFERROR(__xludf.DUMMYFUNCTION("""COMPUTED_VALUE"""),"application/pdf")</f>
        <v>application/pdf</v>
      </c>
    </row>
    <row r="43">
      <c r="A43" s="147" t="str">
        <f>IFERROR(__xludf.DUMMYFUNCTION("""COMPUTED_VALUE"""),"10.5214/ans.0972.7531.200408")</f>
        <v>10.5214/ans.0972.7531.200408</v>
      </c>
      <c r="B43" s="419" t="str">
        <f>IFERROR(__xludf.DUMMYFUNCTION("""COMPUTED_VALUE"""),"https://drive.google.com/file/d/1Wv1dUN1Cp7tFFGj4YbQreO65Epbbn6Xh/view?usp=drivesdk")</f>
        <v>https://drive.google.com/file/d/1Wv1dUN1Cp7tFFGj4YbQreO65Epbbn6Xh/view?usp=drivesdk</v>
      </c>
      <c r="C43" s="330" t="str">
        <f>IFERROR(__xludf.DUMMYFUNCTION("""COMPUTED_VALUE"""),"10.5214--ans.0972.7531.200408.pdf")</f>
        <v>10.5214--ans.0972.7531.200408.pdf</v>
      </c>
      <c r="D43" s="330" t="str">
        <f>IFERROR(__xludf.DUMMYFUNCTION("""COMPUTED_VALUE"""),"application/pdf")</f>
        <v>application/pdf</v>
      </c>
    </row>
    <row r="44">
      <c r="A44" s="147" t="str">
        <f>IFERROR(__xludf.DUMMYFUNCTION("""COMPUTED_VALUE"""),"10.2466/pms.1995.80.1.131")</f>
        <v>10.2466/pms.1995.80.1.131</v>
      </c>
      <c r="B44" s="419" t="str">
        <f>IFERROR(__xludf.DUMMYFUNCTION("""COMPUTED_VALUE"""),"https://drive.google.com/file/d/19LbincT2TjTg9YTUoJUivukthVOOv92o/view?usp=drivesdk")</f>
        <v>https://drive.google.com/file/d/19LbincT2TjTg9YTUoJUivukthVOOv92o/view?usp=drivesdk</v>
      </c>
      <c r="C44" s="330" t="str">
        <f>IFERROR(__xludf.DUMMYFUNCTION("""COMPUTED_VALUE"""),"10.2466--pms.1995.80.1.131.pdf")</f>
        <v>10.2466--pms.1995.80.1.131.pdf</v>
      </c>
      <c r="D44" s="330" t="str">
        <f>IFERROR(__xludf.DUMMYFUNCTION("""COMPUTED_VALUE"""),"application/pdf")</f>
        <v>application/pdf</v>
      </c>
    </row>
    <row r="45">
      <c r="A45" s="147" t="str">
        <f>IFERROR(__xludf.DUMMYFUNCTION("""COMPUTED_VALUE"""),"10.1177/0956797610384746 (1)")</f>
        <v>10.1177/0956797610384746 (1)</v>
      </c>
      <c r="B45" s="419" t="str">
        <f>IFERROR(__xludf.DUMMYFUNCTION("""COMPUTED_VALUE"""),"https://drive.google.com/file/d/1MYeoX2rRI6k_FOWsa46_QtPoTkdN8RPf/view?usp=drivesdk")</f>
        <v>https://drive.google.com/file/d/1MYeoX2rRI6k_FOWsa46_QtPoTkdN8RPf/view?usp=drivesdk</v>
      </c>
      <c r="C45" s="330" t="str">
        <f>IFERROR(__xludf.DUMMYFUNCTION("""COMPUTED_VALUE"""),"10.1177--0956797610384746 (1).pdf")</f>
        <v>10.1177--0956797610384746 (1).pdf</v>
      </c>
      <c r="D45" s="330" t="str">
        <f>IFERROR(__xludf.DUMMYFUNCTION("""COMPUTED_VALUE"""),"application/pdf")</f>
        <v>application/pdf</v>
      </c>
    </row>
    <row r="46">
      <c r="A46" s="147" t="str">
        <f>IFERROR(__xludf.DUMMYFUNCTION("""COMPUTED_VALUE"""),"10.1002/(sici)1099-0771(200001/03)")</f>
        <v>10.1002/(sici)1099-0771(200001/03)</v>
      </c>
      <c r="B46" s="419" t="str">
        <f>IFERROR(__xludf.DUMMYFUNCTION("""COMPUTED_VALUE"""),"https://drive.google.com/file/d/1FHRJe-nZTJOpXWgxMLs63Q6F4QlKXCpU/view?usp=drivesdk")</f>
        <v>https://drive.google.com/file/d/1FHRJe-nZTJOpXWgxMLs63Q6F4QlKXCpU/view?usp=drivesdk</v>
      </c>
      <c r="C46" s="330" t="str">
        <f>IFERROR(__xludf.DUMMYFUNCTION("""COMPUTED_VALUE"""),"10.1002--(sici)1099-0771(200001--03).pdf")</f>
        <v>10.1002--(sici)1099-0771(200001--03).pdf</v>
      </c>
      <c r="D46" s="330" t="str">
        <f>IFERROR(__xludf.DUMMYFUNCTION("""COMPUTED_VALUE"""),"application/pdf")</f>
        <v>application/pdf</v>
      </c>
    </row>
    <row r="47">
      <c r="A47" s="147" t="str">
        <f>IFERROR(__xludf.DUMMYFUNCTION("""COMPUTED_VALUE"""),"10.1037/a0021524 (1)")</f>
        <v>10.1037/a0021524 (1)</v>
      </c>
      <c r="B47" s="419" t="str">
        <f>IFERROR(__xludf.DUMMYFUNCTION("""COMPUTED_VALUE"""),"https://drive.google.com/file/d/1W_xP7aHQH5brzpdDHQgXX_slF9aWIndn/view?usp=drivesdk")</f>
        <v>https://drive.google.com/file/d/1W_xP7aHQH5brzpdDHQgXX_slF9aWIndn/view?usp=drivesdk</v>
      </c>
      <c r="C47" s="330" t="str">
        <f>IFERROR(__xludf.DUMMYFUNCTION("""COMPUTED_VALUE"""),"10.1037--a0021524 (1).pdf")</f>
        <v>10.1037--a0021524 (1).pdf</v>
      </c>
      <c r="D47" s="330" t="str">
        <f>IFERROR(__xludf.DUMMYFUNCTION("""COMPUTED_VALUE"""),"application/pdf")</f>
        <v>application/pdf</v>
      </c>
    </row>
    <row r="48">
      <c r="A48" s="147" t="str">
        <f>IFERROR(__xludf.DUMMYFUNCTION("""COMPUTED_VALUE"""),"10.1037/0022-3514.90.2.197 (1)")</f>
        <v>10.1037/0022-3514.90.2.197 (1)</v>
      </c>
      <c r="B48" s="419" t="str">
        <f>IFERROR(__xludf.DUMMYFUNCTION("""COMPUTED_VALUE"""),"https://drive.google.com/file/d/13xJm6Rz0F0wAVzBVJcJbK0OtdZmHiXHE/view?usp=drivesdk")</f>
        <v>https://drive.google.com/file/d/13xJm6Rz0F0wAVzBVJcJbK0OtdZmHiXHE/view?usp=drivesdk</v>
      </c>
      <c r="C48" s="330" t="str">
        <f>IFERROR(__xludf.DUMMYFUNCTION("""COMPUTED_VALUE"""),"10.1037--0022-3514.90.2.197 (1).pdf")</f>
        <v>10.1037--0022-3514.90.2.197 (1).pdf</v>
      </c>
      <c r="D48" s="330" t="str">
        <f>IFERROR(__xludf.DUMMYFUNCTION("""COMPUTED_VALUE"""),"application/pdf")</f>
        <v>application/pdf</v>
      </c>
    </row>
    <row r="49">
      <c r="A49" s="147" t="str">
        <f>IFERROR(__xludf.DUMMYFUNCTION("""COMPUTED_VALUE"""),"10.1111/j.1467-9280.1996.tb00346.x")</f>
        <v>10.1111/j.1467-9280.1996.tb00346.x</v>
      </c>
      <c r="B49" s="419" t="str">
        <f>IFERROR(__xludf.DUMMYFUNCTION("""COMPUTED_VALUE"""),"https://drive.google.com/file/d/1_x8Pea-6YZcNah0kzL9Jhi4q0yFlhG9m/view?usp=drivesdk")</f>
        <v>https://drive.google.com/file/d/1_x8Pea-6YZcNah0kzL9Jhi4q0yFlhG9m/view?usp=drivesdk</v>
      </c>
      <c r="C49" s="330" t="str">
        <f>IFERROR(__xludf.DUMMYFUNCTION("""COMPUTED_VALUE"""),"10.1111--j.1467-9280.1996.tb00346.x.pdf")</f>
        <v>10.1111--j.1467-9280.1996.tb00346.x.pdf</v>
      </c>
      <c r="D49" s="330" t="str">
        <f>IFERROR(__xludf.DUMMYFUNCTION("""COMPUTED_VALUE"""),"application/pdf")</f>
        <v>application/pdf</v>
      </c>
    </row>
    <row r="50">
      <c r="A50" s="147" t="str">
        <f>IFERROR(__xludf.DUMMYFUNCTION("""COMPUTED_VALUE"""),"10.1111/j.1467-9280.2008.02159.x (1)")</f>
        <v>10.1111/j.1467-9280.2008.02159.x (1)</v>
      </c>
      <c r="B50" s="419" t="str">
        <f>IFERROR(__xludf.DUMMYFUNCTION("""COMPUTED_VALUE"""),"https://drive.google.com/file/d/1NM8fVRUFqllAFs2jkXsuJUHn5OZ7-07h/view?usp=drivesdk")</f>
        <v>https://drive.google.com/file/d/1NM8fVRUFqllAFs2jkXsuJUHn5OZ7-07h/view?usp=drivesdk</v>
      </c>
      <c r="C50" s="330" t="str">
        <f>IFERROR(__xludf.DUMMYFUNCTION("""COMPUTED_VALUE"""),"10.1111--j.1467-9280.2008.02159.x (1).pdf")</f>
        <v>10.1111--j.1467-9280.2008.02159.x (1).pdf</v>
      </c>
      <c r="D50" s="330" t="str">
        <f>IFERROR(__xludf.DUMMYFUNCTION("""COMPUTED_VALUE"""),"application/pdf")</f>
        <v>application/pdf</v>
      </c>
    </row>
    <row r="51">
      <c r="A51" s="147" t="str">
        <f>IFERROR(__xludf.DUMMYFUNCTION("""COMPUTED_VALUE"""),"10.1080/02699931.2016.1273201 (1)")</f>
        <v>10.1080/02699931.2016.1273201 (1)</v>
      </c>
      <c r="B51" s="419" t="str">
        <f>IFERROR(__xludf.DUMMYFUNCTION("""COMPUTED_VALUE"""),"https://drive.google.com/file/d/1eL46ZgTlbkM-V6C5GLb6fSBGmd5mFG-O/view?usp=drivesdk")</f>
        <v>https://drive.google.com/file/d/1eL46ZgTlbkM-V6C5GLb6fSBGmd5mFG-O/view?usp=drivesdk</v>
      </c>
      <c r="C51" s="330" t="str">
        <f>IFERROR(__xludf.DUMMYFUNCTION("""COMPUTED_VALUE"""),"10.1080--02699931.2016.1273201 (1).pdf")</f>
        <v>10.1080--02699931.2016.1273201 (1).pdf</v>
      </c>
      <c r="D51" s="330" t="str">
        <f>IFERROR(__xludf.DUMMYFUNCTION("""COMPUTED_VALUE"""),"application/pdf")</f>
        <v>application/pdf</v>
      </c>
    </row>
    <row r="52">
      <c r="A52" s="147" t="str">
        <f>IFERROR(__xludf.DUMMYFUNCTION("""COMPUTED_VALUE"""),"10.1177/0956797614553945 (1)")</f>
        <v>10.1177/0956797614553945 (1)</v>
      </c>
      <c r="B52" s="419" t="str">
        <f>IFERROR(__xludf.DUMMYFUNCTION("""COMPUTED_VALUE"""),"https://drive.google.com/file/d/16XGsRRaOY6a1Mk3y6g9J6FzJY2pGnhBs/view?usp=drivesdk")</f>
        <v>https://drive.google.com/file/d/16XGsRRaOY6a1Mk3y6g9J6FzJY2pGnhBs/view?usp=drivesdk</v>
      </c>
      <c r="C52" s="330" t="str">
        <f>IFERROR(__xludf.DUMMYFUNCTION("""COMPUTED_VALUE"""),"10.1177--0956797614553945 (1).pdf")</f>
        <v>10.1177--0956797614553945 (1).pdf</v>
      </c>
      <c r="D52" s="330" t="str">
        <f>IFERROR(__xludf.DUMMYFUNCTION("""COMPUTED_VALUE"""),"application/pdf")</f>
        <v>application/pdf</v>
      </c>
    </row>
    <row r="53">
      <c r="A53" s="147" t="str">
        <f>IFERROR(__xludf.DUMMYFUNCTION("""COMPUTED_VALUE"""),"10.1016/j.jesp.2011.11.012 (1)")</f>
        <v>10.1016/j.jesp.2011.11.012 (1)</v>
      </c>
      <c r="B53" s="419" t="str">
        <f>IFERROR(__xludf.DUMMYFUNCTION("""COMPUTED_VALUE"""),"https://drive.google.com/file/d/1xDwq6e1W40cryvVksnOj9YOdtDiYfNUl/view?usp=drivesdk")</f>
        <v>https://drive.google.com/file/d/1xDwq6e1W40cryvVksnOj9YOdtDiYfNUl/view?usp=drivesdk</v>
      </c>
      <c r="C53" s="330" t="str">
        <f>IFERROR(__xludf.DUMMYFUNCTION("""COMPUTED_VALUE"""),"10.1016--j.jesp.2011.11.012 (1).pdf")</f>
        <v>10.1016--j.jesp.2011.11.012 (1).pdf</v>
      </c>
      <c r="D53" s="330" t="str">
        <f>IFERROR(__xludf.DUMMYFUNCTION("""COMPUTED_VALUE"""),"application/pdf")</f>
        <v>application/pdf</v>
      </c>
    </row>
    <row r="54">
      <c r="A54" s="147" t="str">
        <f>IFERROR(__xludf.DUMMYFUNCTION("""COMPUTED_VALUE"""),"10.1177/095679761246641")</f>
        <v>10.1177/095679761246641</v>
      </c>
      <c r="B54" s="419" t="str">
        <f>IFERROR(__xludf.DUMMYFUNCTION("""COMPUTED_VALUE"""),"https://drive.google.com/file/d/1nIC6Z_3z3x4YS6vI01Z64i76WUI6VCPu/view?usp=drivesdk")</f>
        <v>https://drive.google.com/file/d/1nIC6Z_3z3x4YS6vI01Z64i76WUI6VCPu/view?usp=drivesdk</v>
      </c>
      <c r="C54" s="330" t="str">
        <f>IFERROR(__xludf.DUMMYFUNCTION("""COMPUTED_VALUE"""),"10.1177--095679761246641.pdf")</f>
        <v>10.1177--095679761246641.pdf</v>
      </c>
      <c r="D54" s="330" t="str">
        <f>IFERROR(__xludf.DUMMYFUNCTION("""COMPUTED_VALUE"""),"application/pdf")</f>
        <v>application/pdf</v>
      </c>
    </row>
    <row r="55">
      <c r="A55" s="147" t="str">
        <f>IFERROR(__xludf.DUMMYFUNCTION("""COMPUTED_VALUE"""),"10.1093/cercor/bhq101 (1)")</f>
        <v>10.1093/cercor/bhq101 (1)</v>
      </c>
      <c r="B55" s="419" t="str">
        <f>IFERROR(__xludf.DUMMYFUNCTION("""COMPUTED_VALUE"""),"https://drive.google.com/file/d/19uM8KLUHuN3ImTzkMD9s5mEkWQAAr8Qo/view?usp=drivesdk")</f>
        <v>https://drive.google.com/file/d/19uM8KLUHuN3ImTzkMD9s5mEkWQAAr8Qo/view?usp=drivesdk</v>
      </c>
      <c r="C55" s="330" t="str">
        <f>IFERROR(__xludf.DUMMYFUNCTION("""COMPUTED_VALUE"""),"10.1093--cercor--bhq101 (1).pdf")</f>
        <v>10.1093--cercor--bhq101 (1).pdf</v>
      </c>
      <c r="D55" s="330" t="str">
        <f>IFERROR(__xludf.DUMMYFUNCTION("""COMPUTED_VALUE"""),"application/pdf")</f>
        <v>application/pdf</v>
      </c>
    </row>
    <row r="56">
      <c r="A56" s="147" t="str">
        <f>IFERROR(__xludf.DUMMYFUNCTION("""COMPUTED_VALUE"""),"10.1523/jneurosci.5864-10.2011")</f>
        <v>10.1523/jneurosci.5864-10.2011</v>
      </c>
      <c r="B56" s="419" t="str">
        <f>IFERROR(__xludf.DUMMYFUNCTION("""COMPUTED_VALUE"""),"https://drive.google.com/file/d/1l3u37j1hQl3zZ6JXRcm733rn2k3J2Olq/view?usp=drivesdk")</f>
        <v>https://drive.google.com/file/d/1l3u37j1hQl3zZ6JXRcm733rn2k3J2Olq/view?usp=drivesdk</v>
      </c>
      <c r="C56" s="330" t="str">
        <f>IFERROR(__xludf.DUMMYFUNCTION("""COMPUTED_VALUE"""),"10.1523--jneurosci.5864-10.2011.pdf")</f>
        <v>10.1523--jneurosci.5864-10.2011.pdf</v>
      </c>
      <c r="D56" s="330" t="str">
        <f>IFERROR(__xludf.DUMMYFUNCTION("""COMPUTED_VALUE"""),"application/pdf")</f>
        <v>application/pdf</v>
      </c>
    </row>
    <row r="57">
      <c r="A57" s="147" t="str">
        <f>IFERROR(__xludf.DUMMYFUNCTION("""COMPUTED_VALUE"""),"10.1016/j.neuroimage.2011.07.040")</f>
        <v>10.1016/j.neuroimage.2011.07.040</v>
      </c>
      <c r="B57" s="419" t="str">
        <f>IFERROR(__xludf.DUMMYFUNCTION("""COMPUTED_VALUE"""),"https://drive.google.com/file/d/1uo0zBVDSXeBCSp_RypwEPAySzhuWt5D8/view?usp=drivesdk")</f>
        <v>https://drive.google.com/file/d/1uo0zBVDSXeBCSp_RypwEPAySzhuWt5D8/view?usp=drivesdk</v>
      </c>
      <c r="C57" s="330" t="str">
        <f>IFERROR(__xludf.DUMMYFUNCTION("""COMPUTED_VALUE"""),"10.1016--j.neuroimage.2011.07.040.pdf")</f>
        <v>10.1016--j.neuroimage.2011.07.040.pdf</v>
      </c>
      <c r="D57" s="330" t="str">
        <f>IFERROR(__xludf.DUMMYFUNCTION("""COMPUTED_VALUE"""),"application/pdf")</f>
        <v>application/pdf</v>
      </c>
    </row>
    <row r="58">
      <c r="A58" s="147" t="str">
        <f>IFERROR(__xludf.DUMMYFUNCTION("""COMPUTED_VALUE"""),"10.1007/bf00055564")</f>
        <v>10.1007/bf00055564</v>
      </c>
      <c r="B58" s="419" t="str">
        <f>IFERROR(__xludf.DUMMYFUNCTION("""COMPUTED_VALUE"""),"https://drive.google.com/file/d/1MbebBCnt66GSnxcnYXI8_aT9v4VscltA/view?usp=drivesdk")</f>
        <v>https://drive.google.com/file/d/1MbebBCnt66GSnxcnYXI8_aT9v4VscltA/view?usp=drivesdk</v>
      </c>
      <c r="C58" s="330" t="str">
        <f>IFERROR(__xludf.DUMMYFUNCTION("""COMPUTED_VALUE"""),"10.1007--bf00055564.pdf")</f>
        <v>10.1007--bf00055564.pdf</v>
      </c>
      <c r="D58" s="330" t="str">
        <f>IFERROR(__xludf.DUMMYFUNCTION("""COMPUTED_VALUE"""),"application/pdf")</f>
        <v>application/pdf</v>
      </c>
    </row>
    <row r="59">
      <c r="A59" s="147" t="str">
        <f>IFERROR(__xludf.DUMMYFUNCTION("""COMPUTED_VALUE"""),"10.1177/0146167299259003 (1)")</f>
        <v>10.1177/0146167299259003 (1)</v>
      </c>
      <c r="B59" s="419" t="str">
        <f>IFERROR(__xludf.DUMMYFUNCTION("""COMPUTED_VALUE"""),"https://drive.google.com/file/d/1OnBHam5HlT_FnxkfI5nOiF6JDIO6aQXF/view?usp=drivesdk")</f>
        <v>https://drive.google.com/file/d/1OnBHam5HlT_FnxkfI5nOiF6JDIO6aQXF/view?usp=drivesdk</v>
      </c>
      <c r="C59" s="330" t="str">
        <f>IFERROR(__xludf.DUMMYFUNCTION("""COMPUTED_VALUE"""),"10.1177--0146167299259003 (1).pdf")</f>
        <v>10.1177--0146167299259003 (1).pdf</v>
      </c>
      <c r="D59" s="330" t="str">
        <f>IFERROR(__xludf.DUMMYFUNCTION("""COMPUTED_VALUE"""),"application/pdf")</f>
        <v>application/pdf</v>
      </c>
    </row>
    <row r="60">
      <c r="A60" s="147" t="str">
        <f>IFERROR(__xludf.DUMMYFUNCTION("""COMPUTED_VALUE"""),"10.1126/science.745568")</f>
        <v>10.1126/science.745568</v>
      </c>
      <c r="B60" s="419" t="str">
        <f>IFERROR(__xludf.DUMMYFUNCTION("""COMPUTED_VALUE"""),"https://drive.google.com/file/d/1az1SIxKd6EbPuSgzjStXVmZywnrfnuZb/view?usp=drivesdk")</f>
        <v>https://drive.google.com/file/d/1az1SIxKd6EbPuSgzjStXVmZywnrfnuZb/view?usp=drivesdk</v>
      </c>
      <c r="C60" s="330" t="str">
        <f>IFERROR(__xludf.DUMMYFUNCTION("""COMPUTED_VALUE"""),"10.1126--science.745568.pdf")</f>
        <v>10.1126--science.745568.pdf</v>
      </c>
      <c r="D60" s="330" t="str">
        <f>IFERROR(__xludf.DUMMYFUNCTION("""COMPUTED_VALUE"""),"application/pdf")</f>
        <v>application/pdf</v>
      </c>
    </row>
    <row r="61">
      <c r="A61" s="147" t="str">
        <f>IFERROR(__xludf.DUMMYFUNCTION("""COMPUTED_VALUE"""),"cutler1987")</f>
        <v>cutler1987</v>
      </c>
      <c r="B61" s="419" t="str">
        <f>IFERROR(__xludf.DUMMYFUNCTION("""COMPUTED_VALUE"""),"https://drive.google.com/file/d/1YrBv468_VhWbgyfniJQXLhxQR5XPZdgI/view?usp=drivesdk")</f>
        <v>https://drive.google.com/file/d/1YrBv468_VhWbgyfniJQXLhxQR5XPZdgI/view?usp=drivesdk</v>
      </c>
      <c r="C61" s="330" t="str">
        <f>IFERROR(__xludf.DUMMYFUNCTION("""COMPUTED_VALUE"""),"cutler1987.pdf")</f>
        <v>cutler1987.pdf</v>
      </c>
      <c r="D61" s="330" t="str">
        <f>IFERROR(__xludf.DUMMYFUNCTION("""COMPUTED_VALUE"""),"application/pdf")</f>
        <v>application/pdf</v>
      </c>
    </row>
    <row r="62">
      <c r="A62" s="147" t="str">
        <f>IFERROR(__xludf.DUMMYFUNCTION("""COMPUTED_VALUE"""),"10.1098/rspb.1998.0380")</f>
        <v>10.1098/rspb.1998.0380</v>
      </c>
      <c r="B62" s="419" t="str">
        <f>IFERROR(__xludf.DUMMYFUNCTION("""COMPUTED_VALUE"""),"https://drive.google.com/file/d/1zUHTcsJfnfyEPxnBbRwIfFnohsp_DvEU/view?usp=drivesdk")</f>
        <v>https://drive.google.com/file/d/1zUHTcsJfnfyEPxnBbRwIfFnohsp_DvEU/view?usp=drivesdk</v>
      </c>
      <c r="C62" s="330" t="str">
        <f>IFERROR(__xludf.DUMMYFUNCTION("""COMPUTED_VALUE"""),"10.1098--rspb.1998.0380.pdf")</f>
        <v>10.1098--rspb.1998.0380.pdf</v>
      </c>
      <c r="D62" s="330" t="str">
        <f>IFERROR(__xludf.DUMMYFUNCTION("""COMPUTED_VALUE"""),"application/pdf")</f>
        <v>application/pdf</v>
      </c>
    </row>
    <row r="63">
      <c r="A63" s="147" t="str">
        <f>IFERROR(__xludf.DUMMYFUNCTION("""COMPUTED_VALUE"""),"10.1126/science.7455683 (1)")</f>
        <v>10.1126/science.7455683 (1)</v>
      </c>
      <c r="B63" s="419" t="str">
        <f>IFERROR(__xludf.DUMMYFUNCTION("""COMPUTED_VALUE"""),"https://drive.google.com/file/d/1Ewwg-aAU3bSbKUqgbQkHYQDVkyW7wEnt/view?usp=drivesdk")</f>
        <v>https://drive.google.com/file/d/1Ewwg-aAU3bSbKUqgbQkHYQDVkyW7wEnt/view?usp=drivesdk</v>
      </c>
      <c r="C63" s="330" t="str">
        <f>IFERROR(__xludf.DUMMYFUNCTION("""COMPUTED_VALUE"""),"10.1126--science.7455683 (1).pdf")</f>
        <v>10.1126--science.7455683 (1).pdf</v>
      </c>
      <c r="D63" s="330" t="str">
        <f>IFERROR(__xludf.DUMMYFUNCTION("""COMPUTED_VALUE"""),"application/pdf")</f>
        <v>application/pdf</v>
      </c>
    </row>
    <row r="64">
      <c r="A64" s="147" t="str">
        <f>IFERROR(__xludf.DUMMYFUNCTION("""COMPUTED_VALUE"""),"10.1371/journal.pone.0059837")</f>
        <v>10.1371/journal.pone.0059837</v>
      </c>
      <c r="B64" s="419" t="str">
        <f>IFERROR(__xludf.DUMMYFUNCTION("""COMPUTED_VALUE"""),"https://drive.google.com/file/d/1Izigs9eTp-It0b_EXppmcwByOjpaCAHX/view?usp=drivesdk")</f>
        <v>https://drive.google.com/file/d/1Izigs9eTp-It0b_EXppmcwByOjpaCAHX/view?usp=drivesdk</v>
      </c>
      <c r="C64" s="330" t="str">
        <f>IFERROR(__xludf.DUMMYFUNCTION("""COMPUTED_VALUE"""),"10.1371--journal.pone.0059837.pdf")</f>
        <v>10.1371--journal.pone.0059837.pdf</v>
      </c>
      <c r="D64" s="330" t="str">
        <f>IFERROR(__xludf.DUMMYFUNCTION("""COMPUTED_VALUE"""),"application/pdf")</f>
        <v>application/pdf</v>
      </c>
    </row>
    <row r="65">
      <c r="A65" s="147" t="str">
        <f>IFERROR(__xludf.DUMMYFUNCTION("""COMPUTED_VALUE"""),"10.1126/science.1091721 (1)")</f>
        <v>10.1126/science.1091721 (1)</v>
      </c>
      <c r="B65" s="419" t="str">
        <f>IFERROR(__xludf.DUMMYFUNCTION("""COMPUTED_VALUE"""),"https://drive.google.com/file/d/1urBFg5QSiZNH_xxtiNvzvgi_nlR1Fw29/view?usp=drivesdk")</f>
        <v>https://drive.google.com/file/d/1urBFg5QSiZNH_xxtiNvzvgi_nlR1Fw29/view?usp=drivesdk</v>
      </c>
      <c r="C65" s="330" t="str">
        <f>IFERROR(__xludf.DUMMYFUNCTION("""COMPUTED_VALUE"""),"10.1126--science.1091721 (1).pdf")</f>
        <v>10.1126--science.1091721 (1).pdf</v>
      </c>
      <c r="D65" s="330" t="str">
        <f>IFERROR(__xludf.DUMMYFUNCTION("""COMPUTED_VALUE"""),"application/pdf")</f>
        <v>application/pdf</v>
      </c>
    </row>
    <row r="66">
      <c r="A66" s="147" t="str">
        <f>IFERROR(__xludf.DUMMYFUNCTION("""COMPUTED_VALUE"""),"10.1111/j.2044-8295.1945.tb01093.x (1)")</f>
        <v>10.1111/j.2044-8295.1945.tb01093.x (1)</v>
      </c>
      <c r="B66" s="419" t="str">
        <f>IFERROR(__xludf.DUMMYFUNCTION("""COMPUTED_VALUE"""),"https://drive.google.com/file/d/1DV0ExUa1GWwSvnPH_2dsITBde4wJ5TzH/view?usp=drivesdk")</f>
        <v>https://drive.google.com/file/d/1DV0ExUa1GWwSvnPH_2dsITBde4wJ5TzH/view?usp=drivesdk</v>
      </c>
      <c r="C66" s="330" t="str">
        <f>IFERROR(__xludf.DUMMYFUNCTION("""COMPUTED_VALUE"""),"10.1111--j.2044-8295.1945.tb01093.x (1).pdf")</f>
        <v>10.1111--j.2044-8295.1945.tb01093.x (1).pdf</v>
      </c>
      <c r="D66" s="330" t="str">
        <f>IFERROR(__xludf.DUMMYFUNCTION("""COMPUTED_VALUE"""),"application/pdf")</f>
        <v>application/pdf</v>
      </c>
    </row>
    <row r="67">
      <c r="A67" s="147" t="str">
        <f>IFERROR(__xludf.DUMMYFUNCTION("""COMPUTED_VALUE"""),"10.1016/s0005-7967(09)80002-8")</f>
        <v>10.1016/s0005-7967(09)80002-8</v>
      </c>
      <c r="B67" s="419" t="str">
        <f>IFERROR(__xludf.DUMMYFUNCTION("""COMPUTED_VALUE"""),"https://drive.google.com/file/d/1qyWk94p5kvk6ipMv3ggRvCu0WIGqrVcB/view?usp=drivesdk")</f>
        <v>https://drive.google.com/file/d/1qyWk94p5kvk6ipMv3ggRvCu0WIGqrVcB/view?usp=drivesdk</v>
      </c>
      <c r="C67" s="330" t="str">
        <f>IFERROR(__xludf.DUMMYFUNCTION("""COMPUTED_VALUE"""),"10.1016--s0005-7967(09)80002-8.pdf")</f>
        <v>10.1016--s0005-7967(09)80002-8.pdf</v>
      </c>
      <c r="D67" s="330" t="str">
        <f>IFERROR(__xludf.DUMMYFUNCTION("""COMPUTED_VALUE"""),"application/pdf")</f>
        <v>application/pdf</v>
      </c>
    </row>
    <row r="68">
      <c r="A68" s="147" t="str">
        <f>IFERROR(__xludf.DUMMYFUNCTION("""COMPUTED_VALUE"""),"10.1146/annurev.psych.57.102904.190127 (1)")</f>
        <v>10.1146/annurev.psych.57.102904.190127 (1)</v>
      </c>
      <c r="B68" s="419" t="str">
        <f>IFERROR(__xludf.DUMMYFUNCTION("""COMPUTED_VALUE"""),"https://drive.google.com/file/d/16X4-MpEdpgJoIThaDqEh7piY761SFlEh/view?usp=drivesdk")</f>
        <v>https://drive.google.com/file/d/16X4-MpEdpgJoIThaDqEh7piY761SFlEh/view?usp=drivesdk</v>
      </c>
      <c r="C68" s="330" t="str">
        <f>IFERROR(__xludf.DUMMYFUNCTION("""COMPUTED_VALUE"""),"10.1146--annurev.psych.57.102904.190127 (1).pdf")</f>
        <v>10.1146--annurev.psych.57.102904.190127 (1).pdf</v>
      </c>
      <c r="D68" s="330" t="str">
        <f>IFERROR(__xludf.DUMMYFUNCTION("""COMPUTED_VALUE"""),"application/pdf")</f>
        <v>application/pdf</v>
      </c>
    </row>
    <row r="69">
      <c r="A69" s="147" t="str">
        <f>IFERROR(__xludf.DUMMYFUNCTION("""COMPUTED_VALUE"""),"10.1016/0191-8869(83)90061-2")</f>
        <v>10.1016/0191-8869(83)90061-2</v>
      </c>
      <c r="B69" s="419" t="str">
        <f>IFERROR(__xludf.DUMMYFUNCTION("""COMPUTED_VALUE"""),"https://drive.google.com/file/d/1FpY_zkEeY70DFGZ6gvzclFtdyYZdTNqm/view?usp=drivesdk")</f>
        <v>https://drive.google.com/file/d/1FpY_zkEeY70DFGZ6gvzclFtdyYZdTNqm/view?usp=drivesdk</v>
      </c>
      <c r="C69" s="330" t="str">
        <f>IFERROR(__xludf.DUMMYFUNCTION("""COMPUTED_VALUE"""),"10.1016--0191-8869(83)90061-2.pdf")</f>
        <v>10.1016--0191-8869(83)90061-2.pdf</v>
      </c>
      <c r="D69" s="330" t="str">
        <f>IFERROR(__xludf.DUMMYFUNCTION("""COMPUTED_VALUE"""),"application/pdf")</f>
        <v>application/pdf</v>
      </c>
    </row>
    <row r="70">
      <c r="A70" s="147" t="str">
        <f>IFERROR(__xludf.DUMMYFUNCTION("""COMPUTED_VALUE"""),"10.1037/0033-2909.95.1.29")</f>
        <v>10.1037/0033-2909.95.1.29</v>
      </c>
      <c r="B70" s="419" t="str">
        <f>IFERROR(__xludf.DUMMYFUNCTION("""COMPUTED_VALUE"""),"https://drive.google.com/file/d/1qzkuSWY-iq2aM_Tk5-ZhM7F-0jDmJrfs/view?usp=drivesdk")</f>
        <v>https://drive.google.com/file/d/1qzkuSWY-iq2aM_Tk5-ZhM7F-0jDmJrfs/view?usp=drivesdk</v>
      </c>
      <c r="C70" s="330" t="str">
        <f>IFERROR(__xludf.DUMMYFUNCTION("""COMPUTED_VALUE"""),"10.1037--0033-2909.95.1.29.pdf")</f>
        <v>10.1037--0033-2909.95.1.29.pdf</v>
      </c>
      <c r="D70" s="330" t="str">
        <f>IFERROR(__xludf.DUMMYFUNCTION("""COMPUTED_VALUE"""),"application/pdf")</f>
        <v>application/pdf</v>
      </c>
    </row>
    <row r="71">
      <c r="A71" s="147" t="str">
        <f>IFERROR(__xludf.DUMMYFUNCTION("""COMPUTED_VALUE"""),"10.1016/0010-0277(83)90004-5")</f>
        <v>10.1016/0010-0277(83)90004-5</v>
      </c>
      <c r="B71" s="419" t="str">
        <f>IFERROR(__xludf.DUMMYFUNCTION("""COMPUTED_VALUE"""),"https://drive.google.com/file/d/1HAVr8uMvyL-jz1DQzOe-lZb9bWR1Typt/view?usp=drivesdk")</f>
        <v>https://drive.google.com/file/d/1HAVr8uMvyL-jz1DQzOe-lZb9bWR1Typt/view?usp=drivesdk</v>
      </c>
      <c r="C71" s="330" t="str">
        <f>IFERROR(__xludf.DUMMYFUNCTION("""COMPUTED_VALUE"""),"10.1016--0010-0277(83)90004-5.pdf")</f>
        <v>10.1016--0010-0277(83)90004-5.pdf</v>
      </c>
      <c r="D71" s="330" t="str">
        <f>IFERROR(__xludf.DUMMYFUNCTION("""COMPUTED_VALUE"""),"application/pdf")</f>
        <v>application/pdf</v>
      </c>
    </row>
    <row r="72">
      <c r="A72" s="147" t="str">
        <f>IFERROR(__xludf.DUMMYFUNCTION("""COMPUTED_VALUE"""),"10.1017/s0305000996002917")</f>
        <v>10.1017/s0305000996002917</v>
      </c>
      <c r="B72" s="419" t="str">
        <f>IFERROR(__xludf.DUMMYFUNCTION("""COMPUTED_VALUE"""),"https://drive.google.com/file/d/1Gc2N_8-eaSyLrgIloaew1BBe3hqlDnAB/view?usp=drivesdk")</f>
        <v>https://drive.google.com/file/d/1Gc2N_8-eaSyLrgIloaew1BBe3hqlDnAB/view?usp=drivesdk</v>
      </c>
      <c r="C72" s="330" t="str">
        <f>IFERROR(__xludf.DUMMYFUNCTION("""COMPUTED_VALUE"""),"10.1017--s0305000996002917.pdf")</f>
        <v>10.1017--s0305000996002917.pdf</v>
      </c>
      <c r="D72" s="330" t="str">
        <f>IFERROR(__xludf.DUMMYFUNCTION("""COMPUTED_VALUE"""),"application/pdf")</f>
        <v>application/pdf</v>
      </c>
    </row>
    <row r="73">
      <c r="A73" s="147" t="str">
        <f>IFERROR(__xludf.DUMMYFUNCTION("""COMPUTED_VALUE"""),"10.1111/j.1467-9280.2009.02479.x (1)")</f>
        <v>10.1111/j.1467-9280.2009.02479.x (1)</v>
      </c>
      <c r="B73" s="419" t="str">
        <f>IFERROR(__xludf.DUMMYFUNCTION("""COMPUTED_VALUE"""),"https://drive.google.com/file/d/1--cZkaqXLn13yFOImzvT04iJ4vAYVdge/view?usp=drivesdk")</f>
        <v>https://drive.google.com/file/d/1--cZkaqXLn13yFOImzvT04iJ4vAYVdge/view?usp=drivesdk</v>
      </c>
      <c r="C73" s="330" t="str">
        <f>IFERROR(__xludf.DUMMYFUNCTION("""COMPUTED_VALUE"""),"10.1111--j.1467-9280.2009.02479.x (1).pdf")</f>
        <v>10.1111--j.1467-9280.2009.02479.x (1).pdf</v>
      </c>
      <c r="D73" s="330" t="str">
        <f>IFERROR(__xludf.DUMMYFUNCTION("""COMPUTED_VALUE"""),"application/pdf")</f>
        <v>application/pdf</v>
      </c>
    </row>
    <row r="74">
      <c r="A74" s="147" t="str">
        <f>IFERROR(__xludf.DUMMYFUNCTION("""COMPUTED_VALUE"""),"10.1111/j.1467-9477.2007.00176.x (1)")</f>
        <v>10.1111/j.1467-9477.2007.00176.x (1)</v>
      </c>
      <c r="B74" s="419" t="str">
        <f>IFERROR(__xludf.DUMMYFUNCTION("""COMPUTED_VALUE"""),"https://drive.google.com/file/d/1kp1JsZoY0-OqsipfSkcn2zbeOmWUvza5/view?usp=drivesdk")</f>
        <v>https://drive.google.com/file/d/1kp1JsZoY0-OqsipfSkcn2zbeOmWUvza5/view?usp=drivesdk</v>
      </c>
      <c r="C74" s="330" t="str">
        <f>IFERROR(__xludf.DUMMYFUNCTION("""COMPUTED_VALUE"""),"10.1111--j.1467-9477.2007.00176.x (1).pdf")</f>
        <v>10.1111--j.1467-9477.2007.00176.x (1).pdf</v>
      </c>
      <c r="D74" s="330" t="str">
        <f>IFERROR(__xludf.DUMMYFUNCTION("""COMPUTED_VALUE"""),"application/pdf")</f>
        <v>application/pdf</v>
      </c>
    </row>
    <row r="75">
      <c r="A75" s="147" t="str">
        <f>IFERROR(__xludf.DUMMYFUNCTION("""COMPUTED_VALUE"""),"gardner1983")</f>
        <v>gardner1983</v>
      </c>
      <c r="B75" s="453" t="str">
        <f>IFERROR(__xludf.DUMMYFUNCTION("""COMPUTED_VALUE"""),"https://drive.google.com/file/d/1C6cZH5weFLs0TeiT5kQs0URJpVSG6taY/view?usp=drivesdk")</f>
        <v>https://drive.google.com/file/d/1C6cZH5weFLs0TeiT5kQs0URJpVSG6taY/view?usp=drivesdk</v>
      </c>
      <c r="C75" s="147" t="str">
        <f>IFERROR(__xludf.DUMMYFUNCTION("""COMPUTED_VALUE"""),"gardner1983.pdf")</f>
        <v>gardner1983.pdf</v>
      </c>
      <c r="D75" s="147" t="str">
        <f>IFERROR(__xludf.DUMMYFUNCTION("""COMPUTED_VALUE"""),"application/pdf")</f>
        <v>application/pdf</v>
      </c>
    </row>
    <row r="76">
      <c r="A76" s="147" t="str">
        <f>IFERROR(__xludf.DUMMYFUNCTION("""COMPUTED_VALUE"""),"10.1037/0022-3514.86.5.680 (1)")</f>
        <v>10.1037/0022-3514.86.5.680 (1)</v>
      </c>
      <c r="B76" s="453" t="str">
        <f>IFERROR(__xludf.DUMMYFUNCTION("""COMPUTED_VALUE"""),"https://drive.google.com/file/d/15dvVe0HWHCf6vjojm8XY8fI_lvS82uKp/view?usp=drivesdk")</f>
        <v>https://drive.google.com/file/d/15dvVe0HWHCf6vjojm8XY8fI_lvS82uKp/view?usp=drivesdk</v>
      </c>
      <c r="C76" s="147" t="str">
        <f>IFERROR(__xludf.DUMMYFUNCTION("""COMPUTED_VALUE"""),"10.1037--0022-3514.86.5.680 (1).pdf")</f>
        <v>10.1037--0022-3514.86.5.680 (1).pdf</v>
      </c>
      <c r="D76" s="147" t="str">
        <f>IFERROR(__xludf.DUMMYFUNCTION("""COMPUTED_VALUE"""),"application/pdf")</f>
        <v>application/pdf</v>
      </c>
    </row>
    <row r="77">
      <c r="A77" s="147" t="str">
        <f>IFERROR(__xludf.DUMMYFUNCTION("""COMPUTED_VALUE"""),"10.1016/0010-0285(88)90017-5")</f>
        <v>10.1016/0010-0285(88)90017-5</v>
      </c>
      <c r="B77" s="453" t="str">
        <f>IFERROR(__xludf.DUMMYFUNCTION("""COMPUTED_VALUE"""),"https://drive.google.com/file/d/1YgULcRj7eanxq1Att5Q6IxosLXgHcqOq/view?usp=drivesdk")</f>
        <v>https://drive.google.com/file/d/1YgULcRj7eanxq1Att5Q6IxosLXgHcqOq/view?usp=drivesdk</v>
      </c>
      <c r="C77" s="147" t="str">
        <f>IFERROR(__xludf.DUMMYFUNCTION("""COMPUTED_VALUE"""),"10.1016--0010-0285(88)90017-5.pdf")</f>
        <v>10.1016--0010-0285(88)90017-5.pdf</v>
      </c>
      <c r="D77" s="147" t="str">
        <f>IFERROR(__xludf.DUMMYFUNCTION("""COMPUTED_VALUE"""),"application/pdf")</f>
        <v>application/pdf</v>
      </c>
    </row>
    <row r="78">
      <c r="A78" s="147" t="str">
        <f>IFERROR(__xludf.DUMMYFUNCTION("""COMPUTED_VALUE"""),"10.1037/h0045925 (1)")</f>
        <v>10.1037/h0045925 (1)</v>
      </c>
      <c r="B78" s="453" t="str">
        <f>IFERROR(__xludf.DUMMYFUNCTION("""COMPUTED_VALUE"""),"https://drive.google.com/file/d/1d2D3WgKVnXnVLqWKgSPp1NiOfXcVqjPr/view?usp=drivesdk")</f>
        <v>https://drive.google.com/file/d/1d2D3WgKVnXnVLqWKgSPp1NiOfXcVqjPr/view?usp=drivesdk</v>
      </c>
      <c r="C78" s="147" t="str">
        <f>IFERROR(__xludf.DUMMYFUNCTION("""COMPUTED_VALUE"""),"10.1037--h0045925 (1).pdf")</f>
        <v>10.1037--h0045925 (1).pdf</v>
      </c>
      <c r="D78" s="147" t="str">
        <f>IFERROR(__xludf.DUMMYFUNCTION("""COMPUTED_VALUE"""),"application/pdf")</f>
        <v>application/pdf</v>
      </c>
    </row>
    <row r="79">
      <c r="A79" s="147" t="str">
        <f>IFERROR(__xludf.DUMMYFUNCTION("""COMPUTED_VALUE"""),"10.1126/science.198.4312.75 (1)")</f>
        <v>10.1126/science.198.4312.75 (1)</v>
      </c>
      <c r="B79" s="453" t="str">
        <f>IFERROR(__xludf.DUMMYFUNCTION("""COMPUTED_VALUE"""),"https://drive.google.com/file/d/1orWmBXwTbbyUtTNT_8t7VtQBQEaYJnz5/view?usp=drivesdk")</f>
        <v>https://drive.google.com/file/d/1orWmBXwTbbyUtTNT_8t7VtQBQEaYJnz5/view?usp=drivesdk</v>
      </c>
      <c r="C79" s="147" t="str">
        <f>IFERROR(__xludf.DUMMYFUNCTION("""COMPUTED_VALUE"""),"10.1126--science.198.4312.75 (1).pdf")</f>
        <v>10.1126--science.198.4312.75 (1).pdf</v>
      </c>
      <c r="D79" s="147" t="str">
        <f>IFERROR(__xludf.DUMMYFUNCTION("""COMPUTED_VALUE"""),"application/pdf")</f>
        <v>application/pdf</v>
      </c>
    </row>
    <row r="80">
      <c r="A80" s="147" t="str">
        <f>IFERROR(__xludf.DUMMYFUNCTION("""COMPUTED_VALUE"""),"10.1037/0033-295x.100.3.363")</f>
        <v>10.1037/0033-295x.100.3.363</v>
      </c>
      <c r="B80" s="453" t="str">
        <f>IFERROR(__xludf.DUMMYFUNCTION("""COMPUTED_VALUE"""),"https://drive.google.com/file/d/1C6X_tBRsEk1ZuBm0JfJIShyFbqttZbk_/view?usp=drivesdk")</f>
        <v>https://drive.google.com/file/d/1C6X_tBRsEk1ZuBm0JfJIShyFbqttZbk_/view?usp=drivesdk</v>
      </c>
      <c r="C80" s="147" t="str">
        <f>IFERROR(__xludf.DUMMYFUNCTION("""COMPUTED_VALUE"""),"10.1037--0033-295x.100.3.363.pdf")</f>
        <v>10.1037--0033-295x.100.3.363.pdf</v>
      </c>
      <c r="D80" s="147" t="str">
        <f>IFERROR(__xludf.DUMMYFUNCTION("""COMPUTED_VALUE"""),"application/pdf")</f>
        <v>application/pdf</v>
      </c>
    </row>
    <row r="81">
      <c r="A81" s="147" t="str">
        <f>IFERROR(__xludf.DUMMYFUNCTION("""COMPUTED_VALUE"""),"10.1207/s15327965pli0604_1 (1)")</f>
        <v>10.1207/s15327965pli0604_1 (1)</v>
      </c>
      <c r="B81" s="453" t="str">
        <f>IFERROR(__xludf.DUMMYFUNCTION("""COMPUTED_VALUE"""),"https://drive.google.com/file/d/1JU2kq3G9WPJASDjMlbU9lJcCvzEOIVXp/view?usp=drivesdk")</f>
        <v>https://drive.google.com/file/d/1JU2kq3G9WPJASDjMlbU9lJcCvzEOIVXp/view?usp=drivesdk</v>
      </c>
      <c r="C81" s="147" t="str">
        <f>IFERROR(__xludf.DUMMYFUNCTION("""COMPUTED_VALUE"""),"10.1207--s15327965pli0604_1 (1).pdf")</f>
        <v>10.1207--s15327965pli0604_1 (1).pdf</v>
      </c>
      <c r="D81" s="147" t="str">
        <f>IFERROR(__xludf.DUMMYFUNCTION("""COMPUTED_VALUE"""),"application/pdf")</f>
        <v>application/pdf</v>
      </c>
    </row>
    <row r="82">
      <c r="A82" s="147" t="str">
        <f>IFERROR(__xludf.DUMMYFUNCTION("""COMPUTED_VALUE"""),"10.1037/h0093718 (1)")</f>
        <v>10.1037/h0093718 (1)</v>
      </c>
      <c r="B82" s="453" t="str">
        <f>IFERROR(__xludf.DUMMYFUNCTION("""COMPUTED_VALUE"""),"https://drive.google.com/file/d/1BFVFruV0jjAE8l2HmvLtol5pOiTpQWTn/view?usp=drivesdk")</f>
        <v>https://drive.google.com/file/d/1BFVFruV0jjAE8l2HmvLtol5pOiTpQWTn/view?usp=drivesdk</v>
      </c>
      <c r="C82" s="147" t="str">
        <f>IFERROR(__xludf.DUMMYFUNCTION("""COMPUTED_VALUE"""),"10.1037--h0093718 (1).pdf")</f>
        <v>10.1037--h0093718 (1).pdf</v>
      </c>
      <c r="D82" s="147" t="str">
        <f>IFERROR(__xludf.DUMMYFUNCTION("""COMPUTED_VALUE"""),"application/pdf")</f>
        <v>application/pdf</v>
      </c>
    </row>
    <row r="83">
      <c r="A83" s="147" t="str">
        <f>IFERROR(__xludf.DUMMYFUNCTION("""COMPUTED_VALUE"""),"10.1177/2167696812466548 (1)")</f>
        <v>10.1177/2167696812466548 (1)</v>
      </c>
      <c r="B83" s="453" t="str">
        <f>IFERROR(__xludf.DUMMYFUNCTION("""COMPUTED_VALUE"""),"https://drive.google.com/file/d/1CsaWJpOD5obyDy6WvpA1BXNqU8U7Mu0U/view?usp=drivesdk")</f>
        <v>https://drive.google.com/file/d/1CsaWJpOD5obyDy6WvpA1BXNqU8U7Mu0U/view?usp=drivesdk</v>
      </c>
      <c r="C83" s="147" t="str">
        <f>IFERROR(__xludf.DUMMYFUNCTION("""COMPUTED_VALUE"""),"10.1177--2167696812466548 (1).pdf")</f>
        <v>10.1177--2167696812466548 (1).pdf</v>
      </c>
      <c r="D83" s="147" t="str">
        <f>IFERROR(__xludf.DUMMYFUNCTION("""COMPUTED_VALUE"""),"application/pdf")</f>
        <v>application/pdf</v>
      </c>
    </row>
    <row r="84">
      <c r="A84" s="147" t="str">
        <f>IFERROR(__xludf.DUMMYFUNCTION("""COMPUTED_VALUE"""),"10.1080/15298860500338534 (1)")</f>
        <v>10.1080/15298860500338534 (1)</v>
      </c>
      <c r="B84" s="453" t="str">
        <f>IFERROR(__xludf.DUMMYFUNCTION("""COMPUTED_VALUE"""),"https://drive.google.com/file/d/1dNsIIm2ZOx3nM-UaBdacNLX3itmoein_/view?usp=drivesdk")</f>
        <v>https://drive.google.com/file/d/1dNsIIm2ZOx3nM-UaBdacNLX3itmoein_/view?usp=drivesdk</v>
      </c>
      <c r="C84" s="147" t="str">
        <f>IFERROR(__xludf.DUMMYFUNCTION("""COMPUTED_VALUE"""),"10.1080--15298860500338534 (1).pdf")</f>
        <v>10.1080--15298860500338534 (1).pdf</v>
      </c>
      <c r="D84" s="147" t="str">
        <f>IFERROR(__xludf.DUMMYFUNCTION("""COMPUTED_VALUE"""),"application/pdf")</f>
        <v>application/pdf</v>
      </c>
    </row>
    <row r="85">
      <c r="A85" s="147" t="str">
        <f>IFERROR(__xludf.DUMMYFUNCTION("""COMPUTED_VALUE"""),"10.1037/0022-3514.39.5.806")</f>
        <v>10.1037/0022-3514.39.5.806</v>
      </c>
      <c r="B85" s="453" t="str">
        <f>IFERROR(__xludf.DUMMYFUNCTION("""COMPUTED_VALUE"""),"https://drive.google.com/file/d/1FE3TeIulxqbrqdkc2jTdYSSANKvf2sUn/view?usp=drivesdk")</f>
        <v>https://drive.google.com/file/d/1FE3TeIulxqbrqdkc2jTdYSSANKvf2sUn/view?usp=drivesdk</v>
      </c>
      <c r="C85" s="147" t="str">
        <f>IFERROR(__xludf.DUMMYFUNCTION("""COMPUTED_VALUE"""),"10.1037--0022-3514.39.5.806.pdf")</f>
        <v>10.1037--0022-3514.39.5.806.pdf</v>
      </c>
      <c r="D85" s="147" t="str">
        <f>IFERROR(__xludf.DUMMYFUNCTION("""COMPUTED_VALUE"""),"application/pdf")</f>
        <v>application/pdf</v>
      </c>
    </row>
    <row r="86">
      <c r="A86" s="147" t="str">
        <f>IFERROR(__xludf.DUMMYFUNCTION("""COMPUTED_VALUE"""),"10.2466/pr0.1966.19.1.115 (1)")</f>
        <v>10.2466/pr0.1966.19.1.115 (1)</v>
      </c>
      <c r="B86" s="453" t="str">
        <f>IFERROR(__xludf.DUMMYFUNCTION("""COMPUTED_VALUE"""),"https://drive.google.com/file/d/1z0rZD7X_coycSsuDGdLfw2SbmW-sJmVO/view?usp=drivesdk")</f>
        <v>https://drive.google.com/file/d/1z0rZD7X_coycSsuDGdLfw2SbmW-sJmVO/view?usp=drivesdk</v>
      </c>
      <c r="C86" s="147" t="str">
        <f>IFERROR(__xludf.DUMMYFUNCTION("""COMPUTED_VALUE"""),"10.2466--pr0.1966.19.1.115 (1).pdf")</f>
        <v>10.2466--pr0.1966.19.1.115 (1).pdf</v>
      </c>
      <c r="D86" s="147" t="str">
        <f>IFERROR(__xludf.DUMMYFUNCTION("""COMPUTED_VALUE"""),"application/pdf")</f>
        <v>application/pdf</v>
      </c>
    </row>
    <row r="87">
      <c r="A87" s="147" t="str">
        <f>IFERROR(__xludf.DUMMYFUNCTION("""COMPUTED_VALUE"""),"10.1007/bf02322211")</f>
        <v>10.1007/bf02322211</v>
      </c>
      <c r="B87" s="453" t="str">
        <f>IFERROR(__xludf.DUMMYFUNCTION("""COMPUTED_VALUE"""),"https://drive.google.com/file/d/1jOoAQSfMt9sdMl9gpBJM84bvaX5uZuuu/view?usp=drivesdk")</f>
        <v>https://drive.google.com/file/d/1jOoAQSfMt9sdMl9gpBJM84bvaX5uZuuu/view?usp=drivesdk</v>
      </c>
      <c r="C87" s="147" t="str">
        <f>IFERROR(__xludf.DUMMYFUNCTION("""COMPUTED_VALUE"""),"10.1007--bf02322211.pdf")</f>
        <v>10.1007--bf02322211.pdf</v>
      </c>
      <c r="D87" s="147" t="str">
        <f>IFERROR(__xludf.DUMMYFUNCTION("""COMPUTED_VALUE"""),"application/pdf")</f>
        <v>application/pdf</v>
      </c>
    </row>
    <row r="88">
      <c r="A88" s="147" t="str">
        <f>IFERROR(__xludf.DUMMYFUNCTION("""COMPUTED_VALUE"""),"10.2307/1914185")</f>
        <v>10.2307/1914185</v>
      </c>
      <c r="B88" s="453" t="str">
        <f>IFERROR(__xludf.DUMMYFUNCTION("""COMPUTED_VALUE"""),"https://drive.google.com/file/d/1HdhPJu0881YgnR4xynBt04t3L4d2n_Lj/view?usp=drivesdk")</f>
        <v>https://drive.google.com/file/d/1HdhPJu0881YgnR4xynBt04t3L4d2n_Lj/view?usp=drivesdk</v>
      </c>
      <c r="C88" s="147" t="str">
        <f>IFERROR(__xludf.DUMMYFUNCTION("""COMPUTED_VALUE"""),"10.2307--1914185.pdf")</f>
        <v>10.2307--1914185.pdf</v>
      </c>
      <c r="D88" s="147" t="str">
        <f>IFERROR(__xludf.DUMMYFUNCTION("""COMPUTED_VALUE"""),"application/pdf")</f>
        <v>application/pdf</v>
      </c>
    </row>
    <row r="89">
      <c r="A89" s="147" t="str">
        <f>IFERROR(__xludf.DUMMYFUNCTION("""COMPUTED_VALUE"""),"10.1037/0022-3514.74.6.1464")</f>
        <v>10.1037/0022-3514.74.6.1464</v>
      </c>
      <c r="B89" s="453" t="str">
        <f>IFERROR(__xludf.DUMMYFUNCTION("""COMPUTED_VALUE"""),"https://drive.google.com/file/d/1yHOlpM1uJaiU7kTahuRP2566vNJozaQa/view?usp=drivesdk")</f>
        <v>https://drive.google.com/file/d/1yHOlpM1uJaiU7kTahuRP2566vNJozaQa/view?usp=drivesdk</v>
      </c>
      <c r="C89" s="147" t="str">
        <f>IFERROR(__xludf.DUMMYFUNCTION("""COMPUTED_VALUE"""),"10.1037--0022-3514.74.6.1464.pdf")</f>
        <v>10.1037--0022-3514.74.6.1464.pdf</v>
      </c>
      <c r="D89" s="147" t="str">
        <f>IFERROR(__xludf.DUMMYFUNCTION("""COMPUTED_VALUE"""),"application/pdf")</f>
        <v>application/pdf</v>
      </c>
    </row>
    <row r="90">
      <c r="A90" s="147" t="str">
        <f>IFERROR(__xludf.DUMMYFUNCTION("""COMPUTED_VALUE"""),"10.1073/pnas.1402786111 (1)")</f>
        <v>10.1073/pnas.1402786111 (1)</v>
      </c>
      <c r="B90" s="453" t="str">
        <f>IFERROR(__xludf.DUMMYFUNCTION("""COMPUTED_VALUE"""),"https://drive.google.com/file/d/1eAoT78SA2YIGRpfWvrSQimqyc0AkJJKp/view?usp=drivesdk")</f>
        <v>https://drive.google.com/file/d/1eAoT78SA2YIGRpfWvrSQimqyc0AkJJKp/view?usp=drivesdk</v>
      </c>
      <c r="C90" s="147" t="str">
        <f>IFERROR(__xludf.DUMMYFUNCTION("""COMPUTED_VALUE"""),"10.1073--pnas.1402786111 (1).pdf")</f>
        <v>10.1073--pnas.1402786111 (1).pdf</v>
      </c>
      <c r="D90" s="147" t="str">
        <f>IFERROR(__xludf.DUMMYFUNCTION("""COMPUTED_VALUE"""),"application/pdf")</f>
        <v>application/pdf</v>
      </c>
    </row>
    <row r="91">
      <c r="A91" s="147" t="str">
        <f>IFERROR(__xludf.DUMMYFUNCTION("""COMPUTED_VALUE"""),"10.1177/2167702617723376 (1)")</f>
        <v>10.1177/2167702617723376 (1)</v>
      </c>
      <c r="B91" s="453" t="str">
        <f>IFERROR(__xludf.DUMMYFUNCTION("""COMPUTED_VALUE"""),"https://drive.google.com/file/d/14LdltvCLjeiJ1loRuAN1I1tFJo0oA8zn/view?usp=drivesdk")</f>
        <v>https://drive.google.com/file/d/14LdltvCLjeiJ1loRuAN1I1tFJo0oA8zn/view?usp=drivesdk</v>
      </c>
      <c r="C91" s="147" t="str">
        <f>IFERROR(__xludf.DUMMYFUNCTION("""COMPUTED_VALUE"""),"10.1177--2167702617723376 (1).pdf")</f>
        <v>10.1177--2167702617723376 (1).pdf</v>
      </c>
      <c r="D91" s="147" t="str">
        <f>IFERROR(__xludf.DUMMYFUNCTION("""COMPUTED_VALUE"""),"application/pdf")</f>
        <v>application/pdf</v>
      </c>
    </row>
    <row r="92">
      <c r="A92" s="147" t="str">
        <f>IFERROR(__xludf.DUMMYFUNCTION("""COMPUTED_VALUE"""),"10.1086/222258 (1)")</f>
        <v>10.1086/222258 (1)</v>
      </c>
      <c r="B92" s="453" t="str">
        <f>IFERROR(__xludf.DUMMYFUNCTION("""COMPUTED_VALUE"""),"https://drive.google.com/file/d/110SCbBI08nzymwEael0DhIoVulYZE2rG/view?usp=drivesdk")</f>
        <v>https://drive.google.com/file/d/110SCbBI08nzymwEael0DhIoVulYZE2rG/view?usp=drivesdk</v>
      </c>
      <c r="C92" s="147" t="str">
        <f>IFERROR(__xludf.DUMMYFUNCTION("""COMPUTED_VALUE"""),"10.1086--222258 (1).pdf")</f>
        <v>10.1086--222258 (1).pdf</v>
      </c>
      <c r="D92" s="147" t="str">
        <f>IFERROR(__xludf.DUMMYFUNCTION("""COMPUTED_VALUE"""),"application/pdf")</f>
        <v>application/pdf</v>
      </c>
    </row>
    <row r="93">
      <c r="A93" s="147" t="str">
        <f>IFERROR(__xludf.DUMMYFUNCTION("""COMPUTED_VALUE"""),"10.1037/h0040525 (1)")</f>
        <v>10.1037/h0040525 (1)</v>
      </c>
      <c r="B93" s="453" t="str">
        <f>IFERROR(__xludf.DUMMYFUNCTION("""COMPUTED_VALUE"""),"https://drive.google.com/file/d/1_0TBT6K4UcfvPRMN8STy1FYQ5o0TnVlq/view?usp=drivesdk")</f>
        <v>https://drive.google.com/file/d/1_0TBT6K4UcfvPRMN8STy1FYQ5o0TnVlq/view?usp=drivesdk</v>
      </c>
      <c r="C93" s="147" t="str">
        <f>IFERROR(__xludf.DUMMYFUNCTION("""COMPUTED_VALUE"""),"10.1037--h0040525 (1).pdf")</f>
        <v>10.1037--h0040525 (1).pdf</v>
      </c>
      <c r="D93" s="147" t="str">
        <f>IFERROR(__xludf.DUMMYFUNCTION("""COMPUTED_VALUE"""),"application/pdf")</f>
        <v>application/pdf</v>
      </c>
    </row>
    <row r="94">
      <c r="A94" s="147" t="str">
        <f>IFERROR(__xludf.DUMMYFUNCTION("""COMPUTED_VALUE"""),"10.1521/soco.2018.36.1.4")</f>
        <v>10.1521/soco.2018.36.1.4</v>
      </c>
      <c r="B94" s="453" t="str">
        <f>IFERROR(__xludf.DUMMYFUNCTION("""COMPUTED_VALUE"""),"https://drive.google.com/file/d/1s3pLJ7I8k4bMPKKfE33wyCz0Q2r7Cum9/view?usp=drivesdk")</f>
        <v>https://drive.google.com/file/d/1s3pLJ7I8k4bMPKKfE33wyCz0Q2r7Cum9/view?usp=drivesdk</v>
      </c>
      <c r="C94" s="147" t="str">
        <f>IFERROR(__xludf.DUMMYFUNCTION("""COMPUTED_VALUE"""),"10.1521--soco.2018.36.1.4.pdf")</f>
        <v>10.1521--soco.2018.36.1.4.pdf</v>
      </c>
      <c r="D94" s="147" t="str">
        <f>IFERROR(__xludf.DUMMYFUNCTION("""COMPUTED_VALUE"""),"application/pdf")</f>
        <v>application/pdf</v>
      </c>
    </row>
    <row r="95">
      <c r="A95" s="147" t="str">
        <f>IFERROR(__xludf.DUMMYFUNCTION("""COMPUTED_VALUE"""),"10.1126/science.1238041 (1)")</f>
        <v>10.1126/science.1238041 (1)</v>
      </c>
      <c r="B95" s="453" t="str">
        <f>IFERROR(__xludf.DUMMYFUNCTION("""COMPUTED_VALUE"""),"https://drive.google.com/file/d/11UhpC-nFM4e4lBiNdaX61xQ7VvtwiSSQ/view?usp=drivesdk")</f>
        <v>https://drive.google.com/file/d/11UhpC-nFM4e4lBiNdaX61xQ7VvtwiSSQ/view?usp=drivesdk</v>
      </c>
      <c r="C95" s="147" t="str">
        <f>IFERROR(__xludf.DUMMYFUNCTION("""COMPUTED_VALUE"""),"10.1126--science.1238041 (1).pdf")</f>
        <v>10.1126--science.1238041 (1).pdf</v>
      </c>
      <c r="D95" s="147" t="str">
        <f>IFERROR(__xludf.DUMMYFUNCTION("""COMPUTED_VALUE"""),"application/pdf")</f>
        <v>application/pdf</v>
      </c>
    </row>
    <row r="96">
      <c r="A96" s="147" t="str">
        <f>IFERROR(__xludf.DUMMYFUNCTION("""COMPUTED_VALUE"""),"10.1177/095679761562564")</f>
        <v>10.1177/095679761562564</v>
      </c>
      <c r="B96" s="453" t="str">
        <f>IFERROR(__xludf.DUMMYFUNCTION("""COMPUTED_VALUE"""),"https://drive.google.com/file/d/1gvgQAw0L_boUFIZ7g1OyJ_YXdg0oIjT9/view?usp=drivesdk")</f>
        <v>https://drive.google.com/file/d/1gvgQAw0L_boUFIZ7g1OyJ_YXdg0oIjT9/view?usp=drivesdk</v>
      </c>
      <c r="C96" s="147" t="str">
        <f>IFERROR(__xludf.DUMMYFUNCTION("""COMPUTED_VALUE"""),"10.1177--095679761562564.pdf")</f>
        <v>10.1177--095679761562564.pdf</v>
      </c>
      <c r="D96" s="147" t="str">
        <f>IFERROR(__xludf.DUMMYFUNCTION("""COMPUTED_VALUE"""),"application/pdf")</f>
        <v>application/pdf</v>
      </c>
    </row>
    <row r="97">
      <c r="A97" s="147" t="str">
        <f>IFERROR(__xludf.DUMMYFUNCTION("""COMPUTED_VALUE"""),"10.1371/journal.pone.0163051")</f>
        <v>10.1371/journal.pone.0163051</v>
      </c>
      <c r="B97" s="453" t="str">
        <f>IFERROR(__xludf.DUMMYFUNCTION("""COMPUTED_VALUE"""),"https://drive.google.com/file/d/1h5FjSevWZxXJxf5EXpQpJT7U-6TRQAHa/view?usp=drivesdk")</f>
        <v>https://drive.google.com/file/d/1h5FjSevWZxXJxf5EXpQpJT7U-6TRQAHa/view?usp=drivesdk</v>
      </c>
      <c r="C97" s="147" t="str">
        <f>IFERROR(__xludf.DUMMYFUNCTION("""COMPUTED_VALUE"""),"10.1371--journal.pone.0163051.pdf")</f>
        <v>10.1371--journal.pone.0163051.pdf</v>
      </c>
      <c r="D97" s="147" t="str">
        <f>IFERROR(__xludf.DUMMYFUNCTION("""COMPUTED_VALUE"""),"application/pdf")</f>
        <v>application/pdf</v>
      </c>
    </row>
    <row r="98">
      <c r="A98" s="147" t="str">
        <f>IFERROR(__xludf.DUMMYFUNCTION("""COMPUTED_VALUE"""),"10.1126/science.1222426 (1)")</f>
        <v>10.1126/science.1222426 (1)</v>
      </c>
      <c r="B98" s="453" t="str">
        <f>IFERROR(__xludf.DUMMYFUNCTION("""COMPUTED_VALUE"""),"https://drive.google.com/file/d/19AZSvRMmh1uo8b-VvXsL7fsoYgsniYAB/view?usp=drivesdk")</f>
        <v>https://drive.google.com/file/d/19AZSvRMmh1uo8b-VvXsL7fsoYgsniYAB/view?usp=drivesdk</v>
      </c>
      <c r="C98" s="147" t="str">
        <f>IFERROR(__xludf.DUMMYFUNCTION("""COMPUTED_VALUE"""),"10.1126--science.1222426 (1).pdf")</f>
        <v>10.1126--science.1222426 (1).pdf</v>
      </c>
      <c r="D98" s="147" t="str">
        <f>IFERROR(__xludf.DUMMYFUNCTION("""COMPUTED_VALUE"""),"application/pdf")</f>
        <v>application/pdf</v>
      </c>
    </row>
    <row r="99">
      <c r="A99" s="147" t="str">
        <f>IFERROR(__xludf.DUMMYFUNCTION("""COMPUTED_VALUE"""),"10.1177/095679761139849")</f>
        <v>10.1177/095679761139849</v>
      </c>
      <c r="B99" s="453" t="str">
        <f>IFERROR(__xludf.DUMMYFUNCTION("""COMPUTED_VALUE"""),"https://drive.google.com/file/d/1-VGr_VxXpDFd--FWOEgFXc-w3gJU0M5p/view?usp=drivesdk")</f>
        <v>https://drive.google.com/file/d/1-VGr_VxXpDFd--FWOEgFXc-w3gJU0M5p/view?usp=drivesdk</v>
      </c>
      <c r="C99" s="147" t="str">
        <f>IFERROR(__xludf.DUMMYFUNCTION("""COMPUTED_VALUE"""),"10.1177--095679761139849.pdf")</f>
        <v>10.1177--095679761139849.pdf</v>
      </c>
      <c r="D99" s="147" t="str">
        <f>IFERROR(__xludf.DUMMYFUNCTION("""COMPUTED_VALUE"""),"application/pdf")</f>
        <v>application/pdf</v>
      </c>
    </row>
    <row r="100">
      <c r="A100" s="147" t="str">
        <f>IFERROR(__xludf.DUMMYFUNCTION("""COMPUTED_VALUE"""),"10.1027/1864-9335/a000147 (1)")</f>
        <v>10.1027/1864-9335/a000147 (1)</v>
      </c>
      <c r="B100" s="453" t="str">
        <f>IFERROR(__xludf.DUMMYFUNCTION("""COMPUTED_VALUE"""),"https://drive.google.com/file/d/1aljqzNt_a-5H2xNod0DXK2LsjIq9xXuj/view?usp=drivesdk")</f>
        <v>https://drive.google.com/file/d/1aljqzNt_a-5H2xNod0DXK2LsjIq9xXuj/view?usp=drivesdk</v>
      </c>
      <c r="C100" s="147" t="str">
        <f>IFERROR(__xludf.DUMMYFUNCTION("""COMPUTED_VALUE"""),"10.1027--1864-9335--a000147 (1).pdf")</f>
        <v>10.1027--1864-9335--a000147 (1).pdf</v>
      </c>
      <c r="D100" s="147" t="str">
        <f>IFERROR(__xludf.DUMMYFUNCTION("""COMPUTED_VALUE"""),"application/pdf")</f>
        <v>application/pdf</v>
      </c>
    </row>
    <row r="101">
      <c r="A101" s="147" t="str">
        <f>IFERROR(__xludf.DUMMYFUNCTION("""COMPUTED_VALUE"""),"10.1177/0956797611432497 (1)")</f>
        <v>10.1177/0956797611432497 (1)</v>
      </c>
      <c r="B101" s="453" t="str">
        <f>IFERROR(__xludf.DUMMYFUNCTION("""COMPUTED_VALUE"""),"https://drive.google.com/file/d/1cNdWPR0lbNPUCDeI0DicvFV8ZWXKF8P4/view?usp=drivesdk")</f>
        <v>https://drive.google.com/file/d/1cNdWPR0lbNPUCDeI0DicvFV8ZWXKF8P4/view?usp=drivesdk</v>
      </c>
      <c r="C101" s="147" t="str">
        <f>IFERROR(__xludf.DUMMYFUNCTION("""COMPUTED_VALUE"""),"10.1177--0956797611432497 (1).pdf")</f>
        <v>10.1177--0956797611432497 (1).pdf</v>
      </c>
      <c r="D101" s="147" t="str">
        <f>IFERROR(__xludf.DUMMYFUNCTION("""COMPUTED_VALUE"""),"application/pdf")</f>
        <v>application/pdf</v>
      </c>
    </row>
    <row r="102">
      <c r="A102" s="147" t="str">
        <f>IFERROR(__xludf.DUMMYFUNCTION("""COMPUTED_VALUE"""),"10.1037/a0023527 (1)")</f>
        <v>10.1037/a0023527 (1)</v>
      </c>
      <c r="B102" s="453" t="str">
        <f>IFERROR(__xludf.DUMMYFUNCTION("""COMPUTED_VALUE"""),"https://drive.google.com/file/d/1MZZLO_m55KdbCtMX7Abk1knww_Eu3Byx/view?usp=drivesdk")</f>
        <v>https://drive.google.com/file/d/1MZZLO_m55KdbCtMX7Abk1knww_Eu3Byx/view?usp=drivesdk</v>
      </c>
      <c r="C102" s="147" t="str">
        <f>IFERROR(__xludf.DUMMYFUNCTION("""COMPUTED_VALUE"""),"10.1037--a0023527 (1).pdf")</f>
        <v>10.1037--a0023527 (1).pdf</v>
      </c>
      <c r="D102" s="147" t="str">
        <f>IFERROR(__xludf.DUMMYFUNCTION("""COMPUTED_VALUE"""),"application/pdf")</f>
        <v>application/pdf</v>
      </c>
    </row>
    <row r="103">
      <c r="A103" s="147" t="str">
        <f>IFERROR(__xludf.DUMMYFUNCTION("""COMPUTED_VALUE"""),"10.1111/j.1467-9280.2009.02326.x (1)")</f>
        <v>10.1111/j.1467-9280.2009.02326.x (1)</v>
      </c>
      <c r="B103" s="453" t="str">
        <f>IFERROR(__xludf.DUMMYFUNCTION("""COMPUTED_VALUE"""),"https://drive.google.com/file/d/1Rq8taADseprDE7oOK03RUVDBbNKz4-pg/view?usp=drivesdk")</f>
        <v>https://drive.google.com/file/d/1Rq8taADseprDE7oOK03RUVDBbNKz4-pg/view?usp=drivesdk</v>
      </c>
      <c r="C103" s="147" t="str">
        <f>IFERROR(__xludf.DUMMYFUNCTION("""COMPUTED_VALUE"""),"10.1111--j.1467-9280.2009.02326.x (1).pdf")</f>
        <v>10.1111--j.1467-9280.2009.02326.x (1).pdf</v>
      </c>
      <c r="D103" s="147" t="str">
        <f>IFERROR(__xludf.DUMMYFUNCTION("""COMPUTED_VALUE"""),"application/pdf")</f>
        <v>application/pdf</v>
      </c>
    </row>
    <row r="104">
      <c r="A104" s="147" t="str">
        <f>IFERROR(__xludf.DUMMYFUNCTION("""COMPUTED_VALUE"""),"10.1177/0146167299025002007 (1)")</f>
        <v>10.1177/0146167299025002007 (1)</v>
      </c>
      <c r="B104" s="453" t="str">
        <f>IFERROR(__xludf.DUMMYFUNCTION("""COMPUTED_VALUE"""),"https://drive.google.com/file/d/1OgSTpGHW34UAkF4DDcl5ghcaAHtU7oMz/view?usp=drivesdk")</f>
        <v>https://drive.google.com/file/d/1OgSTpGHW34UAkF4DDcl5ghcaAHtU7oMz/view?usp=drivesdk</v>
      </c>
      <c r="C104" s="147" t="str">
        <f>IFERROR(__xludf.DUMMYFUNCTION("""COMPUTED_VALUE"""),"10.1177--0146167299025002007 (1).pdf")</f>
        <v>10.1177--0146167299025002007 (1).pdf</v>
      </c>
      <c r="D104" s="147" t="str">
        <f>IFERROR(__xludf.DUMMYFUNCTION("""COMPUTED_VALUE"""),"application/pdf")</f>
        <v>application/pdf</v>
      </c>
    </row>
    <row r="105">
      <c r="A105" s="147" t="str">
        <f>IFERROR(__xludf.DUMMYFUNCTION("""COMPUTED_VALUE"""),"10.1037/h0031564 (1)")</f>
        <v>10.1037/h0031564 (1)</v>
      </c>
      <c r="B105" s="453" t="str">
        <f>IFERROR(__xludf.DUMMYFUNCTION("""COMPUTED_VALUE"""),"https://drive.google.com/file/d/1i6qGgi00RMPjfjymzXA5zrhw99E1HI_E/view?usp=drivesdk")</f>
        <v>https://drive.google.com/file/d/1i6qGgi00RMPjfjymzXA5zrhw99E1HI_E/view?usp=drivesdk</v>
      </c>
      <c r="C105" s="147" t="str">
        <f>IFERROR(__xludf.DUMMYFUNCTION("""COMPUTED_VALUE"""),"10.1037--h0031564 (1).pdf")</f>
        <v>10.1037--h0031564 (1).pdf</v>
      </c>
      <c r="D105" s="147" t="str">
        <f>IFERROR(__xludf.DUMMYFUNCTION("""COMPUTED_VALUE"""),"application/pdf")</f>
        <v>application/pdf</v>
      </c>
    </row>
    <row r="106">
      <c r="A106" s="147" t="str">
        <f>IFERROR(__xludf.DUMMYFUNCTION("""COMPUTED_VALUE"""),"10.1111/j.1467-9280.2006.01811.x (1)")</f>
        <v>10.1111/j.1467-9280.2006.01811.x (1)</v>
      </c>
      <c r="B106" s="453" t="str">
        <f>IFERROR(__xludf.DUMMYFUNCTION("""COMPUTED_VALUE"""),"https://drive.google.com/file/d/1-zDlqGJHLgnf0EEC6-j_EElNHHgqV-X-/view?usp=drivesdk")</f>
        <v>https://drive.google.com/file/d/1-zDlqGJHLgnf0EEC6-j_EElNHHgqV-X-/view?usp=drivesdk</v>
      </c>
      <c r="C106" s="147" t="str">
        <f>IFERROR(__xludf.DUMMYFUNCTION("""COMPUTED_VALUE"""),"10.1111--j.1467-9280.2006.01811.x (1).pdf")</f>
        <v>10.1111--j.1467-9280.2006.01811.x (1).pdf</v>
      </c>
      <c r="D106" s="147" t="str">
        <f>IFERROR(__xludf.DUMMYFUNCTION("""COMPUTED_VALUE"""),"application/pdf")</f>
        <v>application/pdf</v>
      </c>
    </row>
    <row r="107">
      <c r="A107" s="147" t="str">
        <f>IFERROR(__xludf.DUMMYFUNCTION("""COMPUTED_VALUE"""),"10.1037/0022-3514.87.1.23")</f>
        <v>10.1037/0022-3514.87.1.23</v>
      </c>
      <c r="B107" s="453" t="str">
        <f>IFERROR(__xludf.DUMMYFUNCTION("""COMPUTED_VALUE"""),"https://drive.google.com/file/d/1AXlt7RiMQzSBR2Y8NqyVSEMYzhAeNHOQ/view?usp=drivesdk")</f>
        <v>https://drive.google.com/file/d/1AXlt7RiMQzSBR2Y8NqyVSEMYzhAeNHOQ/view?usp=drivesdk</v>
      </c>
      <c r="C107" s="147" t="str">
        <f>IFERROR(__xludf.DUMMYFUNCTION("""COMPUTED_VALUE"""),"10.1037--0022-3514.87.1.23.pdf")</f>
        <v>10.1037--0022-3514.87.1.23.pdf</v>
      </c>
      <c r="D107" s="147" t="str">
        <f>IFERROR(__xludf.DUMMYFUNCTION("""COMPUTED_VALUE"""),"application/pdf")</f>
        <v>application/pdf</v>
      </c>
    </row>
    <row r="108">
      <c r="A108" s="147" t="str">
        <f>IFERROR(__xludf.DUMMYFUNCTION("""COMPUTED_VALUE"""),"10.1086/268936 (1)")</f>
        <v>10.1086/268936 (1)</v>
      </c>
      <c r="B108" s="453" t="str">
        <f>IFERROR(__xludf.DUMMYFUNCTION("""COMPUTED_VALUE"""),"https://drive.google.com/file/d/1D2Zu4EZb1gNCoeCtBx-Kc5-d8n_tlf2s/view?usp=drivesdk")</f>
        <v>https://drive.google.com/file/d/1D2Zu4EZb1gNCoeCtBx-Kc5-d8n_tlf2s/view?usp=drivesdk</v>
      </c>
      <c r="C108" s="147" t="str">
        <f>IFERROR(__xludf.DUMMYFUNCTION("""COMPUTED_VALUE"""),"10.1086--268936 (1).pdf")</f>
        <v>10.1086--268936 (1).pdf</v>
      </c>
      <c r="D108" s="147" t="str">
        <f>IFERROR(__xludf.DUMMYFUNCTION("""COMPUTED_VALUE"""),"application/pdf")</f>
        <v>application/pdf</v>
      </c>
    </row>
    <row r="109">
      <c r="A109" s="147" t="str">
        <f>IFERROR(__xludf.DUMMYFUNCTION("""COMPUTED_VALUE"""),"10.1037/0022-3514.83.1.44 (1)")</f>
        <v>10.1037/0022-3514.83.1.44 (1)</v>
      </c>
      <c r="B109" s="453" t="str">
        <f>IFERROR(__xludf.DUMMYFUNCTION("""COMPUTED_VALUE"""),"https://drive.google.com/file/d/18_vbF9xsKb2IuV-06Pdvovh4AYJfJmdk/view?usp=drivesdk")</f>
        <v>https://drive.google.com/file/d/18_vbF9xsKb2IuV-06Pdvovh4AYJfJmdk/view?usp=drivesdk</v>
      </c>
      <c r="C109" s="147" t="str">
        <f>IFERROR(__xludf.DUMMYFUNCTION("""COMPUTED_VALUE"""),"10.1037--0022-3514.83.1.44 (1).pdf")</f>
        <v>10.1037--0022-3514.83.1.44 (1).pdf</v>
      </c>
      <c r="D109" s="147" t="str">
        <f>IFERROR(__xludf.DUMMYFUNCTION("""COMPUTED_VALUE"""),"application/pdf")</f>
        <v>application/pdf</v>
      </c>
    </row>
    <row r="110">
      <c r="A110" s="147" t="str">
        <f>IFERROR(__xludf.DUMMYFUNCTION("""COMPUTED_VALUE"""),"10.1016/j.obhdp.2004.12.002 (1)")</f>
        <v>10.1016/j.obhdp.2004.12.002 (1)</v>
      </c>
      <c r="B110" s="453" t="str">
        <f>IFERROR(__xludf.DUMMYFUNCTION("""COMPUTED_VALUE"""),"https://drive.google.com/file/d/1JkPrBBF4Aq2YUf-0H80A4LRFwpsSLSt5/view?usp=drivesdk")</f>
        <v>https://drive.google.com/file/d/1JkPrBBF4Aq2YUf-0H80A4LRFwpsSLSt5/view?usp=drivesdk</v>
      </c>
      <c r="C110" s="147" t="str">
        <f>IFERROR(__xludf.DUMMYFUNCTION("""COMPUTED_VALUE"""),"10.1016--j.obhdp.2004.12.002 (1).pdf")</f>
        <v>10.1016--j.obhdp.2004.12.002 (1).pdf</v>
      </c>
      <c r="D110" s="147" t="str">
        <f>IFERROR(__xludf.DUMMYFUNCTION("""COMPUTED_VALUE"""),"application/pdf")</f>
        <v>application/pdf</v>
      </c>
    </row>
    <row r="111">
      <c r="A111" s="147" t="str">
        <f>IFERROR(__xludf.DUMMYFUNCTION("""COMPUTED_VALUE"""),"10.1002/bdm.586 (1)")</f>
        <v>10.1002/bdm.586 (1)</v>
      </c>
      <c r="B111" s="453" t="str">
        <f>IFERROR(__xludf.DUMMYFUNCTION("""COMPUTED_VALUE"""),"https://drive.google.com/file/d/1eE0OchiMhyZQIQ1poZQWj2bOeC8mnJ63/view?usp=drivesdk")</f>
        <v>https://drive.google.com/file/d/1eE0OchiMhyZQIQ1poZQWj2bOeC8mnJ63/view?usp=drivesdk</v>
      </c>
      <c r="C111" s="147" t="str">
        <f>IFERROR(__xludf.DUMMYFUNCTION("""COMPUTED_VALUE"""),"10.1002--bdm.586 (1).pdf")</f>
        <v>10.1002--bdm.586 (1).pdf</v>
      </c>
      <c r="D111" s="147" t="str">
        <f>IFERROR(__xludf.DUMMYFUNCTION("""COMPUTED_VALUE"""),"application/pdf")</f>
        <v>application/pdf</v>
      </c>
    </row>
    <row r="112">
      <c r="A112" s="147" t="str">
        <f>IFERROR(__xludf.DUMMYFUNCTION("""COMPUTED_VALUE"""),"10.1177/0956797614524581 (1)")</f>
        <v>10.1177/0956797614524581 (1)</v>
      </c>
      <c r="B112" s="453" t="str">
        <f>IFERROR(__xludf.DUMMYFUNCTION("""COMPUTED_VALUE"""),"https://drive.google.com/file/d/1rA-SYIYa40jtaCXuwEf-xjfS-ihJSDa5/view?usp=drivesdk")</f>
        <v>https://drive.google.com/file/d/1rA-SYIYa40jtaCXuwEf-xjfS-ihJSDa5/view?usp=drivesdk</v>
      </c>
      <c r="C112" s="147" t="str">
        <f>IFERROR(__xludf.DUMMYFUNCTION("""COMPUTED_VALUE"""),"10.1177--0956797614524581 (1).pdf")</f>
        <v>10.1177--0956797614524581 (1).pdf</v>
      </c>
      <c r="D112" s="147" t="str">
        <f>IFERROR(__xludf.DUMMYFUNCTION("""COMPUTED_VALUE"""),"application/pdf")</f>
        <v>application/pdf</v>
      </c>
    </row>
    <row r="113">
      <c r="A113" s="147" t="str">
        <f>IFERROR(__xludf.DUMMYFUNCTION("""COMPUTED_VALUE"""),"10.3758/bf03197186")</f>
        <v>10.3758/bf03197186</v>
      </c>
      <c r="B113" s="453" t="str">
        <f>IFERROR(__xludf.DUMMYFUNCTION("""COMPUTED_VALUE"""),"https://drive.google.com/file/d/1mbPAy1TbNwV2XOfDjz6F7ail2VgA51o4/view?usp=drivesdk")</f>
        <v>https://drive.google.com/file/d/1mbPAy1TbNwV2XOfDjz6F7ail2VgA51o4/view?usp=drivesdk</v>
      </c>
      <c r="C113" s="147" t="str">
        <f>IFERROR(__xludf.DUMMYFUNCTION("""COMPUTED_VALUE"""),"10.3758--bf03197186.pdf")</f>
        <v>10.3758--bf03197186.pdf</v>
      </c>
      <c r="D113" s="147" t="str">
        <f>IFERROR(__xludf.DUMMYFUNCTION("""COMPUTED_VALUE"""),"application/pdf")</f>
        <v>application/pdf</v>
      </c>
    </row>
    <row r="114">
      <c r="A114" s="147" t="str">
        <f>IFERROR(__xludf.DUMMYFUNCTION("""COMPUTED_VALUE"""),"10.1023/a-1019923923537")</f>
        <v>10.1023/a-1019923923537</v>
      </c>
      <c r="B114" s="453" t="str">
        <f>IFERROR(__xludf.DUMMYFUNCTION("""COMPUTED_VALUE"""),"https://drive.google.com/file/d/16gyxPUUHdCNaQJ0J7lxySjT9ggprIeYM/view?usp=drivesdk")</f>
        <v>https://drive.google.com/file/d/16gyxPUUHdCNaQJ0J7lxySjT9ggprIeYM/view?usp=drivesdk</v>
      </c>
      <c r="C114" s="147" t="str">
        <f>IFERROR(__xludf.DUMMYFUNCTION("""COMPUTED_VALUE"""),"10.1023--a-1019923923537.pdf")</f>
        <v>10.1023--a-1019923923537.pdf</v>
      </c>
      <c r="D114" s="147" t="str">
        <f>IFERROR(__xludf.DUMMYFUNCTION("""COMPUTED_VALUE"""),"application/pdf")</f>
        <v>application/pdf</v>
      </c>
    </row>
    <row r="115">
      <c r="A115" s="147" t="str">
        <f>IFERROR(__xludf.DUMMYFUNCTION("""COMPUTED_VALUE"""),"10.1016/j.cognition.2013.09.001 (1)")</f>
        <v>10.1016/j.cognition.2013.09.001 (1)</v>
      </c>
      <c r="B115" s="453" t="str">
        <f>IFERROR(__xludf.DUMMYFUNCTION("""COMPUTED_VALUE"""),"https://drive.google.com/file/d/1t9qJ81WHWp5VhrEXSET_reGhe9475Bh9/view?usp=drivesdk")</f>
        <v>https://drive.google.com/file/d/1t9qJ81WHWp5VhrEXSET_reGhe9475Bh9/view?usp=drivesdk</v>
      </c>
      <c r="C115" s="147" t="str">
        <f>IFERROR(__xludf.DUMMYFUNCTION("""COMPUTED_VALUE"""),"10.1016--j.cognition.2013.09.001 (1).pdf")</f>
        <v>10.1016--j.cognition.2013.09.001 (1).pdf</v>
      </c>
      <c r="D115" s="147" t="str">
        <f>IFERROR(__xludf.DUMMYFUNCTION("""COMPUTED_VALUE"""),"application/pdf")</f>
        <v>application/pdf</v>
      </c>
    </row>
    <row r="116">
      <c r="A116" s="147" t="str">
        <f>IFERROR(__xludf.DUMMYFUNCTION("""COMPUTED_VALUE"""),"10.1037/0022-3514.68.5.793 (1)")</f>
        <v>10.1037/0022-3514.68.5.793 (1)</v>
      </c>
      <c r="B116" s="453" t="str">
        <f>IFERROR(__xludf.DUMMYFUNCTION("""COMPUTED_VALUE"""),"https://drive.google.com/file/d/1KE2_KbSJJfv-f7spdLCghooBjy4qsIJa/view?usp=drivesdk")</f>
        <v>https://drive.google.com/file/d/1KE2_KbSJJfv-f7spdLCghooBjy4qsIJa/view?usp=drivesdk</v>
      </c>
      <c r="C116" s="147" t="str">
        <f>IFERROR(__xludf.DUMMYFUNCTION("""COMPUTED_VALUE"""),"10.1037--0022-3514.68.5.793 (1).pdf")</f>
        <v>10.1037--0022-3514.68.5.793 (1).pdf</v>
      </c>
      <c r="D116" s="147" t="str">
        <f>IFERROR(__xludf.DUMMYFUNCTION("""COMPUTED_VALUE"""),"application/pdf")</f>
        <v>application/pdf</v>
      </c>
    </row>
    <row r="117">
      <c r="A117" s="147" t="str">
        <f>IFERROR(__xludf.DUMMYFUNCTION("""COMPUTED_VALUE"""),"10.1016/j.obhdp.2006.01.005 (1)")</f>
        <v>10.1016/j.obhdp.2006.01.005 (1)</v>
      </c>
      <c r="B117" s="453" t="str">
        <f>IFERROR(__xludf.DUMMYFUNCTION("""COMPUTED_VALUE"""),"https://drive.google.com/file/d/1ybAI4YzebcDR7N7P3YuEn7EPZ-qd3U5d/view?usp=drivesdk")</f>
        <v>https://drive.google.com/file/d/1ybAI4YzebcDR7N7P3YuEn7EPZ-qd3U5d/view?usp=drivesdk</v>
      </c>
      <c r="C117" s="147" t="str">
        <f>IFERROR(__xludf.DUMMYFUNCTION("""COMPUTED_VALUE"""),"10.1016--j.obhdp.2006.01.005 (1).pdf")</f>
        <v>10.1016--j.obhdp.2006.01.005 (1).pdf</v>
      </c>
      <c r="D117" s="147" t="str">
        <f>IFERROR(__xludf.DUMMYFUNCTION("""COMPUTED_VALUE"""),"application/pdf")</f>
        <v>application/pdf</v>
      </c>
    </row>
    <row r="118">
      <c r="A118" s="147" t="str">
        <f>IFERROR(__xludf.DUMMYFUNCTION("""COMPUTED_VALUE"""),"10.1073/pnas.1209746109 (1)")</f>
        <v>10.1073/pnas.1209746109 (1)</v>
      </c>
      <c r="B118" s="453" t="str">
        <f>IFERROR(__xludf.DUMMYFUNCTION("""COMPUTED_VALUE"""),"https://drive.google.com/file/d/1tYYVnCHsGShtN-tSDmS_qLMmhT1RawfF/view?usp=drivesdk")</f>
        <v>https://drive.google.com/file/d/1tYYVnCHsGShtN-tSDmS_qLMmhT1RawfF/view?usp=drivesdk</v>
      </c>
      <c r="C118" s="147" t="str">
        <f>IFERROR(__xludf.DUMMYFUNCTION("""COMPUTED_VALUE"""),"10.1073--pnas.1209746109 (1).pdf")</f>
        <v>10.1073--pnas.1209746109 (1).pdf</v>
      </c>
      <c r="D118" s="147" t="str">
        <f>IFERROR(__xludf.DUMMYFUNCTION("""COMPUTED_VALUE"""),"application/pdf")</f>
        <v>application/pdf</v>
      </c>
    </row>
    <row r="119">
      <c r="A119" s="147" t="str">
        <f>IFERROR(__xludf.DUMMYFUNCTION("""COMPUTED_VALUE"""),"10.1037/0012-1649.26.6.978")</f>
        <v>10.1037/0012-1649.26.6.978</v>
      </c>
      <c r="B119" s="453" t="str">
        <f>IFERROR(__xludf.DUMMYFUNCTION("""COMPUTED_VALUE"""),"https://drive.google.com/file/d/1L1JXb9Oey_9pMplHv8uIW4_RkxCF0Y2i/view?usp=drivesdk")</f>
        <v>https://drive.google.com/file/d/1L1JXb9Oey_9pMplHv8uIW4_RkxCF0Y2i/view?usp=drivesdk</v>
      </c>
      <c r="C119" s="147" t="str">
        <f>IFERROR(__xludf.DUMMYFUNCTION("""COMPUTED_VALUE"""),"10.1037--0012-1649.26.6.978.pdf")</f>
        <v>10.1037--0012-1649.26.6.978.pdf</v>
      </c>
      <c r="D119" s="147" t="str">
        <f>IFERROR(__xludf.DUMMYFUNCTION("""COMPUTED_VALUE"""),"application/pdf")</f>
        <v>application/pdf</v>
      </c>
    </row>
    <row r="120">
      <c r="A120" s="147" t="str">
        <f>IFERROR(__xludf.DUMMYFUNCTION("""COMPUTED_VALUE"""),"10.1037/0022-3514.49.6.1621 (1)")</f>
        <v>10.1037/0022-3514.49.6.1621 (1)</v>
      </c>
      <c r="B120" s="453" t="str">
        <f>IFERROR(__xludf.DUMMYFUNCTION("""COMPUTED_VALUE"""),"https://drive.google.com/file/d/1LWKAeEW0fgjygV6WCnKyQeX8316YUgWo/view?usp=drivesdk")</f>
        <v>https://drive.google.com/file/d/1LWKAeEW0fgjygV6WCnKyQeX8316YUgWo/view?usp=drivesdk</v>
      </c>
      <c r="C120" s="147" t="str">
        <f>IFERROR(__xludf.DUMMYFUNCTION("""COMPUTED_VALUE"""),"10.1037--0022-3514.49.6.1621 (1).pdf")</f>
        <v>10.1037--0022-3514.49.6.1621 (1).pdf</v>
      </c>
      <c r="D120" s="147" t="str">
        <f>IFERROR(__xludf.DUMMYFUNCTION("""COMPUTED_VALUE"""),"application/pdf")</f>
        <v>application/pdf</v>
      </c>
    </row>
    <row r="121">
      <c r="A121" s="147" t="str">
        <f>IFERROR(__xludf.DUMMYFUNCTION("""COMPUTED_VALUE"""),"10.1111/j.1467-9280.2008.02045.x (1)")</f>
        <v>10.1111/j.1467-9280.2008.02045.x (1)</v>
      </c>
      <c r="B121" s="453" t="str">
        <f>IFERROR(__xludf.DUMMYFUNCTION("""COMPUTED_VALUE"""),"https://drive.google.com/file/d/1APtHsdPZdNiDfNyY-PyeC3zINU-OvBJP/view?usp=drivesdk")</f>
        <v>https://drive.google.com/file/d/1APtHsdPZdNiDfNyY-PyeC3zINU-OvBJP/view?usp=drivesdk</v>
      </c>
      <c r="C121" s="147" t="str">
        <f>IFERROR(__xludf.DUMMYFUNCTION("""COMPUTED_VALUE"""),"10.1111--j.1467-9280.2008.02045.x (1).pdf")</f>
        <v>10.1111--j.1467-9280.2008.02045.x (1).pdf</v>
      </c>
      <c r="D121" s="147" t="str">
        <f>IFERROR(__xludf.DUMMYFUNCTION("""COMPUTED_VALUE"""),"application/pdf")</f>
        <v>application/pdf</v>
      </c>
    </row>
    <row r="122">
      <c r="A122" s="147" t="str">
        <f>IFERROR(__xludf.DUMMYFUNCTION("""COMPUTED_VALUE"""),"10.1016/j.jcps.2011.08.002")</f>
        <v>10.1016/j.jcps.2011.08.002</v>
      </c>
      <c r="B122" s="453" t="str">
        <f>IFERROR(__xludf.DUMMYFUNCTION("""COMPUTED_VALUE"""),"https://drive.google.com/file/d/1PWDkOGXs97kFv6WHFZUdhjP_VsHDNaMe/view?usp=drivesdk")</f>
        <v>https://drive.google.com/file/d/1PWDkOGXs97kFv6WHFZUdhjP_VsHDNaMe/view?usp=drivesdk</v>
      </c>
      <c r="C122" s="147" t="str">
        <f>IFERROR(__xludf.DUMMYFUNCTION("""COMPUTED_VALUE"""),"10.1016--j.jcps.2011.08.002.pdf")</f>
        <v>10.1016--j.jcps.2011.08.002.pdf</v>
      </c>
      <c r="D122" s="147" t="str">
        <f>IFERROR(__xludf.DUMMYFUNCTION("""COMPUTED_VALUE"""),"application/pdf")</f>
        <v>application/pdf</v>
      </c>
    </row>
    <row r="123">
      <c r="A123" s="147" t="str">
        <f>IFERROR(__xludf.DUMMYFUNCTION("""COMPUTED_VALUE"""),"10.1177/0956797614563958 (1)")</f>
        <v>10.1177/0956797614563958 (1)</v>
      </c>
      <c r="B123" s="453" t="str">
        <f>IFERROR(__xludf.DUMMYFUNCTION("""COMPUTED_VALUE"""),"https://drive.google.com/file/d/1c3ckeqDBFYPileJxyZAUCNV7gyxN2mcw/view?usp=drivesdk")</f>
        <v>https://drive.google.com/file/d/1c3ckeqDBFYPileJxyZAUCNV7gyxN2mcw/view?usp=drivesdk</v>
      </c>
      <c r="C123" s="147" t="str">
        <f>IFERROR(__xludf.DUMMYFUNCTION("""COMPUTED_VALUE"""),"10.1177--0956797614563958 (1).pdf")</f>
        <v>10.1177--0956797614563958 (1).pdf</v>
      </c>
      <c r="D123" s="147" t="str">
        <f>IFERROR(__xludf.DUMMYFUNCTION("""COMPUTED_VALUE"""),"application/pdf")</f>
        <v>application/pdf</v>
      </c>
    </row>
    <row r="124">
      <c r="A124" s="147" t="str">
        <f>IFERROR(__xludf.DUMMYFUNCTION("""COMPUTED_VALUE"""),"10.1080/17439760.2017.1279210 (1)")</f>
        <v>10.1080/17439760.2017.1279210 (1)</v>
      </c>
      <c r="B124" s="453" t="str">
        <f>IFERROR(__xludf.DUMMYFUNCTION("""COMPUTED_VALUE"""),"https://drive.google.com/file/d/1bEbFN6Any8y8ceRfD397YRjMmRoEv-T6/view?usp=drivesdk")</f>
        <v>https://drive.google.com/file/d/1bEbFN6Any8y8ceRfD397YRjMmRoEv-T6/view?usp=drivesdk</v>
      </c>
      <c r="C124" s="147" t="str">
        <f>IFERROR(__xludf.DUMMYFUNCTION("""COMPUTED_VALUE"""),"10.1080--17439760.2017.1279210 (1).pdf")</f>
        <v>10.1080--17439760.2017.1279210 (1).pdf</v>
      </c>
      <c r="D124" s="147" t="str">
        <f>IFERROR(__xludf.DUMMYFUNCTION("""COMPUTED_VALUE"""),"application/pdf")</f>
        <v>application/pdf</v>
      </c>
    </row>
    <row r="125">
      <c r="A125" s="147" t="str">
        <f>IFERROR(__xludf.DUMMYFUNCTION("""COMPUTED_VALUE"""),"10.1073/pnas.080126810")</f>
        <v>10.1073/pnas.080126810</v>
      </c>
      <c r="B125" s="453" t="str">
        <f>IFERROR(__xludf.DUMMYFUNCTION("""COMPUTED_VALUE"""),"https://drive.google.com/file/d/1OrJJtuTywsaJhsnTKJn5W5V9ZGnr8tWA/view?usp=drivesdk")</f>
        <v>https://drive.google.com/file/d/1OrJJtuTywsaJhsnTKJn5W5V9ZGnr8tWA/view?usp=drivesdk</v>
      </c>
      <c r="C125" s="147" t="str">
        <f>IFERROR(__xludf.DUMMYFUNCTION("""COMPUTED_VALUE"""),"10.1073--pnas.080126810.pdf")</f>
        <v>10.1073--pnas.080126810.pdf</v>
      </c>
      <c r="D125" s="147" t="str">
        <f>IFERROR(__xludf.DUMMYFUNCTION("""COMPUTED_VALUE"""),"application/pdf")</f>
        <v>application/pdf</v>
      </c>
    </row>
    <row r="126">
      <c r="A126" s="147" t="str">
        <f>IFERROR(__xludf.DUMMYFUNCTION("""COMPUTED_VALUE"""),"10.1177/095679761246641616")</f>
        <v>10.1177/095679761246641616</v>
      </c>
      <c r="B126" s="453" t="str">
        <f>IFERROR(__xludf.DUMMYFUNCTION("""COMPUTED_VALUE"""),"https://drive.google.com/file/d/1zXW2G0B46fBJ7RbZBr7zK2RRM3wBpWBc/view?usp=drivesdk")</f>
        <v>https://drive.google.com/file/d/1zXW2G0B46fBJ7RbZBr7zK2RRM3wBpWBc/view?usp=drivesdk</v>
      </c>
      <c r="C126" s="147" t="str">
        <f>IFERROR(__xludf.DUMMYFUNCTION("""COMPUTED_VALUE"""),"10.1177--095679761246641616.pdf")</f>
        <v>10.1177--095679761246641616.pdf</v>
      </c>
      <c r="D126" s="147" t="str">
        <f>IFERROR(__xludf.DUMMYFUNCTION("""COMPUTED_VALUE"""),"application/pdf")</f>
        <v>application/pdf</v>
      </c>
    </row>
    <row r="127">
      <c r="A127" s="147" t="str">
        <f>IFERROR(__xludf.DUMMYFUNCTION("""COMPUTED_VALUE"""),"10.1016/0022-1031(89)90010-3")</f>
        <v>10.1016/0022-1031(89)90010-3</v>
      </c>
      <c r="B127" s="453" t="str">
        <f>IFERROR(__xludf.DUMMYFUNCTION("""COMPUTED_VALUE"""),"https://drive.google.com/file/d/1C1_WdM4KBfxxYh8OlSnsd2WhUKw-IYkW/view?usp=drivesdk")</f>
        <v>https://drive.google.com/file/d/1C1_WdM4KBfxxYh8OlSnsd2WhUKw-IYkW/view?usp=drivesdk</v>
      </c>
      <c r="C127" s="147" t="str">
        <f>IFERROR(__xludf.DUMMYFUNCTION("""COMPUTED_VALUE"""),"10.1016--0022-1031(89)90010-3.pdf")</f>
        <v>10.1016--0022-1031(89)90010-3.pdf</v>
      </c>
      <c r="D127" s="147" t="str">
        <f>IFERROR(__xludf.DUMMYFUNCTION("""COMPUTED_VALUE"""),"application/pdf")</f>
        <v>application/pdf</v>
      </c>
    </row>
    <row r="128">
      <c r="A128" s="147" t="str">
        <f>IFERROR(__xludf.DUMMYFUNCTION("""COMPUTED_VALUE"""),"10.1111/1467-9280.00111")</f>
        <v>10.1111/1467-9280.00111</v>
      </c>
      <c r="B128" s="453" t="str">
        <f>IFERROR(__xludf.DUMMYFUNCTION("""COMPUTED_VALUE"""),"https://drive.google.com/file/d/1hSDof4lTHAM0fMfsscfY0mGvViCdavwX/view?usp=drivesdk")</f>
        <v>https://drive.google.com/file/d/1hSDof4lTHAM0fMfsscfY0mGvViCdavwX/view?usp=drivesdk</v>
      </c>
      <c r="C128" s="147" t="str">
        <f>IFERROR(__xludf.DUMMYFUNCTION("""COMPUTED_VALUE"""),"10.1111--1467-9280.00111.pdf")</f>
        <v>10.1111--1467-9280.00111.pdf</v>
      </c>
      <c r="D128" s="147" t="str">
        <f>IFERROR(__xludf.DUMMYFUNCTION("""COMPUTED_VALUE"""),"application/pdf")</f>
        <v>application/pdf</v>
      </c>
    </row>
    <row r="129">
      <c r="A129" s="147" t="str">
        <f>IFERROR(__xludf.DUMMYFUNCTION("""COMPUTED_VALUE"""),"10.1016/j.jesp.2010.05.014 (1)")</f>
        <v>10.1016/j.jesp.2010.05.014 (1)</v>
      </c>
      <c r="B129" s="453" t="str">
        <f>IFERROR(__xludf.DUMMYFUNCTION("""COMPUTED_VALUE"""),"https://drive.google.com/file/d/1JYfQJMF32-bnzLtcqzalxSEnyc75jLy1/view?usp=drivesdk")</f>
        <v>https://drive.google.com/file/d/1JYfQJMF32-bnzLtcqzalxSEnyc75jLy1/view?usp=drivesdk</v>
      </c>
      <c r="C129" s="147" t="str">
        <f>IFERROR(__xludf.DUMMYFUNCTION("""COMPUTED_VALUE"""),"10.1016--j.jesp.2010.05.014 (1).pdf")</f>
        <v>10.1016--j.jesp.2010.05.014 (1).pdf</v>
      </c>
      <c r="D129" s="147" t="str">
        <f>IFERROR(__xludf.DUMMYFUNCTION("""COMPUTED_VALUE"""),"application/pdf")</f>
        <v>application/pdf</v>
      </c>
    </row>
    <row r="130">
      <c r="A130" s="147" t="str">
        <f>IFERROR(__xludf.DUMMYFUNCTION("""COMPUTED_VALUE"""),"10.1177/1368430207081533 (1)")</f>
        <v>10.1177/1368430207081533 (1)</v>
      </c>
      <c r="B130" s="453" t="str">
        <f>IFERROR(__xludf.DUMMYFUNCTION("""COMPUTED_VALUE"""),"https://drive.google.com/file/d/1x0hiMkAMMAu7RifdS0rxlSq4TXBkiNRA/view?usp=drivesdk")</f>
        <v>https://drive.google.com/file/d/1x0hiMkAMMAu7RifdS0rxlSq4TXBkiNRA/view?usp=drivesdk</v>
      </c>
      <c r="C130" s="147" t="str">
        <f>IFERROR(__xludf.DUMMYFUNCTION("""COMPUTED_VALUE"""),"10.1177--1368430207081533 (1).pdf")</f>
        <v>10.1177--1368430207081533 (1).pdf</v>
      </c>
      <c r="D130" s="147" t="str">
        <f>IFERROR(__xludf.DUMMYFUNCTION("""COMPUTED_VALUE"""),"application/pdf")</f>
        <v>application/pdf</v>
      </c>
    </row>
    <row r="131">
      <c r="A131" s="147" t="str">
        <f>IFERROR(__xludf.DUMMYFUNCTION("""COMPUTED_VALUE"""),"10.1037/0022-3514.95.5.1150 (1)")</f>
        <v>10.1037/0022-3514.95.5.1150 (1)</v>
      </c>
      <c r="B131" s="453" t="str">
        <f>IFERROR(__xludf.DUMMYFUNCTION("""COMPUTED_VALUE"""),"https://drive.google.com/file/d/1YRmjZgTo_v1L76nWsNrw9opAPNpUFd1K/view?usp=drivesdk")</f>
        <v>https://drive.google.com/file/d/1YRmjZgTo_v1L76nWsNrw9opAPNpUFd1K/view?usp=drivesdk</v>
      </c>
      <c r="C131" s="147" t="str">
        <f>IFERROR(__xludf.DUMMYFUNCTION("""COMPUTED_VALUE"""),"10.1037--0022-3514.95.5.1150 (1).pdf")</f>
        <v>10.1037--0022-3514.95.5.1150 (1).pdf</v>
      </c>
      <c r="D131" s="147" t="str">
        <f>IFERROR(__xludf.DUMMYFUNCTION("""COMPUTED_VALUE"""),"application/pdf")</f>
        <v>application/pdf</v>
      </c>
    </row>
    <row r="132">
      <c r="A132" s="147" t="str">
        <f>IFERROR(__xludf.DUMMYFUNCTION("""COMPUTED_VALUE"""),"10.1098/rspb.2011.1959 (1)")</f>
        <v>10.1098/rspb.2011.1959 (1)</v>
      </c>
      <c r="B132" s="453" t="str">
        <f>IFERROR(__xludf.DUMMYFUNCTION("""COMPUTED_VALUE"""),"https://drive.google.com/file/d/1jGrR9pobMos836wHFPkA3w5cxog8Wlf8/view?usp=drivesdk")</f>
        <v>https://drive.google.com/file/d/1jGrR9pobMos836wHFPkA3w5cxog8Wlf8/view?usp=drivesdk</v>
      </c>
      <c r="C132" s="147" t="str">
        <f>IFERROR(__xludf.DUMMYFUNCTION("""COMPUTED_VALUE"""),"10.1098--rspb.2011.1959 (1).pdf")</f>
        <v>10.1098--rspb.2011.1959 (1).pdf</v>
      </c>
      <c r="D132" s="147" t="str">
        <f>IFERROR(__xludf.DUMMYFUNCTION("""COMPUTED_VALUE"""),"application/pdf")</f>
        <v>application/pdf</v>
      </c>
    </row>
    <row r="133">
      <c r="A133" s="147" t="str">
        <f>IFERROR(__xludf.DUMMYFUNCTION("""COMPUTED_VALUE"""),"10.1038/nature03701 (1)")</f>
        <v>10.1038/nature03701 (1)</v>
      </c>
      <c r="B133" s="453" t="str">
        <f>IFERROR(__xludf.DUMMYFUNCTION("""COMPUTED_VALUE"""),"https://drive.google.com/file/d/1-KoA4w0UmKX-zBQBzGFrHdbnVeCwLedE/view?usp=drivesdk")</f>
        <v>https://drive.google.com/file/d/1-KoA4w0UmKX-zBQBzGFrHdbnVeCwLedE/view?usp=drivesdk</v>
      </c>
      <c r="C133" s="147" t="str">
        <f>IFERROR(__xludf.DUMMYFUNCTION("""COMPUTED_VALUE"""),"10.1038--nature03701 (1).pdf")</f>
        <v>10.1038--nature03701 (1).pdf</v>
      </c>
      <c r="D133" s="147" t="str">
        <f>IFERROR(__xludf.DUMMYFUNCTION("""COMPUTED_VALUE"""),"application/pdf")</f>
        <v>application/pdf</v>
      </c>
    </row>
    <row r="134">
      <c r="A134" s="147" t="str">
        <f>IFERROR(__xludf.DUMMYFUNCTION("""COMPUTED_VALUE"""),"10.1093/jcr/ucv007 (1)")</f>
        <v>10.1093/jcr/ucv007 (1)</v>
      </c>
      <c r="B134" s="453" t="str">
        <f>IFERROR(__xludf.DUMMYFUNCTION("""COMPUTED_VALUE"""),"https://drive.google.com/file/d/1aPthYdh8kaoZELmxgMpN1wR6XnqiBcz-/view?usp=drivesdk")</f>
        <v>https://drive.google.com/file/d/1aPthYdh8kaoZELmxgMpN1wR6XnqiBcz-/view?usp=drivesdk</v>
      </c>
      <c r="C134" s="147" t="str">
        <f>IFERROR(__xludf.DUMMYFUNCTION("""COMPUTED_VALUE"""),"10.1093--jcr--ucv007 (1).pdf")</f>
        <v>10.1093--jcr--ucv007 (1).pdf</v>
      </c>
      <c r="D134" s="147" t="str">
        <f>IFERROR(__xludf.DUMMYFUNCTION("""COMPUTED_VALUE"""),"application/pdf")</f>
        <v>application/pdf</v>
      </c>
    </row>
    <row r="135">
      <c r="A135" s="147" t="str">
        <f>IFERROR(__xludf.DUMMYFUNCTION("""COMPUTED_VALUE"""),"10.1093/jcr/ucv048 (1)")</f>
        <v>10.1093/jcr/ucv048 (1)</v>
      </c>
      <c r="B135" s="453" t="str">
        <f>IFERROR(__xludf.DUMMYFUNCTION("""COMPUTED_VALUE"""),"https://drive.google.com/file/d/12THeIMZ2Ep8Asu-0MmFgX3d6VIB7qcC2/view?usp=drivesdk")</f>
        <v>https://drive.google.com/file/d/12THeIMZ2Ep8Asu-0MmFgX3d6VIB7qcC2/view?usp=drivesdk</v>
      </c>
      <c r="C135" s="147" t="str">
        <f>IFERROR(__xludf.DUMMYFUNCTION("""COMPUTED_VALUE"""),"10.1093--jcr--ucv048 (1).pdf")</f>
        <v>10.1093--jcr--ucv048 (1).pdf</v>
      </c>
      <c r="D135" s="147" t="str">
        <f>IFERROR(__xludf.DUMMYFUNCTION("""COMPUTED_VALUE"""),"application/pdf")</f>
        <v>application/pdf</v>
      </c>
    </row>
    <row r="136">
      <c r="A136" s="147" t="str">
        <f>IFERROR(__xludf.DUMMYFUNCTION("""COMPUTED_VALUE"""),"10.1093/jcr/ucx066 (1)")</f>
        <v>10.1093/jcr/ucx066 (1)</v>
      </c>
      <c r="B136" s="453" t="str">
        <f>IFERROR(__xludf.DUMMYFUNCTION("""COMPUTED_VALUE"""),"https://drive.google.com/file/d/1hJA8QyeDp4Vm559mbO8DCZflU8Edzdja/view?usp=drivesdk")</f>
        <v>https://drive.google.com/file/d/1hJA8QyeDp4Vm559mbO8DCZflU8Edzdja/view?usp=drivesdk</v>
      </c>
      <c r="C136" s="147" t="str">
        <f>IFERROR(__xludf.DUMMYFUNCTION("""COMPUTED_VALUE"""),"10.1093--jcr--ucx066 (1).pdf")</f>
        <v>10.1093--jcr--ucx066 (1).pdf</v>
      </c>
      <c r="D136" s="147" t="str">
        <f>IFERROR(__xludf.DUMMYFUNCTION("""COMPUTED_VALUE"""),"application/pdf")</f>
        <v>application/pdf</v>
      </c>
    </row>
    <row r="137">
      <c r="A137" s="147" t="str">
        <f>IFERROR(__xludf.DUMMYFUNCTION("""COMPUTED_VALUE"""),"10.1093/jcr/ucv051 (1)")</f>
        <v>10.1093/jcr/ucv051 (1)</v>
      </c>
      <c r="B137" s="453" t="str">
        <f>IFERROR(__xludf.DUMMYFUNCTION("""COMPUTED_VALUE"""),"https://drive.google.com/file/d/1aXjsynaYAzsiAP_XnLW15jUFOcnTDxW2/view?usp=drivesdk")</f>
        <v>https://drive.google.com/file/d/1aXjsynaYAzsiAP_XnLW15jUFOcnTDxW2/view?usp=drivesdk</v>
      </c>
      <c r="C137" s="147" t="str">
        <f>IFERROR(__xludf.DUMMYFUNCTION("""COMPUTED_VALUE"""),"10.1093--jcr--ucv051 (1).pdf")</f>
        <v>10.1093--jcr--ucv051 (1).pdf</v>
      </c>
      <c r="D137" s="147" t="str">
        <f>IFERROR(__xludf.DUMMYFUNCTION("""COMPUTED_VALUE"""),"application/pdf")</f>
        <v>application/pdf</v>
      </c>
    </row>
    <row r="138">
      <c r="A138" s="147" t="str">
        <f>IFERROR(__xludf.DUMMYFUNCTION("""COMPUTED_VALUE"""),"10.1002/jcpy.1028 (1)")</f>
        <v>10.1002/jcpy.1028 (1)</v>
      </c>
      <c r="B138" s="453" t="str">
        <f>IFERROR(__xludf.DUMMYFUNCTION("""COMPUTED_VALUE"""),"https://drive.google.com/file/d/1Nk5bFJSo0Kpn1lRyfOXRyXUcB5o-fwog/view?usp=drivesdk")</f>
        <v>https://drive.google.com/file/d/1Nk5bFJSo0Kpn1lRyfOXRyXUcB5o-fwog/view?usp=drivesdk</v>
      </c>
      <c r="C138" s="147" t="str">
        <f>IFERROR(__xludf.DUMMYFUNCTION("""COMPUTED_VALUE"""),"10.1002--jcpy.1028 (1).pdf")</f>
        <v>10.1002--jcpy.1028 (1).pdf</v>
      </c>
      <c r="D138" s="147" t="str">
        <f>IFERROR(__xludf.DUMMYFUNCTION("""COMPUTED_VALUE"""),"application/pdf")</f>
        <v>application/pdf</v>
      </c>
    </row>
    <row r="139">
      <c r="A139" s="147" t="str">
        <f>IFERROR(__xludf.DUMMYFUNCTION("""COMPUTED_VALUE"""),"10.1093/jcr/ucw056 (1)")</f>
        <v>10.1093/jcr/ucw056 (1)</v>
      </c>
      <c r="B139" s="453" t="str">
        <f>IFERROR(__xludf.DUMMYFUNCTION("""COMPUTED_VALUE"""),"https://drive.google.com/file/d/1FYnAE6ZVSAXu-_Vp5HcUF0KcHJCVyVxV/view?usp=drivesdk")</f>
        <v>https://drive.google.com/file/d/1FYnAE6ZVSAXu-_Vp5HcUF0KcHJCVyVxV/view?usp=drivesdk</v>
      </c>
      <c r="C139" s="147" t="str">
        <f>IFERROR(__xludf.DUMMYFUNCTION("""COMPUTED_VALUE"""),"10.1093--jcr--ucw056 (1).pdf")</f>
        <v>10.1093--jcr--ucw056 (1).pdf</v>
      </c>
      <c r="D139" s="147" t="str">
        <f>IFERROR(__xludf.DUMMYFUNCTION("""COMPUTED_VALUE"""),"application/pdf")</f>
        <v>application/pdf</v>
      </c>
    </row>
    <row r="140">
      <c r="A140" s="147" t="str">
        <f>IFERROR(__xludf.DUMMYFUNCTION("""COMPUTED_VALUE"""),"10.1086/679118 (1)")</f>
        <v>10.1086/679118 (1)</v>
      </c>
      <c r="B140" s="453" t="str">
        <f>IFERROR(__xludf.DUMMYFUNCTION("""COMPUTED_VALUE"""),"https://drive.google.com/file/d/1ib5kLo84evfYuXer8uGAcr-d89wsQzfg/view?usp=drivesdk")</f>
        <v>https://drive.google.com/file/d/1ib5kLo84evfYuXer8uGAcr-d89wsQzfg/view?usp=drivesdk</v>
      </c>
      <c r="C140" s="147" t="str">
        <f>IFERROR(__xludf.DUMMYFUNCTION("""COMPUTED_VALUE"""),"10.1086--679118 (1).pdf")</f>
        <v>10.1086--679118 (1).pdf</v>
      </c>
      <c r="D140" s="147" t="str">
        <f>IFERROR(__xludf.DUMMYFUNCTION("""COMPUTED_VALUE"""),"application/pdf")</f>
        <v>application/pdf</v>
      </c>
    </row>
    <row r="141">
      <c r="A141" s="147" t="str">
        <f>IFERROR(__xludf.DUMMYFUNCTION("""COMPUTED_VALUE"""),"10.1093/jcr/ucv023 (1)")</f>
        <v>10.1093/jcr/ucv023 (1)</v>
      </c>
      <c r="B141" s="453" t="str">
        <f>IFERROR(__xludf.DUMMYFUNCTION("""COMPUTED_VALUE"""),"https://drive.google.com/file/d/1qGLg9x70NBJmtWHEo9VL0BQ3bhmLEW4u/view?usp=drivesdk")</f>
        <v>https://drive.google.com/file/d/1qGLg9x70NBJmtWHEo9VL0BQ3bhmLEW4u/view?usp=drivesdk</v>
      </c>
      <c r="C141" s="147" t="str">
        <f>IFERROR(__xludf.DUMMYFUNCTION("""COMPUTED_VALUE"""),"10.1093--jcr--ucv023 (1).pdf")</f>
        <v>10.1093--jcr--ucv023 (1).pdf</v>
      </c>
      <c r="D141" s="147" t="str">
        <f>IFERROR(__xludf.DUMMYFUNCTION("""COMPUTED_VALUE"""),"application/pdf")</f>
        <v>application/pdf</v>
      </c>
    </row>
    <row r="142">
      <c r="A142" s="147" t="str">
        <f>IFERROR(__xludf.DUMMYFUNCTION("""COMPUTED_VALUE"""),"10.1086/673256 (1)")</f>
        <v>10.1086/673256 (1)</v>
      </c>
      <c r="B142" s="453" t="str">
        <f>IFERROR(__xludf.DUMMYFUNCTION("""COMPUTED_VALUE"""),"https://drive.google.com/file/d/1iYrVTffpOwEYVdc_R8x7R48IOknFPGII/view?usp=drivesdk")</f>
        <v>https://drive.google.com/file/d/1iYrVTffpOwEYVdc_R8x7R48IOknFPGII/view?usp=drivesdk</v>
      </c>
      <c r="C142" s="147" t="str">
        <f>IFERROR(__xludf.DUMMYFUNCTION("""COMPUTED_VALUE"""),"10.1086--673256 (1).pdf")</f>
        <v>10.1086--673256 (1).pdf</v>
      </c>
      <c r="D142" s="147" t="str">
        <f>IFERROR(__xludf.DUMMYFUNCTION("""COMPUTED_VALUE"""),"application/pdf")</f>
        <v>application/pdf</v>
      </c>
    </row>
    <row r="143">
      <c r="A143" s="147" t="str">
        <f>IFERROR(__xludf.DUMMYFUNCTION("""COMPUTED_VALUE"""),"10.1126/science.1215647 (1)")</f>
        <v>10.1126/science.1215647 (1)</v>
      </c>
      <c r="B143" s="453" t="str">
        <f>IFERROR(__xludf.DUMMYFUNCTION("""COMPUTED_VALUE"""),"https://drive.google.com/file/d/1Tbc-6U14FAowy_tbbn23yQYCuYKOnK__/view?usp=drivesdk")</f>
        <v>https://drive.google.com/file/d/1Tbc-6U14FAowy_tbbn23yQYCuYKOnK__/view?usp=drivesdk</v>
      </c>
      <c r="C143" s="147" t="str">
        <f>IFERROR(__xludf.DUMMYFUNCTION("""COMPUTED_VALUE"""),"10.1126--science.1215647 (1).pdf")</f>
        <v>10.1126--science.1215647 (1).pdf</v>
      </c>
      <c r="D143" s="147" t="str">
        <f>IFERROR(__xludf.DUMMYFUNCTION("""COMPUTED_VALUE"""),"application/pdf")</f>
        <v>application/pdf</v>
      </c>
    </row>
    <row r="144">
      <c r="A144" s="147" t="str">
        <f>IFERROR(__xludf.DUMMYFUNCTION("""COMPUTED_VALUE"""),"10.1111/j.2044-835x.1986.tb01003.x (1)")</f>
        <v>10.1111/j.2044-835x.1986.tb01003.x (1)</v>
      </c>
      <c r="B144" s="453" t="str">
        <f>IFERROR(__xludf.DUMMYFUNCTION("""COMPUTED_VALUE"""),"https://drive.google.com/file/d/1XpoHLIFPByKVACocvJ5YoFhf9uIA2q64/view?usp=drivesdk")</f>
        <v>https://drive.google.com/file/d/1XpoHLIFPByKVACocvJ5YoFhf9uIA2q64/view?usp=drivesdk</v>
      </c>
      <c r="C144" s="147" t="str">
        <f>IFERROR(__xludf.DUMMYFUNCTION("""COMPUTED_VALUE"""),"10.1111--j.2044-835x.1986.tb01003.x (1).pdf")</f>
        <v>10.1111--j.2044-835x.1986.tb01003.x (1).pdf</v>
      </c>
      <c r="D144" s="147" t="str">
        <f>IFERROR(__xludf.DUMMYFUNCTION("""COMPUTED_VALUE"""),"application/pdf")</f>
        <v>application/pdf</v>
      </c>
    </row>
    <row r="145">
      <c r="A145" s="147" t="str">
        <f>IFERROR(__xludf.DUMMYFUNCTION("""COMPUTED_VALUE"""),"10.1037/0033-295x.93.2.136")</f>
        <v>10.1037/0033-295x.93.2.136</v>
      </c>
      <c r="B145" s="453" t="str">
        <f>IFERROR(__xludf.DUMMYFUNCTION("""COMPUTED_VALUE"""),"https://drive.google.com/file/d/1Aey1pYLXIu5MxmVVkhJFKWZH205p2S8r/view?usp=drivesdk")</f>
        <v>https://drive.google.com/file/d/1Aey1pYLXIu5MxmVVkhJFKWZH205p2S8r/view?usp=drivesdk</v>
      </c>
      <c r="C145" s="147" t="str">
        <f>IFERROR(__xludf.DUMMYFUNCTION("""COMPUTED_VALUE"""),"10.1037--0033-295x.93.2.136.pdf")</f>
        <v>10.1037--0033-295x.93.2.136.pdf</v>
      </c>
      <c r="D145" s="147" t="str">
        <f>IFERROR(__xludf.DUMMYFUNCTION("""COMPUTED_VALUE"""),"application/pdf")</f>
        <v>application/pdf</v>
      </c>
    </row>
    <row r="146">
      <c r="A146" s="147" t="str">
        <f>IFERROR(__xludf.DUMMYFUNCTION("""COMPUTED_VALUE"""),"10.1037/a0020092 (1)")</f>
        <v>10.1037/a0020092 (1)</v>
      </c>
      <c r="B146" s="453" t="str">
        <f>IFERROR(__xludf.DUMMYFUNCTION("""COMPUTED_VALUE"""),"https://drive.google.com/file/d/10W0tSH0HQQFcBMuEUN5agngIbIIbyHX9/view?usp=drivesdk")</f>
        <v>https://drive.google.com/file/d/10W0tSH0HQQFcBMuEUN5agngIbIIbyHX9/view?usp=drivesdk</v>
      </c>
      <c r="C146" s="147" t="str">
        <f>IFERROR(__xludf.DUMMYFUNCTION("""COMPUTED_VALUE"""),"10.1037--a0020092 (1).pdf")</f>
        <v>10.1037--a0020092 (1).pdf</v>
      </c>
      <c r="D146" s="147" t="str">
        <f>IFERROR(__xludf.DUMMYFUNCTION("""COMPUTED_VALUE"""),"application/pdf")</f>
        <v>application/pdf</v>
      </c>
    </row>
    <row r="147">
      <c r="A147" s="147" t="str">
        <f>IFERROR(__xludf.DUMMYFUNCTION("""COMPUTED_VALUE"""),"10.1037/0096-3445.136.1.154 (1)")</f>
        <v>10.1037/0096-3445.136.1.154 (1)</v>
      </c>
      <c r="B147" s="453" t="str">
        <f>IFERROR(__xludf.DUMMYFUNCTION("""COMPUTED_VALUE"""),"https://drive.google.com/file/d/1MmRpDEBSX5A_XtK98PGGG25Fj8W30RM_/view?usp=drivesdk")</f>
        <v>https://drive.google.com/file/d/1MmRpDEBSX5A_XtK98PGGG25Fj8W30RM_/view?usp=drivesdk</v>
      </c>
      <c r="C147" s="147" t="str">
        <f>IFERROR(__xludf.DUMMYFUNCTION("""COMPUTED_VALUE"""),"10.1037--0096-3445.136.1.154 (1).pdf")</f>
        <v>10.1037--0096-3445.136.1.154 (1).pdf</v>
      </c>
      <c r="D147" s="147" t="str">
        <f>IFERROR(__xludf.DUMMYFUNCTION("""COMPUTED_VALUE"""),"application/pdf")</f>
        <v>application/pdf</v>
      </c>
    </row>
    <row r="148">
      <c r="A148" s="147" t="str">
        <f>IFERROR(__xludf.DUMMYFUNCTION("""COMPUTED_VALUE"""),"10.1016/j.bodyim.2012.05.004")</f>
        <v>10.1016/j.bodyim.2012.05.004</v>
      </c>
      <c r="B148" s="453" t="str">
        <f>IFERROR(__xludf.DUMMYFUNCTION("""COMPUTED_VALUE"""),"https://drive.google.com/file/d/1a2ZFACxecXhPcNg3kD_X6MTEHKfKYaHV/view?usp=drivesdk")</f>
        <v>https://drive.google.com/file/d/1a2ZFACxecXhPcNg3kD_X6MTEHKfKYaHV/view?usp=drivesdk</v>
      </c>
      <c r="C148" s="147" t="str">
        <f>IFERROR(__xludf.DUMMYFUNCTION("""COMPUTED_VALUE"""),"10.1016--j.bodyim.2012.05.004.pdf")</f>
        <v>10.1016--j.bodyim.2012.05.004.pdf</v>
      </c>
      <c r="D148" s="147" t="str">
        <f>IFERROR(__xludf.DUMMYFUNCTION("""COMPUTED_VALUE"""),"application/pdf")</f>
        <v>application/pdf</v>
      </c>
    </row>
    <row r="149">
      <c r="A149" s="147" t="str">
        <f>IFERROR(__xludf.DUMMYFUNCTION("""COMPUTED_VALUE"""),"10.1177/0956797617719950 (1)")</f>
        <v>10.1177/0956797617719950 (1)</v>
      </c>
      <c r="B149" s="453" t="str">
        <f>IFERROR(__xludf.DUMMYFUNCTION("""COMPUTED_VALUE"""),"https://drive.google.com/file/d/1bZo9sK3oQZIn6_x7FGe4vmyadV7Ugf53/view?usp=drivesdk")</f>
        <v>https://drive.google.com/file/d/1bZo9sK3oQZIn6_x7FGe4vmyadV7Ugf53/view?usp=drivesdk</v>
      </c>
      <c r="C149" s="147" t="str">
        <f>IFERROR(__xludf.DUMMYFUNCTION("""COMPUTED_VALUE"""),"10.1177--0956797617719950 (1).pdf")</f>
        <v>10.1177--0956797617719950 (1).pdf</v>
      </c>
      <c r="D149" s="147" t="str">
        <f>IFERROR(__xludf.DUMMYFUNCTION("""COMPUTED_VALUE"""),"application/pdf")</f>
        <v>application/pdf</v>
      </c>
    </row>
    <row r="150">
      <c r="A150" s="147" t="str">
        <f>IFERROR(__xludf.DUMMYFUNCTION("""COMPUTED_VALUE"""),"10.1111/j.0956-7976.2005.00799.x (1)")</f>
        <v>10.1111/j.0956-7976.2005.00799.x (1)</v>
      </c>
      <c r="B150" s="453" t="str">
        <f>IFERROR(__xludf.DUMMYFUNCTION("""COMPUTED_VALUE"""),"https://drive.google.com/file/d/1nnmgia3uJKc7mfbdkQNU6C-nw2g3lEAL/view?usp=drivesdk")</f>
        <v>https://drive.google.com/file/d/1nnmgia3uJKc7mfbdkQNU6C-nw2g3lEAL/view?usp=drivesdk</v>
      </c>
      <c r="C150" s="147" t="str">
        <f>IFERROR(__xludf.DUMMYFUNCTION("""COMPUTED_VALUE"""),"10.1111--j.0956-7976.2005.00799.x (1).pdf")</f>
        <v>10.1111--j.0956-7976.2005.00799.x (1).pdf</v>
      </c>
      <c r="D150" s="147" t="str">
        <f>IFERROR(__xludf.DUMMYFUNCTION("""COMPUTED_VALUE"""),"application/pdf")</f>
        <v>application/pdf</v>
      </c>
    </row>
    <row r="151">
      <c r="A151" s="147" t="str">
        <f>IFERROR(__xludf.DUMMYFUNCTION("""COMPUTED_VALUE"""),"10.1006/jesp.1998.1373 (1)")</f>
        <v>10.1006/jesp.1998.1373 (1)</v>
      </c>
      <c r="B151" s="453" t="str">
        <f>IFERROR(__xludf.DUMMYFUNCTION("""COMPUTED_VALUE"""),"https://drive.google.com/file/d/1APlORHjSwb-bhoXwhpdGctd6Hy0cBtQl/view?usp=drivesdk")</f>
        <v>https://drive.google.com/file/d/1APlORHjSwb-bhoXwhpdGctd6Hy0cBtQl/view?usp=drivesdk</v>
      </c>
      <c r="C151" s="147" t="str">
        <f>IFERROR(__xludf.DUMMYFUNCTION("""COMPUTED_VALUE"""),"10.1006--jesp.1998.1373 (1).pdf")</f>
        <v>10.1006--jesp.1998.1373 (1).pdf</v>
      </c>
      <c r="D151" s="147" t="str">
        <f>IFERROR(__xludf.DUMMYFUNCTION("""COMPUTED_VALUE"""),"application/pdf")</f>
        <v>application/pdf</v>
      </c>
    </row>
    <row r="152">
      <c r="A152" s="147" t="str">
        <f>IFERROR(__xludf.DUMMYFUNCTION("""COMPUTED_VALUE"""),"10.1111/j.1467-9280.2008.02056.x (1)")</f>
        <v>10.1111/j.1467-9280.2008.02056.x (1)</v>
      </c>
      <c r="B152" s="453" t="str">
        <f>IFERROR(__xludf.DUMMYFUNCTION("""COMPUTED_VALUE"""),"https://drive.google.com/file/d/11QvRQEvz5Ns1Xj1UCdimwt1e6wyII5cd/view?usp=drivesdk")</f>
        <v>https://drive.google.com/file/d/11QvRQEvz5Ns1Xj1UCdimwt1e6wyII5cd/view?usp=drivesdk</v>
      </c>
      <c r="C152" s="147" t="str">
        <f>IFERROR(__xludf.DUMMYFUNCTION("""COMPUTED_VALUE"""),"10.1111--j.1467-9280.2008.02056.x (1).pdf")</f>
        <v>10.1111--j.1467-9280.2008.02056.x (1).pdf</v>
      </c>
      <c r="D152" s="147" t="str">
        <f>IFERROR(__xludf.DUMMYFUNCTION("""COMPUTED_VALUE"""),"application/pdf")</f>
        <v>application/pdf</v>
      </c>
    </row>
    <row r="153">
      <c r="A153" s="147" t="str">
        <f>IFERROR(__xludf.DUMMYFUNCTION("""COMPUTED_VALUE"""),"10.1037/h0025008")</f>
        <v>10.1037/h0025008</v>
      </c>
      <c r="B153" s="453" t="str">
        <f>IFERROR(__xludf.DUMMYFUNCTION("""COMPUTED_VALUE"""),"https://drive.google.com/file/d/1POfGb-02lpla3OAzJNCAQBlCPox099RI/view?usp=drivesdk")</f>
        <v>https://drive.google.com/file/d/1POfGb-02lpla3OAzJNCAQBlCPox099RI/view?usp=drivesdk</v>
      </c>
      <c r="C153" s="147" t="str">
        <f>IFERROR(__xludf.DUMMYFUNCTION("""COMPUTED_VALUE"""),"10.1037--h0025008.pdf")</f>
        <v>10.1037--h0025008.pdf</v>
      </c>
      <c r="D153" s="147" t="str">
        <f>IFERROR(__xludf.DUMMYFUNCTION("""COMPUTED_VALUE"""),"application/pdf")</f>
        <v>application/pdf</v>
      </c>
    </row>
    <row r="154">
      <c r="A154" s="147" t="str">
        <f>IFERROR(__xludf.DUMMYFUNCTION("""COMPUTED_VALUE"""),"10.1111/j.1467-9280.2007.01983.x")</f>
        <v>10.1111/j.1467-9280.2007.01983.x</v>
      </c>
      <c r="B154" s="453" t="str">
        <f>IFERROR(__xludf.DUMMYFUNCTION("""COMPUTED_VALUE"""),"https://drive.google.com/file/d/1GTSpxZmUQNl7xFyuBJKYxy6EvUX5oiQN/view?usp=drivesdk")</f>
        <v>https://drive.google.com/file/d/1GTSpxZmUQNl7xFyuBJKYxy6EvUX5oiQN/view?usp=drivesdk</v>
      </c>
      <c r="C154" s="147" t="str">
        <f>IFERROR(__xludf.DUMMYFUNCTION("""COMPUTED_VALUE"""),"10.1111--j.1467-9280.2007.01983.x.pdf")</f>
        <v>10.1111--j.1467-9280.2007.01983.x.pdf</v>
      </c>
      <c r="D154" s="147" t="str">
        <f>IFERROR(__xludf.DUMMYFUNCTION("""COMPUTED_VALUE"""),"application/pdf")</f>
        <v>application/pdf</v>
      </c>
    </row>
    <row r="155">
      <c r="A155" s="147" t="str">
        <f>IFERROR(__xludf.DUMMYFUNCTION("""COMPUTED_VALUE"""),"10.1177/0956797614563108 (1)")</f>
        <v>10.1177/0956797614563108 (1)</v>
      </c>
      <c r="B155" s="453" t="str">
        <f>IFERROR(__xludf.DUMMYFUNCTION("""COMPUTED_VALUE"""),"https://drive.google.com/file/d/12_ssoTgKCRSwPp56VgQV0Eu0DD6umUVP/view?usp=drivesdk")</f>
        <v>https://drive.google.com/file/d/12_ssoTgKCRSwPp56VgQV0Eu0DD6umUVP/view?usp=drivesdk</v>
      </c>
      <c r="C155" s="147" t="str">
        <f>IFERROR(__xludf.DUMMYFUNCTION("""COMPUTED_VALUE"""),"10.1177--0956797614563108 (1).pdf")</f>
        <v>10.1177--0956797614563108 (1).pdf</v>
      </c>
      <c r="D155" s="147" t="str">
        <f>IFERROR(__xludf.DUMMYFUNCTION("""COMPUTED_VALUE"""),"application/pdf")</f>
        <v>application/pdf</v>
      </c>
    </row>
    <row r="156">
      <c r="A156" s="147" t="str">
        <f>IFERROR(__xludf.DUMMYFUNCTION("""COMPUTED_VALUE"""),"sutlief2019")</f>
        <v>sutlief2019</v>
      </c>
      <c r="B156" s="453" t="str">
        <f>IFERROR(__xludf.DUMMYFUNCTION("""COMPUTED_VALUE"""),"https://drive.google.com/file/d/1eEVHF0MbgmfXxnHFsigWacLc9zXFPqD-/view?usp=drivesdk")</f>
        <v>https://drive.google.com/file/d/1eEVHF0MbgmfXxnHFsigWacLc9zXFPqD-/view?usp=drivesdk</v>
      </c>
      <c r="C156" s="147" t="str">
        <f>IFERROR(__xludf.DUMMYFUNCTION("""COMPUTED_VALUE"""),"sutlief2019.pdf")</f>
        <v>sutlief2019.pdf</v>
      </c>
      <c r="D156" s="147" t="str">
        <f>IFERROR(__xludf.DUMMYFUNCTION("""COMPUTED_VALUE"""),"application/pdf")</f>
        <v>application/pdf</v>
      </c>
    </row>
    <row r="157">
      <c r="A157" s="147" t="str">
        <f>IFERROR(__xludf.DUMMYFUNCTION("""COMPUTED_VALUE"""),"10.1080/02673843.2023.2283563")</f>
        <v>10.1080/02673843.2023.2283563</v>
      </c>
      <c r="B157" s="453" t="str">
        <f>IFERROR(__xludf.DUMMYFUNCTION("""COMPUTED_VALUE"""),"https://drive.google.com/file/d/1jHFMH7kFGC0px3IpBnI1CrqPkVp9LVmb/view?usp=drivesdk")</f>
        <v>https://drive.google.com/file/d/1jHFMH7kFGC0px3IpBnI1CrqPkVp9LVmb/view?usp=drivesdk</v>
      </c>
      <c r="C157" s="147" t="str">
        <f>IFERROR(__xludf.DUMMYFUNCTION("""COMPUTED_VALUE"""),"10.1080--02673843.2023.2283563.pdf")</f>
        <v>10.1080--02673843.2023.2283563.pdf</v>
      </c>
      <c r="D157" s="147" t="str">
        <f>IFERROR(__xludf.DUMMYFUNCTION("""COMPUTED_VALUE"""),"application/pdf")</f>
        <v>application/pdf</v>
      </c>
    </row>
    <row r="158">
      <c r="A158" s="147" t="str">
        <f>IFERROR(__xludf.DUMMYFUNCTION("""COMPUTED_VALUE"""),"10.4992/jjpsy.94.22334")</f>
        <v>10.4992/jjpsy.94.22334</v>
      </c>
      <c r="B158" s="453" t="str">
        <f>IFERROR(__xludf.DUMMYFUNCTION("""COMPUTED_VALUE"""),"https://drive.google.com/file/d/1nHZZUyQQ7oIiU3i-UXsaWE_r0fYrfiS3/view?usp=drivesdk")</f>
        <v>https://drive.google.com/file/d/1nHZZUyQQ7oIiU3i-UXsaWE_r0fYrfiS3/view?usp=drivesdk</v>
      </c>
      <c r="C158" s="147" t="str">
        <f>IFERROR(__xludf.DUMMYFUNCTION("""COMPUTED_VALUE"""),"10.4992--jjpsy.94.22334.pdf")</f>
        <v>10.4992--jjpsy.94.22334.pdf</v>
      </c>
      <c r="D158" s="147" t="str">
        <f>IFERROR(__xludf.DUMMYFUNCTION("""COMPUTED_VALUE"""),"application/pdf")</f>
        <v>application/pdf</v>
      </c>
    </row>
    <row r="159">
      <c r="A159" s="147" t="str">
        <f>IFERROR(__xludf.DUMMYFUNCTION("""COMPUTED_VALUE"""),"10.1111/jcpp.14029")</f>
        <v>10.1111/jcpp.14029</v>
      </c>
      <c r="B159" s="453" t="str">
        <f>IFERROR(__xludf.DUMMYFUNCTION("""COMPUTED_VALUE"""),"https://drive.google.com/file/d/1H7zPg14rvgbrna3ifhQj_TWemnCGPZly/view?usp=drivesdk")</f>
        <v>https://drive.google.com/file/d/1H7zPg14rvgbrna3ifhQj_TWemnCGPZly/view?usp=drivesdk</v>
      </c>
      <c r="C159" s="147" t="str">
        <f>IFERROR(__xludf.DUMMYFUNCTION("""COMPUTED_VALUE"""),"10.1111--jcpp.14029.pdf")</f>
        <v>10.1111--jcpp.14029.pdf</v>
      </c>
      <c r="D159" s="147" t="str">
        <f>IFERROR(__xludf.DUMMYFUNCTION("""COMPUTED_VALUE"""),"application/pdf")</f>
        <v>application/pdf</v>
      </c>
    </row>
    <row r="160">
      <c r="A160" s="147" t="str">
        <f>IFERROR(__xludf.DUMMYFUNCTION("""COMPUTED_VALUE"""),"10.3758/s13414-020-01991-7")</f>
        <v>10.3758/s13414-020-01991-7</v>
      </c>
      <c r="B160" s="453" t="str">
        <f>IFERROR(__xludf.DUMMYFUNCTION("""COMPUTED_VALUE"""),"https://drive.google.com/file/d/1p1B1qdpg970VZ83ou2sGpvyTI03ZIhi9/view?usp=drivesdk")</f>
        <v>https://drive.google.com/file/d/1p1B1qdpg970VZ83ou2sGpvyTI03ZIhi9/view?usp=drivesdk</v>
      </c>
      <c r="C160" s="147" t="str">
        <f>IFERROR(__xludf.DUMMYFUNCTION("""COMPUTED_VALUE"""),"10.3758--s13414-020-01991-7.pdf")</f>
        <v>10.3758--s13414-020-01991-7.pdf</v>
      </c>
      <c r="D160" s="147" t="str">
        <f>IFERROR(__xludf.DUMMYFUNCTION("""COMPUTED_VALUE"""),"application/pdf")</f>
        <v>application/pdf</v>
      </c>
    </row>
    <row r="161">
      <c r="A161" s="147" t="str">
        <f>IFERROR(__xludf.DUMMYFUNCTION("""COMPUTED_VALUE"""),"10.1016/j.cedpsych.2019.101834 (1)")</f>
        <v>10.1016/j.cedpsych.2019.101834 (1)</v>
      </c>
      <c r="B161" s="453" t="str">
        <f>IFERROR(__xludf.DUMMYFUNCTION("""COMPUTED_VALUE"""),"https://drive.google.com/file/d/173fkDD-W6UdkuvhpeNByBmtxeTw4Z_wK/view?usp=drivesdk")</f>
        <v>https://drive.google.com/file/d/173fkDD-W6UdkuvhpeNByBmtxeTw4Z_wK/view?usp=drivesdk</v>
      </c>
      <c r="C161" s="147" t="str">
        <f>IFERROR(__xludf.DUMMYFUNCTION("""COMPUTED_VALUE"""),"10.1016--j.cedpsych.2019.101834 (1).pdf")</f>
        <v>10.1016--j.cedpsych.2019.101834 (1).pdf</v>
      </c>
      <c r="D161" s="147" t="str">
        <f>IFERROR(__xludf.DUMMYFUNCTION("""COMPUTED_VALUE"""),"application/pdf")</f>
        <v>application/pdf</v>
      </c>
    </row>
    <row r="162">
      <c r="A162" s="147" t="str">
        <f>IFERROR(__xludf.DUMMYFUNCTION("""COMPUTED_VALUE"""),"10.1093/cercor/bhae287")</f>
        <v>10.1093/cercor/bhae287</v>
      </c>
      <c r="B162" s="453" t="str">
        <f>IFERROR(__xludf.DUMMYFUNCTION("""COMPUTED_VALUE"""),"https://drive.google.com/file/d/14nYmC7FjK_8nc1vRJW0Zz61S13ZtNZZD/view?usp=drivesdk")</f>
        <v>https://drive.google.com/file/d/14nYmC7FjK_8nc1vRJW0Zz61S13ZtNZZD/view?usp=drivesdk</v>
      </c>
      <c r="C162" s="147" t="str">
        <f>IFERROR(__xludf.DUMMYFUNCTION("""COMPUTED_VALUE"""),"10.1093--cercor--bhae287.pdf")</f>
        <v>10.1093--cercor--bhae287.pdf</v>
      </c>
      <c r="D162" s="147" t="str">
        <f>IFERROR(__xludf.DUMMYFUNCTION("""COMPUTED_VALUE"""),"application/pdf")</f>
        <v>application/pdf</v>
      </c>
    </row>
    <row r="163">
      <c r="A163" s="147" t="str">
        <f>IFERROR(__xludf.DUMMYFUNCTION("""COMPUTED_VALUE"""),"10.1038/s41398-024-02799-x")</f>
        <v>10.1038/s41398-024-02799-x</v>
      </c>
      <c r="B163" s="453" t="str">
        <f>IFERROR(__xludf.DUMMYFUNCTION("""COMPUTED_VALUE"""),"https://drive.google.com/file/d/1SH8bEWkApCXuWDb-OQ37ytGhPIgVUVKv/view?usp=drivesdk")</f>
        <v>https://drive.google.com/file/d/1SH8bEWkApCXuWDb-OQ37ytGhPIgVUVKv/view?usp=drivesdk</v>
      </c>
      <c r="C163" s="147" t="str">
        <f>IFERROR(__xludf.DUMMYFUNCTION("""COMPUTED_VALUE"""),"10.1038--s41398-024-02799-x.pdf")</f>
        <v>10.1038--s41398-024-02799-x.pdf</v>
      </c>
      <c r="D163" s="147" t="str">
        <f>IFERROR(__xludf.DUMMYFUNCTION("""COMPUTED_VALUE"""),"application/pdf")</f>
        <v>application/pdf</v>
      </c>
    </row>
    <row r="164">
      <c r="A164" s="147" t="str">
        <f>IFERROR(__xludf.DUMMYFUNCTION("""COMPUTED_VALUE"""),"10.1038/s41398-024-03045-0")</f>
        <v>10.1038/s41398-024-03045-0</v>
      </c>
      <c r="B164" s="453" t="str">
        <f>IFERROR(__xludf.DUMMYFUNCTION("""COMPUTED_VALUE"""),"https://drive.google.com/file/d/1sBNrDZpWPCVxuOMHZk6G4ve2uMzdW0GR/view?usp=drivesdk")</f>
        <v>https://drive.google.com/file/d/1sBNrDZpWPCVxuOMHZk6G4ve2uMzdW0GR/view?usp=drivesdk</v>
      </c>
      <c r="C164" s="147" t="str">
        <f>IFERROR(__xludf.DUMMYFUNCTION("""COMPUTED_VALUE"""),"10.1038--s41398-024-03045-0.pdf")</f>
        <v>10.1038--s41398-024-03045-0.pdf</v>
      </c>
      <c r="D164" s="147" t="str">
        <f>IFERROR(__xludf.DUMMYFUNCTION("""COMPUTED_VALUE"""),"application/pdf")</f>
        <v>application/pdf</v>
      </c>
    </row>
    <row r="165">
      <c r="A165" s="147" t="str">
        <f>IFERROR(__xludf.DUMMYFUNCTION("""COMPUTED_VALUE"""),"sherman1977")</f>
        <v>sherman1977</v>
      </c>
      <c r="B165" s="453" t="str">
        <f>IFERROR(__xludf.DUMMYFUNCTION("""COMPUTED_VALUE"""),"https://drive.google.com/file/d/1qjBC8rrE7PwCov9BjhlcqTser32l4tZA/view?usp=drivesdk")</f>
        <v>https://drive.google.com/file/d/1qjBC8rrE7PwCov9BjhlcqTser32l4tZA/view?usp=drivesdk</v>
      </c>
      <c r="C165" s="147" t="str">
        <f>IFERROR(__xludf.DUMMYFUNCTION("""COMPUTED_VALUE"""),"sherman1977.pdf")</f>
        <v>sherman1977.pdf</v>
      </c>
      <c r="D165" s="147" t="str">
        <f>IFERROR(__xludf.DUMMYFUNCTION("""COMPUTED_VALUE"""),"application/pdf")</f>
        <v>application/pdf</v>
      </c>
    </row>
    <row r="166">
      <c r="A166" s="147" t="str">
        <f>IFERROR(__xludf.DUMMYFUNCTION("""COMPUTED_VALUE"""),"10.1145/3502718.3524799")</f>
        <v>10.1145/3502718.3524799</v>
      </c>
      <c r="B166" s="453" t="str">
        <f>IFERROR(__xludf.DUMMYFUNCTION("""COMPUTED_VALUE"""),"https://drive.google.com/file/d/1mXZlzeA7ImaWHW-1-dp8XLcO6q1dPoDC/view?usp=drivesdk")</f>
        <v>https://drive.google.com/file/d/1mXZlzeA7ImaWHW-1-dp8XLcO6q1dPoDC/view?usp=drivesdk</v>
      </c>
      <c r="C166" s="147" t="str">
        <f>IFERROR(__xludf.DUMMYFUNCTION("""COMPUTED_VALUE"""),"10.1145--3502718.3524799.pdf")</f>
        <v>10.1145--3502718.3524799.pdf</v>
      </c>
      <c r="D166" s="147" t="str">
        <f>IFERROR(__xludf.DUMMYFUNCTION("""COMPUTED_VALUE"""),"application/pdf")</f>
        <v>application/pdf</v>
      </c>
    </row>
    <row r="167">
      <c r="A167" s="147" t="str">
        <f>IFERROR(__xludf.DUMMYFUNCTION("""COMPUTED_VALUE"""),"10.1007/s12207-023-09483-3")</f>
        <v>10.1007/s12207-023-09483-3</v>
      </c>
      <c r="B167" s="453" t="str">
        <f>IFERROR(__xludf.DUMMYFUNCTION("""COMPUTED_VALUE"""),"https://drive.google.com/file/d/1ZaI86uPaa7baLDKCDC8aFHiq1TG_6U8e/view?usp=drivesdk")</f>
        <v>https://drive.google.com/file/d/1ZaI86uPaa7baLDKCDC8aFHiq1TG_6U8e/view?usp=drivesdk</v>
      </c>
      <c r="C167" s="147" t="str">
        <f>IFERROR(__xludf.DUMMYFUNCTION("""COMPUTED_VALUE"""),"10.1007--s12207-023-09483-3.pdf")</f>
        <v>10.1007--s12207-023-09483-3.pdf</v>
      </c>
      <c r="D167" s="147" t="str">
        <f>IFERROR(__xludf.DUMMYFUNCTION("""COMPUTED_VALUE"""),"application/pdf")</f>
        <v>application/pdf</v>
      </c>
    </row>
    <row r="168">
      <c r="A168" s="147" t="str">
        <f>IFERROR(__xludf.DUMMYFUNCTION("""COMPUTED_VALUE"""),"10.1115/smasis2022-90793")</f>
        <v>10.1115/smasis2022-90793</v>
      </c>
      <c r="B168" s="453" t="str">
        <f>IFERROR(__xludf.DUMMYFUNCTION("""COMPUTED_VALUE"""),"https://drive.google.com/file/d/1Drm8TiIplc2xWctkqkp7RXI61YfnBmqO/view?usp=drivesdk")</f>
        <v>https://drive.google.com/file/d/1Drm8TiIplc2xWctkqkp7RXI61YfnBmqO/view?usp=drivesdk</v>
      </c>
      <c r="C168" s="147" t="str">
        <f>IFERROR(__xludf.DUMMYFUNCTION("""COMPUTED_VALUE"""),"10.1115--smasis2022-90793.pdf")</f>
        <v>10.1115--smasis2022-90793.pdf</v>
      </c>
      <c r="D168" s="147" t="str">
        <f>IFERROR(__xludf.DUMMYFUNCTION("""COMPUTED_VALUE"""),"application/pdf")</f>
        <v>application/pdf</v>
      </c>
    </row>
    <row r="169">
      <c r="A169" s="147" t="str">
        <f>IFERROR(__xludf.DUMMYFUNCTION("""COMPUTED_VALUE"""),"10.1177/000312240106600203")</f>
        <v>10.1177/000312240106600203</v>
      </c>
      <c r="B169" s="453" t="str">
        <f>IFERROR(__xludf.DUMMYFUNCTION("""COMPUTED_VALUE"""),"https://drive.google.com/file/d/17h6af7wzwkF4QRsTz2RzBpcXSmTayY4g/view?usp=drivesdk")</f>
        <v>https://drive.google.com/file/d/17h6af7wzwkF4QRsTz2RzBpcXSmTayY4g/view?usp=drivesdk</v>
      </c>
      <c r="C169" s="147" t="str">
        <f>IFERROR(__xludf.DUMMYFUNCTION("""COMPUTED_VALUE"""),"10.1177--000312240106600203.pdf")</f>
        <v>10.1177--000312240106600203.pdf</v>
      </c>
      <c r="D169" s="147" t="str">
        <f>IFERROR(__xludf.DUMMYFUNCTION("""COMPUTED_VALUE"""),"application/pdf")</f>
        <v>application/pdf</v>
      </c>
    </row>
    <row r="170">
      <c r="A170" s="147" t="str">
        <f>IFERROR(__xludf.DUMMYFUNCTION("""COMPUTED_VALUE"""),"10.1145/3434073.344464")</f>
        <v>10.1145/3434073.344464</v>
      </c>
      <c r="B170" s="453" t="str">
        <f>IFERROR(__xludf.DUMMYFUNCTION("""COMPUTED_VALUE"""),"https://drive.google.com/file/d/1jA-l6wf88uMNXff3Yy2B20CKvW2xN9el/view?usp=drivesdk")</f>
        <v>https://drive.google.com/file/d/1jA-l6wf88uMNXff3Yy2B20CKvW2xN9el/view?usp=drivesdk</v>
      </c>
      <c r="C170" s="147" t="str">
        <f>IFERROR(__xludf.DUMMYFUNCTION("""COMPUTED_VALUE"""),"10.1145--3434073.344464.pdf")</f>
        <v>10.1145--3434073.344464.pdf</v>
      </c>
      <c r="D170" s="147" t="str">
        <f>IFERROR(__xludf.DUMMYFUNCTION("""COMPUTED_VALUE"""),"application/pdf")</f>
        <v>application/pdf</v>
      </c>
    </row>
    <row r="171">
      <c r="A171" s="147" t="str">
        <f>IFERROR(__xludf.DUMMYFUNCTION("""COMPUTED_VALUE"""),"10.1109/icse48619.2023.00155")</f>
        <v>10.1109/icse48619.2023.00155</v>
      </c>
      <c r="B171" s="453" t="str">
        <f>IFERROR(__xludf.DUMMYFUNCTION("""COMPUTED_VALUE"""),"https://drive.google.com/file/d/11Hg2Sukzbg5o6HDk3g_yQxPDnJtw-nua/view?usp=drivesdk")</f>
        <v>https://drive.google.com/file/d/11Hg2Sukzbg5o6HDk3g_yQxPDnJtw-nua/view?usp=drivesdk</v>
      </c>
      <c r="C171" s="147" t="str">
        <f>IFERROR(__xludf.DUMMYFUNCTION("""COMPUTED_VALUE"""),"10.1109--icse48619.2023.00155.pdf")</f>
        <v>10.1109--icse48619.2023.00155.pdf</v>
      </c>
      <c r="D171" s="147" t="str">
        <f>IFERROR(__xludf.DUMMYFUNCTION("""COMPUTED_VALUE"""),"application/pdf")</f>
        <v>application/pdf</v>
      </c>
    </row>
    <row r="172">
      <c r="A172" s="147" t="str">
        <f>IFERROR(__xludf.DUMMYFUNCTION("""COMPUTED_VALUE"""),"10.1111/cogs.13064")</f>
        <v>10.1111/cogs.13064</v>
      </c>
      <c r="B172" s="453" t="str">
        <f>IFERROR(__xludf.DUMMYFUNCTION("""COMPUTED_VALUE"""),"https://drive.google.com/file/d/1uBYDPVKKupHGmpRbPGmpO5zE11kyQ26l/view?usp=drivesdk")</f>
        <v>https://drive.google.com/file/d/1uBYDPVKKupHGmpRbPGmpO5zE11kyQ26l/view?usp=drivesdk</v>
      </c>
      <c r="C172" s="147" t="str">
        <f>IFERROR(__xludf.DUMMYFUNCTION("""COMPUTED_VALUE"""),"10.1111--cogs.13064.pdf")</f>
        <v>10.1111--cogs.13064.pdf</v>
      </c>
      <c r="D172" s="147" t="str">
        <f>IFERROR(__xludf.DUMMYFUNCTION("""COMPUTED_VALUE"""),"application/pdf")</f>
        <v>application/pdf</v>
      </c>
    </row>
    <row r="173">
      <c r="A173" s="147" t="str">
        <f>IFERROR(__xludf.DUMMYFUNCTION("""COMPUTED_VALUE"""),"10.1145/3478431.3499298")</f>
        <v>10.1145/3478431.3499298</v>
      </c>
      <c r="B173" s="453" t="str">
        <f>IFERROR(__xludf.DUMMYFUNCTION("""COMPUTED_VALUE"""),"https://drive.google.com/file/d/1X2kQvhIhMfV3I9kfQvqMKBJg7CY7B8IR/view?usp=drivesdk")</f>
        <v>https://drive.google.com/file/d/1X2kQvhIhMfV3I9kfQvqMKBJg7CY7B8IR/view?usp=drivesdk</v>
      </c>
      <c r="C173" s="147" t="str">
        <f>IFERROR(__xludf.DUMMYFUNCTION("""COMPUTED_VALUE"""),"10.1145--3478431.3499298.pdf")</f>
        <v>10.1145--3478431.3499298.pdf</v>
      </c>
      <c r="D173" s="147" t="str">
        <f>IFERROR(__xludf.DUMMYFUNCTION("""COMPUTED_VALUE"""),"application/pdf")</f>
        <v>application/pdf</v>
      </c>
    </row>
    <row r="174">
      <c r="A174" s="147" t="str">
        <f>IFERROR(__xludf.DUMMYFUNCTION("""COMPUTED_VALUE"""),"10.1177/02676583221104604")</f>
        <v>10.1177/02676583221104604</v>
      </c>
      <c r="B174" s="453" t="str">
        <f>IFERROR(__xludf.DUMMYFUNCTION("""COMPUTED_VALUE"""),"https://drive.google.com/file/d/1p0fL8mIok72waO4C-1fbLD8yHvBp2mr3/view?usp=drivesdk")</f>
        <v>https://drive.google.com/file/d/1p0fL8mIok72waO4C-1fbLD8yHvBp2mr3/view?usp=drivesdk</v>
      </c>
      <c r="C174" s="147" t="str">
        <f>IFERROR(__xludf.DUMMYFUNCTION("""COMPUTED_VALUE"""),"10.1177--02676583221104604.pdf")</f>
        <v>10.1177--02676583221104604.pdf</v>
      </c>
      <c r="D174" s="147" t="str">
        <f>IFERROR(__xludf.DUMMYFUNCTION("""COMPUTED_VALUE"""),"application/pdf")</f>
        <v>application/pdf</v>
      </c>
    </row>
    <row r="175">
      <c r="A175" s="147" t="str">
        <f>IFERROR(__xludf.DUMMYFUNCTION("""COMPUTED_VALUE"""),"10.1093/jopart/muu053")</f>
        <v>10.1093/jopart/muu053</v>
      </c>
      <c r="B175" s="453" t="str">
        <f>IFERROR(__xludf.DUMMYFUNCTION("""COMPUTED_VALUE"""),"https://drive.google.com/file/d/1LfQ73kQWPV7KpOSIJxFvAF1LaP-iQAW_/view?usp=drivesdk")</f>
        <v>https://drive.google.com/file/d/1LfQ73kQWPV7KpOSIJxFvAF1LaP-iQAW_/view?usp=drivesdk</v>
      </c>
      <c r="C175" s="147" t="str">
        <f>IFERROR(__xludf.DUMMYFUNCTION("""COMPUTED_VALUE"""),"10.1093--jopart--muu053.pdf")</f>
        <v>10.1093--jopart--muu053.pdf</v>
      </c>
      <c r="D175" s="147" t="str">
        <f>IFERROR(__xludf.DUMMYFUNCTION("""COMPUTED_VALUE"""),"application/pdf")</f>
        <v>application/pdf</v>
      </c>
    </row>
    <row r="176">
      <c r="A176" s="147" t="str">
        <f>IFERROR(__xludf.DUMMYFUNCTION("""COMPUTED_VALUE"""),"10.1017/s0272263105050138 (1)")</f>
        <v>10.1017/s0272263105050138 (1)</v>
      </c>
      <c r="B176" s="453" t="str">
        <f>IFERROR(__xludf.DUMMYFUNCTION("""COMPUTED_VALUE"""),"https://drive.google.com/file/d/1wHAtjOgCu-cvH6R6z6Dncg0MyDPv9DBr/view?usp=drivesdk")</f>
        <v>https://drive.google.com/file/d/1wHAtjOgCu-cvH6R6z6Dncg0MyDPv9DBr/view?usp=drivesdk</v>
      </c>
      <c r="C176" s="147" t="str">
        <f>IFERROR(__xludf.DUMMYFUNCTION("""COMPUTED_VALUE"""),"10.1017--S0272263105050138 (1).pdf")</f>
        <v>10.1017--S0272263105050138 (1).pdf</v>
      </c>
      <c r="D176" s="147" t="str">
        <f>IFERROR(__xludf.DUMMYFUNCTION("""COMPUTED_VALUE"""),"application/pdf")</f>
        <v>application/pdf</v>
      </c>
    </row>
    <row r="177">
      <c r="A177" s="147" t="str">
        <f>IFERROR(__xludf.DUMMYFUNCTION("""COMPUTED_VALUE"""),"10.1016/j.jad.2024.05.116")</f>
        <v>10.1016/j.jad.2024.05.116</v>
      </c>
      <c r="B177" s="453" t="str">
        <f>IFERROR(__xludf.DUMMYFUNCTION("""COMPUTED_VALUE"""),"https://drive.google.com/file/d/1-k-r-v5_nRx62ESkr8l1LXmJ__KwJw-E/view?usp=drivesdk")</f>
        <v>https://drive.google.com/file/d/1-k-r-v5_nRx62ESkr8l1LXmJ__KwJw-E/view?usp=drivesdk</v>
      </c>
      <c r="C177" s="147" t="str">
        <f>IFERROR(__xludf.DUMMYFUNCTION("""COMPUTED_VALUE"""),"10.1016--j.jad.2024.05.116.pdf")</f>
        <v>10.1016--j.jad.2024.05.116.pdf</v>
      </c>
      <c r="D177" s="147" t="str">
        <f>IFERROR(__xludf.DUMMYFUNCTION("""COMPUTED_VALUE"""),"application/pdf")</f>
        <v>application/pdf</v>
      </c>
    </row>
    <row r="178">
      <c r="A178" s="147" t="str">
        <f>IFERROR(__xludf.DUMMYFUNCTION("""COMPUTED_VALUE"""),"10.1177/07419325211054209")</f>
        <v>10.1177/07419325211054209</v>
      </c>
      <c r="B178" s="453" t="str">
        <f>IFERROR(__xludf.DUMMYFUNCTION("""COMPUTED_VALUE"""),"https://drive.google.com/file/d/18lTtr2PaagFl9Dx2Fj1CQX4Y5tFnS3-G/view?usp=drivesdk")</f>
        <v>https://drive.google.com/file/d/18lTtr2PaagFl9Dx2Fj1CQX4Y5tFnS3-G/view?usp=drivesdk</v>
      </c>
      <c r="C178" s="147" t="str">
        <f>IFERROR(__xludf.DUMMYFUNCTION("""COMPUTED_VALUE"""),"10.1177--07419325211054209.pdf")</f>
        <v>10.1177--07419325211054209.pdf</v>
      </c>
      <c r="D178" s="147" t="str">
        <f>IFERROR(__xludf.DUMMYFUNCTION("""COMPUTED_VALUE"""),"application/pdf")</f>
        <v>application/pdf</v>
      </c>
    </row>
    <row r="179">
      <c r="A179" s="147" t="str">
        <f>IFERROR(__xludf.DUMMYFUNCTION("""COMPUTED_VALUE"""),"10.1016/j.cogdev.2022.101252")</f>
        <v>10.1016/j.cogdev.2022.101252</v>
      </c>
      <c r="B179" s="453" t="str">
        <f>IFERROR(__xludf.DUMMYFUNCTION("""COMPUTED_VALUE"""),"https://drive.google.com/file/d/1e7uwhmg4WfBHboBpLfEjOvwaRDuWE6yP/view?usp=drivesdk")</f>
        <v>https://drive.google.com/file/d/1e7uwhmg4WfBHboBpLfEjOvwaRDuWE6yP/view?usp=drivesdk</v>
      </c>
      <c r="C179" s="147" t="str">
        <f>IFERROR(__xludf.DUMMYFUNCTION("""COMPUTED_VALUE"""),"10.1016--j.cogdev.2022.101252.pdf")</f>
        <v>10.1016--j.cogdev.2022.101252.pdf</v>
      </c>
      <c r="D179" s="147" t="str">
        <f>IFERROR(__xludf.DUMMYFUNCTION("""COMPUTED_VALUE"""),"application/pdf")</f>
        <v>application/pdf</v>
      </c>
    </row>
    <row r="180">
      <c r="A180" s="147" t="str">
        <f>IFERROR(__xludf.DUMMYFUNCTION("""COMPUTED_VALUE"""),"10.1093/jcr/ucac017")</f>
        <v>10.1093/jcr/ucac017</v>
      </c>
      <c r="B180" s="453" t="str">
        <f>IFERROR(__xludf.DUMMYFUNCTION("""COMPUTED_VALUE"""),"https://drive.google.com/file/d/1Hbaj4soNoRer2LexyrCcG27zgcEO-WRP/view?usp=drivesdk")</f>
        <v>https://drive.google.com/file/d/1Hbaj4soNoRer2LexyrCcG27zgcEO-WRP/view?usp=drivesdk</v>
      </c>
      <c r="C180" s="147" t="str">
        <f>IFERROR(__xludf.DUMMYFUNCTION("""COMPUTED_VALUE"""),"10.1093--jcr--ucac017.pdf")</f>
        <v>10.1093--jcr--ucac017.pdf</v>
      </c>
      <c r="D180" s="147" t="str">
        <f>IFERROR(__xludf.DUMMYFUNCTION("""COMPUTED_VALUE"""),"application/pdf")</f>
        <v>application/pdf</v>
      </c>
    </row>
    <row r="181">
      <c r="A181" s="147" t="str">
        <f>IFERROR(__xludf.DUMMYFUNCTION("""COMPUTED_VALUE"""),"10.1111/bjop.12522")</f>
        <v>10.1111/bjop.12522</v>
      </c>
      <c r="B181" s="453" t="str">
        <f>IFERROR(__xludf.DUMMYFUNCTION("""COMPUTED_VALUE"""),"https://drive.google.com/file/d/1QKNLq74KH1Q68hjyhxCeyjSmCHkUJXwb/view?usp=drivesdk")</f>
        <v>https://drive.google.com/file/d/1QKNLq74KH1Q68hjyhxCeyjSmCHkUJXwb/view?usp=drivesdk</v>
      </c>
      <c r="C181" s="147" t="str">
        <f>IFERROR(__xludf.DUMMYFUNCTION("""COMPUTED_VALUE"""),"10.1111--bjop.12522.pdf")</f>
        <v>10.1111--bjop.12522.pdf</v>
      </c>
      <c r="D181" s="147" t="str">
        <f>IFERROR(__xludf.DUMMYFUNCTION("""COMPUTED_VALUE"""),"application/pdf")</f>
        <v>application/pdf</v>
      </c>
    </row>
    <row r="182">
      <c r="A182" s="147" t="str">
        <f>IFERROR(__xludf.DUMMYFUNCTION("""COMPUTED_VALUE"""),"10.1016/j.cedpsych.2009.06.005 (1)")</f>
        <v>10.1016/j.cedpsych.2009.06.005 (1)</v>
      </c>
      <c r="B182" s="453" t="str">
        <f>IFERROR(__xludf.DUMMYFUNCTION("""COMPUTED_VALUE"""),"https://drive.google.com/file/d/1SJEY-x4wa_wDRqvN70ZyfGEV1oV8EsNy/view?usp=drivesdk")</f>
        <v>https://drive.google.com/file/d/1SJEY-x4wa_wDRqvN70ZyfGEV1oV8EsNy/view?usp=drivesdk</v>
      </c>
      <c r="C182" s="147" t="str">
        <f>IFERROR(__xludf.DUMMYFUNCTION("""COMPUTED_VALUE"""),"10.1016--j.cedpsych.2009.06.005 (1).pdf")</f>
        <v>10.1016--j.cedpsych.2009.06.005 (1).pdf</v>
      </c>
      <c r="D182" s="147" t="str">
        <f>IFERROR(__xludf.DUMMYFUNCTION("""COMPUTED_VALUE"""),"application/pdf")</f>
        <v>application/pdf</v>
      </c>
    </row>
    <row r="183">
      <c r="A183" s="147" t="str">
        <f>IFERROR(__xludf.DUMMYFUNCTION("""COMPUTED_VALUE"""),"10.1017/s0003055422000107")</f>
        <v>10.1017/s0003055422000107</v>
      </c>
      <c r="B183" s="453" t="str">
        <f>IFERROR(__xludf.DUMMYFUNCTION("""COMPUTED_VALUE"""),"https://drive.google.com/file/d/1OYdLeDrhGvfEQhgtmuKBjOHZCr1fXMHM/view?usp=drivesdk")</f>
        <v>https://drive.google.com/file/d/1OYdLeDrhGvfEQhgtmuKBjOHZCr1fXMHM/view?usp=drivesdk</v>
      </c>
      <c r="C183" s="147" t="str">
        <f>IFERROR(__xludf.DUMMYFUNCTION("""COMPUTED_VALUE"""),"10.1017--s0003055422000107.pdf")</f>
        <v>10.1017--s0003055422000107.pdf</v>
      </c>
      <c r="D183" s="147" t="str">
        <f>IFERROR(__xludf.DUMMYFUNCTION("""COMPUTED_VALUE"""),"application/pdf")</f>
        <v>application/pdf</v>
      </c>
    </row>
    <row r="184">
      <c r="A184" s="147" t="str">
        <f>IFERROR(__xludf.DUMMYFUNCTION("""COMPUTED_VALUE"""),"10.1016/j.appet.2024.107672")</f>
        <v>10.1016/j.appet.2024.107672</v>
      </c>
      <c r="B184" s="453" t="str">
        <f>IFERROR(__xludf.DUMMYFUNCTION("""COMPUTED_VALUE"""),"https://drive.google.com/file/d/1K0udcraFcCX8OApcH6A6jlQOyYBta1Y0/view?usp=drivesdk")</f>
        <v>https://drive.google.com/file/d/1K0udcraFcCX8OApcH6A6jlQOyYBta1Y0/view?usp=drivesdk</v>
      </c>
      <c r="C184" s="147" t="str">
        <f>IFERROR(__xludf.DUMMYFUNCTION("""COMPUTED_VALUE"""),"10.1016--j.appet.2024.107672.pdf")</f>
        <v>10.1016--j.appet.2024.107672.pdf</v>
      </c>
      <c r="D184" s="147" t="str">
        <f>IFERROR(__xludf.DUMMYFUNCTION("""COMPUTED_VALUE"""),"application/pdf")</f>
        <v>application/pdf</v>
      </c>
    </row>
    <row r="185">
      <c r="A185" s="147" t="str">
        <f>IFERROR(__xludf.DUMMYFUNCTION("""COMPUTED_VALUE"""),"10.1037/edu0000743")</f>
        <v>10.1037/edu0000743</v>
      </c>
      <c r="B185" s="453" t="str">
        <f>IFERROR(__xludf.DUMMYFUNCTION("""COMPUTED_VALUE"""),"https://drive.google.com/file/d/1mE8qdVgu7-5CuiGl4hkR4oOcSO_6ViAH/view?usp=drivesdk")</f>
        <v>https://drive.google.com/file/d/1mE8qdVgu7-5CuiGl4hkR4oOcSO_6ViAH/view?usp=drivesdk</v>
      </c>
      <c r="C185" s="147" t="str">
        <f>IFERROR(__xludf.DUMMYFUNCTION("""COMPUTED_VALUE"""),"10.1037--edu0000743.pdf")</f>
        <v>10.1037--edu0000743.pdf</v>
      </c>
      <c r="D185" s="147" t="str">
        <f>IFERROR(__xludf.DUMMYFUNCTION("""COMPUTED_VALUE"""),"application/pdf")</f>
        <v>application/pdf</v>
      </c>
    </row>
    <row r="186">
      <c r="A186" s="147" t="str">
        <f>IFERROR(__xludf.DUMMYFUNCTION("""COMPUTED_VALUE"""),"10.1037/cou0000495")</f>
        <v>10.1037/cou0000495</v>
      </c>
      <c r="B186" s="453" t="str">
        <f>IFERROR(__xludf.DUMMYFUNCTION("""COMPUTED_VALUE"""),"https://drive.google.com/file/d/1CScbuvTVZqO_yy9IG-SnLk08RYpIGsAI/view?usp=drivesdk")</f>
        <v>https://drive.google.com/file/d/1CScbuvTVZqO_yy9IG-SnLk08RYpIGsAI/view?usp=drivesdk</v>
      </c>
      <c r="C186" s="147" t="str">
        <f>IFERROR(__xludf.DUMMYFUNCTION("""COMPUTED_VALUE"""),"10.1037--cou0000495.pdf")</f>
        <v>10.1037--cou0000495.pdf</v>
      </c>
      <c r="D186" s="147" t="str">
        <f>IFERROR(__xludf.DUMMYFUNCTION("""COMPUTED_VALUE"""),"application/pdf")</f>
        <v>application/pdf</v>
      </c>
    </row>
    <row r="187">
      <c r="A187" s="147" t="str">
        <f>IFERROR(__xludf.DUMMYFUNCTION("""COMPUTED_VALUE"""),"10.1002/jaba.891")</f>
        <v>10.1002/jaba.891</v>
      </c>
      <c r="B187" s="453" t="str">
        <f>IFERROR(__xludf.DUMMYFUNCTION("""COMPUTED_VALUE"""),"https://drive.google.com/file/d/10CsTyC4ydL8U4rO51qz2YrX7o2g2Kqnr/view?usp=drivesdk")</f>
        <v>https://drive.google.com/file/d/10CsTyC4ydL8U4rO51qz2YrX7o2g2Kqnr/view?usp=drivesdk</v>
      </c>
      <c r="C187" s="147" t="str">
        <f>IFERROR(__xludf.DUMMYFUNCTION("""COMPUTED_VALUE"""),"10.1002--jaba.891.pdf")</f>
        <v>10.1002--jaba.891.pdf</v>
      </c>
      <c r="D187" s="147" t="str">
        <f>IFERROR(__xludf.DUMMYFUNCTION("""COMPUTED_VALUE"""),"application/pdf")</f>
        <v>application/pdf</v>
      </c>
    </row>
    <row r="188">
      <c r="A188" s="147" t="str">
        <f>IFERROR(__xludf.DUMMYFUNCTION("""COMPUTED_VALUE"""),"10.1093/qje/qjac035")</f>
        <v>10.1093/qje/qjac035</v>
      </c>
      <c r="B188" s="453" t="str">
        <f>IFERROR(__xludf.DUMMYFUNCTION("""COMPUTED_VALUE"""),"https://drive.google.com/file/d/16d2ldquzreLFuakSzFz58RVXbtteI_5K/view?usp=drivesdk")</f>
        <v>https://drive.google.com/file/d/16d2ldquzreLFuakSzFz58RVXbtteI_5K/view?usp=drivesdk</v>
      </c>
      <c r="C188" s="147" t="str">
        <f>IFERROR(__xludf.DUMMYFUNCTION("""COMPUTED_VALUE"""),"10.1093--qje--qjac035.pdf")</f>
        <v>10.1093--qje--qjac035.pdf</v>
      </c>
      <c r="D188" s="147" t="str">
        <f>IFERROR(__xludf.DUMMYFUNCTION("""COMPUTED_VALUE"""),"application/pdf")</f>
        <v>application/pdf</v>
      </c>
    </row>
    <row r="189">
      <c r="A189" s="147" t="str">
        <f>IFERROR(__xludf.DUMMYFUNCTION("""COMPUTED_VALUE"""),"10.1016/j.chb.2023.107973")</f>
        <v>10.1016/j.chb.2023.107973</v>
      </c>
      <c r="B189" s="453" t="str">
        <f>IFERROR(__xludf.DUMMYFUNCTION("""COMPUTED_VALUE"""),"https://drive.google.com/file/d/1ro_fyV-wZWsB4ZKhbZrotX3oDn-r2-xT/view?usp=drivesdk")</f>
        <v>https://drive.google.com/file/d/1ro_fyV-wZWsB4ZKhbZrotX3oDn-r2-xT/view?usp=drivesdk</v>
      </c>
      <c r="C189" s="147" t="str">
        <f>IFERROR(__xludf.DUMMYFUNCTION("""COMPUTED_VALUE"""),"10.1016--j.chb.2023.107973.pdf")</f>
        <v>10.1016--j.chb.2023.107973.pdf</v>
      </c>
      <c r="D189" s="147" t="str">
        <f>IFERROR(__xludf.DUMMYFUNCTION("""COMPUTED_VALUE"""),"application/pdf")</f>
        <v>application/pdf</v>
      </c>
    </row>
    <row r="190">
      <c r="A190" s="147" t="str">
        <f>IFERROR(__xludf.DUMMYFUNCTION("""COMPUTED_VALUE"""),"10.1016/j.trip.2023.100783")</f>
        <v>10.1016/j.trip.2023.100783</v>
      </c>
      <c r="B190" s="453" t="str">
        <f>IFERROR(__xludf.DUMMYFUNCTION("""COMPUTED_VALUE"""),"https://drive.google.com/file/d/1P7wlov__UmjWQsVtemyTGgOjNFpWrGLT/view?usp=drivesdk")</f>
        <v>https://drive.google.com/file/d/1P7wlov__UmjWQsVtemyTGgOjNFpWrGLT/view?usp=drivesdk</v>
      </c>
      <c r="C190" s="147" t="str">
        <f>IFERROR(__xludf.DUMMYFUNCTION("""COMPUTED_VALUE"""),"10.1016--j.trip.2023.100783.pdf")</f>
        <v>10.1016--j.trip.2023.100783.pdf</v>
      </c>
      <c r="D190" s="147" t="str">
        <f>IFERROR(__xludf.DUMMYFUNCTION("""COMPUTED_VALUE"""),"application/pdf")</f>
        <v>application/pdf</v>
      </c>
    </row>
    <row r="191">
      <c r="A191" s="147" t="str">
        <f>IFERROR(__xludf.DUMMYFUNCTION("""COMPUTED_VALUE"""),"10.1177/095679762311779")</f>
        <v>10.1177/095679762311779</v>
      </c>
      <c r="B191" s="453" t="str">
        <f>IFERROR(__xludf.DUMMYFUNCTION("""COMPUTED_VALUE"""),"https://drive.google.com/file/d/1YtaLiYfK1m9H_UEhXEMBosj1mg_EXC73/view?usp=drivesdk")</f>
        <v>https://drive.google.com/file/d/1YtaLiYfK1m9H_UEhXEMBosj1mg_EXC73/view?usp=drivesdk</v>
      </c>
      <c r="C191" s="147" t="str">
        <f>IFERROR(__xludf.DUMMYFUNCTION("""COMPUTED_VALUE"""),"10.1177--095679762311779.pdf")</f>
        <v>10.1177--095679762311779.pdf</v>
      </c>
      <c r="D191" s="147" t="str">
        <f>IFERROR(__xludf.DUMMYFUNCTION("""COMPUTED_VALUE"""),"application/pdf")</f>
        <v>application/pdf</v>
      </c>
    </row>
    <row r="192">
      <c r="A192" s="147" t="str">
        <f>IFERROR(__xludf.DUMMYFUNCTION("""COMPUTED_VALUE"""),"10.1111/j.1467-9280.2007.01961")</f>
        <v>10.1111/j.1467-9280.2007.01961</v>
      </c>
      <c r="B192" s="453" t="str">
        <f>IFERROR(__xludf.DUMMYFUNCTION("""COMPUTED_VALUE"""),"https://drive.google.com/file/d/10wZFu_n_OFKyepb7qeNIdy0suTAbVMCP/view?usp=drivesdk")</f>
        <v>https://drive.google.com/file/d/10wZFu_n_OFKyepb7qeNIdy0suTAbVMCP/view?usp=drivesdk</v>
      </c>
      <c r="C192" s="147" t="str">
        <f>IFERROR(__xludf.DUMMYFUNCTION("""COMPUTED_VALUE"""),"10.1111--j.1467-9280.2007.01961.pdf")</f>
        <v>10.1111--j.1467-9280.2007.01961.pdf</v>
      </c>
      <c r="D192" s="147" t="str">
        <f>IFERROR(__xludf.DUMMYFUNCTION("""COMPUTED_VALUE"""),"application/pdf")</f>
        <v>application/pdf</v>
      </c>
    </row>
    <row r="193">
      <c r="A193" s="147" t="str">
        <f>IFERROR(__xludf.DUMMYFUNCTION("""COMPUTED_VALUE"""),"10.1038/s41562-022-01319-5")</f>
        <v>10.1038/s41562-022-01319-5</v>
      </c>
      <c r="B193" s="453" t="str">
        <f>IFERROR(__xludf.DUMMYFUNCTION("""COMPUTED_VALUE"""),"https://drive.google.com/file/d/18oqZDGEq6caeP-NGNtFHInOSTwPiA0Ie/view?usp=drivesdk")</f>
        <v>https://drive.google.com/file/d/18oqZDGEq6caeP-NGNtFHInOSTwPiA0Ie/view?usp=drivesdk</v>
      </c>
      <c r="C193" s="147" t="str">
        <f>IFERROR(__xludf.DUMMYFUNCTION("""COMPUTED_VALUE"""),"10.1038--s41562-022-01319-5.pdf")</f>
        <v>10.1038--s41562-022-01319-5.pdf</v>
      </c>
      <c r="D193" s="147" t="str">
        <f>IFERROR(__xludf.DUMMYFUNCTION("""COMPUTED_VALUE"""),"application/pdf")</f>
        <v>application/pdf</v>
      </c>
    </row>
    <row r="194">
      <c r="A194" s="147" t="str">
        <f>IFERROR(__xludf.DUMMYFUNCTION("""COMPUTED_VALUE"""),"10.1002/bin.1885")</f>
        <v>10.1002/bin.1885</v>
      </c>
      <c r="B194" s="453" t="str">
        <f>IFERROR(__xludf.DUMMYFUNCTION("""COMPUTED_VALUE"""),"https://drive.google.com/file/d/17z_2upjofelI2OBtJbJp1UqmJ0j-f13C/view?usp=drivesdk")</f>
        <v>https://drive.google.com/file/d/17z_2upjofelI2OBtJbJp1UqmJ0j-f13C/view?usp=drivesdk</v>
      </c>
      <c r="C194" s="147" t="str">
        <f>IFERROR(__xludf.DUMMYFUNCTION("""COMPUTED_VALUE"""),"10.1002--bin.1885.pdf")</f>
        <v>10.1002--bin.1885.pdf</v>
      </c>
      <c r="D194" s="147" t="str">
        <f>IFERROR(__xludf.DUMMYFUNCTION("""COMPUTED_VALUE"""),"application/pdf")</f>
        <v>application/pdf</v>
      </c>
    </row>
    <row r="195">
      <c r="A195" s="147" t="str">
        <f>IFERROR(__xludf.DUMMYFUNCTION("""COMPUTED_VALUE"""),"10.7556/jaoa.2019.052")</f>
        <v>10.7556/jaoa.2019.052</v>
      </c>
      <c r="B195" s="453" t="str">
        <f>IFERROR(__xludf.DUMMYFUNCTION("""COMPUTED_VALUE"""),"https://drive.google.com/file/d/1MhWCR6IKjGFJF9T8GMSxBcbSJPBNMYrA/view?usp=drivesdk")</f>
        <v>https://drive.google.com/file/d/1MhWCR6IKjGFJF9T8GMSxBcbSJPBNMYrA/view?usp=drivesdk</v>
      </c>
      <c r="C195" s="147" t="str">
        <f>IFERROR(__xludf.DUMMYFUNCTION("""COMPUTED_VALUE"""),"10.7556--jaoa.2019.052.pdf")</f>
        <v>10.7556--jaoa.2019.052.pdf</v>
      </c>
      <c r="D195" s="147" t="str">
        <f>IFERROR(__xludf.DUMMYFUNCTION("""COMPUTED_VALUE"""),"application/pdf")</f>
        <v>application/pdf</v>
      </c>
    </row>
    <row r="196">
      <c r="A196" s="147" t="str">
        <f>IFERROR(__xludf.DUMMYFUNCTION("""COMPUTED_VALUE"""),"10.1016/j.jrp.2022.104232")</f>
        <v>10.1016/j.jrp.2022.104232</v>
      </c>
      <c r="B196" s="453" t="str">
        <f>IFERROR(__xludf.DUMMYFUNCTION("""COMPUTED_VALUE"""),"https://drive.google.com/file/d/1xUH4wxkipPc8Kas_WlJgtBKgVF5A6I4J/view?usp=drivesdk")</f>
        <v>https://drive.google.com/file/d/1xUH4wxkipPc8Kas_WlJgtBKgVF5A6I4J/view?usp=drivesdk</v>
      </c>
      <c r="C196" s="147" t="str">
        <f>IFERROR(__xludf.DUMMYFUNCTION("""COMPUTED_VALUE"""),"10.1016--j.jrp.2022.104232.pdf")</f>
        <v>10.1016--j.jrp.2022.104232.pdf</v>
      </c>
      <c r="D196" s="147" t="str">
        <f>IFERROR(__xludf.DUMMYFUNCTION("""COMPUTED_VALUE"""),"application/pdf")</f>
        <v>application/pdf</v>
      </c>
    </row>
    <row r="197">
      <c r="A197" s="147" t="str">
        <f>IFERROR(__xludf.DUMMYFUNCTION("""COMPUTED_VALUE"""),"10.1523/jneurosci.2329-20.2021")</f>
        <v>10.1523/jneurosci.2329-20.2021</v>
      </c>
      <c r="B197" s="453" t="str">
        <f>IFERROR(__xludf.DUMMYFUNCTION("""COMPUTED_VALUE"""),"https://drive.google.com/file/d/1BqL8Nw6PSYuS16ysmE6vXi0eI09OG5ne/view?usp=drivesdk")</f>
        <v>https://drive.google.com/file/d/1BqL8Nw6PSYuS16ysmE6vXi0eI09OG5ne/view?usp=drivesdk</v>
      </c>
      <c r="C197" s="147" t="str">
        <f>IFERROR(__xludf.DUMMYFUNCTION("""COMPUTED_VALUE"""),"10.1523--jneurosci.2329-20.2021.pdf")</f>
        <v>10.1523--jneurosci.2329-20.2021.pdf</v>
      </c>
      <c r="D197" s="147" t="str">
        <f>IFERROR(__xludf.DUMMYFUNCTION("""COMPUTED_VALUE"""),"application/pdf")</f>
        <v>application/pdf</v>
      </c>
    </row>
    <row r="198">
      <c r="A198" s="147" t="str">
        <f>IFERROR(__xludf.DUMMYFUNCTION("""COMPUTED_VALUE"""),"10.1016/j.chb.2022.107605")</f>
        <v>10.1016/j.chb.2022.107605</v>
      </c>
      <c r="B198" s="453" t="str">
        <f>IFERROR(__xludf.DUMMYFUNCTION("""COMPUTED_VALUE"""),"https://drive.google.com/file/d/1Wz8QT5hG7UNmKNIGagdQfvGJIGaLqvL7/view?usp=drivesdk")</f>
        <v>https://drive.google.com/file/d/1Wz8QT5hG7UNmKNIGagdQfvGJIGaLqvL7/view?usp=drivesdk</v>
      </c>
      <c r="C198" s="147" t="str">
        <f>IFERROR(__xludf.DUMMYFUNCTION("""COMPUTED_VALUE"""),"10.1016--j.chb.2022.107605.pdf")</f>
        <v>10.1016--j.chb.2022.107605.pdf</v>
      </c>
      <c r="D198" s="147" t="str">
        <f>IFERROR(__xludf.DUMMYFUNCTION("""COMPUTED_VALUE"""),"application/pdf")</f>
        <v>application/pdf</v>
      </c>
    </row>
    <row r="199">
      <c r="A199" s="147" t="str">
        <f>IFERROR(__xludf.DUMMYFUNCTION("""COMPUTED_VALUE"""),"10.1257/aer.99.3.1053")</f>
        <v>10.1257/aer.99.3.1053</v>
      </c>
      <c r="B199" s="453" t="str">
        <f>IFERROR(__xludf.DUMMYFUNCTION("""COMPUTED_VALUE"""),"https://drive.google.com/file/d/1K2zHMlHPam78S5DkPpEMV2Ne6_sMuV0c/view?usp=drivesdk")</f>
        <v>https://drive.google.com/file/d/1K2zHMlHPam78S5DkPpEMV2Ne6_sMuV0c/view?usp=drivesdk</v>
      </c>
      <c r="C199" s="147" t="str">
        <f>IFERROR(__xludf.DUMMYFUNCTION("""COMPUTED_VALUE"""),"10.1257--aer.99.3.1053.pdf")</f>
        <v>10.1257--aer.99.3.1053.pdf</v>
      </c>
      <c r="D199" s="147" t="str">
        <f>IFERROR(__xludf.DUMMYFUNCTION("""COMPUTED_VALUE"""),"application/pdf")</f>
        <v>application/pdf</v>
      </c>
    </row>
    <row r="200">
      <c r="A200" s="147" t="str">
        <f>IFERROR(__xludf.DUMMYFUNCTION("""COMPUTED_VALUE"""),"10.2196/20534")</f>
        <v>10.2196/20534</v>
      </c>
      <c r="B200" s="453" t="str">
        <f>IFERROR(__xludf.DUMMYFUNCTION("""COMPUTED_VALUE"""),"https://drive.google.com/file/d/1YuPgvt-CwvvxVNuYav3yg8PfIXNdgR1B/view?usp=drivesdk")</f>
        <v>https://drive.google.com/file/d/1YuPgvt-CwvvxVNuYav3yg8PfIXNdgR1B/view?usp=drivesdk</v>
      </c>
      <c r="C200" s="147" t="str">
        <f>IFERROR(__xludf.DUMMYFUNCTION("""COMPUTED_VALUE"""),"10.2196--20534.pdf")</f>
        <v>10.2196--20534.pdf</v>
      </c>
      <c r="D200" s="147" t="str">
        <f>IFERROR(__xludf.DUMMYFUNCTION("""COMPUTED_VALUE"""),"application/pdf")</f>
        <v>application/pdf</v>
      </c>
    </row>
    <row r="201">
      <c r="A201" s="147" t="str">
        <f>IFERROR(__xludf.DUMMYFUNCTION("""COMPUTED_VALUE"""),"benson2019")</f>
        <v>benson2019</v>
      </c>
      <c r="B201" s="453" t="str">
        <f>IFERROR(__xludf.DUMMYFUNCTION("""COMPUTED_VALUE"""),"https://drive.google.com/file/d/1_aQd2fiFR2BFUHay2TJmZ6uXOfDFwlyI/view?usp=drivesdk")</f>
        <v>https://drive.google.com/file/d/1_aQd2fiFR2BFUHay2TJmZ6uXOfDFwlyI/view?usp=drivesdk</v>
      </c>
      <c r="C201" s="147" t="str">
        <f>IFERROR(__xludf.DUMMYFUNCTION("""COMPUTED_VALUE"""),"benson2019.pdf")</f>
        <v>benson2019.pdf</v>
      </c>
      <c r="D201" s="147" t="str">
        <f>IFERROR(__xludf.DUMMYFUNCTION("""COMPUTED_VALUE"""),"application/pdf")</f>
        <v>application/pdf</v>
      </c>
    </row>
    <row r="202">
      <c r="A202" s="147" t="str">
        <f>IFERROR(__xludf.DUMMYFUNCTION("""COMPUTED_VALUE"""),"10.1073/pnas.2 015539118")</f>
        <v>10.1073/pnas.2 015539118</v>
      </c>
      <c r="B202" s="453" t="str">
        <f>IFERROR(__xludf.DUMMYFUNCTION("""COMPUTED_VALUE"""),"https://drive.google.com/file/d/1d65j0saCEIanzMI-38I3fhweWKRYSiw2/view?usp=drivesdk")</f>
        <v>https://drive.google.com/file/d/1d65j0saCEIanzMI-38I3fhweWKRYSiw2/view?usp=drivesdk</v>
      </c>
      <c r="C202" s="147" t="str">
        <f>IFERROR(__xludf.DUMMYFUNCTION("""COMPUTED_VALUE"""),"10.1073--pnas.2 015539118.pdf")</f>
        <v>10.1073--pnas.2 015539118.pdf</v>
      </c>
      <c r="D202" s="147" t="str">
        <f>IFERROR(__xludf.DUMMYFUNCTION("""COMPUTED_VALUE"""),"application/pdf")</f>
        <v>application/pdf</v>
      </c>
    </row>
    <row r="203">
      <c r="A203" s="147" t="str">
        <f>IFERROR(__xludf.DUMMYFUNCTION("""COMPUTED_VALUE"""),"10.1073/pnas.212066811")</f>
        <v>10.1073/pnas.212066811</v>
      </c>
      <c r="B203" s="453" t="str">
        <f>IFERROR(__xludf.DUMMYFUNCTION("""COMPUTED_VALUE"""),"https://drive.google.com/file/d/1EOobtRYPjKeO9_gYW4bu-_TIpK_PjuLA/view?usp=drivesdk")</f>
        <v>https://drive.google.com/file/d/1EOobtRYPjKeO9_gYW4bu-_TIpK_PjuLA/view?usp=drivesdk</v>
      </c>
      <c r="C203" s="147" t="str">
        <f>IFERROR(__xludf.DUMMYFUNCTION("""COMPUTED_VALUE"""),"10.1073--pnas.212066811.pdf")</f>
        <v>10.1073--pnas.212066811.pdf</v>
      </c>
      <c r="D203" s="147" t="str">
        <f>IFERROR(__xludf.DUMMYFUNCTION("""COMPUTED_VALUE"""),"application/pdf")</f>
        <v>application/pdf</v>
      </c>
    </row>
    <row r="204">
      <c r="A204" s="147" t="str">
        <f>IFERROR(__xludf.DUMMYFUNCTION("""COMPUTED_VALUE"""),"10.1162/rest.90.2.300 (1)")</f>
        <v>10.1162/rest.90.2.300 (1)</v>
      </c>
      <c r="B204" s="453" t="str">
        <f>IFERROR(__xludf.DUMMYFUNCTION("""COMPUTED_VALUE"""),"https://drive.google.com/file/d/1UjbeLcg8Ef9iNN6OCfcfSjsOW-S8xlbA/view?usp=drivesdk")</f>
        <v>https://drive.google.com/file/d/1UjbeLcg8Ef9iNN6OCfcfSjsOW-S8xlbA/view?usp=drivesdk</v>
      </c>
      <c r="C204" s="147" t="str">
        <f>IFERROR(__xludf.DUMMYFUNCTION("""COMPUTED_VALUE"""),"10.1162--rest.90.2.300 (1).pdf")</f>
        <v>10.1162--rest.90.2.300 (1).pdf</v>
      </c>
      <c r="D204" s="147" t="str">
        <f>IFERROR(__xludf.DUMMYFUNCTION("""COMPUTED_VALUE"""),"application/pdf")</f>
        <v>application/pdf</v>
      </c>
    </row>
    <row r="205">
      <c r="A205" s="147" t="str">
        <f>IFERROR(__xludf.DUMMYFUNCTION("""COMPUTED_VALUE"""),"10.1257/mac.1.1.146 (1)")</f>
        <v>10.1257/mac.1.1.146 (1)</v>
      </c>
      <c r="B205" s="453" t="str">
        <f>IFERROR(__xludf.DUMMYFUNCTION("""COMPUTED_VALUE"""),"https://drive.google.com/file/d/1D4Mi_2OBXIENWNgS-WkOzAsIz9d6XBcv/view?usp=drivesdk")</f>
        <v>https://drive.google.com/file/d/1D4Mi_2OBXIENWNgS-WkOzAsIz9d6XBcv/view?usp=drivesdk</v>
      </c>
      <c r="C205" s="147" t="str">
        <f>IFERROR(__xludf.DUMMYFUNCTION("""COMPUTED_VALUE"""),"10.1257--mac.1.1.146 (1).pdf")</f>
        <v>10.1257--mac.1.1.146 (1).pdf</v>
      </c>
      <c r="D205" s="147" t="str">
        <f>IFERROR(__xludf.DUMMYFUNCTION("""COMPUTED_VALUE"""),"application/pdf")</f>
        <v>application/pdf</v>
      </c>
    </row>
    <row r="206">
      <c r="A206" s="147" t="str">
        <f>IFERROR(__xludf.DUMMYFUNCTION("""COMPUTED_VALUE"""),"10.1257/mac.20130176 (1)")</f>
        <v>10.1257/mac.20130176 (1)</v>
      </c>
      <c r="B206" s="453" t="str">
        <f>IFERROR(__xludf.DUMMYFUNCTION("""COMPUTED_VALUE"""),"https://drive.google.com/file/d/1E1qWlBKhonhY_3BaxJAyBmY0k-t23HiD/view?usp=drivesdk")</f>
        <v>https://drive.google.com/file/d/1E1qWlBKhonhY_3BaxJAyBmY0k-t23HiD/view?usp=drivesdk</v>
      </c>
      <c r="C206" s="147" t="str">
        <f>IFERROR(__xludf.DUMMYFUNCTION("""COMPUTED_VALUE"""),"10.1257--mac.20130176 (1).pdf")</f>
        <v>10.1257--mac.20130176 (1).pdf</v>
      </c>
      <c r="D206" s="147" t="str">
        <f>IFERROR(__xludf.DUMMYFUNCTION("""COMPUTED_VALUE"""),"application/pdf")</f>
        <v>application/pdf</v>
      </c>
    </row>
    <row r="207">
      <c r="A207" s="147" t="str">
        <f>IFERROR(__xludf.DUMMYFUNCTION("""COMPUTED_VALUE"""),"10.1017/s0007123421000557")</f>
        <v>10.1017/s0007123421000557</v>
      </c>
      <c r="B207" s="453" t="str">
        <f>IFERROR(__xludf.DUMMYFUNCTION("""COMPUTED_VALUE"""),"https://drive.google.com/file/d/1YQ1rwTK8fHHydlCOqvw62rr4BQnhJ7v4/view?usp=drivesdk")</f>
        <v>https://drive.google.com/file/d/1YQ1rwTK8fHHydlCOqvw62rr4BQnhJ7v4/view?usp=drivesdk</v>
      </c>
      <c r="C207" s="147" t="str">
        <f>IFERROR(__xludf.DUMMYFUNCTION("""COMPUTED_VALUE"""),"10.1017--s0007123421000557.pdf")</f>
        <v>10.1017--s0007123421000557.pdf</v>
      </c>
      <c r="D207" s="147" t="str">
        <f>IFERROR(__xludf.DUMMYFUNCTION("""COMPUTED_VALUE"""),"application/pdf")</f>
        <v>application/pdf</v>
      </c>
    </row>
    <row r="208">
      <c r="A208" s="147" t="str">
        <f>IFERROR(__xludf.DUMMYFUNCTION("""COMPUTED_VALUE"""),"10.1177/2f10986111211035002")</f>
        <v>10.1177/2f10986111211035002</v>
      </c>
      <c r="B208" s="453" t="str">
        <f>IFERROR(__xludf.DUMMYFUNCTION("""COMPUTED_VALUE"""),"https://drive.google.com/file/d/16pg9MWE7EmtXDgvjDW9mExWkGIxt2MYX/view?usp=drivesdk")</f>
        <v>https://drive.google.com/file/d/16pg9MWE7EmtXDgvjDW9mExWkGIxt2MYX/view?usp=drivesdk</v>
      </c>
      <c r="C208" s="147" t="str">
        <f>IFERROR(__xludf.DUMMYFUNCTION("""COMPUTED_VALUE"""),"10.1177--2f10986111211035002.pdf")</f>
        <v>10.1177--2f10986111211035002.pdf</v>
      </c>
      <c r="D208" s="147" t="str">
        <f>IFERROR(__xludf.DUMMYFUNCTION("""COMPUTED_VALUE"""),"application/pdf")</f>
        <v>application/pdf</v>
      </c>
    </row>
    <row r="209">
      <c r="A209" s="147" t="str">
        <f>IFERROR(__xludf.DUMMYFUNCTION("""COMPUTED_VALUE"""),"10.1037/lhb0000532")</f>
        <v>10.1037/lhb0000532</v>
      </c>
      <c r="B209" s="453" t="str">
        <f>IFERROR(__xludf.DUMMYFUNCTION("""COMPUTED_VALUE"""),"https://drive.google.com/file/d/1pRBsytrBmWb0piV5bun6Rad2j51JyzSC/view?usp=drivesdk")</f>
        <v>https://drive.google.com/file/d/1pRBsytrBmWb0piV5bun6Rad2j51JyzSC/view?usp=drivesdk</v>
      </c>
      <c r="C209" s="147" t="str">
        <f>IFERROR(__xludf.DUMMYFUNCTION("""COMPUTED_VALUE"""),"10.1037--lhb0000532.pdf")</f>
        <v>10.1037--lhb0000532.pdf</v>
      </c>
      <c r="D209" s="147" t="str">
        <f>IFERROR(__xludf.DUMMYFUNCTION("""COMPUTED_VALUE"""),"application/pdf")</f>
        <v>application/pdf</v>
      </c>
    </row>
    <row r="210">
      <c r="A210" s="147" t="str">
        <f>IFERROR(__xludf.DUMMYFUNCTION("""COMPUTED_VALUE"""),"10.1038/s41598-022-24919-7")</f>
        <v>10.1038/s41598-022-24919-7</v>
      </c>
      <c r="B210" s="453" t="str">
        <f>IFERROR(__xludf.DUMMYFUNCTION("""COMPUTED_VALUE"""),"https://drive.google.com/file/d/1U7jcEsjlgt0luv4Qd8Q7JmbBb7qRDTdD/view?usp=drivesdk")</f>
        <v>https://drive.google.com/file/d/1U7jcEsjlgt0luv4Qd8Q7JmbBb7qRDTdD/view?usp=drivesdk</v>
      </c>
      <c r="C210" s="147" t="str">
        <f>IFERROR(__xludf.DUMMYFUNCTION("""COMPUTED_VALUE"""),"10.1038--s41598-022-24919-7.pdf")</f>
        <v>10.1038--s41598-022-24919-7.pdf</v>
      </c>
      <c r="D210" s="147" t="str">
        <f>IFERROR(__xludf.DUMMYFUNCTION("""COMPUTED_VALUE"""),"application/pdf")</f>
        <v>application/pdf</v>
      </c>
    </row>
    <row r="211">
      <c r="A211" s="147" t="str">
        <f>IFERROR(__xludf.DUMMYFUNCTION("""COMPUTED_VALUE"""),"10.1093/geront/gnac158")</f>
        <v>10.1093/geront/gnac158</v>
      </c>
      <c r="B211" s="453" t="str">
        <f>IFERROR(__xludf.DUMMYFUNCTION("""COMPUTED_VALUE"""),"https://drive.google.com/file/d/1LJ0WrqBtVRCt68G-AduIa1fUKucFOQw4/view?usp=drivesdk")</f>
        <v>https://drive.google.com/file/d/1LJ0WrqBtVRCt68G-AduIa1fUKucFOQw4/view?usp=drivesdk</v>
      </c>
      <c r="C211" s="147" t="str">
        <f>IFERROR(__xludf.DUMMYFUNCTION("""COMPUTED_VALUE"""),"10.1093--geront--gnac158.pdf")</f>
        <v>10.1093--geront--gnac158.pdf</v>
      </c>
      <c r="D211" s="147" t="str">
        <f>IFERROR(__xludf.DUMMYFUNCTION("""COMPUTED_VALUE"""),"application/pdf")</f>
        <v>application/pdf</v>
      </c>
    </row>
    <row r="212">
      <c r="A212" s="147" t="str">
        <f>IFERROR(__xludf.DUMMYFUNCTION("""COMPUTED_VALUE"""),"10.1037/pspp0000263")</f>
        <v>10.1037/pspp0000263</v>
      </c>
      <c r="B212" s="453" t="str">
        <f>IFERROR(__xludf.DUMMYFUNCTION("""COMPUTED_VALUE"""),"https://drive.google.com/file/d/1v5DJu4qjqzVUJEfoj2GHrhMbmyHZ-m6z/view?usp=drivesdk")</f>
        <v>https://drive.google.com/file/d/1v5DJu4qjqzVUJEfoj2GHrhMbmyHZ-m6z/view?usp=drivesdk</v>
      </c>
      <c r="C212" s="147" t="str">
        <f>IFERROR(__xludf.DUMMYFUNCTION("""COMPUTED_VALUE"""),"10.1037--pspp0000263.pdf")</f>
        <v>10.1037--pspp0000263.pdf</v>
      </c>
      <c r="D212" s="147" t="str">
        <f>IFERROR(__xludf.DUMMYFUNCTION("""COMPUTED_VALUE"""),"application/pdf")</f>
        <v>application/pdf</v>
      </c>
    </row>
    <row r="213">
      <c r="A213" s="147" t="str">
        <f>IFERROR(__xludf.DUMMYFUNCTION("""COMPUTED_VALUE"""),"10.1007/s40732-020-00432-8")</f>
        <v>10.1007/s40732-020-00432-8</v>
      </c>
      <c r="B213" s="453" t="str">
        <f>IFERROR(__xludf.DUMMYFUNCTION("""COMPUTED_VALUE"""),"https://drive.google.com/file/d/1JkE16HX10SxkzianGctH-9nm-XFaoMsF/view?usp=drivesdk")</f>
        <v>https://drive.google.com/file/d/1JkE16HX10SxkzianGctH-9nm-XFaoMsF/view?usp=drivesdk</v>
      </c>
      <c r="C213" s="147" t="str">
        <f>IFERROR(__xludf.DUMMYFUNCTION("""COMPUTED_VALUE"""),"10.1007--s40732-020-00432-8.pdf")</f>
        <v>10.1007--s40732-020-00432-8.pdf</v>
      </c>
      <c r="D213" s="147" t="str">
        <f>IFERROR(__xludf.DUMMYFUNCTION("""COMPUTED_VALUE"""),"application/pdf")</f>
        <v>application/pdf</v>
      </c>
    </row>
    <row r="214">
      <c r="A214" s="147" t="str">
        <f>IFERROR(__xludf.DUMMYFUNCTION("""COMPUTED_VALUE"""),"sastre2022")</f>
        <v>sastre2022</v>
      </c>
      <c r="B214" s="453" t="str">
        <f>IFERROR(__xludf.DUMMYFUNCTION("""COMPUTED_VALUE"""),"https://drive.google.com/file/d/1DeRESzfXOza_ac4bortetS44iBQlEB1l/view?usp=drivesdk")</f>
        <v>https://drive.google.com/file/d/1DeRESzfXOza_ac4bortetS44iBQlEB1l/view?usp=drivesdk</v>
      </c>
      <c r="C214" s="147" t="str">
        <f>IFERROR(__xludf.DUMMYFUNCTION("""COMPUTED_VALUE"""),"sastre2022.pdf")</f>
        <v>sastre2022.pdf</v>
      </c>
      <c r="D214" s="147" t="str">
        <f>IFERROR(__xludf.DUMMYFUNCTION("""COMPUTED_VALUE"""),"application/pdf")</f>
        <v>application/pdf</v>
      </c>
    </row>
    <row r="215">
      <c r="A215" s="147" t="str">
        <f>IFERROR(__xludf.DUMMYFUNCTION("""COMPUTED_VALUE"""),"wilfong2021")</f>
        <v>wilfong2021</v>
      </c>
      <c r="B215" s="453" t="str">
        <f>IFERROR(__xludf.DUMMYFUNCTION("""COMPUTED_VALUE"""),"https://drive.google.com/file/d/1tJfvC20ctLZQdLkZolhGX4DXfr-JFdEB/view?usp=drivesdk")</f>
        <v>https://drive.google.com/file/d/1tJfvC20ctLZQdLkZolhGX4DXfr-JFdEB/view?usp=drivesdk</v>
      </c>
      <c r="C215" s="147" t="str">
        <f>IFERROR(__xludf.DUMMYFUNCTION("""COMPUTED_VALUE"""),"wilfong2021.pdf")</f>
        <v>wilfong2021.pdf</v>
      </c>
      <c r="D215" s="147" t="str">
        <f>IFERROR(__xludf.DUMMYFUNCTION("""COMPUTED_VALUE"""),"application/pdf")</f>
        <v>application/pdf</v>
      </c>
    </row>
    <row r="216">
      <c r="A216" s="147" t="str">
        <f>IFERROR(__xludf.DUMMYFUNCTION("""COMPUTED_VALUE"""),"10.1075/ijcl.19131.lar")</f>
        <v>10.1075/ijcl.19131.lar</v>
      </c>
      <c r="B216" s="453" t="str">
        <f>IFERROR(__xludf.DUMMYFUNCTION("""COMPUTED_VALUE"""),"https://drive.google.com/file/d/1ntHR-2TST8Pa9kLmC5CL_wNP2lafijMc/view?usp=drivesdk")</f>
        <v>https://drive.google.com/file/d/1ntHR-2TST8Pa9kLmC5CL_wNP2lafijMc/view?usp=drivesdk</v>
      </c>
      <c r="C216" s="147" t="str">
        <f>IFERROR(__xludf.DUMMYFUNCTION("""COMPUTED_VALUE"""),"10.1075--ijcl.19131.lar.pdf")</f>
        <v>10.1075--ijcl.19131.lar.pdf</v>
      </c>
      <c r="D216" s="147" t="str">
        <f>IFERROR(__xludf.DUMMYFUNCTION("""COMPUTED_VALUE"""),"application/pdf")</f>
        <v>application/pdf</v>
      </c>
    </row>
    <row r="217">
      <c r="A217" s="147" t="str">
        <f>IFERROR(__xludf.DUMMYFUNCTION("""COMPUTED_VALUE"""),"10.1377/hlthaff.2015.1382")</f>
        <v>10.1377/hlthaff.2015.1382</v>
      </c>
      <c r="B217" s="453" t="str">
        <f>IFERROR(__xludf.DUMMYFUNCTION("""COMPUTED_VALUE"""),"https://drive.google.com/file/d/1jQ2ZVxsJgOGK369mgFlFLMIcvvyGyvkY/view?usp=drivesdk")</f>
        <v>https://drive.google.com/file/d/1jQ2ZVxsJgOGK369mgFlFLMIcvvyGyvkY/view?usp=drivesdk</v>
      </c>
      <c r="C217" s="147" t="str">
        <f>IFERROR(__xludf.DUMMYFUNCTION("""COMPUTED_VALUE"""),"10.1377--hlthaff.2015.1382.pdf")</f>
        <v>10.1377--hlthaff.2015.1382.pdf</v>
      </c>
      <c r="D217" s="147" t="str">
        <f>IFERROR(__xludf.DUMMYFUNCTION("""COMPUTED_VALUE"""),"application/pdf")</f>
        <v>application/pdf</v>
      </c>
    </row>
    <row r="218">
      <c r="A218" s="147" t="str">
        <f>IFERROR(__xludf.DUMMYFUNCTION("""COMPUTED_VALUE"""),"katla2024")</f>
        <v>katla2024</v>
      </c>
      <c r="B218" s="453" t="str">
        <f>IFERROR(__xludf.DUMMYFUNCTION("""COMPUTED_VALUE"""),"https://drive.google.com/file/d/1hN0G4Myov8ckz4pAMJyK0-chR-uaImCE/view?usp=drivesdk")</f>
        <v>https://drive.google.com/file/d/1hN0G4Myov8ckz4pAMJyK0-chR-uaImCE/view?usp=drivesdk</v>
      </c>
      <c r="C218" s="147" t="str">
        <f>IFERROR(__xludf.DUMMYFUNCTION("""COMPUTED_VALUE"""),"katla2024.pdf")</f>
        <v>katla2024.pdf</v>
      </c>
      <c r="D218" s="147" t="str">
        <f>IFERROR(__xludf.DUMMYFUNCTION("""COMPUTED_VALUE"""),"application/pdf")</f>
        <v>application/pdf</v>
      </c>
    </row>
    <row r="219">
      <c r="A219" s="147" t="str">
        <f>IFERROR(__xludf.DUMMYFUNCTION("""COMPUTED_VALUE"""),"10.4148/1944-9771.1299")</f>
        <v>10.4148/1944-9771.1299</v>
      </c>
      <c r="B219" s="453" t="str">
        <f>IFERROR(__xludf.DUMMYFUNCTION("""COMPUTED_VALUE"""),"https://drive.google.com/file/d/1OByNKNsjZqSFHFFyt-o1mPqDkVmgruBu/view?usp=drivesdk")</f>
        <v>https://drive.google.com/file/d/1OByNKNsjZqSFHFFyt-o1mPqDkVmgruBu/view?usp=drivesdk</v>
      </c>
      <c r="C219" s="147" t="str">
        <f>IFERROR(__xludf.DUMMYFUNCTION("""COMPUTED_VALUE"""),"10.4148--1944-9771.1299.pdf")</f>
        <v>10.4148--1944-9771.1299.pdf</v>
      </c>
      <c r="D219" s="147" t="str">
        <f>IFERROR(__xludf.DUMMYFUNCTION("""COMPUTED_VALUE"""),"application/pdf")</f>
        <v>application/pdf</v>
      </c>
    </row>
    <row r="220">
      <c r="A220" s="147" t="str">
        <f>IFERROR(__xludf.DUMMYFUNCTION("""COMPUTED_VALUE"""),"10.1016/j.paid.2021.111472")</f>
        <v>10.1016/j.paid.2021.111472</v>
      </c>
      <c r="B220" s="453" t="str">
        <f>IFERROR(__xludf.DUMMYFUNCTION("""COMPUTED_VALUE"""),"https://drive.google.com/file/d/1GCYFeLrlGpCBF1GyjSAAd1YFst71bifH/view?usp=drivesdk")</f>
        <v>https://drive.google.com/file/d/1GCYFeLrlGpCBF1GyjSAAd1YFst71bifH/view?usp=drivesdk</v>
      </c>
      <c r="C220" s="147" t="str">
        <f>IFERROR(__xludf.DUMMYFUNCTION("""COMPUTED_VALUE"""),"10.1016--j.paid.2021.111472.pdf")</f>
        <v>10.1016--j.paid.2021.111472.pdf</v>
      </c>
      <c r="D220" s="147" t="str">
        <f>IFERROR(__xludf.DUMMYFUNCTION("""COMPUTED_VALUE"""),"application/pdf")</f>
        <v>application/pdf</v>
      </c>
    </row>
    <row r="221">
      <c r="A221" s="147" t="str">
        <f>IFERROR(__xludf.DUMMYFUNCTION("""COMPUTED_VALUE"""),"10.1086/500990")</f>
        <v>10.1086/500990</v>
      </c>
      <c r="B221" s="453" t="str">
        <f>IFERROR(__xludf.DUMMYFUNCTION("""COMPUTED_VALUE"""),"https://drive.google.com/file/d/1nEvKlRA8uAXj2efuq1DkKpPMx5D0e87_/view?usp=drivesdk")</f>
        <v>https://drive.google.com/file/d/1nEvKlRA8uAXj2efuq1DkKpPMx5D0e87_/view?usp=drivesdk</v>
      </c>
      <c r="C221" s="147" t="str">
        <f>IFERROR(__xludf.DUMMYFUNCTION("""COMPUTED_VALUE"""),"10.1086--500990.pdf")</f>
        <v>10.1086--500990.pdf</v>
      </c>
      <c r="D221" s="147" t="str">
        <f>IFERROR(__xludf.DUMMYFUNCTION("""COMPUTED_VALUE"""),"application/pdf")</f>
        <v>application/pdf</v>
      </c>
    </row>
    <row r="222">
      <c r="A222" s="147" t="str">
        <f>IFERROR(__xludf.DUMMYFUNCTION("""COMPUTED_VALUE"""),"10.1111/j.1467-9280.2006.01704.x (1)")</f>
        <v>10.1111/j.1467-9280.2006.01704.x (1)</v>
      </c>
      <c r="B222" s="453" t="str">
        <f>IFERROR(__xludf.DUMMYFUNCTION("""COMPUTED_VALUE"""),"https://drive.google.com/file/d/1yr8whNCRN-BXlZgIIxkjY0g8z8-0guwq/view?usp=drivesdk")</f>
        <v>https://drive.google.com/file/d/1yr8whNCRN-BXlZgIIxkjY0g8z8-0guwq/view?usp=drivesdk</v>
      </c>
      <c r="C222" s="147" t="str">
        <f>IFERROR(__xludf.DUMMYFUNCTION("""COMPUTED_VALUE"""),"10.1111--j.1467-9280.2006.01704.x (1).pdf")</f>
        <v>10.1111--j.1467-9280.2006.01704.x (1).pdf</v>
      </c>
      <c r="D222" s="147" t="str">
        <f>IFERROR(__xludf.DUMMYFUNCTION("""COMPUTED_VALUE"""),"application/pdf")</f>
        <v>application/pdf</v>
      </c>
    </row>
    <row r="223">
      <c r="A223" s="147" t="str">
        <f>IFERROR(__xludf.DUMMYFUNCTION("""COMPUTED_VALUE"""),"10.1006/obhd.2000.2900")</f>
        <v>10.1006/obhd.2000.2900</v>
      </c>
      <c r="B223" s="453" t="str">
        <f>IFERROR(__xludf.DUMMYFUNCTION("""COMPUTED_VALUE"""),"https://drive.google.com/file/d/17WfzyrTctbh-ycFCu5dg5IR87_upn8zm/view?usp=drivesdk")</f>
        <v>https://drive.google.com/file/d/17WfzyrTctbh-ycFCu5dg5IR87_upn8zm/view?usp=drivesdk</v>
      </c>
      <c r="C223" s="147" t="str">
        <f>IFERROR(__xludf.DUMMYFUNCTION("""COMPUTED_VALUE"""),"10.1006--obhd.2000.2900.pdf")</f>
        <v>10.1006--obhd.2000.2900.pdf</v>
      </c>
      <c r="D223" s="147" t="str">
        <f>IFERROR(__xludf.DUMMYFUNCTION("""COMPUTED_VALUE"""),"application/pdf")</f>
        <v>application/pdf</v>
      </c>
    </row>
    <row r="224">
      <c r="A224" s="147" t="str">
        <f>IFERROR(__xludf.DUMMYFUNCTION("""COMPUTED_VALUE"""),"10.1037//0022-3514.80.4.572")</f>
        <v>10.1037//0022-3514.80.4.572</v>
      </c>
      <c r="B224" s="453" t="str">
        <f>IFERROR(__xludf.DUMMYFUNCTION("""COMPUTED_VALUE"""),"https://drive.google.com/file/d/1Lj-NalOkiEcybZZT_dNLosMFyuAbdUs8/view?usp=drivesdk")</f>
        <v>https://drive.google.com/file/d/1Lj-NalOkiEcybZZT_dNLosMFyuAbdUs8/view?usp=drivesdk</v>
      </c>
      <c r="C224" s="147" t="str">
        <f>IFERROR(__xludf.DUMMYFUNCTION("""COMPUTED_VALUE"""),"10.1037----0022-3514.80.4.572.pdf")</f>
        <v>10.1037----0022-3514.80.4.572.pdf</v>
      </c>
      <c r="D224" s="147" t="str">
        <f>IFERROR(__xludf.DUMMYFUNCTION("""COMPUTED_VALUE"""),"application/pdf")</f>
        <v>application/pdf</v>
      </c>
    </row>
    <row r="225">
      <c r="A225" s="147" t="str">
        <f>IFERROR(__xludf.DUMMYFUNCTION("""COMPUTED_VALUE"""),"10.1037/0022-3514.90.4.543")</f>
        <v>10.1037/0022-3514.90.4.543</v>
      </c>
      <c r="B225" s="453" t="str">
        <f>IFERROR(__xludf.DUMMYFUNCTION("""COMPUTED_VALUE"""),"https://drive.google.com/file/d/1Yf0-4mxcVfhdYlLjMdsf8en6RDWsDJbw/view?usp=drivesdk")</f>
        <v>https://drive.google.com/file/d/1Yf0-4mxcVfhdYlLjMdsf8en6RDWsDJbw/view?usp=drivesdk</v>
      </c>
      <c r="C225" s="147" t="str">
        <f>IFERROR(__xludf.DUMMYFUNCTION("""COMPUTED_VALUE"""),"10.1037--0022-3514.90.4.543.pdf")</f>
        <v>10.1037--0022-3514.90.4.543.pdf</v>
      </c>
      <c r="D225" s="147" t="str">
        <f>IFERROR(__xludf.DUMMYFUNCTION("""COMPUTED_VALUE"""),"application/pdf")</f>
        <v>application/pdf</v>
      </c>
    </row>
    <row r="226">
      <c r="A226" s="147" t="str">
        <f>IFERROR(__xludf.DUMMYFUNCTION("""COMPUTED_VALUE"""),"10.1037//0022-3514.80.4.557")</f>
        <v>10.1037//0022-3514.80.4.557</v>
      </c>
      <c r="B226" s="453" t="str">
        <f>IFERROR(__xludf.DUMMYFUNCTION("""COMPUTED_VALUE"""),"https://drive.google.com/file/d/1z2ENYgIkcshVHZYpVX_jkl4FG23ycA6Z/view?usp=drivesdk")</f>
        <v>https://drive.google.com/file/d/1z2ENYgIkcshVHZYpVX_jkl4FG23ycA6Z/view?usp=drivesdk</v>
      </c>
      <c r="C226" s="147" t="str">
        <f>IFERROR(__xludf.DUMMYFUNCTION("""COMPUTED_VALUE"""),"10.1037----0022-3514.80.4.557.pdf")</f>
        <v>10.1037----0022-3514.80.4.557.pdf</v>
      </c>
      <c r="D226" s="147" t="str">
        <f>IFERROR(__xludf.DUMMYFUNCTION("""COMPUTED_VALUE"""),"application/pdf")</f>
        <v>application/pdf</v>
      </c>
    </row>
    <row r="227">
      <c r="A227" s="147" t="str">
        <f>IFERROR(__xludf.DUMMYFUNCTION("""COMPUTED_VALUE"""),"10.1037/0096-3445.136.2.289")</f>
        <v>10.1037/0096-3445.136.2.289</v>
      </c>
      <c r="B227" s="453" t="str">
        <f>IFERROR(__xludf.DUMMYFUNCTION("""COMPUTED_VALUE"""),"https://drive.google.com/file/d/1_hV0LxKWPhSNb8BX52EFM1hcOzItqUhi/view?usp=drivesdk")</f>
        <v>https://drive.google.com/file/d/1_hV0LxKWPhSNb8BX52EFM1hcOzItqUhi/view?usp=drivesdk</v>
      </c>
      <c r="C227" s="147" t="str">
        <f>IFERROR(__xludf.DUMMYFUNCTION("""COMPUTED_VALUE"""),"10.1037--0096-3445.136.2.289.pdf")</f>
        <v>10.1037--0096-3445.136.2.289.pdf</v>
      </c>
      <c r="D227" s="147" t="str">
        <f>IFERROR(__xludf.DUMMYFUNCTION("""COMPUTED_VALUE"""),"application/pdf")</f>
        <v>application/pdf</v>
      </c>
    </row>
    <row r="228">
      <c r="A228" s="147" t="str">
        <f>IFERROR(__xludf.DUMMYFUNCTION("""COMPUTED_VALUE"""),"gino2009")</f>
        <v>gino2009</v>
      </c>
      <c r="B228" s="453" t="str">
        <f>IFERROR(__xludf.DUMMYFUNCTION("""COMPUTED_VALUE"""),"https://drive.google.com/file/d/1nSvfohPIJk9khnM75MLzzGbK-7utfVvb/view?usp=drivesdk")</f>
        <v>https://drive.google.com/file/d/1nSvfohPIJk9khnM75MLzzGbK-7utfVvb/view?usp=drivesdk</v>
      </c>
      <c r="C228" s="147" t="str">
        <f>IFERROR(__xludf.DUMMYFUNCTION("""COMPUTED_VALUE"""),"gino2009.pdf")</f>
        <v>gino2009.pdf</v>
      </c>
      <c r="D228" s="147" t="str">
        <f>IFERROR(__xludf.DUMMYFUNCTION("""COMPUTED_VALUE"""),"application/pdf")</f>
        <v>application/pdf</v>
      </c>
    </row>
    <row r="229">
      <c r="A229" s="147" t="str">
        <f>IFERROR(__xludf.DUMMYFUNCTION("""COMPUTED_VALUE"""),"10.1111/j.1467-9280.2006.01834.x")</f>
        <v>10.1111/j.1467-9280.2006.01834.x</v>
      </c>
      <c r="B229" s="453" t="str">
        <f>IFERROR(__xludf.DUMMYFUNCTION("""COMPUTED_VALUE"""),"https://drive.google.com/file/d/1d_BnfBpp2VSsPvBJAIR3GZDS5fF9o5w9/view?usp=drivesdk")</f>
        <v>https://drive.google.com/file/d/1d_BnfBpp2VSsPvBJAIR3GZDS5fF9o5w9/view?usp=drivesdk</v>
      </c>
      <c r="C229" s="147" t="str">
        <f>IFERROR(__xludf.DUMMYFUNCTION("""COMPUTED_VALUE"""),"10.1111--j.1467-9280.2006.01834.x.pdf")</f>
        <v>10.1111--j.1467-9280.2006.01834.x.pdf</v>
      </c>
      <c r="D229" s="147" t="str">
        <f>IFERROR(__xludf.DUMMYFUNCTION("""COMPUTED_VALUE"""),"application/pdf")</f>
        <v>application/pdf</v>
      </c>
    </row>
    <row r="230">
      <c r="A230" s="147" t="str">
        <f>IFERROR(__xludf.DUMMYFUNCTION("""COMPUTED_VALUE"""),"10.1111/j.1467-9280.1992.tb00678.x")</f>
        <v>10.1111/j.1467-9280.1992.tb00678.x</v>
      </c>
      <c r="B230" s="453" t="str">
        <f>IFERROR(__xludf.DUMMYFUNCTION("""COMPUTED_VALUE"""),"https://drive.google.com/file/d/1A7IQYIfVS1sTYZUl5_NoD4Q6b1T3hSOE/view?usp=drivesdk")</f>
        <v>https://drive.google.com/file/d/1A7IQYIfVS1sTYZUl5_NoD4Q6b1T3hSOE/view?usp=drivesdk</v>
      </c>
      <c r="C230" s="147" t="str">
        <f>IFERROR(__xludf.DUMMYFUNCTION("""COMPUTED_VALUE"""),"10.1111--j.1467-9280.1992.tb00678.x.pdf")</f>
        <v>10.1111--j.1467-9280.1992.tb00678.x.pdf</v>
      </c>
      <c r="D230" s="147" t="str">
        <f>IFERROR(__xludf.DUMMYFUNCTION("""COMPUTED_VALUE"""),"application/pdf")</f>
        <v>application/pdf</v>
      </c>
    </row>
    <row r="231">
      <c r="A231" s="147" t="str">
        <f>IFERROR(__xludf.DUMMYFUNCTION("""COMPUTED_VALUE"""),"10.1111/1467-9280.00350")</f>
        <v>10.1111/1467-9280.00350</v>
      </c>
      <c r="B231" s="453" t="str">
        <f>IFERROR(__xludf.DUMMYFUNCTION("""COMPUTED_VALUE"""),"https://drive.google.com/file/d/1KYY0LWmtoBuOHihcQ-uor2XUsRtL-7UW/view?usp=drivesdk")</f>
        <v>https://drive.google.com/file/d/1KYY0LWmtoBuOHihcQ-uor2XUsRtL-7UW/view?usp=drivesdk</v>
      </c>
      <c r="C231" s="147" t="str">
        <f>IFERROR(__xludf.DUMMYFUNCTION("""COMPUTED_VALUE"""),"10.1111--1467-9280.00350.pdf")</f>
        <v>10.1111--1467-9280.00350.pdf</v>
      </c>
      <c r="D231" s="147" t="str">
        <f>IFERROR(__xludf.DUMMYFUNCTION("""COMPUTED_VALUE"""),"application/pdf")</f>
        <v>application/pdf</v>
      </c>
    </row>
    <row r="232">
      <c r="A232" s="147" t="str">
        <f>IFERROR(__xludf.DUMMYFUNCTION("""COMPUTED_VALUE"""),"10.1017/s1930297500005064")</f>
        <v>10.1017/s1930297500005064</v>
      </c>
      <c r="B232" s="453" t="str">
        <f>IFERROR(__xludf.DUMMYFUNCTION("""COMPUTED_VALUE"""),"https://drive.google.com/file/d/1AFhk7r5ezmKOOZ_K8ckMu-sHI3HVYvci/view?usp=drivesdk")</f>
        <v>https://drive.google.com/file/d/1AFhk7r5ezmKOOZ_K8ckMu-sHI3HVYvci/view?usp=drivesdk</v>
      </c>
      <c r="C232" s="147" t="str">
        <f>IFERROR(__xludf.DUMMYFUNCTION("""COMPUTED_VALUE"""),"10.1017--s1930297500005064.pdf")</f>
        <v>10.1017--s1930297500005064.pdf</v>
      </c>
      <c r="D232" s="147" t="str">
        <f>IFERROR(__xludf.DUMMYFUNCTION("""COMPUTED_VALUE"""),"application/pdf")</f>
        <v>application/pdf</v>
      </c>
    </row>
    <row r="233">
      <c r="A233" s="147" t="str">
        <f>IFERROR(__xludf.DUMMYFUNCTION("""COMPUTED_VALUE"""),"10.1111/j.1467-9280.2006.01720.x")</f>
        <v>10.1111/j.1467-9280.2006.01720.x</v>
      </c>
      <c r="B233" s="453" t="str">
        <f>IFERROR(__xludf.DUMMYFUNCTION("""COMPUTED_VALUE"""),"https://drive.google.com/file/d/1J2_ZhxXyuShXk0HW6vzzg72qC_6CkPl-/view?usp=drivesdk")</f>
        <v>https://drive.google.com/file/d/1J2_ZhxXyuShXk0HW6vzzg72qC_6CkPl-/view?usp=drivesdk</v>
      </c>
      <c r="C233" s="147" t="str">
        <f>IFERROR(__xludf.DUMMYFUNCTION("""COMPUTED_VALUE"""),"10.1111--j.1467-9280.2006.01720.x.pdf")</f>
        <v>10.1111--j.1467-9280.2006.01720.x.pdf</v>
      </c>
      <c r="D233" s="147" t="str">
        <f>IFERROR(__xludf.DUMMYFUNCTION("""COMPUTED_VALUE"""),"application/pdf")</f>
        <v>application/pdf</v>
      </c>
    </row>
    <row r="234">
      <c r="A234" s="147" t="str">
        <f>IFERROR(__xludf.DUMMYFUNCTION("""COMPUTED_VALUE"""),"10.1086/670020")</f>
        <v>10.1086/670020</v>
      </c>
      <c r="B234" s="453" t="str">
        <f>IFERROR(__xludf.DUMMYFUNCTION("""COMPUTED_VALUE"""),"https://drive.google.com/file/d/1RG0izqQ_rBjPSpVhcEmKfUfrbnfpE1M0/view?usp=drivesdk")</f>
        <v>https://drive.google.com/file/d/1RG0izqQ_rBjPSpVhcEmKfUfrbnfpE1M0/view?usp=drivesdk</v>
      </c>
      <c r="C234" s="147" t="str">
        <f>IFERROR(__xludf.DUMMYFUNCTION("""COMPUTED_VALUE"""),"10.1086--670020.pdf")</f>
        <v>10.1086--670020.pdf</v>
      </c>
      <c r="D234" s="147" t="str">
        <f>IFERROR(__xludf.DUMMYFUNCTION("""COMPUTED_VALUE"""),"application/pdf")</f>
        <v>application/pdf</v>
      </c>
    </row>
    <row r="235">
      <c r="A235" s="147" t="str">
        <f>IFERROR(__xludf.DUMMYFUNCTION("""COMPUTED_VALUE"""),"10.1111/j.0956-7976.2004.00757.x")</f>
        <v>10.1111/j.0956-7976.2004.00757.x</v>
      </c>
      <c r="B235" s="453" t="str">
        <f>IFERROR(__xludf.DUMMYFUNCTION("""COMPUTED_VALUE"""),"https://drive.google.com/file/d/1Xy_OOVFiRB0BOhg1wsYFC7rkj3Kf1u1I/view?usp=drivesdk")</f>
        <v>https://drive.google.com/file/d/1Xy_OOVFiRB0BOhg1wsYFC7rkj3Kf1u1I/view?usp=drivesdk</v>
      </c>
      <c r="C235" s="147" t="str">
        <f>IFERROR(__xludf.DUMMYFUNCTION("""COMPUTED_VALUE"""),"10.1111--j.0956-7976.2004.00757.x.pdf")</f>
        <v>10.1111--j.0956-7976.2004.00757.x.pdf</v>
      </c>
      <c r="D235" s="147" t="str">
        <f>IFERROR(__xludf.DUMMYFUNCTION("""COMPUTED_VALUE"""),"application/pdf")</f>
        <v>application/pdf</v>
      </c>
    </row>
    <row r="236">
      <c r="A236" s="147" t="str">
        <f>IFERROR(__xludf.DUMMYFUNCTION("""COMPUTED_VALUE"""),"10.1126/science.283.5398.77 (1)")</f>
        <v>10.1126/science.283.5398.77 (1)</v>
      </c>
      <c r="B236" s="453" t="str">
        <f>IFERROR(__xludf.DUMMYFUNCTION("""COMPUTED_VALUE"""),"https://drive.google.com/file/d/1Agrc5GFq5Frv7sOGcovaD1BKY9sfO17p/view?usp=drivesdk")</f>
        <v>https://drive.google.com/file/d/1Agrc5GFq5Frv7sOGcovaD1BKY9sfO17p/view?usp=drivesdk</v>
      </c>
      <c r="C236" s="147" t="str">
        <f>IFERROR(__xludf.DUMMYFUNCTION("""COMPUTED_VALUE"""),"10.1126--science.283.5398.77 (1).pdf")</f>
        <v>10.1126--science.283.5398.77 (1).pdf</v>
      </c>
      <c r="D236" s="147" t="str">
        <f>IFERROR(__xludf.DUMMYFUNCTION("""COMPUTED_VALUE"""),"application/pdf")</f>
        <v>application/pdf</v>
      </c>
    </row>
    <row r="237">
      <c r="A237" s="147" t="str">
        <f>IFERROR(__xludf.DUMMYFUNCTION("""COMPUTED_VALUE"""),"10.1037/ebs0000028 (1)")</f>
        <v>10.1037/ebs0000028 (1)</v>
      </c>
      <c r="B237" s="453" t="str">
        <f>IFERROR(__xludf.DUMMYFUNCTION("""COMPUTED_VALUE"""),"https://drive.google.com/file/d/1OpqaLRgNI4syrTw7eBdR8v4hNLVg06U9/view?usp=drivesdk")</f>
        <v>https://drive.google.com/file/d/1OpqaLRgNI4syrTw7eBdR8v4hNLVg06U9/view?usp=drivesdk</v>
      </c>
      <c r="C237" s="147" t="str">
        <f>IFERROR(__xludf.DUMMYFUNCTION("""COMPUTED_VALUE"""),"10.1037--ebs0000028 (1).pdf")</f>
        <v>10.1037--ebs0000028 (1).pdf</v>
      </c>
      <c r="D237" s="147" t="str">
        <f>IFERROR(__xludf.DUMMYFUNCTION("""COMPUTED_VALUE"""),"application/pdf")</f>
        <v>application/pdf</v>
      </c>
    </row>
    <row r="238">
      <c r="A238" s="147" t="str">
        <f>IFERROR(__xludf.DUMMYFUNCTION("""COMPUTED_VALUE"""),"10.1523/jneurosci.3427-13.2014")</f>
        <v>10.1523/jneurosci.3427-13.2014</v>
      </c>
      <c r="B238" s="453" t="str">
        <f>IFERROR(__xludf.DUMMYFUNCTION("""COMPUTED_VALUE"""),"https://drive.google.com/file/d/1IPzqwdPEx_NXOVDavQ9NYYflBq4WLkLt/view?usp=drivesdk")</f>
        <v>https://drive.google.com/file/d/1IPzqwdPEx_NXOVDavQ9NYYflBq4WLkLt/view?usp=drivesdk</v>
      </c>
      <c r="C238" s="147" t="str">
        <f>IFERROR(__xludf.DUMMYFUNCTION("""COMPUTED_VALUE"""),"10.1523--jneurosci.3427-13.2014.pdf")</f>
        <v>10.1523--jneurosci.3427-13.2014.pdf</v>
      </c>
      <c r="D238" s="147" t="str">
        <f>IFERROR(__xludf.DUMMYFUNCTION("""COMPUTED_VALUE"""),"application/pdf")</f>
        <v>application/pdf</v>
      </c>
    </row>
    <row r="239">
      <c r="A239" s="147" t="str">
        <f>IFERROR(__xludf.DUMMYFUNCTION("""COMPUTED_VALUE"""),"10.1111/j.1467-9280.2008.02084.x (1)")</f>
        <v>10.1111/j.1467-9280.2008.02084.x (1)</v>
      </c>
      <c r="B239" s="453" t="str">
        <f>IFERROR(__xludf.DUMMYFUNCTION("""COMPUTED_VALUE"""),"https://drive.google.com/file/d/1MznUx20djDv833Gh3uafwFKxnaaVrj43/view?usp=drivesdk")</f>
        <v>https://drive.google.com/file/d/1MznUx20djDv833Gh3uafwFKxnaaVrj43/view?usp=drivesdk</v>
      </c>
      <c r="C239" s="147" t="str">
        <f>IFERROR(__xludf.DUMMYFUNCTION("""COMPUTED_VALUE"""),"10.1111--j.1467-9280.2008.02084.x (1).pdf")</f>
        <v>10.1111--j.1467-9280.2008.02084.x (1).pdf</v>
      </c>
      <c r="D239" s="147" t="str">
        <f>IFERROR(__xludf.DUMMYFUNCTION("""COMPUTED_VALUE"""),"application/pdf")</f>
        <v>application/pdf</v>
      </c>
    </row>
    <row r="240">
      <c r="A240" s="147" t="str">
        <f>IFERROR(__xludf.DUMMYFUNCTION("""COMPUTED_VALUE"""),"wiebe2004")</f>
        <v>wiebe2004</v>
      </c>
      <c r="B240" s="453" t="str">
        <f>IFERROR(__xludf.DUMMYFUNCTION("""COMPUTED_VALUE"""),"https://drive.google.com/file/d/1Ub9aMSbMLpr7_xY9a6tFgBHIjkS6cEEc/view?usp=drivesdk")</f>
        <v>https://drive.google.com/file/d/1Ub9aMSbMLpr7_xY9a6tFgBHIjkS6cEEc/view?usp=drivesdk</v>
      </c>
      <c r="C240" s="147" t="str">
        <f>IFERROR(__xludf.DUMMYFUNCTION("""COMPUTED_VALUE"""),"wiebe2004.pdf")</f>
        <v>wiebe2004.pdf</v>
      </c>
      <c r="D240" s="147" t="str">
        <f>IFERROR(__xludf.DUMMYFUNCTION("""COMPUTED_VALUE"""),"application/pdf")</f>
        <v>application/pdf</v>
      </c>
    </row>
    <row r="241">
      <c r="A241" s="147" t="str">
        <f>IFERROR(__xludf.DUMMYFUNCTION("""COMPUTED_VALUE"""),"10.1111/1467-6494.05028")</f>
        <v>10.1111/1467-6494.05028</v>
      </c>
      <c r="B241" s="453" t="str">
        <f>IFERROR(__xludf.DUMMYFUNCTION("""COMPUTED_VALUE"""),"https://drive.google.com/file/d/1-on_azF3SOQnkcXmO04jj2zt4-H3FlcG/view?usp=drivesdk")</f>
        <v>https://drive.google.com/file/d/1-on_azF3SOQnkcXmO04jj2zt4-H3FlcG/view?usp=drivesdk</v>
      </c>
      <c r="C241" s="147" t="str">
        <f>IFERROR(__xludf.DUMMYFUNCTION("""COMPUTED_VALUE"""),"10.1111--1467-6494.05028.pdf")</f>
        <v>10.1111--1467-6494.05028.pdf</v>
      </c>
      <c r="D241" s="147" t="str">
        <f>IFERROR(__xludf.DUMMYFUNCTION("""COMPUTED_VALUE"""),"application/pdf")</f>
        <v>application/pdf</v>
      </c>
    </row>
    <row r="242">
      <c r="A242" s="147" t="str">
        <f>IFERROR(__xludf.DUMMYFUNCTION("""COMPUTED_VALUE"""),"10.1111/1467-6494.00102")</f>
        <v>10.1111/1467-6494.00102</v>
      </c>
      <c r="B242" s="453" t="str">
        <f>IFERROR(__xludf.DUMMYFUNCTION("""COMPUTED_VALUE"""),"https://drive.google.com/file/d/1VTr0wR67oXPqTspZFD2WLtwQCj0zXKrh/view?usp=drivesdk")</f>
        <v>https://drive.google.com/file/d/1VTr0wR67oXPqTspZFD2WLtwQCj0zXKrh/view?usp=drivesdk</v>
      </c>
      <c r="C242" s="147" t="str">
        <f>IFERROR(__xludf.DUMMYFUNCTION("""COMPUTED_VALUE"""),"10.1111--1467-6494.00102.pdf")</f>
        <v>10.1111--1467-6494.00102.pdf</v>
      </c>
      <c r="D242" s="147" t="str">
        <f>IFERROR(__xludf.DUMMYFUNCTION("""COMPUTED_VALUE"""),"application/pdf")</f>
        <v>application/pdf</v>
      </c>
    </row>
    <row r="243">
      <c r="A243" s="147" t="str">
        <f>IFERROR(__xludf.DUMMYFUNCTION("""COMPUTED_VALUE"""),"10.1037//0022-3514.79.1.49")</f>
        <v>10.1037//0022-3514.79.1.49</v>
      </c>
      <c r="B243" s="453" t="str">
        <f>IFERROR(__xludf.DUMMYFUNCTION("""COMPUTED_VALUE"""),"https://drive.google.com/file/d/1OQXfdOsmBPcEjb_PF9uWD_g_s1g9BKLK/view?usp=drivesdk")</f>
        <v>https://drive.google.com/file/d/1OQXfdOsmBPcEjb_PF9uWD_g_s1g9BKLK/view?usp=drivesdk</v>
      </c>
      <c r="C243" s="147" t="str">
        <f>IFERROR(__xludf.DUMMYFUNCTION("""COMPUTED_VALUE"""),"10.1037----0022-3514.79.1.49.pdf")</f>
        <v>10.1037----0022-3514.79.1.49.pdf</v>
      </c>
      <c r="D243" s="147" t="str">
        <f>IFERROR(__xludf.DUMMYFUNCTION("""COMPUTED_VALUE"""),"application/pdf")</f>
        <v>application/pdf</v>
      </c>
    </row>
    <row r="244">
      <c r="A244" s="147" t="str">
        <f>IFERROR(__xludf.DUMMYFUNCTION("""COMPUTED_VALUE"""),"10.1207/s15327795jra0303_2")</f>
        <v>10.1207/s15327795jra0303_2</v>
      </c>
      <c r="B244" s="453" t="str">
        <f>IFERROR(__xludf.DUMMYFUNCTION("""COMPUTED_VALUE"""),"https://drive.google.com/file/d/1Jok6c7VCZtMN99P6fMSmmpu_xIq7tlFM/view?usp=drivesdk")</f>
        <v>https://drive.google.com/file/d/1Jok6c7VCZtMN99P6fMSmmpu_xIq7tlFM/view?usp=drivesdk</v>
      </c>
      <c r="C244" s="147" t="str">
        <f>IFERROR(__xludf.DUMMYFUNCTION("""COMPUTED_VALUE"""),"10.1207--s15327795jra0303_2.pdf")</f>
        <v>10.1207--s15327795jra0303_2.pdf</v>
      </c>
      <c r="D244" s="147" t="str">
        <f>IFERROR(__xludf.DUMMYFUNCTION("""COMPUTED_VALUE"""),"application/pdf")</f>
        <v>application/pdf</v>
      </c>
    </row>
    <row r="245">
      <c r="A245" s="147" t="str">
        <f>IFERROR(__xludf.DUMMYFUNCTION("""COMPUTED_VALUE"""),"10.1111/1467-9280.00431")</f>
        <v>10.1111/1467-9280.00431</v>
      </c>
      <c r="B245" s="453" t="str">
        <f>IFERROR(__xludf.DUMMYFUNCTION("""COMPUTED_VALUE"""),"https://drive.google.com/file/d/1LZncKWBlcPAXx3IU4UaMX86KjCorRHG5/view?usp=drivesdk")</f>
        <v>https://drive.google.com/file/d/1LZncKWBlcPAXx3IU4UaMX86KjCorRHG5/view?usp=drivesdk</v>
      </c>
      <c r="C245" s="147" t="str">
        <f>IFERROR(__xludf.DUMMYFUNCTION("""COMPUTED_VALUE"""),"10.1111--1467-9280.00431.pdf")</f>
        <v>10.1111--1467-9280.00431.pdf</v>
      </c>
      <c r="D245" s="147" t="str">
        <f>IFERROR(__xludf.DUMMYFUNCTION("""COMPUTED_VALUE"""),"application/pdf")</f>
        <v>application/pdf</v>
      </c>
    </row>
    <row r="246">
      <c r="A246" s="147" t="str">
        <f>IFERROR(__xludf.DUMMYFUNCTION("""COMPUTED_VALUE"""),"10.1515/humr.14.2.117")</f>
        <v>10.1515/humr.14.2.117</v>
      </c>
      <c r="B246" s="453" t="str">
        <f>IFERROR(__xludf.DUMMYFUNCTION("""COMPUTED_VALUE"""),"https://drive.google.com/file/d/18vVvJw5Qn9GaYfqwRHjMPOAAO8-20yq0/view?usp=drivesdk")</f>
        <v>https://drive.google.com/file/d/18vVvJw5Qn9GaYfqwRHjMPOAAO8-20yq0/view?usp=drivesdk</v>
      </c>
      <c r="C246" s="147" t="str">
        <f>IFERROR(__xludf.DUMMYFUNCTION("""COMPUTED_VALUE"""),"10.1515--humr.14.2.117.pdf")</f>
        <v>10.1515--humr.14.2.117.pdf</v>
      </c>
      <c r="D246" s="147" t="str">
        <f>IFERROR(__xludf.DUMMYFUNCTION("""COMPUTED_VALUE"""),"application/pdf")</f>
        <v>application/pdf</v>
      </c>
    </row>
    <row r="247">
      <c r="A247" s="147" t="str">
        <f>IFERROR(__xludf.DUMMYFUNCTION("""COMPUTED_VALUE"""),"10.1111/1467-6494.t01-1-00094")</f>
        <v>10.1111/1467-6494.t01-1-00094</v>
      </c>
      <c r="B247" s="453" t="str">
        <f>IFERROR(__xludf.DUMMYFUNCTION("""COMPUTED_VALUE"""),"https://drive.google.com/file/d/1yjVvr6RWduwEsSlj1T5hWk4kZsgSpX7e/view?usp=drivesdk")</f>
        <v>https://drive.google.com/file/d/1yjVvr6RWduwEsSlj1T5hWk4kZsgSpX7e/view?usp=drivesdk</v>
      </c>
      <c r="C247" s="147" t="str">
        <f>IFERROR(__xludf.DUMMYFUNCTION("""COMPUTED_VALUE"""),"10.1111--1467-6494.t01-1-00094.pdf")</f>
        <v>10.1111--1467-6494.t01-1-00094.pdf</v>
      </c>
      <c r="D247" s="147" t="str">
        <f>IFERROR(__xludf.DUMMYFUNCTION("""COMPUTED_VALUE"""),"application/pdf")</f>
        <v>application/pdf</v>
      </c>
    </row>
    <row r="248">
      <c r="A248" s="147" t="str">
        <f>IFERROR(__xludf.DUMMYFUNCTION("""COMPUTED_VALUE"""),"10.1515/jbnst-2015-0206")</f>
        <v>10.1515/jbnst-2015-0206</v>
      </c>
      <c r="B248" s="453" t="str">
        <f>IFERROR(__xludf.DUMMYFUNCTION("""COMPUTED_VALUE"""),"https://drive.google.com/file/d/12mfKmwr4qxdkiF-WSAj7I2jNt6iWVgg3/view?usp=drivesdk")</f>
        <v>https://drive.google.com/file/d/12mfKmwr4qxdkiF-WSAj7I2jNt6iWVgg3/view?usp=drivesdk</v>
      </c>
      <c r="C248" s="147" t="str">
        <f>IFERROR(__xludf.DUMMYFUNCTION("""COMPUTED_VALUE"""),"10.1515--jbnst-2015-0206.pdf")</f>
        <v>10.1515--jbnst-2015-0206.pdf</v>
      </c>
      <c r="D248" s="147" t="str">
        <f>IFERROR(__xludf.DUMMYFUNCTION("""COMPUTED_VALUE"""),"application/pdf")</f>
        <v>application/pdf</v>
      </c>
    </row>
    <row r="249">
      <c r="A249" s="147" t="str">
        <f>IFERROR(__xludf.DUMMYFUNCTION("""COMPUTED_VALUE"""),"10.1086/691462")</f>
        <v>10.1086/691462</v>
      </c>
      <c r="B249" s="453" t="str">
        <f>IFERROR(__xludf.DUMMYFUNCTION("""COMPUTED_VALUE"""),"https://drive.google.com/file/d/1pONPJh9x5VCZuuA8xFZJ8EwpUqV7ZKOz/view?usp=drivesdk")</f>
        <v>https://drive.google.com/file/d/1pONPJh9x5VCZuuA8xFZJ8EwpUqV7ZKOz/view?usp=drivesdk</v>
      </c>
      <c r="C249" s="147" t="str">
        <f>IFERROR(__xludf.DUMMYFUNCTION("""COMPUTED_VALUE"""),"10.1086--691462.pdf")</f>
        <v>10.1086--691462.pdf</v>
      </c>
      <c r="D249" s="147" t="str">
        <f>IFERROR(__xludf.DUMMYFUNCTION("""COMPUTED_VALUE"""),"application/pdf")</f>
        <v>application/pdf</v>
      </c>
    </row>
    <row r="250">
      <c r="A250" s="147" t="str">
        <f>IFERROR(__xludf.DUMMYFUNCTION("""COMPUTED_VALUE"""),"10.3758/s13414-020-02150-8")</f>
        <v>10.3758/s13414-020-02150-8</v>
      </c>
      <c r="B250" s="453" t="str">
        <f>IFERROR(__xludf.DUMMYFUNCTION("""COMPUTED_VALUE"""),"https://drive.google.com/file/d/1APCg4OnSFJ_UXQ0QzbeWPcRZtJsXvuz1/view?usp=drivesdk")</f>
        <v>https://drive.google.com/file/d/1APCg4OnSFJ_UXQ0QzbeWPcRZtJsXvuz1/view?usp=drivesdk</v>
      </c>
      <c r="C250" s="147" t="str">
        <f>IFERROR(__xludf.DUMMYFUNCTION("""COMPUTED_VALUE"""),"10.3758--s13414-020-02150-8.pdf")</f>
        <v>10.3758--s13414-020-02150-8.pdf</v>
      </c>
      <c r="D250" s="147" t="str">
        <f>IFERROR(__xludf.DUMMYFUNCTION("""COMPUTED_VALUE"""),"application/pdf")</f>
        <v>application/pdf</v>
      </c>
    </row>
    <row r="251">
      <c r="A251" s="147" t="str">
        <f>IFERROR(__xludf.DUMMYFUNCTION("""COMPUTED_VALUE"""),"10.1509/jppm.16.157")</f>
        <v>10.1509/jppm.16.157</v>
      </c>
      <c r="B251" s="453" t="str">
        <f>IFERROR(__xludf.DUMMYFUNCTION("""COMPUTED_VALUE"""),"https://drive.google.com/file/d/1pNYePg3eNKxHVFnrHDZ4sLAX_CCQrhwE/view?usp=drivesdk")</f>
        <v>https://drive.google.com/file/d/1pNYePg3eNKxHVFnrHDZ4sLAX_CCQrhwE/view?usp=drivesdk</v>
      </c>
      <c r="C251" s="147" t="str">
        <f>IFERROR(__xludf.DUMMYFUNCTION("""COMPUTED_VALUE"""),"10.1509--jppm.16.157.pdf")</f>
        <v>10.1509--jppm.16.157.pdf</v>
      </c>
      <c r="D251" s="147" t="str">
        <f>IFERROR(__xludf.DUMMYFUNCTION("""COMPUTED_VALUE"""),"application/pdf")</f>
        <v>application/pdf</v>
      </c>
    </row>
    <row r="252">
      <c r="A252" s="147" t="str">
        <f>IFERROR(__xludf.DUMMYFUNCTION("""COMPUTED_VALUE"""),"10.1509/jmr.13.0451")</f>
        <v>10.1509/jmr.13.0451</v>
      </c>
      <c r="B252" s="453" t="str">
        <f>IFERROR(__xludf.DUMMYFUNCTION("""COMPUTED_VALUE"""),"https://drive.google.com/file/d/1H17uMt3lEFj60TgPCBKsbQYCGkxU4ctv/view?usp=drivesdk")</f>
        <v>https://drive.google.com/file/d/1H17uMt3lEFj60TgPCBKsbQYCGkxU4ctv/view?usp=drivesdk</v>
      </c>
      <c r="C252" s="147" t="str">
        <f>IFERROR(__xludf.DUMMYFUNCTION("""COMPUTED_VALUE"""),"10.1509--jmr.13.0451.pdf")</f>
        <v>10.1509--jmr.13.0451.pdf</v>
      </c>
      <c r="D252" s="147" t="str">
        <f>IFERROR(__xludf.DUMMYFUNCTION("""COMPUTED_VALUE"""),"application/pdf")</f>
        <v>application/pdf</v>
      </c>
    </row>
    <row r="253">
      <c r="A253" s="147" t="str">
        <f>IFERROR(__xludf.DUMMYFUNCTION("""COMPUTED_VALUE"""),"10.1509/jmr.13.0023")</f>
        <v>10.1509/jmr.13.0023</v>
      </c>
      <c r="B253" s="453" t="str">
        <f>IFERROR(__xludf.DUMMYFUNCTION("""COMPUTED_VALUE"""),"https://drive.google.com/file/d/1LRXuztEEXdMxXVtMCq3mJl48JAq-UR0n/view?usp=drivesdk")</f>
        <v>https://drive.google.com/file/d/1LRXuztEEXdMxXVtMCq3mJl48JAq-UR0n/view?usp=drivesdk</v>
      </c>
      <c r="C253" s="147" t="str">
        <f>IFERROR(__xludf.DUMMYFUNCTION("""COMPUTED_VALUE"""),"10.1509--jmr.13.0023.pdf")</f>
        <v>10.1509--jmr.13.0023.pdf</v>
      </c>
      <c r="D253" s="147" t="str">
        <f>IFERROR(__xludf.DUMMYFUNCTION("""COMPUTED_VALUE"""),"application/pdf")</f>
        <v>application/pdf</v>
      </c>
    </row>
    <row r="254">
      <c r="A254" s="147" t="str">
        <f>IFERROR(__xludf.DUMMYFUNCTION("""COMPUTED_VALUE"""),"10.1086/669476")</f>
        <v>10.1086/669476</v>
      </c>
      <c r="B254" s="453" t="str">
        <f>IFERROR(__xludf.DUMMYFUNCTION("""COMPUTED_VALUE"""),"https://drive.google.com/file/d/1GaGHXmjuMiaNOB0JUnyXvqe5lRWj5tg1/view?usp=drivesdk")</f>
        <v>https://drive.google.com/file/d/1GaGHXmjuMiaNOB0JUnyXvqe5lRWj5tg1/view?usp=drivesdk</v>
      </c>
      <c r="C254" s="147" t="str">
        <f>IFERROR(__xludf.DUMMYFUNCTION("""COMPUTED_VALUE"""),"10.1086--669476.pdf")</f>
        <v>10.1086--669476.pdf</v>
      </c>
      <c r="D254" s="147" t="str">
        <f>IFERROR(__xludf.DUMMYFUNCTION("""COMPUTED_VALUE"""),"application/pdf")</f>
        <v>application/pdf</v>
      </c>
    </row>
    <row r="255">
      <c r="A255" s="147" t="str">
        <f>IFERROR(__xludf.DUMMYFUNCTION("""COMPUTED_VALUE"""),"10.1086/661531")</f>
        <v>10.1086/661531</v>
      </c>
      <c r="B255" s="453" t="str">
        <f>IFERROR(__xludf.DUMMYFUNCTION("""COMPUTED_VALUE"""),"https://drive.google.com/file/d/1D9dO_DC6ePh-Csant4DlT-9TnvAmfuAB/view?usp=drivesdk")</f>
        <v>https://drive.google.com/file/d/1D9dO_DC6ePh-Csant4DlT-9TnvAmfuAB/view?usp=drivesdk</v>
      </c>
      <c r="C255" s="147" t="str">
        <f>IFERROR(__xludf.DUMMYFUNCTION("""COMPUTED_VALUE"""),"10.1086--661531.pdf")</f>
        <v>10.1086--661531.pdf</v>
      </c>
      <c r="D255" s="147" t="str">
        <f>IFERROR(__xludf.DUMMYFUNCTION("""COMPUTED_VALUE"""),"application/pdf")</f>
        <v>application/pdf</v>
      </c>
    </row>
    <row r="256">
      <c r="A256" s="147" t="str">
        <f>IFERROR(__xludf.DUMMYFUNCTION("""COMPUTED_VALUE"""),"10.1086/383422")</f>
        <v>10.1086/383422</v>
      </c>
      <c r="B256" s="453" t="str">
        <f>IFERROR(__xludf.DUMMYFUNCTION("""COMPUTED_VALUE"""),"https://drive.google.com/file/d/15bGGIIEKFkDlvesZF2WINiYBiRVVRi7R/view?usp=drivesdk")</f>
        <v>https://drive.google.com/file/d/15bGGIIEKFkDlvesZF2WINiYBiRVVRi7R/view?usp=drivesdk</v>
      </c>
      <c r="C256" s="147" t="str">
        <f>IFERROR(__xludf.DUMMYFUNCTION("""COMPUTED_VALUE"""),"10.1086--383422.pdf")</f>
        <v>10.1086--383422.pdf</v>
      </c>
      <c r="D256" s="147" t="str">
        <f>IFERROR(__xludf.DUMMYFUNCTION("""COMPUTED_VALUE"""),"application/pdf")</f>
        <v>application/pdf</v>
      </c>
    </row>
    <row r="257">
      <c r="A257" s="147" t="str">
        <f>IFERROR(__xludf.DUMMYFUNCTION("""COMPUTED_VALUE"""),"10.1037/mot0000097")</f>
        <v>10.1037/mot0000097</v>
      </c>
      <c r="B257" s="453" t="str">
        <f>IFERROR(__xludf.DUMMYFUNCTION("""COMPUTED_VALUE"""),"https://drive.google.com/file/d/13_FjItFP6GHekMwAss_IcUYD2Z-Q2DAK/view?usp=drivesdk")</f>
        <v>https://drive.google.com/file/d/13_FjItFP6GHekMwAss_IcUYD2Z-Q2DAK/view?usp=drivesdk</v>
      </c>
      <c r="C257" s="147" t="str">
        <f>IFERROR(__xludf.DUMMYFUNCTION("""COMPUTED_VALUE"""),"10.1037--mot0000097.pdf")</f>
        <v>10.1037--mot0000097.pdf</v>
      </c>
      <c r="D257" s="147" t="str">
        <f>IFERROR(__xludf.DUMMYFUNCTION("""COMPUTED_VALUE"""),"application/pdf")</f>
        <v>application/pdf</v>
      </c>
    </row>
    <row r="258">
      <c r="A258" s="147" t="str">
        <f>IFERROR(__xludf.DUMMYFUNCTION("""COMPUTED_VALUE"""),"10.1111/1467-9280.00376")</f>
        <v>10.1111/1467-9280.00376</v>
      </c>
      <c r="B258" s="453" t="str">
        <f>IFERROR(__xludf.DUMMYFUNCTION("""COMPUTED_VALUE"""),"https://drive.google.com/file/d/11jqeGWUpUh79pKFzwZ3T_bBagRuPGFCi/view?usp=drivesdk")</f>
        <v>https://drive.google.com/file/d/11jqeGWUpUh79pKFzwZ3T_bBagRuPGFCi/view?usp=drivesdk</v>
      </c>
      <c r="C258" s="147" t="str">
        <f>IFERROR(__xludf.DUMMYFUNCTION("""COMPUTED_VALUE"""),"10.1111--1467-9280.00376.pdf")</f>
        <v>10.1111--1467-9280.00376.pdf</v>
      </c>
      <c r="D258" s="147" t="str">
        <f>IFERROR(__xludf.DUMMYFUNCTION("""COMPUTED_VALUE"""),"application/pdf")</f>
        <v>application/pdf</v>
      </c>
    </row>
    <row r="259">
      <c r="A259" s="147" t="str">
        <f>IFERROR(__xludf.DUMMYFUNCTION("""COMPUTED_VALUE"""),"10.1093/poq/nfx042")</f>
        <v>10.1093/poq/nfx042</v>
      </c>
      <c r="B259" s="453" t="str">
        <f>IFERROR(__xludf.DUMMYFUNCTION("""COMPUTED_VALUE"""),"https://drive.google.com/file/d/1vaJaM70la8WjjudMF5sP3NGFuj_0wy9h/view?usp=drivesdk")</f>
        <v>https://drive.google.com/file/d/1vaJaM70la8WjjudMF5sP3NGFuj_0wy9h/view?usp=drivesdk</v>
      </c>
      <c r="C259" s="147" t="str">
        <f>IFERROR(__xludf.DUMMYFUNCTION("""COMPUTED_VALUE"""),"10.1093--poq--nfx042.pdf")</f>
        <v>10.1093--poq--nfx042.pdf</v>
      </c>
      <c r="D259" s="147" t="str">
        <f>IFERROR(__xludf.DUMMYFUNCTION("""COMPUTED_VALUE"""),"application/pdf")</f>
        <v>application/pdf</v>
      </c>
    </row>
    <row r="260">
      <c r="A260" s="147" t="str">
        <f>IFERROR(__xludf.DUMMYFUNCTION("""COMPUTED_VALUE"""),"10.1111/j.1467-8624.2007.00995.x")</f>
        <v>10.1111/j.1467-8624.2007.00995.x</v>
      </c>
      <c r="B260" s="453" t="str">
        <f>IFERROR(__xludf.DUMMYFUNCTION("""COMPUTED_VALUE"""),"https://drive.google.com/file/d/156tAE8v5cFhpA2JE6GA1a7Ktomq0eLYG/view?usp=drivesdk")</f>
        <v>https://drive.google.com/file/d/156tAE8v5cFhpA2JE6GA1a7Ktomq0eLYG/view?usp=drivesdk</v>
      </c>
      <c r="C260" s="147" t="str">
        <f>IFERROR(__xludf.DUMMYFUNCTION("""COMPUTED_VALUE"""),"10.1111--j.1467-8624.2007.00995.x.pdf")</f>
        <v>10.1111--j.1467-8624.2007.00995.x.pdf</v>
      </c>
      <c r="D260" s="147" t="str">
        <f>IFERROR(__xludf.DUMMYFUNCTION("""COMPUTED_VALUE"""),"application/pdf")</f>
        <v>application/pdf</v>
      </c>
    </row>
    <row r="261">
      <c r="A261" s="147" t="str">
        <f>IFERROR(__xludf.DUMMYFUNCTION("""COMPUTED_VALUE"""),"10.1111/j.1467-9280.2007.01944.x")</f>
        <v>10.1111/j.1467-9280.2007.01944.x</v>
      </c>
      <c r="B261" s="453" t="str">
        <f>IFERROR(__xludf.DUMMYFUNCTION("""COMPUTED_VALUE"""),"https://drive.google.com/file/d/1F6e63Lvx_picFSFjsYovkHAFanA2uAHa/view?usp=drivesdk")</f>
        <v>https://drive.google.com/file/d/1F6e63Lvx_picFSFjsYovkHAFanA2uAHa/view?usp=drivesdk</v>
      </c>
      <c r="C261" s="147" t="str">
        <f>IFERROR(__xludf.DUMMYFUNCTION("""COMPUTED_VALUE"""),"10.1111--j.1467-9280.2007.01944.x.pdf")</f>
        <v>10.1111--j.1467-9280.2007.01944.x.pdf</v>
      </c>
      <c r="D261" s="147" t="str">
        <f>IFERROR(__xludf.DUMMYFUNCTION("""COMPUTED_VALUE"""),"application/pdf")</f>
        <v>application/pdf</v>
      </c>
    </row>
    <row r="262">
      <c r="A262" s="147" t="str">
        <f>IFERROR(__xludf.DUMMYFUNCTION("""COMPUTED_VALUE"""),"10.1086/598971")</f>
        <v>10.1086/598971</v>
      </c>
      <c r="B262" s="453" t="str">
        <f>IFERROR(__xludf.DUMMYFUNCTION("""COMPUTED_VALUE"""),"https://drive.google.com/file/d/1gzyiuMNHruki0iqw9ZPuG1ROg8sPoSnR/view?usp=drivesdk")</f>
        <v>https://drive.google.com/file/d/1gzyiuMNHruki0iqw9ZPuG1ROg8sPoSnR/view?usp=drivesdk</v>
      </c>
      <c r="C262" s="147" t="str">
        <f>IFERROR(__xludf.DUMMYFUNCTION("""COMPUTED_VALUE"""),"10.1086--598971.pdf")</f>
        <v>10.1086--598971.pdf</v>
      </c>
      <c r="D262" s="147" t="str">
        <f>IFERROR(__xludf.DUMMYFUNCTION("""COMPUTED_VALUE"""),"application/pdf")</f>
        <v>application/pdf</v>
      </c>
    </row>
    <row r="263">
      <c r="A263" s="147" t="str">
        <f>IFERROR(__xludf.DUMMYFUNCTION("""COMPUTED_VALUE"""),"10.1509/jmkr.45.6.633")</f>
        <v>10.1509/jmkr.45.6.633</v>
      </c>
      <c r="B263" s="453" t="str">
        <f>IFERROR(__xludf.DUMMYFUNCTION("""COMPUTED_VALUE"""),"https://drive.google.com/file/d/1VVNd9Scvve3V-VZXAhoIMrIQk51djdwQ/view?usp=drivesdk")</f>
        <v>https://drive.google.com/file/d/1VVNd9Scvve3V-VZXAhoIMrIQk51djdwQ/view?usp=drivesdk</v>
      </c>
      <c r="C263" s="147" t="str">
        <f>IFERROR(__xludf.DUMMYFUNCTION("""COMPUTED_VALUE"""),"10.1509--jmkr.45.6.633.pdf")</f>
        <v>10.1509--jmkr.45.6.633.pdf</v>
      </c>
      <c r="D263" s="147" t="str">
        <f>IFERROR(__xludf.DUMMYFUNCTION("""COMPUTED_VALUE"""),"application/pdf")</f>
        <v>application/pdf</v>
      </c>
    </row>
    <row r="264">
      <c r="A264" s="147" t="str">
        <f>IFERROR(__xludf.DUMMYFUNCTION("""COMPUTED_VALUE"""),"10.1111/j.1467-9280.2007.01964.x")</f>
        <v>10.1111/j.1467-9280.2007.01964.x</v>
      </c>
      <c r="B264" s="453" t="str">
        <f>IFERROR(__xludf.DUMMYFUNCTION("""COMPUTED_VALUE"""),"https://drive.google.com/file/d/1VVLl-AvJbxAOqcDsjssAt5hEyFgPdx8z/view?usp=drivesdk")</f>
        <v>https://drive.google.com/file/d/1VVLl-AvJbxAOqcDsjssAt5hEyFgPdx8z/view?usp=drivesdk</v>
      </c>
      <c r="C264" s="147" t="str">
        <f>IFERROR(__xludf.DUMMYFUNCTION("""COMPUTED_VALUE"""),"10.1111--j.1467-9280.2007.01964.x.pdf")</f>
        <v>10.1111--j.1467-9280.2007.01964.x.pdf</v>
      </c>
      <c r="D264" s="147" t="str">
        <f>IFERROR(__xludf.DUMMYFUNCTION("""COMPUTED_VALUE"""),"application/pdf")</f>
        <v>application/pdf</v>
      </c>
    </row>
    <row r="265">
      <c r="A265" s="147" t="str">
        <f>IFERROR(__xludf.DUMMYFUNCTION("""COMPUTED_VALUE"""),"10.1073/pnas.1501592112")</f>
        <v>10.1073/pnas.1501592112</v>
      </c>
      <c r="B265" s="453" t="str">
        <f>IFERROR(__xludf.DUMMYFUNCTION("""COMPUTED_VALUE"""),"https://drive.google.com/file/d/1r8gz_OQgXRQyPABeOEgFy2rbZa10e60I/view?usp=drivesdk")</f>
        <v>https://drive.google.com/file/d/1r8gz_OQgXRQyPABeOEgFy2rbZa10e60I/view?usp=drivesdk</v>
      </c>
      <c r="C265" s="147" t="str">
        <f>IFERROR(__xludf.DUMMYFUNCTION("""COMPUTED_VALUE"""),"10.1073--pnas.1501592112.pdf")</f>
        <v>10.1073--pnas.1501592112.pdf</v>
      </c>
      <c r="D265" s="147" t="str">
        <f>IFERROR(__xludf.DUMMYFUNCTION("""COMPUTED_VALUE"""),"application/pdf")</f>
        <v>application/pdf</v>
      </c>
    </row>
    <row r="266">
      <c r="A266" s="147" t="str">
        <f>IFERROR(__xludf.DUMMYFUNCTION("""COMPUTED_VALUE"""),"10.1073/pnas.1805284115")</f>
        <v>10.1073/pnas.1805284115</v>
      </c>
      <c r="B266" s="453" t="str">
        <f>IFERROR(__xludf.DUMMYFUNCTION("""COMPUTED_VALUE"""),"https://drive.google.com/file/d/1Z4TItg9VScF62xlkgC_PoPtT-7Vv0iWy/view?usp=drivesdk")</f>
        <v>https://drive.google.com/file/d/1Z4TItg9VScF62xlkgC_PoPtT-7Vv0iWy/view?usp=drivesdk</v>
      </c>
      <c r="C266" s="147" t="str">
        <f>IFERROR(__xludf.DUMMYFUNCTION("""COMPUTED_VALUE"""),"10.1073--pnas.1805284115.pdf")</f>
        <v>10.1073--pnas.1805284115.pdf</v>
      </c>
      <c r="D266" s="147" t="str">
        <f>IFERROR(__xludf.DUMMYFUNCTION("""COMPUTED_VALUE"""),"application/pdf")</f>
        <v>application/pdf</v>
      </c>
    </row>
    <row r="267">
      <c r="A267" s="147" t="str">
        <f>IFERROR(__xludf.DUMMYFUNCTION("""COMPUTED_VALUE"""),"10.1073/pnas.1610834113")</f>
        <v>10.1073/pnas.1610834113</v>
      </c>
      <c r="B267" s="453" t="str">
        <f>IFERROR(__xludf.DUMMYFUNCTION("""COMPUTED_VALUE"""),"https://drive.google.com/file/d/1VFtyqV5el7EJVeHaibxWMy34k9LMhbzJ/view?usp=drivesdk")</f>
        <v>https://drive.google.com/file/d/1VFtyqV5el7EJVeHaibxWMy34k9LMhbzJ/view?usp=drivesdk</v>
      </c>
      <c r="C267" s="147" t="str">
        <f>IFERROR(__xludf.DUMMYFUNCTION("""COMPUTED_VALUE"""),"10.1073--pnas.1610834113.pdf")</f>
        <v>10.1073--pnas.1610834113.pdf</v>
      </c>
      <c r="D267" s="147" t="str">
        <f>IFERROR(__xludf.DUMMYFUNCTION("""COMPUTED_VALUE"""),"application/pdf")</f>
        <v>application/pdf</v>
      </c>
    </row>
    <row r="268">
      <c r="A268" s="147" t="str">
        <f>IFERROR(__xludf.DUMMYFUNCTION("""COMPUTED_VALUE"""),"10.1073/pnas.1717092115")</f>
        <v>10.1073/pnas.1717092115</v>
      </c>
      <c r="B268" s="453" t="str">
        <f>IFERROR(__xludf.DUMMYFUNCTION("""COMPUTED_VALUE"""),"https://drive.google.com/file/d/1X_8gLoQL8UM8XESII7U1_3XXVMeR9N2z/view?usp=drivesdk")</f>
        <v>https://drive.google.com/file/d/1X_8gLoQL8UM8XESII7U1_3XXVMeR9N2z/view?usp=drivesdk</v>
      </c>
      <c r="C268" s="147" t="str">
        <f>IFERROR(__xludf.DUMMYFUNCTION("""COMPUTED_VALUE"""),"10.1073--pnas.1717092115.pdf")</f>
        <v>10.1073--pnas.1717092115.pdf</v>
      </c>
      <c r="D268" s="147" t="str">
        <f>IFERROR(__xludf.DUMMYFUNCTION("""COMPUTED_VALUE"""),"application/pdf")</f>
        <v>application/pdf</v>
      </c>
    </row>
    <row r="269">
      <c r="A269" s="147" t="str">
        <f>IFERROR(__xludf.DUMMYFUNCTION("""COMPUTED_VALUE"""),"10.1073/pnas.1616921114")</f>
        <v>10.1073/pnas.1616921114</v>
      </c>
      <c r="B269" s="453" t="str">
        <f>IFERROR(__xludf.DUMMYFUNCTION("""COMPUTED_VALUE"""),"https://drive.google.com/file/d/1n0koQ1yLwfPYdmBREVehxKIdhjOoUZSg/view?usp=drivesdk")</f>
        <v>https://drive.google.com/file/d/1n0koQ1yLwfPYdmBREVehxKIdhjOoUZSg/view?usp=drivesdk</v>
      </c>
      <c r="C269" s="147" t="str">
        <f>IFERROR(__xludf.DUMMYFUNCTION("""COMPUTED_VALUE"""),"10.1073--pnas.1616921114.pdf")</f>
        <v>10.1073--pnas.1616921114.pdf</v>
      </c>
      <c r="D269" s="147" t="str">
        <f>IFERROR(__xludf.DUMMYFUNCTION("""COMPUTED_VALUE"""),"application/pdf")</f>
        <v>application/pdf</v>
      </c>
    </row>
    <row r="270">
      <c r="A270" s="147" t="str">
        <f>IFERROR(__xludf.DUMMYFUNCTION("""COMPUTED_VALUE"""),"10.1073/pnas.1607330114")</f>
        <v>10.1073/pnas.1607330114</v>
      </c>
      <c r="B270" s="453" t="str">
        <f>IFERROR(__xludf.DUMMYFUNCTION("""COMPUTED_VALUE"""),"https://drive.google.com/file/d/1c91FKEwUnH0eT_Uzixr-mWli2LJ6mmul/view?usp=drivesdk")</f>
        <v>https://drive.google.com/file/d/1c91FKEwUnH0eT_Uzixr-mWli2LJ6mmul/view?usp=drivesdk</v>
      </c>
      <c r="C270" s="147" t="str">
        <f>IFERROR(__xludf.DUMMYFUNCTION("""COMPUTED_VALUE"""),"10.1073--pnas.1607330114.pdf")</f>
        <v>10.1073--pnas.1607330114.pdf</v>
      </c>
      <c r="D270" s="147" t="str">
        <f>IFERROR(__xludf.DUMMYFUNCTION("""COMPUTED_VALUE"""),"application/pdf")</f>
        <v>application/pdf</v>
      </c>
    </row>
    <row r="271">
      <c r="A271" s="147" t="str">
        <f>IFERROR(__xludf.DUMMYFUNCTION("""COMPUTED_VALUE"""),"10.1073/pnas.1606574113")</f>
        <v>10.1073/pnas.1606574113</v>
      </c>
      <c r="B271" s="453" t="str">
        <f>IFERROR(__xludf.DUMMYFUNCTION("""COMPUTED_VALUE"""),"https://drive.google.com/file/d/1OmM2z06gBM63n800JtLoY_5328h0Kj-q/view?usp=drivesdk")</f>
        <v>https://drive.google.com/file/d/1OmM2z06gBM63n800JtLoY_5328h0Kj-q/view?usp=drivesdk</v>
      </c>
      <c r="C271" s="147" t="str">
        <f>IFERROR(__xludf.DUMMYFUNCTION("""COMPUTED_VALUE"""),"10.1073--pnas.1606574113.pdf")</f>
        <v>10.1073--pnas.1606574113.pdf</v>
      </c>
      <c r="D271" s="147" t="str">
        <f>IFERROR(__xludf.DUMMYFUNCTION("""COMPUTED_VALUE"""),"application/pdf")</f>
        <v>application/pdf</v>
      </c>
    </row>
    <row r="272">
      <c r="A272" s="147" t="str">
        <f>IFERROR(__xludf.DUMMYFUNCTION("""COMPUTED_VALUE"""),"10.1073/pnas.1511536112")</f>
        <v>10.1073/pnas.1511536112</v>
      </c>
      <c r="B272" s="453" t="str">
        <f>IFERROR(__xludf.DUMMYFUNCTION("""COMPUTED_VALUE"""),"https://drive.google.com/file/d/1wOKjiL59sTbYJAZUPb-UPMjoPu-4HWDV/view?usp=drivesdk")</f>
        <v>https://drive.google.com/file/d/1wOKjiL59sTbYJAZUPb-UPMjoPu-4HWDV/view?usp=drivesdk</v>
      </c>
      <c r="C272" s="147" t="str">
        <f>IFERROR(__xludf.DUMMYFUNCTION("""COMPUTED_VALUE"""),"10.1073--pnas.1511536112.pdf")</f>
        <v>10.1073--pnas.1511536112.pdf</v>
      </c>
      <c r="D272" s="147" t="str">
        <f>IFERROR(__xludf.DUMMYFUNCTION("""COMPUTED_VALUE"""),"application/pdf")</f>
        <v>application/pdf</v>
      </c>
    </row>
    <row r="273">
      <c r="A273" s="147" t="str">
        <f>IFERROR(__xludf.DUMMYFUNCTION("""COMPUTED_VALUE"""),"10.1073/pnas.1701916114")</f>
        <v>10.1073/pnas.1701916114</v>
      </c>
      <c r="B273" s="453" t="str">
        <f>IFERROR(__xludf.DUMMYFUNCTION("""COMPUTED_VALUE"""),"https://drive.google.com/file/d/1AHAkX3IHAtNC1ywt3EKJgEjl7TvUilkM/view?usp=drivesdk")</f>
        <v>https://drive.google.com/file/d/1AHAkX3IHAtNC1ywt3EKJgEjl7TvUilkM/view?usp=drivesdk</v>
      </c>
      <c r="C273" s="147" t="str">
        <f>IFERROR(__xludf.DUMMYFUNCTION("""COMPUTED_VALUE"""),"10.1073--pnas.1701916114.pdf")</f>
        <v>10.1073--pnas.1701916114.pdf</v>
      </c>
      <c r="D273" s="147" t="str">
        <f>IFERROR(__xludf.DUMMYFUNCTION("""COMPUTED_VALUE"""),"application/pdf")</f>
        <v>application/pdf</v>
      </c>
    </row>
    <row r="274">
      <c r="A274" s="147" t="str">
        <f>IFERROR(__xludf.DUMMYFUNCTION("""COMPUTED_VALUE"""),"10.1073/pnas.1620542114")</f>
        <v>10.1073/pnas.1620542114</v>
      </c>
      <c r="B274" s="453" t="str">
        <f>IFERROR(__xludf.DUMMYFUNCTION("""COMPUTED_VALUE"""),"https://drive.google.com/file/d/1n72rgjSW6FtAclFquHlO8O2BBvlTnJas/view?usp=drivesdk")</f>
        <v>https://drive.google.com/file/d/1n72rgjSW6FtAclFquHlO8O2BBvlTnJas/view?usp=drivesdk</v>
      </c>
      <c r="C274" s="147" t="str">
        <f>IFERROR(__xludf.DUMMYFUNCTION("""COMPUTED_VALUE"""),"10.1073--pnas.1620542114.pdf")</f>
        <v>10.1073--pnas.1620542114.pdf</v>
      </c>
      <c r="D274" s="147" t="str">
        <f>IFERROR(__xludf.DUMMYFUNCTION("""COMPUTED_VALUE"""),"application/pdf")</f>
        <v>application/pdf</v>
      </c>
    </row>
    <row r="275">
      <c r="A275" s="147" t="str">
        <f>IFERROR(__xludf.DUMMYFUNCTION("""COMPUTED_VALUE"""),"10.1073/pnas.1722664115")</f>
        <v>10.1073/pnas.1722664115</v>
      </c>
      <c r="B275" s="453" t="str">
        <f>IFERROR(__xludf.DUMMYFUNCTION("""COMPUTED_VALUE"""),"https://drive.google.com/file/d/1eLY3wQhNqme2S7a_tXRX4gHwGifvXW1x/view?usp=drivesdk")</f>
        <v>https://drive.google.com/file/d/1eLY3wQhNqme2S7a_tXRX4gHwGifvXW1x/view?usp=drivesdk</v>
      </c>
      <c r="C275" s="147" t="str">
        <f>IFERROR(__xludf.DUMMYFUNCTION("""COMPUTED_VALUE"""),"10.1073--pnas.1722664115.pdf")</f>
        <v>10.1073--pnas.1722664115.pdf</v>
      </c>
      <c r="D275" s="147" t="str">
        <f>IFERROR(__xludf.DUMMYFUNCTION("""COMPUTED_VALUE"""),"application/pdf")</f>
        <v>application/pdf</v>
      </c>
    </row>
    <row r="276">
      <c r="A276" s="147" t="str">
        <f>IFERROR(__xludf.DUMMYFUNCTION("""COMPUTED_VALUE"""),"10.1073/pnas.1505067112")</f>
        <v>10.1073/pnas.1505067112</v>
      </c>
      <c r="B276" s="453" t="str">
        <f>IFERROR(__xludf.DUMMYFUNCTION("""COMPUTED_VALUE"""),"https://drive.google.com/file/d/1sCCY3KYGCCE3zAn1qtYymO7af6DAj-0M/view?usp=drivesdk")</f>
        <v>https://drive.google.com/file/d/1sCCY3KYGCCE3zAn1qtYymO7af6DAj-0M/view?usp=drivesdk</v>
      </c>
      <c r="C276" s="147" t="str">
        <f>IFERROR(__xludf.DUMMYFUNCTION("""COMPUTED_VALUE"""),"10.1073--pnas.1505067112.pdf")</f>
        <v>10.1073--pnas.1505067112.pdf</v>
      </c>
      <c r="D276" s="147" t="str">
        <f>IFERROR(__xludf.DUMMYFUNCTION("""COMPUTED_VALUE"""),"application/pdf")</f>
        <v>application/pdf</v>
      </c>
    </row>
    <row r="277">
      <c r="A277" s="147" t="str">
        <f>IFERROR(__xludf.DUMMYFUNCTION("""COMPUTED_VALUE"""),"10.1073/pnas.1516047113")</f>
        <v>10.1073/pnas.1516047113</v>
      </c>
      <c r="B277" s="453" t="str">
        <f>IFERROR(__xludf.DUMMYFUNCTION("""COMPUTED_VALUE"""),"https://drive.google.com/file/d/1E11EGVsEk8jXG4anLcX1DKLgm7aqhOmU/view?usp=drivesdk")</f>
        <v>https://drive.google.com/file/d/1E11EGVsEk8jXG4anLcX1DKLgm7aqhOmU/view?usp=drivesdk</v>
      </c>
      <c r="C277" s="147" t="str">
        <f>IFERROR(__xludf.DUMMYFUNCTION("""COMPUTED_VALUE"""),"10.1073--pnas.1516047113.pdf")</f>
        <v>10.1073--pnas.1516047113.pdf</v>
      </c>
      <c r="D277" s="147" t="str">
        <f>IFERROR(__xludf.DUMMYFUNCTION("""COMPUTED_VALUE"""),"application/pdf")</f>
        <v>application/pdf</v>
      </c>
    </row>
    <row r="278">
      <c r="A278" s="147" t="str">
        <f>IFERROR(__xludf.DUMMYFUNCTION("""COMPUTED_VALUE"""),"10.1073/pnas.1706913114")</f>
        <v>10.1073/pnas.1706913114</v>
      </c>
      <c r="B278" s="453" t="str">
        <f>IFERROR(__xludf.DUMMYFUNCTION("""COMPUTED_VALUE"""),"https://drive.google.com/file/d/1xfxst9Oa-ge7wewPL4HMH7DqgvOPP20b/view?usp=drivesdk")</f>
        <v>https://drive.google.com/file/d/1xfxst9Oa-ge7wewPL4HMH7DqgvOPP20b/view?usp=drivesdk</v>
      </c>
      <c r="C278" s="147" t="str">
        <f>IFERROR(__xludf.DUMMYFUNCTION("""COMPUTED_VALUE"""),"10.1073--pnas.1706913114.pdf")</f>
        <v>10.1073--pnas.1706913114.pdf</v>
      </c>
      <c r="D278" s="147" t="str">
        <f>IFERROR(__xludf.DUMMYFUNCTION("""COMPUTED_VALUE"""),"application/pdf")</f>
        <v>application/pdf</v>
      </c>
    </row>
    <row r="279">
      <c r="A279" s="147" t="str">
        <f>IFERROR(__xludf.DUMMYFUNCTION("""COMPUTED_VALUE"""),"10.1073/pnas.1516868113")</f>
        <v>10.1073/pnas.1516868113</v>
      </c>
      <c r="B279" s="453" t="str">
        <f>IFERROR(__xludf.DUMMYFUNCTION("""COMPUTED_VALUE"""),"https://drive.google.com/file/d/1yHD_X4W7fLNjPrkn11Gu0-mHGcNqrpws/view?usp=drivesdk")</f>
        <v>https://drive.google.com/file/d/1yHD_X4W7fLNjPrkn11Gu0-mHGcNqrpws/view?usp=drivesdk</v>
      </c>
      <c r="C279" s="147" t="str">
        <f>IFERROR(__xludf.DUMMYFUNCTION("""COMPUTED_VALUE"""),"10.1073--pnas.1516868113.pdf")</f>
        <v>10.1073--pnas.1516868113.pdf</v>
      </c>
      <c r="D279" s="147" t="str">
        <f>IFERROR(__xludf.DUMMYFUNCTION("""COMPUTED_VALUE"""),"application/pdf")</f>
        <v>application/pdf</v>
      </c>
    </row>
    <row r="280">
      <c r="A280" s="147" t="str">
        <f>IFERROR(__xludf.DUMMYFUNCTION("""COMPUTED_VALUE"""),"10.1073/pnas.1601280113")</f>
        <v>10.1073/pnas.1601280113</v>
      </c>
      <c r="B280" s="453" t="str">
        <f>IFERROR(__xludf.DUMMYFUNCTION("""COMPUTED_VALUE"""),"https://drive.google.com/file/d/1BbeoZ9CdBUXQMwPbOQkLBdsayafNFSX2/view?usp=drivesdk")</f>
        <v>https://drive.google.com/file/d/1BbeoZ9CdBUXQMwPbOQkLBdsayafNFSX2/view?usp=drivesdk</v>
      </c>
      <c r="C280" s="147" t="str">
        <f>IFERROR(__xludf.DUMMYFUNCTION("""COMPUTED_VALUE"""),"10.1073--pnas.1601280113.pdf")</f>
        <v>10.1073--pnas.1601280113.pdf</v>
      </c>
      <c r="D280" s="147" t="str">
        <f>IFERROR(__xludf.DUMMYFUNCTION("""COMPUTED_VALUE"""),"application/pdf")</f>
        <v>application/pdf</v>
      </c>
    </row>
    <row r="281">
      <c r="A281" s="147" t="str">
        <f>IFERROR(__xludf.DUMMYFUNCTION("""COMPUTED_VALUE"""),"10.1073/pnas.1805327115")</f>
        <v>10.1073/pnas.1805327115</v>
      </c>
      <c r="B281" s="453" t="str">
        <f>IFERROR(__xludf.DUMMYFUNCTION("""COMPUTED_VALUE"""),"https://drive.google.com/file/d/1DQ-5qEEOtHAV_EO0dtcKuZKTfy6PHQQl/view?usp=drivesdk")</f>
        <v>https://drive.google.com/file/d/1DQ-5qEEOtHAV_EO0dtcKuZKTfy6PHQQl/view?usp=drivesdk</v>
      </c>
      <c r="C281" s="147" t="str">
        <f>IFERROR(__xludf.DUMMYFUNCTION("""COMPUTED_VALUE"""),"10.1073--pnas.1805327115.pdf")</f>
        <v>10.1073--pnas.1805327115.pdf</v>
      </c>
      <c r="D281" s="147" t="str">
        <f>IFERROR(__xludf.DUMMYFUNCTION("""COMPUTED_VALUE"""),"application/pdf")</f>
        <v>application/pdf</v>
      </c>
    </row>
    <row r="282">
      <c r="A282" s="147" t="str">
        <f>IFERROR(__xludf.DUMMYFUNCTION("""COMPUTED_VALUE"""),"10.1073/pnas.1523586113")</f>
        <v>10.1073/pnas.1523586113</v>
      </c>
      <c r="B282" s="453" t="str">
        <f>IFERROR(__xludf.DUMMYFUNCTION("""COMPUTED_VALUE"""),"https://drive.google.com/file/d/17CimGUvhLJDkg1bbuFUCRcNLQJR1151z/view?usp=drivesdk")</f>
        <v>https://drive.google.com/file/d/17CimGUvhLJDkg1bbuFUCRcNLQJR1151z/view?usp=drivesdk</v>
      </c>
      <c r="C282" s="147" t="str">
        <f>IFERROR(__xludf.DUMMYFUNCTION("""COMPUTED_VALUE"""),"10.1073--pnas.1523586113.pdf")</f>
        <v>10.1073--pnas.1523586113.pdf</v>
      </c>
      <c r="D282" s="147" t="str">
        <f>IFERROR(__xludf.DUMMYFUNCTION("""COMPUTED_VALUE"""),"application/pdf")</f>
        <v>application/pdf</v>
      </c>
    </row>
    <row r="283">
      <c r="A283" s="147" t="str">
        <f>IFERROR(__xludf.DUMMYFUNCTION("""COMPUTED_VALUE"""),"10.1073/pnas.1707719114")</f>
        <v>10.1073/pnas.1707719114</v>
      </c>
      <c r="B283" s="453" t="str">
        <f>IFERROR(__xludf.DUMMYFUNCTION("""COMPUTED_VALUE"""),"https://drive.google.com/file/d/1VjQnWh7tIM7zl21GEg_LipSiXaJr91Ht/view?usp=drivesdk")</f>
        <v>https://drive.google.com/file/d/1VjQnWh7tIM7zl21GEg_LipSiXaJr91Ht/view?usp=drivesdk</v>
      </c>
      <c r="C283" s="147" t="str">
        <f>IFERROR(__xludf.DUMMYFUNCTION("""COMPUTED_VALUE"""),"10.1073--pnas.1707719114.pdf")</f>
        <v>10.1073--pnas.1707719114.pdf</v>
      </c>
      <c r="D283" s="147" t="str">
        <f>IFERROR(__xludf.DUMMYFUNCTION("""COMPUTED_VALUE"""),"application/pdf")</f>
        <v>application/pdf</v>
      </c>
    </row>
    <row r="284">
      <c r="A284" s="147" t="str">
        <f>IFERROR(__xludf.DUMMYFUNCTION("""COMPUTED_VALUE"""),"10.1073/pnas.1706253114")</f>
        <v>10.1073/pnas.1706253114</v>
      </c>
      <c r="B284" s="453" t="str">
        <f>IFERROR(__xludf.DUMMYFUNCTION("""COMPUTED_VALUE"""),"https://drive.google.com/file/d/1KgVy8pDNXw_rUPEflxR0eTSRI8bSGPLS/view?usp=drivesdk")</f>
        <v>https://drive.google.com/file/d/1KgVy8pDNXw_rUPEflxR0eTSRI8bSGPLS/view?usp=drivesdk</v>
      </c>
      <c r="C284" s="147" t="str">
        <f>IFERROR(__xludf.DUMMYFUNCTION("""COMPUTED_VALUE"""),"10.1073--pnas.1706253114.pdf")</f>
        <v>10.1073--pnas.1706253114.pdf</v>
      </c>
      <c r="D284" s="147" t="str">
        <f>IFERROR(__xludf.DUMMYFUNCTION("""COMPUTED_VALUE"""),"application/pdf")</f>
        <v>application/pdf</v>
      </c>
    </row>
    <row r="285">
      <c r="A285" s="147" t="str">
        <f>IFERROR(__xludf.DUMMYFUNCTION("""COMPUTED_VALUE"""),"10.1073/pnas.1704032114")</f>
        <v>10.1073/pnas.1704032114</v>
      </c>
      <c r="B285" s="453" t="str">
        <f>IFERROR(__xludf.DUMMYFUNCTION("""COMPUTED_VALUE"""),"https://drive.google.com/file/d/1j22rPSmrajVUMaZJ7ZQ_3oBwSfmIAktN/view?usp=drivesdk")</f>
        <v>https://drive.google.com/file/d/1j22rPSmrajVUMaZJ7ZQ_3oBwSfmIAktN/view?usp=drivesdk</v>
      </c>
      <c r="C285" s="147" t="str">
        <f>IFERROR(__xludf.DUMMYFUNCTION("""COMPUTED_VALUE"""),"10.1073--pnas.1704032114.pdf")</f>
        <v>10.1073--pnas.1704032114.pdf</v>
      </c>
      <c r="D285" s="147" t="str">
        <f>IFERROR(__xludf.DUMMYFUNCTION("""COMPUTED_VALUE"""),"application/pdf")</f>
        <v>application/pdf</v>
      </c>
    </row>
    <row r="286">
      <c r="A286" s="147" t="str">
        <f>IFERROR(__xludf.DUMMYFUNCTION("""COMPUTED_VALUE"""),"10.1073/pnas.1705238114")</f>
        <v>10.1073/pnas.1705238114</v>
      </c>
      <c r="B286" s="453" t="str">
        <f>IFERROR(__xludf.DUMMYFUNCTION("""COMPUTED_VALUE"""),"https://drive.google.com/file/d/1n2AFbrWCoSyUJoEu2sdAqSUYEEqLi3-i/view?usp=drivesdk")</f>
        <v>https://drive.google.com/file/d/1n2AFbrWCoSyUJoEu2sdAqSUYEEqLi3-i/view?usp=drivesdk</v>
      </c>
      <c r="C286" s="147" t="str">
        <f>IFERROR(__xludf.DUMMYFUNCTION("""COMPUTED_VALUE"""),"10.1073--pnas.1705238114.pdf")</f>
        <v>10.1073--pnas.1705238114.pdf</v>
      </c>
      <c r="D286" s="147" t="str">
        <f>IFERROR(__xludf.DUMMYFUNCTION("""COMPUTED_VALUE"""),"application/pdf")</f>
        <v>application/pdf</v>
      </c>
    </row>
    <row r="287">
      <c r="A287" s="147" t="str">
        <f>IFERROR(__xludf.DUMMYFUNCTION("""COMPUTED_VALUE"""),"10.1073/pnas.1707040114")</f>
        <v>10.1073/pnas.1707040114</v>
      </c>
      <c r="B287" s="453" t="str">
        <f>IFERROR(__xludf.DUMMYFUNCTION("""COMPUTED_VALUE"""),"https://drive.google.com/file/d/1egXsfHxw3enkl4JvCEY0lfs0BTX1O2u3/view?usp=drivesdk")</f>
        <v>https://drive.google.com/file/d/1egXsfHxw3enkl4JvCEY0lfs0BTX1O2u3/view?usp=drivesdk</v>
      </c>
      <c r="C287" s="147" t="str">
        <f>IFERROR(__xludf.DUMMYFUNCTION("""COMPUTED_VALUE"""),"10.1073--pnas.1707040114.pdf")</f>
        <v>10.1073--pnas.1707040114.pdf</v>
      </c>
      <c r="D287" s="147" t="str">
        <f>IFERROR(__xludf.DUMMYFUNCTION("""COMPUTED_VALUE"""),"application/pdf")</f>
        <v>application/pdf</v>
      </c>
    </row>
    <row r="288">
      <c r="A288" s="147" t="str">
        <f>IFERROR(__xludf.DUMMYFUNCTION("""COMPUTED_VALUE"""),"10.1073/pnas.1517662112")</f>
        <v>10.1073/pnas.1517662112</v>
      </c>
      <c r="B288" s="453" t="str">
        <f>IFERROR(__xludf.DUMMYFUNCTION("""COMPUTED_VALUE"""),"https://drive.google.com/file/d/1p1O3cA89Rortn-b4c3if2MEMXd31m4nv/view?usp=drivesdk")</f>
        <v>https://drive.google.com/file/d/1p1O3cA89Rortn-b4c3if2MEMXd31m4nv/view?usp=drivesdk</v>
      </c>
      <c r="C288" s="147" t="str">
        <f>IFERROR(__xludf.DUMMYFUNCTION("""COMPUTED_VALUE"""),"10.1073--pnas.1517662112.pdf")</f>
        <v>10.1073--pnas.1517662112.pdf</v>
      </c>
      <c r="D288" s="147" t="str">
        <f>IFERROR(__xludf.DUMMYFUNCTION("""COMPUTED_VALUE"""),"application/pdf")</f>
        <v>application/pdf</v>
      </c>
    </row>
    <row r="289">
      <c r="A289" s="147" t="str">
        <f>IFERROR(__xludf.DUMMYFUNCTION("""COMPUTED_VALUE"""),"10.1073/pnas.1508932113")</f>
        <v>10.1073/pnas.1508932113</v>
      </c>
      <c r="B289" s="453" t="str">
        <f>IFERROR(__xludf.DUMMYFUNCTION("""COMPUTED_VALUE"""),"https://drive.google.com/file/d/1GUMHnYj_hycM2gMFNTbvEGwdonZHVaEU/view?usp=drivesdk")</f>
        <v>https://drive.google.com/file/d/1GUMHnYj_hycM2gMFNTbvEGwdonZHVaEU/view?usp=drivesdk</v>
      </c>
      <c r="C289" s="147" t="str">
        <f>IFERROR(__xludf.DUMMYFUNCTION("""COMPUTED_VALUE"""),"10.1073--pnas.1508932113.pdf")</f>
        <v>10.1073--pnas.1508932113.pdf</v>
      </c>
      <c r="D289" s="147" t="str">
        <f>IFERROR(__xludf.DUMMYFUNCTION("""COMPUTED_VALUE"""),"application/pdf")</f>
        <v>application/pdf</v>
      </c>
    </row>
    <row r="290">
      <c r="A290" s="147" t="str">
        <f>IFERROR(__xludf.DUMMYFUNCTION("""COMPUTED_VALUE"""),"10.1073/pnas.1519401113")</f>
        <v>10.1073/pnas.1519401113</v>
      </c>
      <c r="B290" s="453" t="str">
        <f>IFERROR(__xludf.DUMMYFUNCTION("""COMPUTED_VALUE"""),"https://drive.google.com/file/d/105cRk7vC72JK1EA9WyGiYPQkLW7C53Ad/view?usp=drivesdk")</f>
        <v>https://drive.google.com/file/d/105cRk7vC72JK1EA9WyGiYPQkLW7C53Ad/view?usp=drivesdk</v>
      </c>
      <c r="C290" s="147" t="str">
        <f>IFERROR(__xludf.DUMMYFUNCTION("""COMPUTED_VALUE"""),"10.1073--pnas.1519401113.pdf")</f>
        <v>10.1073--pnas.1519401113.pdf</v>
      </c>
      <c r="D290" s="147" t="str">
        <f>IFERROR(__xludf.DUMMYFUNCTION("""COMPUTED_VALUE"""),"application/pdf")</f>
        <v>application/pdf</v>
      </c>
    </row>
    <row r="291">
      <c r="A291" s="147" t="str">
        <f>IFERROR(__xludf.DUMMYFUNCTION("""COMPUTED_VALUE"""),"10.1093/qje/qjt035")</f>
        <v>10.1093/qje/qjt035</v>
      </c>
      <c r="B291" s="453" t="str">
        <f>IFERROR(__xludf.DUMMYFUNCTION("""COMPUTED_VALUE"""),"https://drive.google.com/file/d/1AEIAMNY49STOE6ElNt-b8Hq1Zx5-39DC/view?usp=drivesdk")</f>
        <v>https://drive.google.com/file/d/1AEIAMNY49STOE6ElNt-b8Hq1Zx5-39DC/view?usp=drivesdk</v>
      </c>
      <c r="C291" s="147" t="str">
        <f>IFERROR(__xludf.DUMMYFUNCTION("""COMPUTED_VALUE"""),"10.1093--qje--qjt035.pdf")</f>
        <v>10.1093--qje--qjt035.pdf</v>
      </c>
      <c r="D291" s="147" t="str">
        <f>IFERROR(__xludf.DUMMYFUNCTION("""COMPUTED_VALUE"""),"application/pdf")</f>
        <v>application/pdf</v>
      </c>
    </row>
    <row r="292">
      <c r="A292" s="147" t="str">
        <f>IFERROR(__xludf.DUMMYFUNCTION("""COMPUTED_VALUE"""),"10.1257/aer.101.2.927")</f>
        <v>10.1257/aer.101.2.927</v>
      </c>
      <c r="B292" s="453" t="str">
        <f>IFERROR(__xludf.DUMMYFUNCTION("""COMPUTED_VALUE"""),"https://drive.google.com/file/d/1BktRBxUCABNKOmBS08ZeWLX5NwbuQmVb/view?usp=drivesdk")</f>
        <v>https://drive.google.com/file/d/1BktRBxUCABNKOmBS08ZeWLX5NwbuQmVb/view?usp=drivesdk</v>
      </c>
      <c r="C292" s="147" t="str">
        <f>IFERROR(__xludf.DUMMYFUNCTION("""COMPUTED_VALUE"""),"10.1257--aer.101.2.927.pdf")</f>
        <v>10.1257--aer.101.2.927.pdf</v>
      </c>
      <c r="D292" s="147" t="str">
        <f>IFERROR(__xludf.DUMMYFUNCTION("""COMPUTED_VALUE"""),"application/pdf")</f>
        <v>application/pdf</v>
      </c>
    </row>
    <row r="293">
      <c r="A293" s="147" t="str">
        <f>IFERROR(__xludf.DUMMYFUNCTION("""COMPUTED_VALUE"""),"10.1257/aer.102.2.865")</f>
        <v>10.1257/aer.102.2.865</v>
      </c>
      <c r="B293" s="453" t="str">
        <f>IFERROR(__xludf.DUMMYFUNCTION("""COMPUTED_VALUE"""),"https://drive.google.com/file/d/1b2FC_ZxV315l7N6zoTHVU2AgAr7SbyXB/view?usp=drivesdk")</f>
        <v>https://drive.google.com/file/d/1b2FC_ZxV315l7N6zoTHVU2AgAr7SbyXB/view?usp=drivesdk</v>
      </c>
      <c r="C293" s="147" t="str">
        <f>IFERROR(__xludf.DUMMYFUNCTION("""COMPUTED_VALUE"""),"10.1257--aer.102.2.865.pdf")</f>
        <v>10.1257--aer.102.2.865.pdf</v>
      </c>
      <c r="D293" s="147" t="str">
        <f>IFERROR(__xludf.DUMMYFUNCTION("""COMPUTED_VALUE"""),"application/pdf")</f>
        <v>application/pdf</v>
      </c>
    </row>
    <row r="294">
      <c r="A294" s="147" t="str">
        <f>IFERROR(__xludf.DUMMYFUNCTION("""COMPUTED_VALUE"""),"10.1257/aer.102.5.2018")</f>
        <v>10.1257/aer.102.5.2018</v>
      </c>
      <c r="B294" s="453" t="str">
        <f>IFERROR(__xludf.DUMMYFUNCTION("""COMPUTED_VALUE"""),"https://drive.google.com/file/d/17yYMWhyDAG179mIfO09X_DXEZMxaYLjP/view?usp=drivesdk")</f>
        <v>https://drive.google.com/file/d/17yYMWhyDAG179mIfO09X_DXEZMxaYLjP/view?usp=drivesdk</v>
      </c>
      <c r="C294" s="147" t="str">
        <f>IFERROR(__xludf.DUMMYFUNCTION("""COMPUTED_VALUE"""),"10.1257--aer.102.5.2018.pdf")</f>
        <v>10.1257--aer.102.5.2018.pdf</v>
      </c>
      <c r="D294" s="147" t="str">
        <f>IFERROR(__xludf.DUMMYFUNCTION("""COMPUTED_VALUE"""),"application/pdf")</f>
        <v>application/pdf</v>
      </c>
    </row>
    <row r="295">
      <c r="A295" s="147" t="str">
        <f>IFERROR(__xludf.DUMMYFUNCTION("""COMPUTED_VALUE"""),"10.1257/aer.101.7.3109 (1)")</f>
        <v>10.1257/aer.101.7.3109 (1)</v>
      </c>
      <c r="B295" s="453" t="str">
        <f>IFERROR(__xludf.DUMMYFUNCTION("""COMPUTED_VALUE"""),"https://drive.google.com/file/d/1AnxK02a5BeBo9dA5i4f_u2An2ZuJqRrr/view?usp=drivesdk")</f>
        <v>https://drive.google.com/file/d/1AnxK02a5BeBo9dA5i4f_u2An2ZuJqRrr/view?usp=drivesdk</v>
      </c>
      <c r="C295" s="147" t="str">
        <f>IFERROR(__xludf.DUMMYFUNCTION("""COMPUTED_VALUE"""),"10.1257--aer.101.7.3109 (1).pdf")</f>
        <v>10.1257--aer.101.7.3109 (1).pdf</v>
      </c>
      <c r="D295" s="147" t="str">
        <f>IFERROR(__xludf.DUMMYFUNCTION("""COMPUTED_VALUE"""),"application/pdf")</f>
        <v>application/pdf</v>
      </c>
    </row>
    <row r="296">
      <c r="A296" s="147" t="str">
        <f>IFERROR(__xludf.DUMMYFUNCTION("""COMPUTED_VALUE"""),"10.1257/aer.101.2.819")</f>
        <v>10.1257/aer.101.2.819</v>
      </c>
      <c r="B296" s="453" t="str">
        <f>IFERROR(__xludf.DUMMYFUNCTION("""COMPUTED_VALUE"""),"https://drive.google.com/file/d/1gPKErZn0U75GIXRc3TyDKhjO1YYEA8-a/view?usp=drivesdk")</f>
        <v>https://drive.google.com/file/d/1gPKErZn0U75GIXRc3TyDKhjO1YYEA8-a/view?usp=drivesdk</v>
      </c>
      <c r="C296" s="147" t="str">
        <f>IFERROR(__xludf.DUMMYFUNCTION("""COMPUTED_VALUE"""),"10.1257--aer.101.2.819.pdf")</f>
        <v>10.1257--aer.101.2.819.pdf</v>
      </c>
      <c r="D296" s="147" t="str">
        <f>IFERROR(__xludf.DUMMYFUNCTION("""COMPUTED_VALUE"""),"application/pdf")</f>
        <v>application/pdf</v>
      </c>
    </row>
    <row r="297">
      <c r="A297" s="147" t="str">
        <f>IFERROR(__xludf.DUMMYFUNCTION("""COMPUTED_VALUE"""),"10.1257/aer.102.2.720 (1)")</f>
        <v>10.1257/aer.102.2.720 (1)</v>
      </c>
      <c r="B297" s="453" t="str">
        <f>IFERROR(__xludf.DUMMYFUNCTION("""COMPUTED_VALUE"""),"https://drive.google.com/file/d/1T3Rn1Ki7p7o8u_ViHHHYvafHFmjnylcx/view?usp=drivesdk")</f>
        <v>https://drive.google.com/file/d/1T3Rn1Ki7p7o8u_ViHHHYvafHFmjnylcx/view?usp=drivesdk</v>
      </c>
      <c r="C297" s="147" t="str">
        <f>IFERROR(__xludf.DUMMYFUNCTION("""COMPUTED_VALUE"""),"10.1257--aer.102.2.720 (1).pdf")</f>
        <v>10.1257--aer.102.2.720 (1).pdf</v>
      </c>
      <c r="D297" s="147" t="str">
        <f>IFERROR(__xludf.DUMMYFUNCTION("""COMPUTED_VALUE"""),"application/pdf")</f>
        <v>application/pdf</v>
      </c>
    </row>
    <row r="298">
      <c r="A298" s="147" t="str">
        <f>IFERROR(__xludf.DUMMYFUNCTION("""COMPUTED_VALUE"""),"10.1257/aer.102.1.337")</f>
        <v>10.1257/aer.102.1.337</v>
      </c>
      <c r="B298" s="453" t="str">
        <f>IFERROR(__xludf.DUMMYFUNCTION("""COMPUTED_VALUE"""),"https://drive.google.com/file/d/1hWfokltwBkoqHFEcC6Y6_dIRzbc3xn2Q/view?usp=drivesdk")</f>
        <v>https://drive.google.com/file/d/1hWfokltwBkoqHFEcC6Y6_dIRzbc3xn2Q/view?usp=drivesdk</v>
      </c>
      <c r="C298" s="147" t="str">
        <f>IFERROR(__xludf.DUMMYFUNCTION("""COMPUTED_VALUE"""),"10.1257--aer.102.1.337.pdf")</f>
        <v>10.1257--aer.102.1.337.pdf</v>
      </c>
      <c r="D298" s="147" t="str">
        <f>IFERROR(__xludf.DUMMYFUNCTION("""COMPUTED_VALUE"""),"application/pdf")</f>
        <v>application/pdf</v>
      </c>
    </row>
    <row r="299">
      <c r="A299" s="147" t="str">
        <f>IFERROR(__xludf.DUMMYFUNCTION("""COMPUTED_VALUE"""),"10.1257/aer.103.4.1325")</f>
        <v>10.1257/aer.103.4.1325</v>
      </c>
      <c r="B299" s="453" t="str">
        <f>IFERROR(__xludf.DUMMYFUNCTION("""COMPUTED_VALUE"""),"https://drive.google.com/file/d/11sSauXb0HoVRgYDG9CnOlMBheFEjk0NQ/view?usp=drivesdk")</f>
        <v>https://drive.google.com/file/d/11sSauXb0HoVRgYDG9CnOlMBheFEjk0NQ/view?usp=drivesdk</v>
      </c>
      <c r="C299" s="147" t="str">
        <f>IFERROR(__xludf.DUMMYFUNCTION("""COMPUTED_VALUE"""),"10.1257--aer.103.4.1325.pdf")</f>
        <v>10.1257--aer.103.4.1325.pdf</v>
      </c>
      <c r="D299" s="147" t="str">
        <f>IFERROR(__xludf.DUMMYFUNCTION("""COMPUTED_VALUE"""),"application/pdf")</f>
        <v>application/pdf</v>
      </c>
    </row>
    <row r="300">
      <c r="A300" s="147" t="str">
        <f>IFERROR(__xludf.DUMMYFUNCTION("""COMPUTED_VALUE"""),"10.1093/qje/qjr034")</f>
        <v>10.1093/qje/qjr034</v>
      </c>
      <c r="B300" s="453" t="str">
        <f>IFERROR(__xludf.DUMMYFUNCTION("""COMPUTED_VALUE"""),"https://drive.google.com/file/d/1aDSm4Lq4K8IFN4JH8XXWURoEKbUjjmL3/view?usp=drivesdk")</f>
        <v>https://drive.google.com/file/d/1aDSm4Lq4K8IFN4JH8XXWURoEKbUjjmL3/view?usp=drivesdk</v>
      </c>
      <c r="C300" s="147" t="str">
        <f>IFERROR(__xludf.DUMMYFUNCTION("""COMPUTED_VALUE"""),"10.1093--qje--qjr034.pdf")</f>
        <v>10.1093--qje--qjr034.pdf</v>
      </c>
      <c r="D300" s="147" t="str">
        <f>IFERROR(__xludf.DUMMYFUNCTION("""COMPUTED_VALUE"""),"application/pdf")</f>
        <v>application/pdf</v>
      </c>
    </row>
    <row r="301">
      <c r="A301" s="147" t="str">
        <f>IFERROR(__xludf.DUMMYFUNCTION("""COMPUTED_VALUE"""),"10.1257/aer.101.2.526")</f>
        <v>10.1257/aer.101.2.526</v>
      </c>
      <c r="B301" s="453" t="str">
        <f>IFERROR(__xludf.DUMMYFUNCTION("""COMPUTED_VALUE"""),"https://drive.google.com/file/d/1DOLllL6R7032IvCSzFDDyxUuY_nU2qkX/view?usp=drivesdk")</f>
        <v>https://drive.google.com/file/d/1DOLllL6R7032IvCSzFDDyxUuY_nU2qkX/view?usp=drivesdk</v>
      </c>
      <c r="C301" s="147" t="str">
        <f>IFERROR(__xludf.DUMMYFUNCTION("""COMPUTED_VALUE"""),"10.1257--aer.101.2.526.pdf")</f>
        <v>10.1257--aer.101.2.526.pdf</v>
      </c>
      <c r="D301" s="147" t="str">
        <f>IFERROR(__xludf.DUMMYFUNCTION("""COMPUTED_VALUE"""),"application/pdf")</f>
        <v>application/pdf</v>
      </c>
    </row>
    <row r="302">
      <c r="A302" s="147" t="str">
        <f>IFERROR(__xludf.DUMMYFUNCTION("""COMPUTED_VALUE"""),"10.1257/aer.104.6.1735")</f>
        <v>10.1257/aer.104.6.1735</v>
      </c>
      <c r="B302" s="453" t="str">
        <f>IFERROR(__xludf.DUMMYFUNCTION("""COMPUTED_VALUE"""),"https://drive.google.com/file/d/1wDNXb0olz39__EV_LKeVH7NGHiDMCeB6/view?usp=drivesdk")</f>
        <v>https://drive.google.com/file/d/1wDNXb0olz39__EV_LKeVH7NGHiDMCeB6/view?usp=drivesdk</v>
      </c>
      <c r="C302" s="147" t="str">
        <f>IFERROR(__xludf.DUMMYFUNCTION("""COMPUTED_VALUE"""),"10.1257--aer.104.6.1735.pdf")</f>
        <v>10.1257--aer.104.6.1735.pdf</v>
      </c>
      <c r="D302" s="147" t="str">
        <f>IFERROR(__xludf.DUMMYFUNCTION("""COMPUTED_VALUE"""),"application/pdf")</f>
        <v>application/pdf</v>
      </c>
    </row>
    <row r="303">
      <c r="A303" s="147" t="str">
        <f>IFERROR(__xludf.DUMMYFUNCTION("""COMPUTED_VALUE"""),"10.1257/aer.104.11.3434")</f>
        <v>10.1257/aer.104.11.3434</v>
      </c>
      <c r="B303" s="453" t="str">
        <f>IFERROR(__xludf.DUMMYFUNCTION("""COMPUTED_VALUE"""),"https://drive.google.com/file/d/1_GSFYpdpPE9KlDDSJISHSbkxPaGiv90y/view?usp=drivesdk")</f>
        <v>https://drive.google.com/file/d/1_GSFYpdpPE9KlDDSJISHSbkxPaGiv90y/view?usp=drivesdk</v>
      </c>
      <c r="C303" s="147" t="str">
        <f>IFERROR(__xludf.DUMMYFUNCTION("""COMPUTED_VALUE"""),"10.1257--aer.104.11.3434.pdf")</f>
        <v>10.1257--aer.104.11.3434.pdf</v>
      </c>
      <c r="D303" s="147" t="str">
        <f>IFERROR(__xludf.DUMMYFUNCTION("""COMPUTED_VALUE"""),"application/pdf")</f>
        <v>application/pdf</v>
      </c>
    </row>
    <row r="304">
      <c r="A304" s="147" t="str">
        <f>IFERROR(__xludf.DUMMYFUNCTION("""COMPUTED_VALUE"""),"10.1257/aer.101.6.2562")</f>
        <v>10.1257/aer.101.6.2562</v>
      </c>
      <c r="B304" s="453" t="str">
        <f>IFERROR(__xludf.DUMMYFUNCTION("""COMPUTED_VALUE"""),"https://drive.google.com/file/d/1CufoZHl_KItNfmOr5x_-4R-WsAKrS65V/view?usp=drivesdk")</f>
        <v>https://drive.google.com/file/d/1CufoZHl_KItNfmOr5x_-4R-WsAKrS65V/view?usp=drivesdk</v>
      </c>
      <c r="C304" s="147" t="str">
        <f>IFERROR(__xludf.DUMMYFUNCTION("""COMPUTED_VALUE"""),"10.1257--aer.101.6.2562.pdf")</f>
        <v>10.1257--aer.101.6.2562.pdf</v>
      </c>
      <c r="D304" s="147" t="str">
        <f>IFERROR(__xludf.DUMMYFUNCTION("""COMPUTED_VALUE"""),"application/pdf")</f>
        <v>application/pdf</v>
      </c>
    </row>
    <row r="305">
      <c r="A305" s="147" t="str">
        <f>IFERROR(__xludf.DUMMYFUNCTION("""COMPUTED_VALUE"""),"10.1257/aer.101.4.1211")</f>
        <v>10.1257/aer.101.4.1211</v>
      </c>
      <c r="B305" s="453" t="str">
        <f>IFERROR(__xludf.DUMMYFUNCTION("""COMPUTED_VALUE"""),"https://drive.google.com/file/d/1NxbR_bwAiYFpZjIg55CMPxWtvCoOVIAQ/view?usp=drivesdk")</f>
        <v>https://drive.google.com/file/d/1NxbR_bwAiYFpZjIg55CMPxWtvCoOVIAQ/view?usp=drivesdk</v>
      </c>
      <c r="C305" s="147" t="str">
        <f>IFERROR(__xludf.DUMMYFUNCTION("""COMPUTED_VALUE"""),"10.1257--aer.101.4.1211.pdf")</f>
        <v>10.1257--aer.101.4.1211.pdf</v>
      </c>
      <c r="D305" s="147" t="str">
        <f>IFERROR(__xludf.DUMMYFUNCTION("""COMPUTED_VALUE"""),"application/pdf")</f>
        <v>application/pdf</v>
      </c>
    </row>
    <row r="306">
      <c r="A306" s="147" t="str">
        <f>IFERROR(__xludf.DUMMYFUNCTION("""COMPUTED_VALUE"""),"10.1257/aer.102.2.834")</f>
        <v>10.1257/aer.102.2.834</v>
      </c>
      <c r="B306" s="453" t="str">
        <f>IFERROR(__xludf.DUMMYFUNCTION("""COMPUTED_VALUE"""),"https://drive.google.com/file/d/15obABizUe2mVP6tTA7xfzSOU9zsFeGRP/view?usp=drivesdk")</f>
        <v>https://drive.google.com/file/d/15obABizUe2mVP6tTA7xfzSOU9zsFeGRP/view?usp=drivesdk</v>
      </c>
      <c r="C306" s="147" t="str">
        <f>IFERROR(__xludf.DUMMYFUNCTION("""COMPUTED_VALUE"""),"10.1257--aer.102.2.834.pdf")</f>
        <v>10.1257--aer.102.2.834.pdf</v>
      </c>
      <c r="D306" s="147" t="str">
        <f>IFERROR(__xludf.DUMMYFUNCTION("""COMPUTED_VALUE"""),"application/pdf")</f>
        <v>application/pdf</v>
      </c>
    </row>
    <row r="307">
      <c r="A307" s="147" t="str">
        <f>IFERROR(__xludf.DUMMYFUNCTION("""COMPUTED_VALUE"""),"10.1257/aer.102.7.3317")</f>
        <v>10.1257/aer.102.7.3317</v>
      </c>
      <c r="B307" s="453" t="str">
        <f>IFERROR(__xludf.DUMMYFUNCTION("""COMPUTED_VALUE"""),"https://drive.google.com/file/d/1vGGh8iNvz5riiPFFfaYWDPoBsN1DieSC/view?usp=drivesdk")</f>
        <v>https://drive.google.com/file/d/1vGGh8iNvz5riiPFFfaYWDPoBsN1DieSC/view?usp=drivesdk</v>
      </c>
      <c r="C307" s="147" t="str">
        <f>IFERROR(__xludf.DUMMYFUNCTION("""COMPUTED_VALUE"""),"10.1257--aer.102.7.3317.pdf")</f>
        <v>10.1257--aer.102.7.3317.pdf</v>
      </c>
      <c r="D307" s="147" t="str">
        <f>IFERROR(__xludf.DUMMYFUNCTION("""COMPUTED_VALUE"""),"application/pdf")</f>
        <v>application/pdf</v>
      </c>
    </row>
    <row r="308">
      <c r="A308" s="147" t="str">
        <f>IFERROR(__xludf.DUMMYFUNCTION("""COMPUTED_VALUE"""),"10.1257/aer.101.2.470")</f>
        <v>10.1257/aer.101.2.470</v>
      </c>
      <c r="B308" s="453" t="str">
        <f>IFERROR(__xludf.DUMMYFUNCTION("""COMPUTED_VALUE"""),"https://drive.google.com/file/d/1nZRWE8YtR8lD6JVTIYbN9Kn9F6IO3Tol/view?usp=drivesdk")</f>
        <v>https://drive.google.com/file/d/1nZRWE8YtR8lD6JVTIYbN9Kn9F6IO3Tol/view?usp=drivesdk</v>
      </c>
      <c r="C308" s="147" t="str">
        <f>IFERROR(__xludf.DUMMYFUNCTION("""COMPUTED_VALUE"""),"10.1257--aer.101.2.470.pdf")</f>
        <v>10.1257--aer.101.2.470.pdf</v>
      </c>
      <c r="D308" s="147" t="str">
        <f>IFERROR(__xludf.DUMMYFUNCTION("""COMPUTED_VALUE"""),"application/pdf")</f>
        <v>application/pdf</v>
      </c>
    </row>
    <row r="309">
      <c r="A309" s="147" t="str">
        <f>IFERROR(__xludf.DUMMYFUNCTION("""COMPUTED_VALUE"""),"10.1016/j.ecresq.2019.10.004")</f>
        <v>10.1016/j.ecresq.2019.10.004</v>
      </c>
      <c r="B309" s="453" t="str">
        <f>IFERROR(__xludf.DUMMYFUNCTION("""COMPUTED_VALUE"""),"https://drive.google.com/file/d/1w5TanXJyS5YVblHirQgJO5zKr4e7CFnK/view?usp=drivesdk")</f>
        <v>https://drive.google.com/file/d/1w5TanXJyS5YVblHirQgJO5zKr4e7CFnK/view?usp=drivesdk</v>
      </c>
      <c r="C309" s="147" t="str">
        <f>IFERROR(__xludf.DUMMYFUNCTION("""COMPUTED_VALUE"""),"10.1016--j.ecresq.2019.10.004.pdf")</f>
        <v>10.1016--j.ecresq.2019.10.004.pdf</v>
      </c>
      <c r="D309" s="147" t="str">
        <f>IFERROR(__xludf.DUMMYFUNCTION("""COMPUTED_VALUE"""),"application/pdf")</f>
        <v>application/pdf</v>
      </c>
    </row>
    <row r="310">
      <c r="A310" s="147" t="str">
        <f>IFERROR(__xludf.DUMMYFUNCTION("""COMPUTED_VALUE"""),"10.1111/1467-9280.02436")</f>
        <v>10.1111/1467-9280.02436</v>
      </c>
      <c r="B310" s="453" t="str">
        <f>IFERROR(__xludf.DUMMYFUNCTION("""COMPUTED_VALUE"""),"https://drive.google.com/file/d/1KeSwecAaGUPly_0Khma5VYzCJyRIWBpt/view?usp=drivesdk")</f>
        <v>https://drive.google.com/file/d/1KeSwecAaGUPly_0Khma5VYzCJyRIWBpt/view?usp=drivesdk</v>
      </c>
      <c r="C310" s="147" t="str">
        <f>IFERROR(__xludf.DUMMYFUNCTION("""COMPUTED_VALUE"""),"10.1111--1467-9280.02436.pdf")</f>
        <v>10.1111--1467-9280.02436.pdf</v>
      </c>
      <c r="D310" s="147" t="str">
        <f>IFERROR(__xludf.DUMMYFUNCTION("""COMPUTED_VALUE"""),"application/pdf")</f>
        <v>application/pdf</v>
      </c>
    </row>
    <row r="311">
      <c r="A311" s="147" t="str">
        <f>IFERROR(__xludf.DUMMYFUNCTION("""COMPUTED_VALUE"""),"10.1016/j.obhdp.2010.10.001")</f>
        <v>10.1016/j.obhdp.2010.10.001</v>
      </c>
      <c r="B311" s="453" t="str">
        <f>IFERROR(__xludf.DUMMYFUNCTION("""COMPUTED_VALUE"""),"https://drive.google.com/file/d/1zCYZDaOwE-K33Jkam-tMneBjxjoNVHza/view?usp=drivesdk")</f>
        <v>https://drive.google.com/file/d/1zCYZDaOwE-K33Jkam-tMneBjxjoNVHza/view?usp=drivesdk</v>
      </c>
      <c r="C311" s="147" t="str">
        <f>IFERROR(__xludf.DUMMYFUNCTION("""COMPUTED_VALUE"""),"10.1016--j.obhdp.2010.10.001.pdf")</f>
        <v>10.1016--j.obhdp.2010.10.001.pdf</v>
      </c>
      <c r="D311" s="147" t="str">
        <f>IFERROR(__xludf.DUMMYFUNCTION("""COMPUTED_VALUE"""),"application/pdf")</f>
        <v>application/pdf</v>
      </c>
    </row>
    <row r="312">
      <c r="A312" s="147" t="str">
        <f>IFERROR(__xludf.DUMMYFUNCTION("""COMPUTED_VALUE"""),"10.1038/s41467-021-27323-3")</f>
        <v>10.1038/s41467-021-27323-3</v>
      </c>
      <c r="B312" s="453" t="str">
        <f>IFERROR(__xludf.DUMMYFUNCTION("""COMPUTED_VALUE"""),"https://drive.google.com/file/d/1E9n7K_S1QjugzYn-rTEbb--ETbvudVse/view?usp=drivesdk")</f>
        <v>https://drive.google.com/file/d/1E9n7K_S1QjugzYn-rTEbb--ETbvudVse/view?usp=drivesdk</v>
      </c>
      <c r="C312" s="147" t="str">
        <f>IFERROR(__xludf.DUMMYFUNCTION("""COMPUTED_VALUE"""),"10.1038--s41467-021-27323-3.pdf")</f>
        <v>10.1038--s41467-021-27323-3.pdf</v>
      </c>
      <c r="D312" s="147" t="str">
        <f>IFERROR(__xludf.DUMMYFUNCTION("""COMPUTED_VALUE"""),"application/pdf")</f>
        <v>application/pdf</v>
      </c>
    </row>
    <row r="313">
      <c r="A313" s="147" t="str">
        <f>IFERROR(__xludf.DUMMYFUNCTION("""COMPUTED_VALUE"""),"10.1177/09567976221082637")</f>
        <v>10.1177/09567976221082637</v>
      </c>
      <c r="B313" s="453" t="str">
        <f>IFERROR(__xludf.DUMMYFUNCTION("""COMPUTED_VALUE"""),"https://drive.google.com/file/d/1ETLxNzxxAx38Kbjl_2clUvwzL5DDrTd8/view?usp=drivesdk")</f>
        <v>https://drive.google.com/file/d/1ETLxNzxxAx38Kbjl_2clUvwzL5DDrTd8/view?usp=drivesdk</v>
      </c>
      <c r="C313" s="147" t="str">
        <f>IFERROR(__xludf.DUMMYFUNCTION("""COMPUTED_VALUE"""),"10.1177--09567976221082637.pdf")</f>
        <v>10.1177--09567976221082637.pdf</v>
      </c>
      <c r="D313" s="147" t="str">
        <f>IFERROR(__xludf.DUMMYFUNCTION("""COMPUTED_VALUE"""),"application/pdf")</f>
        <v>application/pdf</v>
      </c>
    </row>
    <row r="314">
      <c r="A314" s="147" t="str">
        <f>IFERROR(__xludf.DUMMYFUNCTION("""COMPUTED_VALUE"""),"10.1111/cogs.12605")</f>
        <v>10.1111/cogs.12605</v>
      </c>
      <c r="B314" s="453" t="str">
        <f>IFERROR(__xludf.DUMMYFUNCTION("""COMPUTED_VALUE"""),"https://drive.google.com/file/d/1fqDwT6f6uPiUgL_jMbCxBCBzksaDNMma/view?usp=drivesdk")</f>
        <v>https://drive.google.com/file/d/1fqDwT6f6uPiUgL_jMbCxBCBzksaDNMma/view?usp=drivesdk</v>
      </c>
      <c r="C314" s="147" t="str">
        <f>IFERROR(__xludf.DUMMYFUNCTION("""COMPUTED_VALUE"""),"10.1111--cogs.12605.pdf")</f>
        <v>10.1111--cogs.12605.pdf</v>
      </c>
      <c r="D314" s="147" t="str">
        <f>IFERROR(__xludf.DUMMYFUNCTION("""COMPUTED_VALUE"""),"application/pdf")</f>
        <v>application/pdf</v>
      </c>
    </row>
    <row r="315">
      <c r="A315" s="147" t="str">
        <f>IFERROR(__xludf.DUMMYFUNCTION("""COMPUTED_VALUE"""),"10.1089/cyber.2016.0530")</f>
        <v>10.1089/cyber.2016.0530</v>
      </c>
      <c r="B315" s="453" t="str">
        <f>IFERROR(__xludf.DUMMYFUNCTION("""COMPUTED_VALUE"""),"https://drive.google.com/file/d/1Z0u77Ei4pPZsjR5reXLadM9xd0tgKrac/view?usp=drivesdk")</f>
        <v>https://drive.google.com/file/d/1Z0u77Ei4pPZsjR5reXLadM9xd0tgKrac/view?usp=drivesdk</v>
      </c>
      <c r="C315" s="147" t="str">
        <f>IFERROR(__xludf.DUMMYFUNCTION("""COMPUTED_VALUE"""),"10.1089--cyber.2016.0530.pdf")</f>
        <v>10.1089--cyber.2016.0530.pdf</v>
      </c>
      <c r="D315" s="147" t="str">
        <f>IFERROR(__xludf.DUMMYFUNCTION("""COMPUTED_VALUE"""),"application/pdf")</f>
        <v>application/pdf</v>
      </c>
    </row>
    <row r="316">
      <c r="A316" s="147" t="str">
        <f>IFERROR(__xludf.DUMMYFUNCTION("""COMPUTED_VALUE"""),"10.1515/ling.2011.016")</f>
        <v>10.1515/ling.2011.016</v>
      </c>
      <c r="B316" s="453" t="str">
        <f>IFERROR(__xludf.DUMMYFUNCTION("""COMPUTED_VALUE"""),"https://drive.google.com/file/d/1OhQWWe3jm8WtNRylZvAGE-c4xHX8dswr/view?usp=drivesdk")</f>
        <v>https://drive.google.com/file/d/1OhQWWe3jm8WtNRylZvAGE-c4xHX8dswr/view?usp=drivesdk</v>
      </c>
      <c r="C316" s="147" t="str">
        <f>IFERROR(__xludf.DUMMYFUNCTION("""COMPUTED_VALUE"""),"10.1515--ling.2011.016.pdf")</f>
        <v>10.1515--ling.2011.016.pdf</v>
      </c>
      <c r="D316" s="147" t="str">
        <f>IFERROR(__xludf.DUMMYFUNCTION("""COMPUTED_VALUE"""),"application/pdf")</f>
        <v>application/pdf</v>
      </c>
    </row>
    <row r="317">
      <c r="A317" s="147" t="str">
        <f>IFERROR(__xludf.DUMMYFUNCTION("""COMPUTED_VALUE"""),"10.1093/jos/ffw010")</f>
        <v>10.1093/jos/ffw010</v>
      </c>
      <c r="B317" s="453" t="str">
        <f>IFERROR(__xludf.DUMMYFUNCTION("""COMPUTED_VALUE"""),"https://drive.google.com/file/d/10gwwst21XMDLdZDUQ3-UJKa2tLRTlO7K/view?usp=drivesdk")</f>
        <v>https://drive.google.com/file/d/10gwwst21XMDLdZDUQ3-UJKa2tLRTlO7K/view?usp=drivesdk</v>
      </c>
      <c r="C317" s="147" t="str">
        <f>IFERROR(__xludf.DUMMYFUNCTION("""COMPUTED_VALUE"""),"10.1093--jos--ffw010.pdf")</f>
        <v>10.1093--jos--ffw010.pdf</v>
      </c>
      <c r="D317" s="147" t="str">
        <f>IFERROR(__xludf.DUMMYFUNCTION("""COMPUTED_VALUE"""),"application/pdf")</f>
        <v>application/pdf</v>
      </c>
    </row>
    <row r="318">
      <c r="A318" s="147" t="str">
        <f>IFERROR(__xludf.DUMMYFUNCTION("""COMPUTED_VALUE"""),"10.1037/xge0000738")</f>
        <v>10.1037/xge0000738</v>
      </c>
      <c r="B318" s="453" t="str">
        <f>IFERROR(__xludf.DUMMYFUNCTION("""COMPUTED_VALUE"""),"https://drive.google.com/file/d/18gORVnI1F3fjlDcwB6OsrshMJDerCS2r/view?usp=drivesdk")</f>
        <v>https://drive.google.com/file/d/18gORVnI1F3fjlDcwB6OsrshMJDerCS2r/view?usp=drivesdk</v>
      </c>
      <c r="C318" s="147" t="str">
        <f>IFERROR(__xludf.DUMMYFUNCTION("""COMPUTED_VALUE"""),"10.1037--xge0000738.pdf")</f>
        <v>10.1037--xge0000738.pdf</v>
      </c>
      <c r="D318" s="147" t="str">
        <f>IFERROR(__xludf.DUMMYFUNCTION("""COMPUTED_VALUE"""),"application/pdf")</f>
        <v>application/pdf</v>
      </c>
    </row>
    <row r="319">
      <c r="A319" s="147" t="str">
        <f>IFERROR(__xludf.DUMMYFUNCTION("""COMPUTED_VALUE"""),"10.1093/workar/waac024")</f>
        <v>10.1093/workar/waac024</v>
      </c>
      <c r="B319" s="453" t="str">
        <f>IFERROR(__xludf.DUMMYFUNCTION("""COMPUTED_VALUE"""),"https://drive.google.com/file/d/17KV68RT0MMeGKz0n7gj1Dsmt7YXSfvOC/view?usp=drivesdk")</f>
        <v>https://drive.google.com/file/d/17KV68RT0MMeGKz0n7gj1Dsmt7YXSfvOC/view?usp=drivesdk</v>
      </c>
      <c r="C319" s="147" t="str">
        <f>IFERROR(__xludf.DUMMYFUNCTION("""COMPUTED_VALUE"""),"10.1093--workar--waac024.pdf")</f>
        <v>10.1093--workar--waac024.pdf</v>
      </c>
      <c r="D319" s="147" t="str">
        <f>IFERROR(__xludf.DUMMYFUNCTION("""COMPUTED_VALUE"""),"application/pdf")</f>
        <v>application/pdf</v>
      </c>
    </row>
    <row r="320">
      <c r="A320" s="147" t="str">
        <f>IFERROR(__xludf.DUMMYFUNCTION("""COMPUTED_VALUE"""),"10.1523/jneurosci.2377-10.2010")</f>
        <v>10.1523/jneurosci.2377-10.2010</v>
      </c>
      <c r="B320" s="453" t="str">
        <f>IFERROR(__xludf.DUMMYFUNCTION("""COMPUTED_VALUE"""),"https://drive.google.com/file/d/1tNWBEIyqVAkKjP7KUoSu2t3rEj4DPo_A/view?usp=drivesdk")</f>
        <v>https://drive.google.com/file/d/1tNWBEIyqVAkKjP7KUoSu2t3rEj4DPo_A/view?usp=drivesdk</v>
      </c>
      <c r="C320" s="147" t="str">
        <f>IFERROR(__xludf.DUMMYFUNCTION("""COMPUTED_VALUE"""),"10.1523--jneurosci.2377-10.2010.pdf")</f>
        <v>10.1523--jneurosci.2377-10.2010.pdf</v>
      </c>
      <c r="D320" s="147" t="str">
        <f>IFERROR(__xludf.DUMMYFUNCTION("""COMPUTED_VALUE"""),"application/pdf")</f>
        <v>application/pdf</v>
      </c>
    </row>
    <row r="321">
      <c r="A321" s="147" t="str">
        <f>IFERROR(__xludf.DUMMYFUNCTION("""COMPUTED_VALUE"""),"10.1523/jneurosci.18-23-10105.1998")</f>
        <v>10.1523/jneurosci.18-23-10105.1998</v>
      </c>
      <c r="B321" s="453" t="str">
        <f>IFERROR(__xludf.DUMMYFUNCTION("""COMPUTED_VALUE"""),"https://drive.google.com/file/d/1tMrBtPVk07Vt3IgjI_4ese_KDvqQCuKK/view?usp=drivesdk")</f>
        <v>https://drive.google.com/file/d/1tMrBtPVk07Vt3IgjI_4ese_KDvqQCuKK/view?usp=drivesdk</v>
      </c>
      <c r="C321" s="147" t="str">
        <f>IFERROR(__xludf.DUMMYFUNCTION("""COMPUTED_VALUE"""),"10.1523--jneurosci.18-23-10105.1998.pdf")</f>
        <v>10.1523--jneurosci.18-23-10105.1998.pdf</v>
      </c>
      <c r="D321" s="147" t="str">
        <f>IFERROR(__xludf.DUMMYFUNCTION("""COMPUTED_VALUE"""),"application/pdf")</f>
        <v>application/pdf</v>
      </c>
    </row>
    <row r="322">
      <c r="A322" s="147" t="str">
        <f>IFERROR(__xludf.DUMMYFUNCTION("""COMPUTED_VALUE"""),"10.1037/pspi0000081")</f>
        <v>10.1037/pspi0000081</v>
      </c>
      <c r="B322" s="453" t="str">
        <f>IFERROR(__xludf.DUMMYFUNCTION("""COMPUTED_VALUE"""),"https://drive.google.com/file/d/1GTnjtSM79S6hEZLXrpWxGtZd34NCBmBN/view?usp=drivesdk")</f>
        <v>https://drive.google.com/file/d/1GTnjtSM79S6hEZLXrpWxGtZd34NCBmBN/view?usp=drivesdk</v>
      </c>
      <c r="C322" s="147" t="str">
        <f>IFERROR(__xludf.DUMMYFUNCTION("""COMPUTED_VALUE"""),"10.1037--pspi0000081.pdf")</f>
        <v>10.1037--pspi0000081.pdf</v>
      </c>
      <c r="D322" s="147" t="str">
        <f>IFERROR(__xludf.DUMMYFUNCTION("""COMPUTED_VALUE"""),"application/pdf")</f>
        <v>application/pdf</v>
      </c>
    </row>
    <row r="323">
      <c r="A323" s="147" t="str">
        <f>IFERROR(__xludf.DUMMYFUNCTION("""COMPUTED_VALUE"""),"10.1037/0022-3514.95.2.293 (1)")</f>
        <v>10.1037/0022-3514.95.2.293 (1)</v>
      </c>
      <c r="B323" s="453" t="str">
        <f>IFERROR(__xludf.DUMMYFUNCTION("""COMPUTED_VALUE"""),"https://drive.google.com/file/d/1liYat5J_yw4yTHidCRQkdAQyTzcftC6D/view?usp=drivesdk")</f>
        <v>https://drive.google.com/file/d/1liYat5J_yw4yTHidCRQkdAQyTzcftC6D/view?usp=drivesdk</v>
      </c>
      <c r="C323" s="147" t="str">
        <f>IFERROR(__xludf.DUMMYFUNCTION("""COMPUTED_VALUE"""),"10.1037--0022-3514.95.2.293 (1).pdf")</f>
        <v>10.1037--0022-3514.95.2.293 (1).pdf</v>
      </c>
      <c r="D323" s="147" t="str">
        <f>IFERROR(__xludf.DUMMYFUNCTION("""COMPUTED_VALUE"""),"application/pdf")</f>
        <v>application/pdf</v>
      </c>
    </row>
    <row r="324">
      <c r="A324" s="147" t="str">
        <f>IFERROR(__xludf.DUMMYFUNCTION("""COMPUTED_VALUE"""),"10.1016/j.jesp.2018.05.006")</f>
        <v>10.1016/j.jesp.2018.05.006</v>
      </c>
      <c r="B324" s="453" t="str">
        <f>IFERROR(__xludf.DUMMYFUNCTION("""COMPUTED_VALUE"""),"https://drive.google.com/file/d/1bbOr5sJJaSFgt-aKadq5yMvKA8ywD97U/view?usp=drivesdk")</f>
        <v>https://drive.google.com/file/d/1bbOr5sJJaSFgt-aKadq5yMvKA8ywD97U/view?usp=drivesdk</v>
      </c>
      <c r="C324" s="147" t="str">
        <f>IFERROR(__xludf.DUMMYFUNCTION("""COMPUTED_VALUE"""),"10.1016--j.jesp.2018.05.006.pdf")</f>
        <v>10.1016--j.jesp.2018.05.006.pdf</v>
      </c>
      <c r="D324" s="147" t="str">
        <f>IFERROR(__xludf.DUMMYFUNCTION("""COMPUTED_VALUE"""),"application/pdf")</f>
        <v>application/pdf</v>
      </c>
    </row>
    <row r="325">
      <c r="A325" s="147" t="str">
        <f>IFERROR(__xludf.DUMMYFUNCTION("""COMPUTED_VALUE"""),"10.1037/a0028216")</f>
        <v>10.1037/a0028216</v>
      </c>
      <c r="B325" s="453" t="str">
        <f>IFERROR(__xludf.DUMMYFUNCTION("""COMPUTED_VALUE"""),"https://drive.google.com/file/d/1IK98kxqzXUKr6oiSy5Yh1iZIS2v8ZtnC/view?usp=drivesdk")</f>
        <v>https://drive.google.com/file/d/1IK98kxqzXUKr6oiSy5Yh1iZIS2v8ZtnC/view?usp=drivesdk</v>
      </c>
      <c r="C325" s="147" t="str">
        <f>IFERROR(__xludf.DUMMYFUNCTION("""COMPUTED_VALUE"""),"10.1037--a0028216.pdf")</f>
        <v>10.1037--a0028216.pdf</v>
      </c>
      <c r="D325" s="147" t="str">
        <f>IFERROR(__xludf.DUMMYFUNCTION("""COMPUTED_VALUE"""),"application/pdf")</f>
        <v>application/pdf</v>
      </c>
    </row>
    <row r="326">
      <c r="A326" s="147" t="str">
        <f>IFERROR(__xludf.DUMMYFUNCTION("""COMPUTED_VALUE"""),"10.1016/j.neuropsychologia.2009.05.011")</f>
        <v>10.1016/j.neuropsychologia.2009.05.011</v>
      </c>
      <c r="B326" s="453" t="str">
        <f>IFERROR(__xludf.DUMMYFUNCTION("""COMPUTED_VALUE"""),"https://drive.google.com/file/d/1Wo_ZWAFaujgNZeZ0tdEdLIIUT-PUrDAy/view?usp=drivesdk")</f>
        <v>https://drive.google.com/file/d/1Wo_ZWAFaujgNZeZ0tdEdLIIUT-PUrDAy/view?usp=drivesdk</v>
      </c>
      <c r="C326" s="147" t="str">
        <f>IFERROR(__xludf.DUMMYFUNCTION("""COMPUTED_VALUE"""),"10.1016--j.neuropsychologia.2009.05.011.pdf")</f>
        <v>10.1016--j.neuropsychologia.2009.05.011.pdf</v>
      </c>
      <c r="D326" s="147" t="str">
        <f>IFERROR(__xludf.DUMMYFUNCTION("""COMPUTED_VALUE"""),"application/pdf")</f>
        <v>application/pdf</v>
      </c>
    </row>
    <row r="327">
      <c r="A327" s="147" t="str">
        <f>IFERROR(__xludf.DUMMYFUNCTION("""COMPUTED_VALUE"""),"10.3758/s13428-021-01694-3")</f>
        <v>10.3758/s13428-021-01694-3</v>
      </c>
      <c r="B327" s="453" t="str">
        <f>IFERROR(__xludf.DUMMYFUNCTION("""COMPUTED_VALUE"""),"https://drive.google.com/file/d/1pWRSPkrpkB4P8JrAypP4cdltGfovv0wT/view?usp=drivesdk")</f>
        <v>https://drive.google.com/file/d/1pWRSPkrpkB4P8JrAypP4cdltGfovv0wT/view?usp=drivesdk</v>
      </c>
      <c r="C327" s="147" t="str">
        <f>IFERROR(__xludf.DUMMYFUNCTION("""COMPUTED_VALUE"""),"10.3758--s13428-021-01694-3.pdf")</f>
        <v>10.3758--s13428-021-01694-3.pdf</v>
      </c>
      <c r="D327" s="147" t="str">
        <f>IFERROR(__xludf.DUMMYFUNCTION("""COMPUTED_VALUE"""),"application/pdf")</f>
        <v>application/pdf</v>
      </c>
    </row>
    <row r="328">
      <c r="A328" s="147" t="str">
        <f>IFERROR(__xludf.DUMMYFUNCTION("""COMPUTED_VALUE"""),"10.1162/jocn_a_00709")</f>
        <v>10.1162/jocn_a_00709</v>
      </c>
      <c r="B328" s="453" t="str">
        <f>IFERROR(__xludf.DUMMYFUNCTION("""COMPUTED_VALUE"""),"https://drive.google.com/file/d/1PBsIeDN2jr1Pq3CNrSLb1Xsyr21P2pXL/view?usp=drivesdk")</f>
        <v>https://drive.google.com/file/d/1PBsIeDN2jr1Pq3CNrSLb1Xsyr21P2pXL/view?usp=drivesdk</v>
      </c>
      <c r="C328" s="147" t="str">
        <f>IFERROR(__xludf.DUMMYFUNCTION("""COMPUTED_VALUE"""),"10.1162--jocn_a_00709.pdf")</f>
        <v>10.1162--jocn_a_00709.pdf</v>
      </c>
      <c r="D328" s="147" t="str">
        <f>IFERROR(__xludf.DUMMYFUNCTION("""COMPUTED_VALUE"""),"application/pdf")</f>
        <v>application/pdf</v>
      </c>
    </row>
    <row r="329">
      <c r="A329" s="147" t="str">
        <f>IFERROR(__xludf.DUMMYFUNCTION("""COMPUTED_VALUE"""),"10.1037/xge0000064")</f>
        <v>10.1037/xge0000064</v>
      </c>
      <c r="B329" s="453" t="str">
        <f>IFERROR(__xludf.DUMMYFUNCTION("""COMPUTED_VALUE"""),"https://drive.google.com/file/d/1tRDHk6OnUXVNfn6Ll53VYpaT5vuJ4llq/view?usp=drivesdk")</f>
        <v>https://drive.google.com/file/d/1tRDHk6OnUXVNfn6Ll53VYpaT5vuJ4llq/view?usp=drivesdk</v>
      </c>
      <c r="C329" s="147" t="str">
        <f>IFERROR(__xludf.DUMMYFUNCTION("""COMPUTED_VALUE"""),"10.1037--xge0000064.pdf")</f>
        <v>10.1037--xge0000064.pdf</v>
      </c>
      <c r="D329" s="147" t="str">
        <f>IFERROR(__xludf.DUMMYFUNCTION("""COMPUTED_VALUE"""),"application/pdf")</f>
        <v>application/pdf</v>
      </c>
    </row>
    <row r="330">
      <c r="A330" s="147" t="str">
        <f>IFERROR(__xludf.DUMMYFUNCTION("""COMPUTED_VALUE"""),"10.1037/xge0000263")</f>
        <v>10.1037/xge0000263</v>
      </c>
      <c r="B330" s="453" t="str">
        <f>IFERROR(__xludf.DUMMYFUNCTION("""COMPUTED_VALUE"""),"https://drive.google.com/file/d/1dqZfs8CV4bFuIXsJrOSHM-_BKTXKhfGR/view?usp=drivesdk")</f>
        <v>https://drive.google.com/file/d/1dqZfs8CV4bFuIXsJrOSHM-_BKTXKhfGR/view?usp=drivesdk</v>
      </c>
      <c r="C330" s="147" t="str">
        <f>IFERROR(__xludf.DUMMYFUNCTION("""COMPUTED_VALUE"""),"10.1037--xge0000263.pdf")</f>
        <v>10.1037--xge0000263.pdf</v>
      </c>
      <c r="D330" s="147" t="str">
        <f>IFERROR(__xludf.DUMMYFUNCTION("""COMPUTED_VALUE"""),"application/pdf")</f>
        <v>application/pdf</v>
      </c>
    </row>
    <row r="331">
      <c r="A331" s="147" t="str">
        <f>IFERROR(__xludf.DUMMYFUNCTION("""COMPUTED_VALUE"""),"10.1038/nature03390")</f>
        <v>10.1038/nature03390</v>
      </c>
      <c r="B331" s="453" t="str">
        <f>IFERROR(__xludf.DUMMYFUNCTION("""COMPUTED_VALUE"""),"https://drive.google.com/file/d/1SrRdwzLZMo2zK6deXcTRyDZ9oh1TesUR/view?usp=drivesdk")</f>
        <v>https://drive.google.com/file/d/1SrRdwzLZMo2zK6deXcTRyDZ9oh1TesUR/view?usp=drivesdk</v>
      </c>
      <c r="C331" s="147" t="str">
        <f>IFERROR(__xludf.DUMMYFUNCTION("""COMPUTED_VALUE"""),"10.1038--nature03390.pdf")</f>
        <v>10.1038--nature03390.pdf</v>
      </c>
      <c r="D331" s="147" t="str">
        <f>IFERROR(__xludf.DUMMYFUNCTION("""COMPUTED_VALUE"""),"application/pdf")</f>
        <v>application/pdf</v>
      </c>
    </row>
    <row r="332">
      <c r="A332" s="147" t="str">
        <f>IFERROR(__xludf.DUMMYFUNCTION("""COMPUTED_VALUE"""),"10.1037/0278-7393.34.1.146 (1)")</f>
        <v>10.1037/0278-7393.34.1.146 (1)</v>
      </c>
      <c r="B332" s="453" t="str">
        <f>IFERROR(__xludf.DUMMYFUNCTION("""COMPUTED_VALUE"""),"https://drive.google.com/file/d/1_jNr1q-vJc4TjV8gK7ip_XHRAMrGaQqA/view?usp=drivesdk")</f>
        <v>https://drive.google.com/file/d/1_jNr1q-vJc4TjV8gK7ip_XHRAMrGaQqA/view?usp=drivesdk</v>
      </c>
      <c r="C332" s="147" t="str">
        <f>IFERROR(__xludf.DUMMYFUNCTION("""COMPUTED_VALUE"""),"10.1037--0278-7393.34.1.146 (1).pdf")</f>
        <v>10.1037--0278-7393.34.1.146 (1).pdf</v>
      </c>
      <c r="D332" s="147" t="str">
        <f>IFERROR(__xludf.DUMMYFUNCTION("""COMPUTED_VALUE"""),"application/pdf")</f>
        <v>application/pdf</v>
      </c>
    </row>
    <row r="333">
      <c r="A333" s="147" t="str">
        <f>IFERROR(__xludf.DUMMYFUNCTION("""COMPUTED_VALUE"""),"10.1037/0022-3514.95.1.76 (1)")</f>
        <v>10.1037/0022-3514.95.1.76 (1)</v>
      </c>
      <c r="B333" s="453" t="str">
        <f>IFERROR(__xludf.DUMMYFUNCTION("""COMPUTED_VALUE"""),"https://drive.google.com/file/d/1cl2H57dfOOpFzEqSME3liLRb8RrZrEbY/view?usp=drivesdk")</f>
        <v>https://drive.google.com/file/d/1cl2H57dfOOpFzEqSME3liLRb8RrZrEbY/view?usp=drivesdk</v>
      </c>
      <c r="C333" s="147" t="str">
        <f>IFERROR(__xludf.DUMMYFUNCTION("""COMPUTED_VALUE"""),"10.1037--0022-3514.95.1.76 (1).pdf")</f>
        <v>10.1037--0022-3514.95.1.76 (1).pdf</v>
      </c>
      <c r="D333" s="147" t="str">
        <f>IFERROR(__xludf.DUMMYFUNCTION("""COMPUTED_VALUE"""),"application/pdf")</f>
        <v>application/pdf</v>
      </c>
    </row>
    <row r="334">
      <c r="A334" s="147" t="str">
        <f>IFERROR(__xludf.DUMMYFUNCTION("""COMPUTED_VALUE"""),"10.1037/a003210894")</f>
        <v>10.1037/a003210894</v>
      </c>
      <c r="B334" s="453" t="str">
        <f>IFERROR(__xludf.DUMMYFUNCTION("""COMPUTED_VALUE"""),"https://drive.google.com/file/d/1S_1bC54b_CF_KpBDtwLxeDYcQEWMTRW_/view?usp=drivesdk")</f>
        <v>https://drive.google.com/file/d/1S_1bC54b_CF_KpBDtwLxeDYcQEWMTRW_/view?usp=drivesdk</v>
      </c>
      <c r="C334" s="147" t="str">
        <f>IFERROR(__xludf.DUMMYFUNCTION("""COMPUTED_VALUE"""),"10.1037--a003210894.pdf")</f>
        <v>10.1037--a003210894.pdf</v>
      </c>
      <c r="D334" s="147" t="str">
        <f>IFERROR(__xludf.DUMMYFUNCTION("""COMPUTED_VALUE"""),"application/pdf")</f>
        <v>application/pdf</v>
      </c>
    </row>
    <row r="335">
      <c r="A335" s="147" t="str">
        <f>IFERROR(__xludf.DUMMYFUNCTION("""COMPUTED_VALUE"""),"10.1016/j.cognition.2017.06.025")</f>
        <v>10.1016/j.cognition.2017.06.025</v>
      </c>
      <c r="B335" s="453" t="str">
        <f>IFERROR(__xludf.DUMMYFUNCTION("""COMPUTED_VALUE"""),"https://drive.google.com/file/d/13eFbDRsrT4E_alMlB_gHi3f-ptev6t5p/view?usp=drivesdk")</f>
        <v>https://drive.google.com/file/d/13eFbDRsrT4E_alMlB_gHi3f-ptev6t5p/view?usp=drivesdk</v>
      </c>
      <c r="C335" s="147" t="str">
        <f>IFERROR(__xludf.DUMMYFUNCTION("""COMPUTED_VALUE"""),"10.1016--j.cognition.2017.06.025.pdf")</f>
        <v>10.1016--j.cognition.2017.06.025.pdf</v>
      </c>
      <c r="D335" s="147" t="str">
        <f>IFERROR(__xludf.DUMMYFUNCTION("""COMPUTED_VALUE"""),"application/pdf")</f>
        <v>application/pdf</v>
      </c>
    </row>
    <row r="336">
      <c r="A336" s="147" t="str">
        <f>IFERROR(__xludf.DUMMYFUNCTION("""COMPUTED_VALUE"""),"10.1037/a0016795")</f>
        <v>10.1037/a0016795</v>
      </c>
      <c r="B336" s="453" t="str">
        <f>IFERROR(__xludf.DUMMYFUNCTION("""COMPUTED_VALUE"""),"https://drive.google.com/file/d/10tpM-QAfI0H0NH6vAvH9VLJJki0FnCbu/view?usp=drivesdk")</f>
        <v>https://drive.google.com/file/d/10tpM-QAfI0H0NH6vAvH9VLJJki0FnCbu/view?usp=drivesdk</v>
      </c>
      <c r="C336" s="147" t="str">
        <f>IFERROR(__xludf.DUMMYFUNCTION("""COMPUTED_VALUE"""),"10.1037--a0016795.pdf")</f>
        <v>10.1037--a0016795.pdf</v>
      </c>
      <c r="D336" s="147" t="str">
        <f>IFERROR(__xludf.DUMMYFUNCTION("""COMPUTED_VALUE"""),"application/pdf")</f>
        <v>application/pdf</v>
      </c>
    </row>
    <row r="337">
      <c r="A337" s="147" t="str">
        <f>IFERROR(__xludf.DUMMYFUNCTION("""COMPUTED_VALUE"""),"10.1038/s41598-019-57204-1")</f>
        <v>10.1038/s41598-019-57204-1</v>
      </c>
      <c r="B337" s="453" t="str">
        <f>IFERROR(__xludf.DUMMYFUNCTION("""COMPUTED_VALUE"""),"https://drive.google.com/file/d/1-ByeeNB55CftwPMrOwFmhKHJtA2Cargu/view?usp=drivesdk")</f>
        <v>https://drive.google.com/file/d/1-ByeeNB55CftwPMrOwFmhKHJtA2Cargu/view?usp=drivesdk</v>
      </c>
      <c r="C337" s="147" t="str">
        <f>IFERROR(__xludf.DUMMYFUNCTION("""COMPUTED_VALUE"""),"10.1038--s41598-019-57204-1.pdf")</f>
        <v>10.1038--s41598-019-57204-1.pdf</v>
      </c>
      <c r="D337" s="147" t="str">
        <f>IFERROR(__xludf.DUMMYFUNCTION("""COMPUTED_VALUE"""),"application/pdf")</f>
        <v>application/pdf</v>
      </c>
    </row>
    <row r="338">
      <c r="A338" s="147" t="str">
        <f>IFERROR(__xludf.DUMMYFUNCTION("""COMPUTED_VALUE"""),"10.1037/0096-3445.132.1.3")</f>
        <v>10.1037/0096-3445.132.1.3</v>
      </c>
      <c r="B338" s="453" t="str">
        <f>IFERROR(__xludf.DUMMYFUNCTION("""COMPUTED_VALUE"""),"https://drive.google.com/file/d/1uSaalqURvSDrwFTwn8d56akyZ5pLqmJn/view?usp=drivesdk")</f>
        <v>https://drive.google.com/file/d/1uSaalqURvSDrwFTwn8d56akyZ5pLqmJn/view?usp=drivesdk</v>
      </c>
      <c r="C338" s="147" t="str">
        <f>IFERROR(__xludf.DUMMYFUNCTION("""COMPUTED_VALUE"""),"10.1037--0096-3445.132.1.3.pdf")</f>
        <v>10.1037--0096-3445.132.1.3.pdf</v>
      </c>
      <c r="D338" s="147" t="str">
        <f>IFERROR(__xludf.DUMMYFUNCTION("""COMPUTED_VALUE"""),"application/pdf")</f>
        <v>application/pdf</v>
      </c>
    </row>
    <row r="339">
      <c r="A339" s="147" t="str">
        <f>IFERROR(__xludf.DUMMYFUNCTION("""COMPUTED_VALUE"""),"10.1016/j.cognition.2019.104157")</f>
        <v>10.1016/j.cognition.2019.104157</v>
      </c>
      <c r="B339" s="453" t="str">
        <f>IFERROR(__xludf.DUMMYFUNCTION("""COMPUTED_VALUE"""),"https://drive.google.com/file/d/1vD03nf0a0BC3Ui7dZPBwsHBn8uBFVmTS/view?usp=drivesdk")</f>
        <v>https://drive.google.com/file/d/1vD03nf0a0BC3Ui7dZPBwsHBn8uBFVmTS/view?usp=drivesdk</v>
      </c>
      <c r="C339" s="147" t="str">
        <f>IFERROR(__xludf.DUMMYFUNCTION("""COMPUTED_VALUE"""),"10.1016--j.cognition.2019.104157.pdf")</f>
        <v>10.1016--j.cognition.2019.104157.pdf</v>
      </c>
      <c r="D339" s="147" t="str">
        <f>IFERROR(__xludf.DUMMYFUNCTION("""COMPUTED_VALUE"""),"application/pdf")</f>
        <v>application/pdf</v>
      </c>
    </row>
    <row r="340">
      <c r="A340" s="147" t="str">
        <f>IFERROR(__xludf.DUMMYFUNCTION("""COMPUTED_VALUE"""),"10.1037/a0020413")</f>
        <v>10.1037/a0020413</v>
      </c>
      <c r="B340" s="453" t="str">
        <f>IFERROR(__xludf.DUMMYFUNCTION("""COMPUTED_VALUE"""),"https://drive.google.com/file/d/1s3htODPJ-fx2SsrGMPuuPnrS-QkOjVmW/view?usp=drivesdk")</f>
        <v>https://drive.google.com/file/d/1s3htODPJ-fx2SsrGMPuuPnrS-QkOjVmW/view?usp=drivesdk</v>
      </c>
      <c r="C340" s="147" t="str">
        <f>IFERROR(__xludf.DUMMYFUNCTION("""COMPUTED_VALUE"""),"10.1037--a0020413.pdf")</f>
        <v>10.1037--a0020413.pdf</v>
      </c>
      <c r="D340" s="147" t="str">
        <f>IFERROR(__xludf.DUMMYFUNCTION("""COMPUTED_VALUE"""),"application/pdf")</f>
        <v>application/pdf</v>
      </c>
    </row>
    <row r="341">
      <c r="A341" s="147" t="str">
        <f>IFERROR(__xludf.DUMMYFUNCTION("""COMPUTED_VALUE"""),"10.1037/0022-3514.77.4.785")</f>
        <v>10.1037/0022-3514.77.4.785</v>
      </c>
      <c r="B341" s="453" t="str">
        <f>IFERROR(__xludf.DUMMYFUNCTION("""COMPUTED_VALUE"""),"https://drive.google.com/file/d/19BYjzsMkYCiipD-HEqq4sHumZDCTO5SQ/view?usp=drivesdk")</f>
        <v>https://drive.google.com/file/d/19BYjzsMkYCiipD-HEqq4sHumZDCTO5SQ/view?usp=drivesdk</v>
      </c>
      <c r="C341" s="147" t="str">
        <f>IFERROR(__xludf.DUMMYFUNCTION("""COMPUTED_VALUE"""),"10.1037--0022-3514.77.4.785.pdf")</f>
        <v>10.1037--0022-3514.77.4.785.pdf</v>
      </c>
      <c r="D341" s="147" t="str">
        <f>IFERROR(__xludf.DUMMYFUNCTION("""COMPUTED_VALUE"""),"application/pdf")</f>
        <v>application/pdf</v>
      </c>
    </row>
    <row r="342">
      <c r="A342" s="147" t="str">
        <f>IFERROR(__xludf.DUMMYFUNCTION("""COMPUTED_VALUE"""),"10.1287/orsc.2021.1456")</f>
        <v>10.1287/orsc.2021.1456</v>
      </c>
      <c r="B342" s="453" t="str">
        <f>IFERROR(__xludf.DUMMYFUNCTION("""COMPUTED_VALUE"""),"https://drive.google.com/file/d/1AFvmNMhSk-QV-2cVhQI1IIbAhqjPhXWN/view?usp=drivesdk")</f>
        <v>https://drive.google.com/file/d/1AFvmNMhSk-QV-2cVhQI1IIbAhqjPhXWN/view?usp=drivesdk</v>
      </c>
      <c r="C342" s="147" t="str">
        <f>IFERROR(__xludf.DUMMYFUNCTION("""COMPUTED_VALUE"""),"10.1287--orsc.2021.1456.pdf")</f>
        <v>10.1287--orsc.2021.1456.pdf</v>
      </c>
      <c r="D342" s="147" t="str">
        <f>IFERROR(__xludf.DUMMYFUNCTION("""COMPUTED_VALUE"""),"application/pdf")</f>
        <v>application/pdf</v>
      </c>
    </row>
    <row r="343">
      <c r="A343" s="147" t="str">
        <f>IFERROR(__xludf.DUMMYFUNCTION("""COMPUTED_VALUE"""),"10.1016/j.jml.2006.02.004")</f>
        <v>10.1016/j.jml.2006.02.004</v>
      </c>
      <c r="B343" s="453" t="str">
        <f>IFERROR(__xludf.DUMMYFUNCTION("""COMPUTED_VALUE"""),"https://drive.google.com/file/d/1e5Wm6ChazDKUJftaKFfLoaBKNbaofYfP/view?usp=drivesdk")</f>
        <v>https://drive.google.com/file/d/1e5Wm6ChazDKUJftaKFfLoaBKNbaofYfP/view?usp=drivesdk</v>
      </c>
      <c r="C343" s="147" t="str">
        <f>IFERROR(__xludf.DUMMYFUNCTION("""COMPUTED_VALUE"""),"10.1016--j.jml.2006.02.004.pdf")</f>
        <v>10.1016--j.jml.2006.02.004.pdf</v>
      </c>
      <c r="D343" s="147" t="str">
        <f>IFERROR(__xludf.DUMMYFUNCTION("""COMPUTED_VALUE"""),"application/pdf")</f>
        <v>application/pdf</v>
      </c>
    </row>
    <row r="344">
      <c r="A344" s="147" t="str">
        <f>IFERROR(__xludf.DUMMYFUNCTION("""COMPUTED_VALUE"""),"10.1037/xge0001195")</f>
        <v>10.1037/xge0001195</v>
      </c>
      <c r="B344" s="453" t="str">
        <f>IFERROR(__xludf.DUMMYFUNCTION("""COMPUTED_VALUE"""),"https://drive.google.com/file/d/1v6kgKeSqXz-kIHf5HXexB2cCnGBup8pu/view?usp=drivesdk")</f>
        <v>https://drive.google.com/file/d/1v6kgKeSqXz-kIHf5HXexB2cCnGBup8pu/view?usp=drivesdk</v>
      </c>
      <c r="C344" s="147" t="str">
        <f>IFERROR(__xludf.DUMMYFUNCTION("""COMPUTED_VALUE"""),"10.1037--xge0001195.pdf")</f>
        <v>10.1037--xge0001195.pdf</v>
      </c>
      <c r="D344" s="147" t="str">
        <f>IFERROR(__xludf.DUMMYFUNCTION("""COMPUTED_VALUE"""),"application/pdf")</f>
        <v>application/pdf</v>
      </c>
    </row>
    <row r="345">
      <c r="A345" s="147" t="str">
        <f>IFERROR(__xludf.DUMMYFUNCTION("""COMPUTED_VALUE"""),"10.1111/ecin.12470")</f>
        <v>10.1111/ecin.12470</v>
      </c>
      <c r="B345" s="453" t="str">
        <f>IFERROR(__xludf.DUMMYFUNCTION("""COMPUTED_VALUE"""),"https://drive.google.com/file/d/1_3kOREsSMo-zmS04srVes69SaYsErPmR/view?usp=drivesdk")</f>
        <v>https://drive.google.com/file/d/1_3kOREsSMo-zmS04srVes69SaYsErPmR/view?usp=drivesdk</v>
      </c>
      <c r="C345" s="147" t="str">
        <f>IFERROR(__xludf.DUMMYFUNCTION("""COMPUTED_VALUE"""),"10.1111--ecin.12470.pdf")</f>
        <v>10.1111--ecin.12470.pdf</v>
      </c>
      <c r="D345" s="147" t="str">
        <f>IFERROR(__xludf.DUMMYFUNCTION("""COMPUTED_VALUE"""),"application/pdf")</f>
        <v>application/pdf</v>
      </c>
    </row>
    <row r="346">
      <c r="A346" s="147" t="str">
        <f>IFERROR(__xludf.DUMMYFUNCTION("""COMPUTED_VALUE"""),"10.1016/j.cognition.2016.06.011")</f>
        <v>10.1016/j.cognition.2016.06.011</v>
      </c>
      <c r="B346" s="453" t="str">
        <f>IFERROR(__xludf.DUMMYFUNCTION("""COMPUTED_VALUE"""),"https://drive.google.com/file/d/117IKlIHBXRWO7KM1helymQPvsGoEIXdX/view?usp=drivesdk")</f>
        <v>https://drive.google.com/file/d/117IKlIHBXRWO7KM1helymQPvsGoEIXdX/view?usp=drivesdk</v>
      </c>
      <c r="C346" s="147" t="str">
        <f>IFERROR(__xludf.DUMMYFUNCTION("""COMPUTED_VALUE"""),"10.1016--j.cognition.2016.06.011.pdf")</f>
        <v>10.1016--j.cognition.2016.06.011.pdf</v>
      </c>
      <c r="D346" s="147" t="str">
        <f>IFERROR(__xludf.DUMMYFUNCTION("""COMPUTED_VALUE"""),"application/pdf")</f>
        <v>application/pdf</v>
      </c>
    </row>
    <row r="347">
      <c r="A347" s="147" t="str">
        <f>IFERROR(__xludf.DUMMYFUNCTION("""COMPUTED_VALUE"""),"10.1016/j.jesp.2020.104080")</f>
        <v>10.1016/j.jesp.2020.104080</v>
      </c>
      <c r="B347" s="453" t="str">
        <f>IFERROR(__xludf.DUMMYFUNCTION("""COMPUTED_VALUE"""),"https://drive.google.com/file/d/18nULESXZN8TdVjSkyh5ultgqH2EvBSm0/view?usp=drivesdk")</f>
        <v>https://drive.google.com/file/d/18nULESXZN8TdVjSkyh5ultgqH2EvBSm0/view?usp=drivesdk</v>
      </c>
      <c r="C347" s="147" t="str">
        <f>IFERROR(__xludf.DUMMYFUNCTION("""COMPUTED_VALUE"""),"10.1016--j.jesp.2020.104080.pdf")</f>
        <v>10.1016--j.jesp.2020.104080.pdf</v>
      </c>
      <c r="D347" s="147" t="str">
        <f>IFERROR(__xludf.DUMMYFUNCTION("""COMPUTED_VALUE"""),"application/pdf")</f>
        <v>application/pdf</v>
      </c>
    </row>
    <row r="348">
      <c r="A348" s="147" t="str">
        <f>IFERROR(__xludf.DUMMYFUNCTION("""COMPUTED_VALUE"""),"10.1037/0022-3514.94.3.396 (1)")</f>
        <v>10.1037/0022-3514.94.3.396 (1)</v>
      </c>
      <c r="B348" s="453" t="str">
        <f>IFERROR(__xludf.DUMMYFUNCTION("""COMPUTED_VALUE"""),"https://drive.google.com/file/d/1mWjj8mxrG8UD8YXr2nZ-cGzIZBtUwLal/view?usp=drivesdk")</f>
        <v>https://drive.google.com/file/d/1mWjj8mxrG8UD8YXr2nZ-cGzIZBtUwLal/view?usp=drivesdk</v>
      </c>
      <c r="C348" s="147" t="str">
        <f>IFERROR(__xludf.DUMMYFUNCTION("""COMPUTED_VALUE"""),"10.1037--0022-3514.94.3.396 (1).pdf")</f>
        <v>10.1037--0022-3514.94.3.396 (1).pdf</v>
      </c>
      <c r="D348" s="147" t="str">
        <f>IFERROR(__xludf.DUMMYFUNCTION("""COMPUTED_VALUE"""),"application/pdf")</f>
        <v>application/pdf</v>
      </c>
    </row>
    <row r="349">
      <c r="A349" s="147" t="str">
        <f>IFERROR(__xludf.DUMMYFUNCTION("""COMPUTED_VALUE"""),"10.1038/s41598-018-30314-y")</f>
        <v>10.1038/s41598-018-30314-y</v>
      </c>
      <c r="B349" s="453" t="str">
        <f>IFERROR(__xludf.DUMMYFUNCTION("""COMPUTED_VALUE"""),"https://drive.google.com/file/d/1RLxYB-xp9gCuylzG8fMEpa5rGt6OdoMh/view?usp=drivesdk")</f>
        <v>https://drive.google.com/file/d/1RLxYB-xp9gCuylzG8fMEpa5rGt6OdoMh/view?usp=drivesdk</v>
      </c>
      <c r="C349" s="147" t="str">
        <f>IFERROR(__xludf.DUMMYFUNCTION("""COMPUTED_VALUE"""),"10.1038--s41598-018-30314-y.pdf")</f>
        <v>10.1038--s41598-018-30314-y.pdf</v>
      </c>
      <c r="D349" s="147" t="str">
        <f>IFERROR(__xludf.DUMMYFUNCTION("""COMPUTED_VALUE"""),"application/pdf")</f>
        <v>application/pdf</v>
      </c>
    </row>
    <row r="350">
      <c r="A350" s="147" t="str">
        <f>IFERROR(__xludf.DUMMYFUNCTION("""COMPUTED_VALUE"""),"10.1177/0956797616639727")</f>
        <v>10.1177/0956797616639727</v>
      </c>
      <c r="B350" s="453" t="str">
        <f>IFERROR(__xludf.DUMMYFUNCTION("""COMPUTED_VALUE"""),"https://drive.google.com/file/d/1_UEC3DvYLPby3ewaxAHguC5Mm0ainire/view?usp=drivesdk")</f>
        <v>https://drive.google.com/file/d/1_UEC3DvYLPby3ewaxAHguC5Mm0ainire/view?usp=drivesdk</v>
      </c>
      <c r="C350" s="147" t="str">
        <f>IFERROR(__xludf.DUMMYFUNCTION("""COMPUTED_VALUE"""),"10.1177--0956797616639727.pdf")</f>
        <v>10.1177--0956797616639727.pdf</v>
      </c>
      <c r="D350" s="147" t="str">
        <f>IFERROR(__xludf.DUMMYFUNCTION("""COMPUTED_VALUE"""),"application/pdf")</f>
        <v>application/pdf</v>
      </c>
    </row>
    <row r="351">
      <c r="A351" s="147" t="str">
        <f>IFERROR(__xludf.DUMMYFUNCTION("""COMPUTED_VALUE"""),"10.1111/j.1467-9280.2006.01780.x")</f>
        <v>10.1111/j.1467-9280.2006.01780.x</v>
      </c>
      <c r="B351" s="453" t="str">
        <f>IFERROR(__xludf.DUMMYFUNCTION("""COMPUTED_VALUE"""),"https://drive.google.com/file/d/1OF9OzNZ0RezTr91hWpWHMHWrXH9SCFAS/view?usp=drivesdk")</f>
        <v>https://drive.google.com/file/d/1OF9OzNZ0RezTr91hWpWHMHWrXH9SCFAS/view?usp=drivesdk</v>
      </c>
      <c r="C351" s="147" t="str">
        <f>IFERROR(__xludf.DUMMYFUNCTION("""COMPUTED_VALUE"""),"10.1111--j.1467-9280.2006.01780.x.pdf")</f>
        <v>10.1111--j.1467-9280.2006.01780.x.pdf</v>
      </c>
      <c r="D351" s="147" t="str">
        <f>IFERROR(__xludf.DUMMYFUNCTION("""COMPUTED_VALUE"""),"application/pdf")</f>
        <v>application/pdf</v>
      </c>
    </row>
    <row r="352">
      <c r="A352" s="147" t="str">
        <f>IFERROR(__xludf.DUMMYFUNCTION("""COMPUTED_VALUE"""),"10.1016/j.cognition.2007.11.004 (1)")</f>
        <v>10.1016/j.cognition.2007.11.004 (1)</v>
      </c>
      <c r="B352" s="453" t="str">
        <f>IFERROR(__xludf.DUMMYFUNCTION("""COMPUTED_VALUE"""),"https://drive.google.com/file/d/1PBwDmwqcYcLTkNyF1ED4xCFTmb4mHrLr/view?usp=drivesdk")</f>
        <v>https://drive.google.com/file/d/1PBwDmwqcYcLTkNyF1ED4xCFTmb4mHrLr/view?usp=drivesdk</v>
      </c>
      <c r="C352" s="147" t="str">
        <f>IFERROR(__xludf.DUMMYFUNCTION("""COMPUTED_VALUE"""),"10.1016--j.cognition.2007.11.004 (1).pdf")</f>
        <v>10.1016--j.cognition.2007.11.004 (1).pdf</v>
      </c>
      <c r="D352" s="147" t="str">
        <f>IFERROR(__xludf.DUMMYFUNCTION("""COMPUTED_VALUE"""),"application/pdf")</f>
        <v>application/pdf</v>
      </c>
    </row>
    <row r="353">
      <c r="A353" s="147" t="str">
        <f>IFERROR(__xludf.DUMMYFUNCTION("""COMPUTED_VALUE"""),"10.1037/a0031047")</f>
        <v>10.1037/a0031047</v>
      </c>
      <c r="B353" s="453" t="str">
        <f>IFERROR(__xludf.DUMMYFUNCTION("""COMPUTED_VALUE"""),"https://drive.google.com/file/d/1zdQKRoaKTgqYFpQsFj5QvQQ6FD0ed3fh/view?usp=drivesdk")</f>
        <v>https://drive.google.com/file/d/1zdQKRoaKTgqYFpQsFj5QvQQ6FD0ed3fh/view?usp=drivesdk</v>
      </c>
      <c r="C353" s="147" t="str">
        <f>IFERROR(__xludf.DUMMYFUNCTION("""COMPUTED_VALUE"""),"10.1037--a0031047.pdf")</f>
        <v>10.1037--a0031047.pdf</v>
      </c>
      <c r="D353" s="147" t="str">
        <f>IFERROR(__xludf.DUMMYFUNCTION("""COMPUTED_VALUE"""),"application/pdf")</f>
        <v>application/pdf</v>
      </c>
    </row>
    <row r="354">
      <c r="A354" s="147" t="str">
        <f>IFERROR(__xludf.DUMMYFUNCTION("""COMPUTED_VALUE"""),"10.1093/geronb/gbx099")</f>
        <v>10.1093/geronb/gbx099</v>
      </c>
      <c r="B354" s="453" t="str">
        <f>IFERROR(__xludf.DUMMYFUNCTION("""COMPUTED_VALUE"""),"https://drive.google.com/file/d/1Y64s8GHxNrRvDcvruC4sJnxL8xzdZcO-/view?usp=drivesdk")</f>
        <v>https://drive.google.com/file/d/1Y64s8GHxNrRvDcvruC4sJnxL8xzdZcO-/view?usp=drivesdk</v>
      </c>
      <c r="C354" s="147" t="str">
        <f>IFERROR(__xludf.DUMMYFUNCTION("""COMPUTED_VALUE"""),"10.1093--geronb--gbx099.pdf")</f>
        <v>10.1093--geronb--gbx099.pdf</v>
      </c>
      <c r="D354" s="147" t="str">
        <f>IFERROR(__xludf.DUMMYFUNCTION("""COMPUTED_VALUE"""),"application/pdf")</f>
        <v>application/pdf</v>
      </c>
    </row>
    <row r="355">
      <c r="A355" s="147" t="str">
        <f>IFERROR(__xludf.DUMMYFUNCTION("""COMPUTED_VALUE"""),"10.1037/a0035663")</f>
        <v>10.1037/a0035663</v>
      </c>
      <c r="B355" s="453" t="str">
        <f>IFERROR(__xludf.DUMMYFUNCTION("""COMPUTED_VALUE"""),"https://drive.google.com/file/d/1CjT1O6wWYuXyGwX2IDXgjfNdv5kWTW3m/view?usp=drivesdk")</f>
        <v>https://drive.google.com/file/d/1CjT1O6wWYuXyGwX2IDXgjfNdv5kWTW3m/view?usp=drivesdk</v>
      </c>
      <c r="C355" s="147" t="str">
        <f>IFERROR(__xludf.DUMMYFUNCTION("""COMPUTED_VALUE"""),"10.1037--a0035663.pdf")</f>
        <v>10.1037--a0035663.pdf</v>
      </c>
      <c r="D355" s="147" t="str">
        <f>IFERROR(__xludf.DUMMYFUNCTION("""COMPUTED_VALUE"""),"application/pdf")</f>
        <v>application/pdf</v>
      </c>
    </row>
    <row r="356">
      <c r="A356" s="147" t="str">
        <f>IFERROR(__xludf.DUMMYFUNCTION("""COMPUTED_VALUE"""),"10.1016/0010-0285(83)90002-6")</f>
        <v>10.1016/0010-0285(83)90002-6</v>
      </c>
      <c r="B356" s="453" t="str">
        <f>IFERROR(__xludf.DUMMYFUNCTION("""COMPUTED_VALUE"""),"https://drive.google.com/file/d/1VK50exEXQ_rClong6zFoFteT2CKKkjmO/view?usp=drivesdk")</f>
        <v>https://drive.google.com/file/d/1VK50exEXQ_rClong6zFoFteT2CKKkjmO/view?usp=drivesdk</v>
      </c>
      <c r="C356" s="147" t="str">
        <f>IFERROR(__xludf.DUMMYFUNCTION("""COMPUTED_VALUE"""),"10.1016--0010-0285(83)90002-6.pdf")</f>
        <v>10.1016--0010-0285(83)90002-6.pdf</v>
      </c>
      <c r="D356" s="147" t="str">
        <f>IFERROR(__xludf.DUMMYFUNCTION("""COMPUTED_VALUE"""),"application/pdf")</f>
        <v>application/pdf</v>
      </c>
    </row>
    <row r="357">
      <c r="A357" s="147" t="str">
        <f>IFERROR(__xludf.DUMMYFUNCTION("""COMPUTED_VALUE"""),"10.1016/j.jesp.2020.104019")</f>
        <v>10.1016/j.jesp.2020.104019</v>
      </c>
      <c r="B357" s="453" t="str">
        <f>IFERROR(__xludf.DUMMYFUNCTION("""COMPUTED_VALUE"""),"https://drive.google.com/file/d/1HOPgbT8B7cSul5cTHeEI8GnCvj5F-kiw/view?usp=drivesdk")</f>
        <v>https://drive.google.com/file/d/1HOPgbT8B7cSul5cTHeEI8GnCvj5F-kiw/view?usp=drivesdk</v>
      </c>
      <c r="C357" s="147" t="str">
        <f>IFERROR(__xludf.DUMMYFUNCTION("""COMPUTED_VALUE"""),"10.1016--j.jesp.2020.104019.pdf")</f>
        <v>10.1016--j.jesp.2020.104019.pdf</v>
      </c>
      <c r="D357" s="147" t="str">
        <f>IFERROR(__xludf.DUMMYFUNCTION("""COMPUTED_VALUE"""),"application/pdf")</f>
        <v>application/pdf</v>
      </c>
    </row>
    <row r="358">
      <c r="A358" s="147" t="str">
        <f>IFERROR(__xludf.DUMMYFUNCTION("""COMPUTED_VALUE"""),"10.1038/nn.2889")</f>
        <v>10.1038/nn.2889</v>
      </c>
      <c r="B358" s="453" t="str">
        <f>IFERROR(__xludf.DUMMYFUNCTION("""COMPUTED_VALUE"""),"https://drive.google.com/file/d/1MkAewK7ChXvXFt_yHeQBeosTp7ozsocw/view?usp=drivesdk")</f>
        <v>https://drive.google.com/file/d/1MkAewK7ChXvXFt_yHeQBeosTp7ozsocw/view?usp=drivesdk</v>
      </c>
      <c r="C358" s="147" t="str">
        <f>IFERROR(__xludf.DUMMYFUNCTION("""COMPUTED_VALUE"""),"10.1038--nn.2889.pdf")</f>
        <v>10.1038--nn.2889.pdf</v>
      </c>
      <c r="D358" s="147" t="str">
        <f>IFERROR(__xludf.DUMMYFUNCTION("""COMPUTED_VALUE"""),"application/pdf")</f>
        <v>application/pdf</v>
      </c>
    </row>
    <row r="359">
      <c r="A359" s="147" t="str">
        <f>IFERROR(__xludf.DUMMYFUNCTION("""COMPUTED_VALUE"""),"10.1371/journal.pone.0154854")</f>
        <v>10.1371/journal.pone.0154854</v>
      </c>
      <c r="B359" s="453" t="str">
        <f>IFERROR(__xludf.DUMMYFUNCTION("""COMPUTED_VALUE"""),"https://drive.google.com/file/d/1-nd1hGa7j_Vwr7C63vLyw8Doq1Jw9jdo/view?usp=drivesdk")</f>
        <v>https://drive.google.com/file/d/1-nd1hGa7j_Vwr7C63vLyw8Doq1Jw9jdo/view?usp=drivesdk</v>
      </c>
      <c r="C359" s="147" t="str">
        <f>IFERROR(__xludf.DUMMYFUNCTION("""COMPUTED_VALUE"""),"10.1371--journal.pone.0154854.pdf")</f>
        <v>10.1371--journal.pone.0154854.pdf</v>
      </c>
      <c r="D359" s="147" t="str">
        <f>IFERROR(__xludf.DUMMYFUNCTION("""COMPUTED_VALUE"""),"application/pdf")</f>
        <v>application/pdf</v>
      </c>
    </row>
    <row r="360">
      <c r="A360" s="147" t="str">
        <f>IFERROR(__xludf.DUMMYFUNCTION("""COMPUTED_VALUE"""),"10.1371/journal.pone.0071475")</f>
        <v>10.1371/journal.pone.0071475</v>
      </c>
      <c r="B360" s="453" t="str">
        <f>IFERROR(__xludf.DUMMYFUNCTION("""COMPUTED_VALUE"""),"https://drive.google.com/file/d/10y7q496AX6_0sM8VYpwXFE_CfW3qWVER/view?usp=drivesdk")</f>
        <v>https://drive.google.com/file/d/10y7q496AX6_0sM8VYpwXFE_CfW3qWVER/view?usp=drivesdk</v>
      </c>
      <c r="C360" s="147" t="str">
        <f>IFERROR(__xludf.DUMMYFUNCTION("""COMPUTED_VALUE"""),"10.1371--journal.pone.0071475.pdf")</f>
        <v>10.1371--journal.pone.0071475.pdf</v>
      </c>
      <c r="D360" s="147" t="str">
        <f>IFERROR(__xludf.DUMMYFUNCTION("""COMPUTED_VALUE"""),"application/pdf")</f>
        <v>application/pdf</v>
      </c>
    </row>
    <row r="361">
      <c r="A361" s="147" t="str">
        <f>IFERROR(__xludf.DUMMYFUNCTION("""COMPUTED_VALUE"""),"10.1037/0022-3514.94.2.94.2.231 (1)")</f>
        <v>10.1037/0022-3514.94.2.94.2.231 (1)</v>
      </c>
      <c r="B361" s="453" t="str">
        <f>IFERROR(__xludf.DUMMYFUNCTION("""COMPUTED_VALUE"""),"https://drive.google.com/file/d/1WGpgshHGpD4awyCYpmOwaF0Lo9g6Tii3/view?usp=drivesdk")</f>
        <v>https://drive.google.com/file/d/1WGpgshHGpD4awyCYpmOwaF0Lo9g6Tii3/view?usp=drivesdk</v>
      </c>
      <c r="C361" s="147" t="str">
        <f>IFERROR(__xludf.DUMMYFUNCTION("""COMPUTED_VALUE"""),"10.1037--0022-3514.94.2.94.2.231 (1).pdf")</f>
        <v>10.1037--0022-3514.94.2.94.2.231 (1).pdf</v>
      </c>
      <c r="D361" s="147" t="str">
        <f>IFERROR(__xludf.DUMMYFUNCTION("""COMPUTED_VALUE"""),"application/pdf")</f>
        <v>application/pdf</v>
      </c>
    </row>
    <row r="362">
      <c r="A362" s="147" t="str">
        <f>IFERROR(__xludf.DUMMYFUNCTION("""COMPUTED_VALUE"""),"10.1037/0022-3514.94.3.495 (1)")</f>
        <v>10.1037/0022-3514.94.3.495 (1)</v>
      </c>
      <c r="B362" s="453" t="str">
        <f>IFERROR(__xludf.DUMMYFUNCTION("""COMPUTED_VALUE"""),"https://drive.google.com/file/d/1uk4nyW4cAjESveKk9dlxcAUonbl9IHNU/view?usp=drivesdk")</f>
        <v>https://drive.google.com/file/d/1uk4nyW4cAjESveKk9dlxcAUonbl9IHNU/view?usp=drivesdk</v>
      </c>
      <c r="C362" s="147" t="str">
        <f>IFERROR(__xludf.DUMMYFUNCTION("""COMPUTED_VALUE"""),"10.1037--0022-3514.94.3.495 (1).pdf")</f>
        <v>10.1037--0022-3514.94.3.495 (1).pdf</v>
      </c>
      <c r="D362" s="147" t="str">
        <f>IFERROR(__xludf.DUMMYFUNCTION("""COMPUTED_VALUE"""),"application/pdf")</f>
        <v>application/pdf</v>
      </c>
    </row>
    <row r="363">
      <c r="A363" s="147" t="str">
        <f>IFERROR(__xludf.DUMMYFUNCTION("""COMPUTED_VALUE"""),"10.1037/rev0000175")</f>
        <v>10.1037/rev0000175</v>
      </c>
      <c r="B363" s="453" t="str">
        <f>IFERROR(__xludf.DUMMYFUNCTION("""COMPUTED_VALUE"""),"https://drive.google.com/file/d/1nonM8jExC1mVvcGqlH7dSp0-DAzLBLtm/view?usp=drivesdk")</f>
        <v>https://drive.google.com/file/d/1nonM8jExC1mVvcGqlH7dSp0-DAzLBLtm/view?usp=drivesdk</v>
      </c>
      <c r="C363" s="147" t="str">
        <f>IFERROR(__xludf.DUMMYFUNCTION("""COMPUTED_VALUE"""),"10.1037--rev0000175.pdf")</f>
        <v>10.1037--rev0000175.pdf</v>
      </c>
      <c r="D363" s="147" t="str">
        <f>IFERROR(__xludf.DUMMYFUNCTION("""COMPUTED_VALUE"""),"application/pdf")</f>
        <v>application/pdf</v>
      </c>
    </row>
    <row r="364">
      <c r="A364" s="147" t="str">
        <f>IFERROR(__xludf.DUMMYFUNCTION("""COMPUTED_VALUE"""),"djärv_2018")</f>
        <v>djärv_2018</v>
      </c>
      <c r="B364" s="453" t="str">
        <f>IFERROR(__xludf.DUMMYFUNCTION("""COMPUTED_VALUE"""),"https://drive.google.com/file/d/1G_aU3PGCjrrMgJwOfzq2w1nbmT82GsuJ/view?usp=drivesdk")</f>
        <v>https://drive.google.com/file/d/1G_aU3PGCjrrMgJwOfzq2w1nbmT82GsuJ/view?usp=drivesdk</v>
      </c>
      <c r="C364" s="147" t="str">
        <f>IFERROR(__xludf.DUMMYFUNCTION("""COMPUTED_VALUE"""),"Djärv_2018.pdf")</f>
        <v>Djärv_2018.pdf</v>
      </c>
      <c r="D364" s="147" t="str">
        <f>IFERROR(__xludf.DUMMYFUNCTION("""COMPUTED_VALUE"""),"application/pdf")</f>
        <v>application/pdf</v>
      </c>
    </row>
    <row r="365">
      <c r="A365" s="147" t="str">
        <f>IFERROR(__xludf.DUMMYFUNCTION("""COMPUTED_VALUE"""),"10.1016/j.neuroimage.2009.09.024")</f>
        <v>10.1016/j.neuroimage.2009.09.024</v>
      </c>
      <c r="B365" s="453" t="str">
        <f>IFERROR(__xludf.DUMMYFUNCTION("""COMPUTED_VALUE"""),"https://drive.google.com/file/d/1X_Hzp8yt2P-QO2WO8iH4EPgoVRh7R4xM/view?usp=drivesdk")</f>
        <v>https://drive.google.com/file/d/1X_Hzp8yt2P-QO2WO8iH4EPgoVRh7R4xM/view?usp=drivesdk</v>
      </c>
      <c r="C365" s="147" t="str">
        <f>IFERROR(__xludf.DUMMYFUNCTION("""COMPUTED_VALUE"""),"10.1016--j.neuroimage.2009.09.024.pdf")</f>
        <v>10.1016--j.neuroimage.2009.09.024.pdf</v>
      </c>
      <c r="D365" s="147" t="str">
        <f>IFERROR(__xludf.DUMMYFUNCTION("""COMPUTED_VALUE"""),"application/pdf")</f>
        <v>application/pdf</v>
      </c>
    </row>
    <row r="366">
      <c r="A366" s="147" t="str">
        <f>IFERROR(__xludf.DUMMYFUNCTION("""COMPUTED_VALUE"""),"10.1016/j.neuron.2011.02.027")</f>
        <v>10.1016/j.neuron.2011.02.027</v>
      </c>
      <c r="B366" s="453" t="str">
        <f>IFERROR(__xludf.DUMMYFUNCTION("""COMPUTED_VALUE"""),"https://drive.google.com/file/d/1VgMcBc_Zck2mNomOuS1CZVLBzdiV_nWC/view?usp=drivesdk")</f>
        <v>https://drive.google.com/file/d/1VgMcBc_Zck2mNomOuS1CZVLBzdiV_nWC/view?usp=drivesdk</v>
      </c>
      <c r="C366" s="147" t="str">
        <f>IFERROR(__xludf.DUMMYFUNCTION("""COMPUTED_VALUE"""),"10.1016--j.neuron.2011.02.027.pdf")</f>
        <v>10.1016--j.neuron.2011.02.027.pdf</v>
      </c>
      <c r="D366" s="147" t="str">
        <f>IFERROR(__xludf.DUMMYFUNCTION("""COMPUTED_VALUE"""),"application/pdf")</f>
        <v>application/pdf</v>
      </c>
    </row>
    <row r="367">
      <c r="A367" s="147" t="str">
        <f>IFERROR(__xludf.DUMMYFUNCTION("""COMPUTED_VALUE"""),"10.1086/511799")</f>
        <v>10.1086/511799</v>
      </c>
      <c r="B367" s="453" t="str">
        <f>IFERROR(__xludf.DUMMYFUNCTION("""COMPUTED_VALUE"""),"https://drive.google.com/file/d/1kVWNkPYWfpPoaNfzdmDoKO9zV0jbI67W/view?usp=drivesdk")</f>
        <v>https://drive.google.com/file/d/1kVWNkPYWfpPoaNfzdmDoKO9zV0jbI67W/view?usp=drivesdk</v>
      </c>
      <c r="C367" s="147" t="str">
        <f>IFERROR(__xludf.DUMMYFUNCTION("""COMPUTED_VALUE"""),"10.1086--511799.pdf")</f>
        <v>10.1086--511799.pdf</v>
      </c>
      <c r="D367" s="147" t="str">
        <f>IFERROR(__xludf.DUMMYFUNCTION("""COMPUTED_VALUE"""),"application/pdf")</f>
        <v>application/pdf</v>
      </c>
    </row>
    <row r="368">
      <c r="A368" s="147" t="str">
        <f>IFERROR(__xludf.DUMMYFUNCTION("""COMPUTED_VALUE"""),"chopra_2019")</f>
        <v>chopra_2019</v>
      </c>
      <c r="B368" s="453" t="str">
        <f>IFERROR(__xludf.DUMMYFUNCTION("""COMPUTED_VALUE"""),"https://drive.google.com/file/d/1O7HDXxuStHcKBDqiToq3TS5-_eHNMncg/view?usp=drivesdk")</f>
        <v>https://drive.google.com/file/d/1O7HDXxuStHcKBDqiToq3TS5-_eHNMncg/view?usp=drivesdk</v>
      </c>
      <c r="C368" s="147" t="str">
        <f>IFERROR(__xludf.DUMMYFUNCTION("""COMPUTED_VALUE"""),"Chopra_2019.pdf")</f>
        <v>Chopra_2019.pdf</v>
      </c>
      <c r="D368" s="147" t="str">
        <f>IFERROR(__xludf.DUMMYFUNCTION("""COMPUTED_VALUE"""),"application/pdf")</f>
        <v>application/pdf</v>
      </c>
    </row>
    <row r="369">
      <c r="A369" s="147" t="str">
        <f>IFERROR(__xludf.DUMMYFUNCTION("""COMPUTED_VALUE"""),"10.1111/cogs.12176")</f>
        <v>10.1111/cogs.12176</v>
      </c>
      <c r="B369" s="453" t="str">
        <f>IFERROR(__xludf.DUMMYFUNCTION("""COMPUTED_VALUE"""),"https://drive.google.com/file/d/1noF0-gFXnE925nL0unfvsQ-ANlXov76A/view?usp=drivesdk")</f>
        <v>https://drive.google.com/file/d/1noF0-gFXnE925nL0unfvsQ-ANlXov76A/view?usp=drivesdk</v>
      </c>
      <c r="C369" s="147" t="str">
        <f>IFERROR(__xludf.DUMMYFUNCTION("""COMPUTED_VALUE"""),"10.1111--cogs.12176.pdf")</f>
        <v>10.1111--cogs.12176.pdf</v>
      </c>
      <c r="D369" s="147" t="str">
        <f>IFERROR(__xludf.DUMMYFUNCTION("""COMPUTED_VALUE"""),"application/pdf")</f>
        <v>application/pdf</v>
      </c>
    </row>
    <row r="370">
      <c r="A370" s="147" t="str">
        <f>IFERROR(__xludf.DUMMYFUNCTION("""COMPUTED_VALUE"""),"10.1111/j.1467-9280.2007.01909.x")</f>
        <v>10.1111/j.1467-9280.2007.01909.x</v>
      </c>
      <c r="B370" s="453" t="str">
        <f>IFERROR(__xludf.DUMMYFUNCTION("""COMPUTED_VALUE"""),"https://drive.google.com/file/d/1vWGgcW4pZ3FoyQKsaRTBIF-qNoze2NOS/view?usp=drivesdk")</f>
        <v>https://drive.google.com/file/d/1vWGgcW4pZ3FoyQKsaRTBIF-qNoze2NOS/view?usp=drivesdk</v>
      </c>
      <c r="C370" s="147" t="str">
        <f>IFERROR(__xludf.DUMMYFUNCTION("""COMPUTED_VALUE"""),"10.1111--j.1467-9280.2007.01909.x.pdf")</f>
        <v>10.1111--j.1467-9280.2007.01909.x.pdf</v>
      </c>
      <c r="D370" s="147" t="str">
        <f>IFERROR(__xludf.DUMMYFUNCTION("""COMPUTED_VALUE"""),"application/pdf")</f>
        <v>application/pdf</v>
      </c>
    </row>
    <row r="371">
      <c r="A371" s="147" t="str">
        <f>IFERROR(__xludf.DUMMYFUNCTION("""COMPUTED_VALUE"""),"reuter_2011")</f>
        <v>reuter_2011</v>
      </c>
      <c r="B371" s="453" t="str">
        <f>IFERROR(__xludf.DUMMYFUNCTION("""COMPUTED_VALUE"""),"https://drive.google.com/file/d/1nawDDcezi9BHAhC1PTTKlP-I0li92yxh/view?usp=drivesdk")</f>
        <v>https://drive.google.com/file/d/1nawDDcezi9BHAhC1PTTKlP-I0li92yxh/view?usp=drivesdk</v>
      </c>
      <c r="C371" s="147" t="str">
        <f>IFERROR(__xludf.DUMMYFUNCTION("""COMPUTED_VALUE"""),"Reuter_2011.pdf")</f>
        <v>Reuter_2011.pdf</v>
      </c>
      <c r="D371" s="147" t="str">
        <f>IFERROR(__xludf.DUMMYFUNCTION("""COMPUTED_VALUE"""),"application/pdf")</f>
        <v>application/pdf</v>
      </c>
    </row>
    <row r="372">
      <c r="A372" s="147" t="str">
        <f>IFERROR(__xludf.DUMMYFUNCTION("""COMPUTED_VALUE"""),"10.5840/jphil20111081238")</f>
        <v>10.5840/jphil20111081238</v>
      </c>
      <c r="B372" s="453" t="str">
        <f>IFERROR(__xludf.DUMMYFUNCTION("""COMPUTED_VALUE"""),"https://drive.google.com/file/d/1-XMlXEjoIspJ3kqVPF-O6pr1PklAU4DF/view?usp=drivesdk")</f>
        <v>https://drive.google.com/file/d/1-XMlXEjoIspJ3kqVPF-O6pr1PklAU4DF/view?usp=drivesdk</v>
      </c>
      <c r="C372" s="147" t="str">
        <f>IFERROR(__xludf.DUMMYFUNCTION("""COMPUTED_VALUE"""),"10.5840--jphil20111081238.pdf")</f>
        <v>10.5840--jphil20111081238.pdf</v>
      </c>
      <c r="D372" s="147" t="str">
        <f>IFERROR(__xludf.DUMMYFUNCTION("""COMPUTED_VALUE"""),"application/pdf")</f>
        <v>application/pdf</v>
      </c>
    </row>
    <row r="373">
      <c r="A373" s="147" t="str">
        <f>IFERROR(__xludf.DUMMYFUNCTION("""COMPUTED_VALUE"""),"10.5840/jphil20091061128")</f>
        <v>10.5840/jphil20091061128</v>
      </c>
      <c r="B373" s="453" t="str">
        <f>IFERROR(__xludf.DUMMYFUNCTION("""COMPUTED_VALUE"""),"https://drive.google.com/file/d/1iPMC-k9xrxfHtNZFhdKSSGpPAPPmY3J4/view?usp=drivesdk")</f>
        <v>https://drive.google.com/file/d/1iPMC-k9xrxfHtNZFhdKSSGpPAPPmY3J4/view?usp=drivesdk</v>
      </c>
      <c r="C373" s="147" t="str">
        <f>IFERROR(__xludf.DUMMYFUNCTION("""COMPUTED_VALUE"""),"10.5840--jphil20091061128.pdf")</f>
        <v>10.5840--jphil20091061128.pdf</v>
      </c>
      <c r="D373" s="147" t="str">
        <f>IFERROR(__xludf.DUMMYFUNCTION("""COMPUTED_VALUE"""),"application/pdf")</f>
        <v>application/pdf</v>
      </c>
    </row>
    <row r="374">
      <c r="A374" s="147" t="str">
        <f>IFERROR(__xludf.DUMMYFUNCTION("""COMPUTED_VALUE"""),"10.1111/j.1467-8284.2004.00481.x")</f>
        <v>10.1111/j.1467-8284.2004.00481.x</v>
      </c>
      <c r="B374" s="453" t="str">
        <f>IFERROR(__xludf.DUMMYFUNCTION("""COMPUTED_VALUE"""),"https://drive.google.com/file/d/1KEBKYl19fq4HtJxW3DL6KczxjYJ94hp2/view?usp=drivesdk")</f>
        <v>https://drive.google.com/file/d/1KEBKYl19fq4HtJxW3DL6KczxjYJ94hp2/view?usp=drivesdk</v>
      </c>
      <c r="C374" s="147" t="str">
        <f>IFERROR(__xludf.DUMMYFUNCTION("""COMPUTED_VALUE"""),"10.1111--j.1467-8284.2004.00481.x.pdf")</f>
        <v>10.1111--j.1467-8284.2004.00481.x.pdf</v>
      </c>
      <c r="D374" s="147" t="str">
        <f>IFERROR(__xludf.DUMMYFUNCTION("""COMPUTED_VALUE"""),"application/pdf")</f>
        <v>application/pdf</v>
      </c>
    </row>
    <row r="375">
      <c r="A375" s="147" t="str">
        <f>IFERROR(__xludf.DUMMYFUNCTION("""COMPUTED_VALUE"""),"10.1111/1467-8284.00419")</f>
        <v>10.1111/1467-8284.00419</v>
      </c>
      <c r="B375" s="453" t="str">
        <f>IFERROR(__xludf.DUMMYFUNCTION("""COMPUTED_VALUE"""),"https://drive.google.com/file/d/10xyzPhQJ8BoXAmXBEBA_mIn8qqh_KbTE/view?usp=drivesdk")</f>
        <v>https://drive.google.com/file/d/10xyzPhQJ8BoXAmXBEBA_mIn8qqh_KbTE/view?usp=drivesdk</v>
      </c>
      <c r="C375" s="147" t="str">
        <f>IFERROR(__xludf.DUMMYFUNCTION("""COMPUTED_VALUE"""),"10.1111--1467-8284.00419.pdf")</f>
        <v>10.1111--1467-8284.00419.pdf</v>
      </c>
      <c r="D375" s="147" t="str">
        <f>IFERROR(__xludf.DUMMYFUNCTION("""COMPUTED_VALUE"""),"application/pdf")</f>
        <v>application/pdf</v>
      </c>
    </row>
    <row r="376">
      <c r="A376" s="147" t="str">
        <f>IFERROR(__xludf.DUMMYFUNCTION("""COMPUTED_VALUE"""),"10.1177/0956797609359908 (1)")</f>
        <v>10.1177/0956797609359908 (1)</v>
      </c>
      <c r="B376" s="453" t="str">
        <f>IFERROR(__xludf.DUMMYFUNCTION("""COMPUTED_VALUE"""),"https://drive.google.com/file/d/1S2villzYudFC9-TeVhxXKsxBqLRSgA1s/view?usp=drivesdk")</f>
        <v>https://drive.google.com/file/d/1S2villzYudFC9-TeVhxXKsxBqLRSgA1s/view?usp=drivesdk</v>
      </c>
      <c r="C376" s="147" t="str">
        <f>IFERROR(__xludf.DUMMYFUNCTION("""COMPUTED_VALUE"""),"10.1177--0956797609359908 (1).pdf")</f>
        <v>10.1177--0956797609359908 (1).pdf</v>
      </c>
      <c r="D376" s="147" t="str">
        <f>IFERROR(__xludf.DUMMYFUNCTION("""COMPUTED_VALUE"""),"application/pdf")</f>
        <v>application/pdf</v>
      </c>
    </row>
    <row r="377">
      <c r="A377" s="147" t="str">
        <f>IFERROR(__xludf.DUMMYFUNCTION("""COMPUTED_VALUE"""),"10.1111/1467- 9280.00334")</f>
        <v>10.1111/1467- 9280.00334</v>
      </c>
      <c r="B377" s="453" t="str">
        <f>IFERROR(__xludf.DUMMYFUNCTION("""COMPUTED_VALUE"""),"https://drive.google.com/file/d/124BmUuJPp02lcLBvH8AsEmEsbphUT5fW/view?usp=drivesdk")</f>
        <v>https://drive.google.com/file/d/124BmUuJPp02lcLBvH8AsEmEsbphUT5fW/view?usp=drivesdk</v>
      </c>
      <c r="C377" s="147" t="str">
        <f>IFERROR(__xludf.DUMMYFUNCTION("""COMPUTED_VALUE"""),"10.1111--1467- 9280.00334.pdf")</f>
        <v>10.1111--1467- 9280.00334.pdf</v>
      </c>
      <c r="D377" s="147" t="str">
        <f>IFERROR(__xludf.DUMMYFUNCTION("""COMPUTED_VALUE"""),"application/pdf")</f>
        <v>application/pdf</v>
      </c>
    </row>
    <row r="378">
      <c r="A378" s="147" t="str">
        <f>IFERROR(__xludf.DUMMYFUNCTION("""COMPUTED_VALUE"""),"10.1037/0096- 3445.136.4.569")</f>
        <v>10.1037/0096- 3445.136.4.569</v>
      </c>
      <c r="B378" s="453" t="str">
        <f>IFERROR(__xludf.DUMMYFUNCTION("""COMPUTED_VALUE"""),"https://drive.google.com/file/d/1HAhZicYSIRv7N-8s64Lp9_8_UnTnmDSR/view?usp=drivesdk")</f>
        <v>https://drive.google.com/file/d/1HAhZicYSIRv7N-8s64Lp9_8_UnTnmDSR/view?usp=drivesdk</v>
      </c>
      <c r="C378" s="147" t="str">
        <f>IFERROR(__xludf.DUMMYFUNCTION("""COMPUTED_VALUE"""),"10.1037--0096- 3445.136.4.569.pdf")</f>
        <v>10.1037--0096- 3445.136.4.569.pdf</v>
      </c>
      <c r="D378" s="147" t="str">
        <f>IFERROR(__xludf.DUMMYFUNCTION("""COMPUTED_VALUE"""),"application/pdf")</f>
        <v>application/pdf</v>
      </c>
    </row>
    <row r="379">
      <c r="A379" s="147" t="str">
        <f>IFERROR(__xludf.DUMMYFUNCTION("""COMPUTED_VALUE"""),"tverskygati_1978")</f>
        <v>tverskygati_1978</v>
      </c>
      <c r="B379" s="453" t="str">
        <f>IFERROR(__xludf.DUMMYFUNCTION("""COMPUTED_VALUE"""),"https://drive.google.com/file/d/1KQ3HceHXpPMAET83TvUhFe9qSsDbMT1k/view?usp=drivesdk")</f>
        <v>https://drive.google.com/file/d/1KQ3HceHXpPMAET83TvUhFe9qSsDbMT1k/view?usp=drivesdk</v>
      </c>
      <c r="C379" s="147" t="str">
        <f>IFERROR(__xludf.DUMMYFUNCTION("""COMPUTED_VALUE"""),"TverskyGati_1978.pdf")</f>
        <v>TverskyGati_1978.pdf</v>
      </c>
      <c r="D379" s="147" t="str">
        <f>IFERROR(__xludf.DUMMYFUNCTION("""COMPUTED_VALUE"""),"application/pdf")</f>
        <v>application/pdf</v>
      </c>
    </row>
    <row r="380">
      <c r="A380" s="147" t="str">
        <f>IFERROR(__xludf.DUMMYFUNCTION("""COMPUTED_VALUE"""),"10.1016/j .obhdp.2006.10.001")</f>
        <v>10.1016/j .obhdp.2006.10.001</v>
      </c>
      <c r="B380" s="453" t="str">
        <f>IFERROR(__xludf.DUMMYFUNCTION("""COMPUTED_VALUE"""),"https://drive.google.com/file/d/1APm26rD_UpSxwv_f7ANPXDv5utKWJ7q3/view?usp=drivesdk")</f>
        <v>https://drive.google.com/file/d/1APm26rD_UpSxwv_f7ANPXDv5utKWJ7q3/view?usp=drivesdk</v>
      </c>
      <c r="C380" s="147" t="str">
        <f>IFERROR(__xludf.DUMMYFUNCTION("""COMPUTED_VALUE"""),"10.1016--j .obhdp.2006.10.001.pdf")</f>
        <v>10.1016--j .obhdp.2006.10.001.pdf</v>
      </c>
      <c r="D380" s="147" t="str">
        <f>IFERROR(__xludf.DUMMYFUNCTION("""COMPUTED_VALUE"""),"application/pdf")</f>
        <v>application/pdf</v>
      </c>
    </row>
    <row r="381">
      <c r="A381" s="147" t="str">
        <f>IFERROR(__xludf.DUMMYFUNCTION("""COMPUTED_VALUE"""),"10.1207/ s15516709cog2605_4")</f>
        <v>10.1207/ s15516709cog2605_4</v>
      </c>
      <c r="B381" s="453" t="str">
        <f>IFERROR(__xludf.DUMMYFUNCTION("""COMPUTED_VALUE"""),"https://drive.google.com/file/d/1EqB8fMj26KyIHeW4JSKwYFh3F2LTTq5t/view?usp=drivesdk")</f>
        <v>https://drive.google.com/file/d/1EqB8fMj26KyIHeW4JSKwYFh3F2LTTq5t/view?usp=drivesdk</v>
      </c>
      <c r="C381" s="147" t="str">
        <f>IFERROR(__xludf.DUMMYFUNCTION("""COMPUTED_VALUE"""),"10.1207-- s15516709cog2605_4.pdf")</f>
        <v>10.1207-- s15516709cog2605_4.pdf</v>
      </c>
      <c r="D381" s="147" t="str">
        <f>IFERROR(__xludf.DUMMYFUNCTION("""COMPUTED_VALUE"""),"application/pdf")</f>
        <v>application/pdf</v>
      </c>
    </row>
    <row r="382">
      <c r="A382" s="147" t="str">
        <f>IFERROR(__xludf.DUMMYFUNCTION("""COMPUTED_VALUE"""),"10.1111/ j.1468-0017.2006.00297.x")</f>
        <v>10.1111/ j.1468-0017.2006.00297.x</v>
      </c>
      <c r="B382" s="453" t="str">
        <f>IFERROR(__xludf.DUMMYFUNCTION("""COMPUTED_VALUE"""),"https://drive.google.com/file/d/1H2OS8Rk6wh8PVpv13iom_WUpLu0fEeBU/view?usp=drivesdk")</f>
        <v>https://drive.google.com/file/d/1H2OS8Rk6wh8PVpv13iom_WUpLu0fEeBU/view?usp=drivesdk</v>
      </c>
      <c r="C382" s="147" t="str">
        <f>IFERROR(__xludf.DUMMYFUNCTION("""COMPUTED_VALUE"""),"10.1111-- j.1468-0017.2006.00297.x.pdf")</f>
        <v>10.1111-- j.1468-0017.2006.00297.x.pdf</v>
      </c>
      <c r="D382" s="147" t="str">
        <f>IFERROR(__xludf.DUMMYFUNCTION("""COMPUTED_VALUE"""),"application/pdf")</f>
        <v>application/pdf</v>
      </c>
    </row>
    <row r="383">
      <c r="A383" s="147" t="str">
        <f>IFERROR(__xludf.DUMMYFUNCTION("""COMPUTED_VALUE"""),"10.1086/269239")</f>
        <v>10.1086/269239</v>
      </c>
      <c r="B383" s="453" t="str">
        <f>IFERROR(__xludf.DUMMYFUNCTION("""COMPUTED_VALUE"""),"https://drive.google.com/file/d/1Wa36K9XT0urN9xsiAgUftQdgL9C9HECn/view?usp=drivesdk")</f>
        <v>https://drive.google.com/file/d/1Wa36K9XT0urN9xsiAgUftQdgL9C9HECn/view?usp=drivesdk</v>
      </c>
      <c r="C383" s="147" t="str">
        <f>IFERROR(__xludf.DUMMYFUNCTION("""COMPUTED_VALUE"""),"10.1086--269239.pdf")</f>
        <v>10.1086--269239.pdf</v>
      </c>
      <c r="D383" s="147" t="str">
        <f>IFERROR(__xludf.DUMMYFUNCTION("""COMPUTED_VALUE"""),"application/pdf")</f>
        <v>application/pdf</v>
      </c>
    </row>
    <row r="384">
      <c r="A384" s="147" t="str">
        <f>IFERROR(__xludf.DUMMYFUNCTION("""COMPUTED_VALUE"""),"10.1111/j.1467-9280.2006.01824.x")</f>
        <v>10.1111/j.1467-9280.2006.01824.x</v>
      </c>
      <c r="B384" s="453" t="str">
        <f>IFERROR(__xludf.DUMMYFUNCTION("""COMPUTED_VALUE"""),"https://drive.google.com/file/d/14h-UnLvc59XK91wSbRiIAUMtz5chtiz5/view?usp=drivesdk")</f>
        <v>https://drive.google.com/file/d/14h-UnLvc59XK91wSbRiIAUMtz5chtiz5/view?usp=drivesdk</v>
      </c>
      <c r="C384" s="147" t="str">
        <f>IFERROR(__xludf.DUMMYFUNCTION("""COMPUTED_VALUE"""),"10.1111--j.1467-9280.2006.01824.x.pdf")</f>
        <v>10.1111--j.1467-9280.2006.01824.x.pdf</v>
      </c>
      <c r="D384" s="147" t="str">
        <f>IFERROR(__xludf.DUMMYFUNCTION("""COMPUTED_VALUE"""),"application/pdf")</f>
        <v>application/pdf</v>
      </c>
    </row>
    <row r="385">
      <c r="A385" s="147" t="str">
        <f>IFERROR(__xludf.DUMMYFUNCTION("""COMPUTED_VALUE"""),"10.1027/1864-9335/a000147")</f>
        <v>10.1027/1864-9335/a000147</v>
      </c>
      <c r="B385" s="453" t="str">
        <f>IFERROR(__xludf.DUMMYFUNCTION("""COMPUTED_VALUE"""),"https://drive.google.com/file/d/1Nb1xwSCq02ajI3h9-mZBwiuifn_7H1iR/view?usp=drivesdk")</f>
        <v>https://drive.google.com/file/d/1Nb1xwSCq02ajI3h9-mZBwiuifn_7H1iR/view?usp=drivesdk</v>
      </c>
      <c r="C385" s="147" t="str">
        <f>IFERROR(__xludf.DUMMYFUNCTION("""COMPUTED_VALUE"""),"10.1027--1864-9335--a000147.pdf")</f>
        <v>10.1027--1864-9335--a000147.pdf</v>
      </c>
      <c r="D385" s="147" t="str">
        <f>IFERROR(__xludf.DUMMYFUNCTION("""COMPUTED_VALUE"""),"application/pdf")</f>
        <v>application/pdf</v>
      </c>
    </row>
    <row r="386">
      <c r="A386" s="147" t="str">
        <f>IFERROR(__xludf.DUMMYFUNCTION("""COMPUTED_VALUE"""),"10.1017/s1930297500001170")</f>
        <v>10.1017/s1930297500001170</v>
      </c>
      <c r="B386" s="453" t="str">
        <f>IFERROR(__xludf.DUMMYFUNCTION("""COMPUTED_VALUE"""),"https://drive.google.com/file/d/1htcfPlWHtz8E91jbq14ETkimhcWUSyMj/view?usp=drivesdk")</f>
        <v>https://drive.google.com/file/d/1htcfPlWHtz8E91jbq14ETkimhcWUSyMj/view?usp=drivesdk</v>
      </c>
      <c r="C386" s="147" t="str">
        <f>IFERROR(__xludf.DUMMYFUNCTION("""COMPUTED_VALUE"""),"10.1017--S1930297500001170.pdf")</f>
        <v>10.1017--S1930297500001170.pdf</v>
      </c>
      <c r="D386" s="147" t="str">
        <f>IFERROR(__xludf.DUMMYFUNCTION("""COMPUTED_VALUE"""),"application/pdf")</f>
        <v>application/pdf</v>
      </c>
    </row>
    <row r="387">
      <c r="A387" s="147" t="str">
        <f>IFERROR(__xludf.DUMMYFUNCTION("""COMPUTED_VALUE"""),"10.1086/268936")</f>
        <v>10.1086/268936</v>
      </c>
      <c r="B387" s="453" t="str">
        <f>IFERROR(__xludf.DUMMYFUNCTION("""COMPUTED_VALUE"""),"https://drive.google.com/file/d/151z21j0N9goJiyhqVea_1u4UA83qXS6l/view?usp=drivesdk")</f>
        <v>https://drive.google.com/file/d/151z21j0N9goJiyhqVea_1u4UA83qXS6l/view?usp=drivesdk</v>
      </c>
      <c r="C387" s="147" t="str">
        <f>IFERROR(__xludf.DUMMYFUNCTION("""COMPUTED_VALUE"""),"10.1086--268936.pdf")</f>
        <v>10.1086--268936.pdf</v>
      </c>
      <c r="D387" s="147" t="str">
        <f>IFERROR(__xludf.DUMMYFUNCTION("""COMPUTED_VALUE"""),"application/pdf")</f>
        <v>application/pdf</v>
      </c>
    </row>
    <row r="388">
      <c r="A388" s="147" t="str">
        <f>IFERROR(__xludf.DUMMYFUNCTION("""COMPUTED_VALUE"""),"10.1111/j.1467-9280.2008.02051.x")</f>
        <v>10.1111/j.1467-9280.2008.02051.x</v>
      </c>
      <c r="B388" s="453" t="str">
        <f>IFERROR(__xludf.DUMMYFUNCTION("""COMPUTED_VALUE"""),"https://drive.google.com/file/d/1XqhWmKG3ZvoLJmLnPSVfonhhVjkaOyOo/view?usp=drivesdk")</f>
        <v>https://drive.google.com/file/d/1XqhWmKG3ZvoLJmLnPSVfonhhVjkaOyOo/view?usp=drivesdk</v>
      </c>
      <c r="C388" s="147" t="str">
        <f>IFERROR(__xludf.DUMMYFUNCTION("""COMPUTED_VALUE"""),"10.1111--j.1467-9280.2008.02051.x.pdf")</f>
        <v>10.1111--j.1467-9280.2008.02051.x.pdf</v>
      </c>
      <c r="D388" s="147" t="str">
        <f>IFERROR(__xludf.DUMMYFUNCTION("""COMPUTED_VALUE"""),"application/pdf")</f>
        <v>application/pdf</v>
      </c>
    </row>
    <row r="389">
      <c r="A389" s="147" t="str">
        <f>IFERROR(__xludf.DUMMYFUNCTION("""COMPUTED_VALUE"""),"10.1111/j.1467-9280.2008.02067.x")</f>
        <v>10.1111/j.1467-9280.2008.02067.x</v>
      </c>
      <c r="B389" s="453" t="str">
        <f>IFERROR(__xludf.DUMMYFUNCTION("""COMPUTED_VALUE"""),"https://drive.google.com/file/d/1MGnCE7goqJ_cEkFuDi-kMu34wrO-f2Oo/view?usp=drivesdk")</f>
        <v>https://drive.google.com/file/d/1MGnCE7goqJ_cEkFuDi-kMu34wrO-f2Oo/view?usp=drivesdk</v>
      </c>
      <c r="C389" s="147" t="str">
        <f>IFERROR(__xludf.DUMMYFUNCTION("""COMPUTED_VALUE"""),"10.1111--j.1467-9280.2008.02067.x.pdf")</f>
        <v>10.1111--j.1467-9280.2008.02067.x.pdf</v>
      </c>
      <c r="D389" s="147" t="str">
        <f>IFERROR(__xludf.DUMMYFUNCTION("""COMPUTED_VALUE"""),"application/pdf")</f>
        <v>application/pdf</v>
      </c>
    </row>
    <row r="390">
      <c r="A390" s="147" t="str">
        <f>IFERROR(__xludf.DUMMYFUNCTION("""COMPUTED_VALUE"""),"10.1111/j.1467-9280.2008.02039.x")</f>
        <v>10.1111/j.1467-9280.2008.02039.x</v>
      </c>
      <c r="B390" s="453" t="str">
        <f>IFERROR(__xludf.DUMMYFUNCTION("""COMPUTED_VALUE"""),"https://drive.google.com/file/d/17yvRZkdBULPZU-hy9QprgZuJeonQfAel/view?usp=drivesdk")</f>
        <v>https://drive.google.com/file/d/17yvRZkdBULPZU-hy9QprgZuJeonQfAel/view?usp=drivesdk</v>
      </c>
      <c r="C390" s="147" t="str">
        <f>IFERROR(__xludf.DUMMYFUNCTION("""COMPUTED_VALUE"""),"10.1111--j.1467-9280.2008.02039.x.pdf")</f>
        <v>10.1111--j.1467-9280.2008.02039.x.pdf</v>
      </c>
      <c r="D390" s="147" t="str">
        <f>IFERROR(__xludf.DUMMYFUNCTION("""COMPUTED_VALUE"""),"application/pdf")</f>
        <v>application/pdf</v>
      </c>
    </row>
    <row r="391">
      <c r="A391" s="147" t="str">
        <f>IFERROR(__xludf.DUMMYFUNCTION("""COMPUTED_VALUE"""),"10.1111/j.1467-9280.2008.02037.x")</f>
        <v>10.1111/j.1467-9280.2008.02037.x</v>
      </c>
      <c r="B391" s="453" t="str">
        <f>IFERROR(__xludf.DUMMYFUNCTION("""COMPUTED_VALUE"""),"https://drive.google.com/file/d/1QF3uA9_pwrWOzXdkZ1UyE6QcFceppW3C/view?usp=drivesdk")</f>
        <v>https://drive.google.com/file/d/1QF3uA9_pwrWOzXdkZ1UyE6QcFceppW3C/view?usp=drivesdk</v>
      </c>
      <c r="C391" s="147" t="str">
        <f>IFERROR(__xludf.DUMMYFUNCTION("""COMPUTED_VALUE"""),"10.1111--j.1467-9280.2008.02037.x.pdf")</f>
        <v>10.1111--j.1467-9280.2008.02037.x.pdf</v>
      </c>
      <c r="D391" s="147" t="str">
        <f>IFERROR(__xludf.DUMMYFUNCTION("""COMPUTED_VALUE"""),"application/pdf")</f>
        <v>application/pdf</v>
      </c>
    </row>
    <row r="392">
      <c r="A392" s="147" t="str">
        <f>IFERROR(__xludf.DUMMYFUNCTION("""COMPUTED_VALUE"""),"10.1111/j.1467-9280.2008.02079.x")</f>
        <v>10.1111/j.1467-9280.2008.02079.x</v>
      </c>
      <c r="B392" s="453" t="str">
        <f>IFERROR(__xludf.DUMMYFUNCTION("""COMPUTED_VALUE"""),"https://drive.google.com/file/d/1L6r7Is4dN-Wh4wY-_mmmCPEDR_wsVjkO/view?usp=drivesdk")</f>
        <v>https://drive.google.com/file/d/1L6r7Is4dN-Wh4wY-_mmmCPEDR_wsVjkO/view?usp=drivesdk</v>
      </c>
      <c r="C392" s="147" t="str">
        <f>IFERROR(__xludf.DUMMYFUNCTION("""COMPUTED_VALUE"""),"10.1111--j.1467-9280.2008.02079.x.pdf")</f>
        <v>10.1111--j.1467-9280.2008.02079.x.pdf</v>
      </c>
      <c r="D392" s="147" t="str">
        <f>IFERROR(__xludf.DUMMYFUNCTION("""COMPUTED_VALUE"""),"application/pdf")</f>
        <v>application/pdf</v>
      </c>
    </row>
    <row r="393">
      <c r="A393" s="147" t="str">
        <f>IFERROR(__xludf.DUMMYFUNCTION("""COMPUTED_VALUE"""),"10.1111/j.1467-9280.2008.02081.x")</f>
        <v>10.1111/j.1467-9280.2008.02081.x</v>
      </c>
      <c r="B393" s="453" t="str">
        <f>IFERROR(__xludf.DUMMYFUNCTION("""COMPUTED_VALUE"""),"https://drive.google.com/file/d/1xJDFi9AZRlHlZ8zxZ8pogfKFGSJiXpeB/view?usp=drivesdk")</f>
        <v>https://drive.google.com/file/d/1xJDFi9AZRlHlZ8zxZ8pogfKFGSJiXpeB/view?usp=drivesdk</v>
      </c>
      <c r="C393" s="147" t="str">
        <f>IFERROR(__xludf.DUMMYFUNCTION("""COMPUTED_VALUE"""),"10.1111--j.1467-9280.2008.02081.x.pdf")</f>
        <v>10.1111--j.1467-9280.2008.02081.x.pdf</v>
      </c>
      <c r="D393" s="147" t="str">
        <f>IFERROR(__xludf.DUMMYFUNCTION("""COMPUTED_VALUE"""),"application/pdf")</f>
        <v>application/pdf</v>
      </c>
    </row>
    <row r="394">
      <c r="A394" s="147" t="str">
        <f>IFERROR(__xludf.DUMMYFUNCTION("""COMPUTED_VALUE"""),"10.1111/j.1467-9280.2008.02090.x")</f>
        <v>10.1111/j.1467-9280.2008.02090.x</v>
      </c>
      <c r="B394" s="453" t="str">
        <f>IFERROR(__xludf.DUMMYFUNCTION("""COMPUTED_VALUE"""),"https://drive.google.com/file/d/1L4wamJsRPsyXxKeW3GaFCUieXSvb00LA/view?usp=drivesdk")</f>
        <v>https://drive.google.com/file/d/1L4wamJsRPsyXxKeW3GaFCUieXSvb00LA/view?usp=drivesdk</v>
      </c>
      <c r="C394" s="147" t="str">
        <f>IFERROR(__xludf.DUMMYFUNCTION("""COMPUTED_VALUE"""),"10.1111--j.1467-9280.2008.02090.x.pdf")</f>
        <v>10.1111--j.1467-9280.2008.02090.x.pdf</v>
      </c>
      <c r="D394" s="147" t="str">
        <f>IFERROR(__xludf.DUMMYFUNCTION("""COMPUTED_VALUE"""),"application/pdf")</f>
        <v>application/pdf</v>
      </c>
    </row>
    <row r="395">
      <c r="A395" s="147" t="str">
        <f>IFERROR(__xludf.DUMMYFUNCTION("""COMPUTED_VALUE"""),"10.1111/j.1467-9280.2008.02038.x")</f>
        <v>10.1111/j.1467-9280.2008.02038.x</v>
      </c>
      <c r="B395" s="453" t="str">
        <f>IFERROR(__xludf.DUMMYFUNCTION("""COMPUTED_VALUE"""),"https://drive.google.com/file/d/11dnTmqa4ngMJOr32H46bjdjydQPpSfqT/view?usp=drivesdk")</f>
        <v>https://drive.google.com/file/d/11dnTmqa4ngMJOr32H46bjdjydQPpSfqT/view?usp=drivesdk</v>
      </c>
      <c r="C395" s="147" t="str">
        <f>IFERROR(__xludf.DUMMYFUNCTION("""COMPUTED_VALUE"""),"10.1111--j.1467-9280.2008.02038.x.pdf")</f>
        <v>10.1111--j.1467-9280.2008.02038.x.pdf</v>
      </c>
      <c r="D395" s="147" t="str">
        <f>IFERROR(__xludf.DUMMYFUNCTION("""COMPUTED_VALUE"""),"application/pdf")</f>
        <v>application/pdf</v>
      </c>
    </row>
    <row r="396">
      <c r="A396" s="147" t="str">
        <f>IFERROR(__xludf.DUMMYFUNCTION("""COMPUTED_VALUE"""),"10.1111/j.1467-9280.2008.02042.x")</f>
        <v>10.1111/j.1467-9280.2008.02042.x</v>
      </c>
      <c r="B396" s="453" t="str">
        <f>IFERROR(__xludf.DUMMYFUNCTION("""COMPUTED_VALUE"""),"https://drive.google.com/file/d/1HlSsul-f2PZvtm7eAB3JNvLefgA9BMVI/view?usp=drivesdk")</f>
        <v>https://drive.google.com/file/d/1HlSsul-f2PZvtm7eAB3JNvLefgA9BMVI/view?usp=drivesdk</v>
      </c>
      <c r="C396" s="147" t="str">
        <f>IFERROR(__xludf.DUMMYFUNCTION("""COMPUTED_VALUE"""),"10.1111--j.1467-9280.2008.02042.x.pdf")</f>
        <v>10.1111--j.1467-9280.2008.02042.x.pdf</v>
      </c>
      <c r="D396" s="147" t="str">
        <f>IFERROR(__xludf.DUMMYFUNCTION("""COMPUTED_VALUE"""),"application/pdf")</f>
        <v>application/pdf</v>
      </c>
    </row>
    <row r="397">
      <c r="A397" s="147" t="str">
        <f>IFERROR(__xludf.DUMMYFUNCTION("""COMPUTED_VALUE"""),"10.1111/j.1467-9280.2008.02071.x")</f>
        <v>10.1111/j.1467-9280.2008.02071.x</v>
      </c>
      <c r="B397" s="453" t="str">
        <f>IFERROR(__xludf.DUMMYFUNCTION("""COMPUTED_VALUE"""),"https://drive.google.com/file/d/1tYHVLCainLtOj9rVkmXJWVeSI6ydEAvX/view?usp=drivesdk")</f>
        <v>https://drive.google.com/file/d/1tYHVLCainLtOj9rVkmXJWVeSI6ydEAvX/view?usp=drivesdk</v>
      </c>
      <c r="C397" s="147" t="str">
        <f>IFERROR(__xludf.DUMMYFUNCTION("""COMPUTED_VALUE"""),"10.1111--j.1467-9280.2008.02071.x.pdf")</f>
        <v>10.1111--j.1467-9280.2008.02071.x.pdf</v>
      </c>
      <c r="D397" s="147" t="str">
        <f>IFERROR(__xludf.DUMMYFUNCTION("""COMPUTED_VALUE"""),"application/pdf")</f>
        <v>application/pdf</v>
      </c>
    </row>
    <row r="398">
      <c r="A398" s="147" t="str">
        <f>IFERROR(__xludf.DUMMYFUNCTION("""COMPUTED_VALUE"""),"10.1111/j.1467-9280.2008.02085.x")</f>
        <v>10.1111/j.1467-9280.2008.02085.x</v>
      </c>
      <c r="B398" s="453" t="str">
        <f>IFERROR(__xludf.DUMMYFUNCTION("""COMPUTED_VALUE"""),"https://drive.google.com/file/d/1-FUitYcnAKMu52rxwYLJUGd9TwUYmGfa/view?usp=drivesdk")</f>
        <v>https://drive.google.com/file/d/1-FUitYcnAKMu52rxwYLJUGd9TwUYmGfa/view?usp=drivesdk</v>
      </c>
      <c r="C398" s="147" t="str">
        <f>IFERROR(__xludf.DUMMYFUNCTION("""COMPUTED_VALUE"""),"10.1111--j.1467-9280.2008.02085.x.pdf")</f>
        <v>10.1111--j.1467-9280.2008.02085.x.pdf</v>
      </c>
      <c r="D398" s="147" t="str">
        <f>IFERROR(__xludf.DUMMYFUNCTION("""COMPUTED_VALUE"""),"application/pdf")</f>
        <v>application/pdf</v>
      </c>
    </row>
    <row r="399">
      <c r="A399" s="147" t="str">
        <f>IFERROR(__xludf.DUMMYFUNCTION("""COMPUTED_VALUE"""),"10.1111/j.1467-9280.2008.02049.x")</f>
        <v>10.1111/j.1467-9280.2008.02049.x</v>
      </c>
      <c r="B399" s="453" t="str">
        <f>IFERROR(__xludf.DUMMYFUNCTION("""COMPUTED_VALUE"""),"https://drive.google.com/file/d/1H1LGxInHGwZQlib48Sk8tAS3t5eXTLL_/view?usp=drivesdk")</f>
        <v>https://drive.google.com/file/d/1H1LGxInHGwZQlib48Sk8tAS3t5eXTLL_/view?usp=drivesdk</v>
      </c>
      <c r="C399" s="147" t="str">
        <f>IFERROR(__xludf.DUMMYFUNCTION("""COMPUTED_VALUE"""),"10.1111--j.1467-9280.2008.02049.x.pdf")</f>
        <v>10.1111--j.1467-9280.2008.02049.x.pdf</v>
      </c>
      <c r="D399" s="147" t="str">
        <f>IFERROR(__xludf.DUMMYFUNCTION("""COMPUTED_VALUE"""),"application/pdf")</f>
        <v>application/pdf</v>
      </c>
    </row>
    <row r="400">
      <c r="A400" s="147" t="str">
        <f>IFERROR(__xludf.DUMMYFUNCTION("""COMPUTED_VALUE"""),"10.1111/j.1467-9280.2008.02055.x")</f>
        <v>10.1111/j.1467-9280.2008.02055.x</v>
      </c>
      <c r="B400" s="453" t="str">
        <f>IFERROR(__xludf.DUMMYFUNCTION("""COMPUTED_VALUE"""),"https://drive.google.com/file/d/1biYeTzhPqrassKU32rFpIQXkmaCzUR_H/view?usp=drivesdk")</f>
        <v>https://drive.google.com/file/d/1biYeTzhPqrassKU32rFpIQXkmaCzUR_H/view?usp=drivesdk</v>
      </c>
      <c r="C400" s="147" t="str">
        <f>IFERROR(__xludf.DUMMYFUNCTION("""COMPUTED_VALUE"""),"10.1111--j.1467-9280.2008.02055.x.pdf")</f>
        <v>10.1111--j.1467-9280.2008.02055.x.pdf</v>
      </c>
      <c r="D400" s="147" t="str">
        <f>IFERROR(__xludf.DUMMYFUNCTION("""COMPUTED_VALUE"""),"application/pdf")</f>
        <v>application/pdf</v>
      </c>
    </row>
    <row r="401">
      <c r="A401" s="147" t="str">
        <f>IFERROR(__xludf.DUMMYFUNCTION("""COMPUTED_VALUE"""),"10.1111/j.1467-9280.2008.02044.x")</f>
        <v>10.1111/j.1467-9280.2008.02044.x</v>
      </c>
      <c r="B401" s="453" t="str">
        <f>IFERROR(__xludf.DUMMYFUNCTION("""COMPUTED_VALUE"""),"https://drive.google.com/file/d/1OXOz_E9VpKDoMyophO2ymVaA6QjHkMCY/view?usp=drivesdk")</f>
        <v>https://drive.google.com/file/d/1OXOz_E9VpKDoMyophO2ymVaA6QjHkMCY/view?usp=drivesdk</v>
      </c>
      <c r="C401" s="147" t="str">
        <f>IFERROR(__xludf.DUMMYFUNCTION("""COMPUTED_VALUE"""),"10.1111--j.1467-9280.2008.02044.x.pdf")</f>
        <v>10.1111--j.1467-9280.2008.02044.x.pdf</v>
      </c>
      <c r="D401" s="147" t="str">
        <f>IFERROR(__xludf.DUMMYFUNCTION("""COMPUTED_VALUE"""),"application/pdf")</f>
        <v>application/pdf</v>
      </c>
    </row>
    <row r="402">
      <c r="A402" s="147" t="str">
        <f>IFERROR(__xludf.DUMMYFUNCTION("""COMPUTED_VALUE"""),"10.1111/j.1467-9280.2008.02060.x")</f>
        <v>10.1111/j.1467-9280.2008.02060.x</v>
      </c>
      <c r="B402" s="453" t="str">
        <f>IFERROR(__xludf.DUMMYFUNCTION("""COMPUTED_VALUE"""),"https://drive.google.com/file/d/1lRP53zTo3VPT-PsO3ntfyg-tGbdQtIIK/view?usp=drivesdk")</f>
        <v>https://drive.google.com/file/d/1lRP53zTo3VPT-PsO3ntfyg-tGbdQtIIK/view?usp=drivesdk</v>
      </c>
      <c r="C402" s="147" t="str">
        <f>IFERROR(__xludf.DUMMYFUNCTION("""COMPUTED_VALUE"""),"10.1111--j.1467-9280.2008.02060.x.pdf")</f>
        <v>10.1111--j.1467-9280.2008.02060.x.pdf</v>
      </c>
      <c r="D402" s="147" t="str">
        <f>IFERROR(__xludf.DUMMYFUNCTION("""COMPUTED_VALUE"""),"application/pdf")</f>
        <v>application/pdf</v>
      </c>
    </row>
    <row r="403">
      <c r="A403" s="147" t="str">
        <f>IFERROR(__xludf.DUMMYFUNCTION("""COMPUTED_VALUE"""),"10.1111/j.1467-9280.2008.02073.x")</f>
        <v>10.1111/j.1467-9280.2008.02073.x</v>
      </c>
      <c r="B403" s="453" t="str">
        <f>IFERROR(__xludf.DUMMYFUNCTION("""COMPUTED_VALUE"""),"https://drive.google.com/file/d/1-AugkAi762Vn2PNN5xd7FoQQ9st-F4p9/view?usp=drivesdk")</f>
        <v>https://drive.google.com/file/d/1-AugkAi762Vn2PNN5xd7FoQQ9st-F4p9/view?usp=drivesdk</v>
      </c>
      <c r="C403" s="147" t="str">
        <f>IFERROR(__xludf.DUMMYFUNCTION("""COMPUTED_VALUE"""),"10.1111--j.1467-9280.2008.02073.x.pdf")</f>
        <v>10.1111--j.1467-9280.2008.02073.x.pdf</v>
      </c>
      <c r="D403" s="147" t="str">
        <f>IFERROR(__xludf.DUMMYFUNCTION("""COMPUTED_VALUE"""),"application/pdf")</f>
        <v>application/pdf</v>
      </c>
    </row>
    <row r="404">
      <c r="A404" s="147" t="str">
        <f>IFERROR(__xludf.DUMMYFUNCTION("""COMPUTED_VALUE"""),"10.1111/j.1467-9280.2008.02070.x")</f>
        <v>10.1111/j.1467-9280.2008.02070.x</v>
      </c>
      <c r="B404" s="453" t="str">
        <f>IFERROR(__xludf.DUMMYFUNCTION("""COMPUTED_VALUE"""),"https://drive.google.com/file/d/1uCFFMA_-qokNXypcjNJCz-kIkPjXgKuT/view?usp=drivesdk")</f>
        <v>https://drive.google.com/file/d/1uCFFMA_-qokNXypcjNJCz-kIkPjXgKuT/view?usp=drivesdk</v>
      </c>
      <c r="C404" s="147" t="str">
        <f>IFERROR(__xludf.DUMMYFUNCTION("""COMPUTED_VALUE"""),"10.1111--j.1467-9280.2008.02070.x.pdf")</f>
        <v>10.1111--j.1467-9280.2008.02070.x.pdf</v>
      </c>
      <c r="D404" s="147" t="str">
        <f>IFERROR(__xludf.DUMMYFUNCTION("""COMPUTED_VALUE"""),"application/pdf")</f>
        <v>application/pdf</v>
      </c>
    </row>
    <row r="405">
      <c r="A405" s="147" t="str">
        <f>IFERROR(__xludf.DUMMYFUNCTION("""COMPUTED_VALUE"""),"10.1111/j.1467-9280.2008.02056.x")</f>
        <v>10.1111/j.1467-9280.2008.02056.x</v>
      </c>
      <c r="B405" s="453" t="str">
        <f>IFERROR(__xludf.DUMMYFUNCTION("""COMPUTED_VALUE"""),"https://drive.google.com/file/d/1kdZLBkUApDss7ySLJK034jl3rTKemhnJ/view?usp=drivesdk")</f>
        <v>https://drive.google.com/file/d/1kdZLBkUApDss7ySLJK034jl3rTKemhnJ/view?usp=drivesdk</v>
      </c>
      <c r="C405" s="147" t="str">
        <f>IFERROR(__xludf.DUMMYFUNCTION("""COMPUTED_VALUE"""),"10.1111--j.1467-9280.2008.02056.x.pdf")</f>
        <v>10.1111--j.1467-9280.2008.02056.x.pdf</v>
      </c>
      <c r="D405" s="147" t="str">
        <f>IFERROR(__xludf.DUMMYFUNCTION("""COMPUTED_VALUE"""),"application/pdf")</f>
        <v>application/pdf</v>
      </c>
    </row>
    <row r="406">
      <c r="A406" s="147" t="str">
        <f>IFERROR(__xludf.DUMMYFUNCTION("""COMPUTED_VALUE"""),"10.1111/j.1467-9280.2008.02088.x")</f>
        <v>10.1111/j.1467-9280.2008.02088.x</v>
      </c>
      <c r="B406" s="453" t="str">
        <f>IFERROR(__xludf.DUMMYFUNCTION("""COMPUTED_VALUE"""),"https://drive.google.com/file/d/1WfPribPjrUnNwdjyMLceAC2yV6uOwcIj/view?usp=drivesdk")</f>
        <v>https://drive.google.com/file/d/1WfPribPjrUnNwdjyMLceAC2yV6uOwcIj/view?usp=drivesdk</v>
      </c>
      <c r="C406" s="147" t="str">
        <f>IFERROR(__xludf.DUMMYFUNCTION("""COMPUTED_VALUE"""),"10.1111--j.1467-9280.2008.02088.x.pdf")</f>
        <v>10.1111--j.1467-9280.2008.02088.x.pdf</v>
      </c>
      <c r="D406" s="147" t="str">
        <f>IFERROR(__xludf.DUMMYFUNCTION("""COMPUTED_VALUE"""),"application/pdf")</f>
        <v>application/pdf</v>
      </c>
    </row>
    <row r="407">
      <c r="A407" s="147" t="str">
        <f>IFERROR(__xludf.DUMMYFUNCTION("""COMPUTED_VALUE"""),"10.1111/j.1467-9280.2008.02082.x")</f>
        <v>10.1111/j.1467-9280.2008.02082.x</v>
      </c>
      <c r="B407" s="453" t="str">
        <f>IFERROR(__xludf.DUMMYFUNCTION("""COMPUTED_VALUE"""),"https://drive.google.com/file/d/1gRhKC7-YLt04IbuMzSP47N5GlLulLnyP/view?usp=drivesdk")</f>
        <v>https://drive.google.com/file/d/1gRhKC7-YLt04IbuMzSP47N5GlLulLnyP/view?usp=drivesdk</v>
      </c>
      <c r="C407" s="147" t="str">
        <f>IFERROR(__xludf.DUMMYFUNCTION("""COMPUTED_VALUE"""),"10.1111--j.1467-9280.2008.02082.x.pdf")</f>
        <v>10.1111--j.1467-9280.2008.02082.x.pdf</v>
      </c>
      <c r="D407" s="147" t="str">
        <f>IFERROR(__xludf.DUMMYFUNCTION("""COMPUTED_VALUE"""),"application/pdf")</f>
        <v>application/pdf</v>
      </c>
    </row>
    <row r="408">
      <c r="A408" s="147" t="str">
        <f>IFERROR(__xludf.DUMMYFUNCTION("""COMPUTED_VALUE"""),"10.1111/j.1467-9280.2008.02084.x")</f>
        <v>10.1111/j.1467-9280.2008.02084.x</v>
      </c>
      <c r="B408" s="453" t="str">
        <f>IFERROR(__xludf.DUMMYFUNCTION("""COMPUTED_VALUE"""),"https://drive.google.com/file/d/1pEsi_zCge4Xxz2XomVjcrFondU662vvE/view?usp=drivesdk")</f>
        <v>https://drive.google.com/file/d/1pEsi_zCge4Xxz2XomVjcrFondU662vvE/view?usp=drivesdk</v>
      </c>
      <c r="C408" s="147" t="str">
        <f>IFERROR(__xludf.DUMMYFUNCTION("""COMPUTED_VALUE"""),"10.1111--j.1467-9280.2008.02084.x.pdf")</f>
        <v>10.1111--j.1467-9280.2008.02084.x.pdf</v>
      </c>
      <c r="D408" s="147" t="str">
        <f>IFERROR(__xludf.DUMMYFUNCTION("""COMPUTED_VALUE"""),"application/pdf")</f>
        <v>application/pdf</v>
      </c>
    </row>
    <row r="409">
      <c r="A409" s="147" t="str">
        <f>IFERROR(__xludf.DUMMYFUNCTION("""COMPUTED_VALUE"""),"10.1111/j.1467-9280.2008.02050.x")</f>
        <v>10.1111/j.1467-9280.2008.02050.x</v>
      </c>
      <c r="B409" s="453" t="str">
        <f>IFERROR(__xludf.DUMMYFUNCTION("""COMPUTED_VALUE"""),"https://drive.google.com/file/d/1HvJhg-z__ZC4L2MVWwWJgR-8s9h67R34/view?usp=drivesdk")</f>
        <v>https://drive.google.com/file/d/1HvJhg-z__ZC4L2MVWwWJgR-8s9h67R34/view?usp=drivesdk</v>
      </c>
      <c r="C409" s="147" t="str">
        <f>IFERROR(__xludf.DUMMYFUNCTION("""COMPUTED_VALUE"""),"10.1111--j.1467-9280.2008.02050.x.pdf")</f>
        <v>10.1111--j.1467-9280.2008.02050.x.pdf</v>
      </c>
      <c r="D409" s="147" t="str">
        <f>IFERROR(__xludf.DUMMYFUNCTION("""COMPUTED_VALUE"""),"application/pdf")</f>
        <v>application/pdf</v>
      </c>
    </row>
    <row r="410">
      <c r="A410" s="147" t="str">
        <f>IFERROR(__xludf.DUMMYFUNCTION("""COMPUTED_VALUE"""),"10.1111/j.1467-9280.2008.02065.x")</f>
        <v>10.1111/j.1467-9280.2008.02065.x</v>
      </c>
      <c r="B410" s="453" t="str">
        <f>IFERROR(__xludf.DUMMYFUNCTION("""COMPUTED_VALUE"""),"https://drive.google.com/file/d/116ux1lFNh85JTfA7rlcWpbV1sgxGhwMh/view?usp=drivesdk")</f>
        <v>https://drive.google.com/file/d/116ux1lFNh85JTfA7rlcWpbV1sgxGhwMh/view?usp=drivesdk</v>
      </c>
      <c r="C410" s="147" t="str">
        <f>IFERROR(__xludf.DUMMYFUNCTION("""COMPUTED_VALUE"""),"10.1111--j.1467-9280.2008.02065.x.pdf")</f>
        <v>10.1111--j.1467-9280.2008.02065.x.pdf</v>
      </c>
      <c r="D410" s="147" t="str">
        <f>IFERROR(__xludf.DUMMYFUNCTION("""COMPUTED_VALUE"""),"application/pdf")</f>
        <v>application/pdf</v>
      </c>
    </row>
    <row r="411">
      <c r="A411" s="147" t="str">
        <f>IFERROR(__xludf.DUMMYFUNCTION("""COMPUTED_VALUE"""),"10.1111/j.1467-9280.2008.02045.x")</f>
        <v>10.1111/j.1467-9280.2008.02045.x</v>
      </c>
      <c r="B411" s="453" t="str">
        <f>IFERROR(__xludf.DUMMYFUNCTION("""COMPUTED_VALUE"""),"https://drive.google.com/file/d/1sINTPt9kd7F5Vgc5qW1iK2Ge6313RMjs/view?usp=drivesdk")</f>
        <v>https://drive.google.com/file/d/1sINTPt9kd7F5Vgc5qW1iK2Ge6313RMjs/view?usp=drivesdk</v>
      </c>
      <c r="C411" s="147" t="str">
        <f>IFERROR(__xludf.DUMMYFUNCTION("""COMPUTED_VALUE"""),"10.1111--j.1467-9280.2008.02045.x.pdf")</f>
        <v>10.1111--j.1467-9280.2008.02045.x.pdf</v>
      </c>
      <c r="D411" s="147" t="str">
        <f>IFERROR(__xludf.DUMMYFUNCTION("""COMPUTED_VALUE"""),"application/pdf")</f>
        <v>application/pdf</v>
      </c>
    </row>
    <row r="412">
      <c r="A412" s="147" t="str">
        <f>IFERROR(__xludf.DUMMYFUNCTION("""COMPUTED_VALUE"""),"10.1111/j.1467-9280.2008.02076.x")</f>
        <v>10.1111/j.1467-9280.2008.02076.x</v>
      </c>
      <c r="B412" s="453" t="str">
        <f>IFERROR(__xludf.DUMMYFUNCTION("""COMPUTED_VALUE"""),"https://drive.google.com/file/d/1SwGFI5Wz9iRzabOCXMcfTU90XgmL8lKJ/view?usp=drivesdk")</f>
        <v>https://drive.google.com/file/d/1SwGFI5Wz9iRzabOCXMcfTU90XgmL8lKJ/view?usp=drivesdk</v>
      </c>
      <c r="C412" s="147" t="str">
        <f>IFERROR(__xludf.DUMMYFUNCTION("""COMPUTED_VALUE"""),"10.1111--j.1467-9280.2008.02076.x.pdf")</f>
        <v>10.1111--j.1467-9280.2008.02076.x.pdf</v>
      </c>
      <c r="D412" s="147" t="str">
        <f>IFERROR(__xludf.DUMMYFUNCTION("""COMPUTED_VALUE"""),"application/pdf")</f>
        <v>application/pdf</v>
      </c>
    </row>
    <row r="413">
      <c r="A413" s="147" t="str">
        <f>IFERROR(__xludf.DUMMYFUNCTION("""COMPUTED_VALUE"""),"10.1111/j.1467-9280.2008.02064.x")</f>
        <v>10.1111/j.1467-9280.2008.02064.x</v>
      </c>
      <c r="B413" s="453" t="str">
        <f>IFERROR(__xludf.DUMMYFUNCTION("""COMPUTED_VALUE"""),"https://drive.google.com/file/d/1ZvAbdxhSZjsiTtoGCcl4wKGSEHyET-ky/view?usp=drivesdk")</f>
        <v>https://drive.google.com/file/d/1ZvAbdxhSZjsiTtoGCcl4wKGSEHyET-ky/view?usp=drivesdk</v>
      </c>
      <c r="C413" s="147" t="str">
        <f>IFERROR(__xludf.DUMMYFUNCTION("""COMPUTED_VALUE"""),"10.1111--j.1467-9280.2008.02064.x.pdf")</f>
        <v>10.1111--j.1467-9280.2008.02064.x.pdf</v>
      </c>
      <c r="D413" s="147" t="str">
        <f>IFERROR(__xludf.DUMMYFUNCTION("""COMPUTED_VALUE"""),"application/pdf")</f>
        <v>application/pdf</v>
      </c>
    </row>
    <row r="414">
      <c r="A414" s="147" t="str">
        <f>IFERROR(__xludf.DUMMYFUNCTION("""COMPUTED_VALUE"""),"10.1111/j.1467-9280.2008.02072.x")</f>
        <v>10.1111/j.1467-9280.2008.02072.x</v>
      </c>
      <c r="B414" s="453" t="str">
        <f>IFERROR(__xludf.DUMMYFUNCTION("""COMPUTED_VALUE"""),"https://drive.google.com/file/d/1HyrNh-agatlqkBI_Y2cQxLTUdJmQoYlf/view?usp=drivesdk")</f>
        <v>https://drive.google.com/file/d/1HyrNh-agatlqkBI_Y2cQxLTUdJmQoYlf/view?usp=drivesdk</v>
      </c>
      <c r="C414" s="147" t="str">
        <f>IFERROR(__xludf.DUMMYFUNCTION("""COMPUTED_VALUE"""),"10.1111--j.1467-9280.2008.02072.x.pdf")</f>
        <v>10.1111--j.1467-9280.2008.02072.x.pdf</v>
      </c>
      <c r="D414" s="147" t="str">
        <f>IFERROR(__xludf.DUMMYFUNCTION("""COMPUTED_VALUE"""),"application/pdf")</f>
        <v>application/pdf</v>
      </c>
    </row>
    <row r="415">
      <c r="A415" s="147" t="str">
        <f>IFERROR(__xludf.DUMMYFUNCTION("""COMPUTED_VALUE"""),"10.1111/j.1467-9280.2008.02059.x")</f>
        <v>10.1111/j.1467-9280.2008.02059.x</v>
      </c>
      <c r="B415" s="453" t="str">
        <f>IFERROR(__xludf.DUMMYFUNCTION("""COMPUTED_VALUE"""),"https://drive.google.com/file/d/1upE7yZOzvH5eWhjo60W2SL_Z4iTthBuJ/view?usp=drivesdk")</f>
        <v>https://drive.google.com/file/d/1upE7yZOzvH5eWhjo60W2SL_Z4iTthBuJ/view?usp=drivesdk</v>
      </c>
      <c r="C415" s="147" t="str">
        <f>IFERROR(__xludf.DUMMYFUNCTION("""COMPUTED_VALUE"""),"10.1111--j.1467-9280.2008.02059.x.pdf")</f>
        <v>10.1111--j.1467-9280.2008.02059.x.pdf</v>
      </c>
      <c r="D415" s="147" t="str">
        <f>IFERROR(__xludf.DUMMYFUNCTION("""COMPUTED_VALUE"""),"application/pdf")</f>
        <v>application/pdf</v>
      </c>
    </row>
    <row r="416">
      <c r="A416" s="147" t="str">
        <f>IFERROR(__xludf.DUMMYFUNCTION("""COMPUTED_VALUE"""),"10.1111/j.1467-9280.2008.02052.x")</f>
        <v>10.1111/j.1467-9280.2008.02052.x</v>
      </c>
      <c r="B416" s="453" t="str">
        <f>IFERROR(__xludf.DUMMYFUNCTION("""COMPUTED_VALUE"""),"https://drive.google.com/file/d/1UsMzRx5dAyBC19d7_59BtDW0beEzge2i/view?usp=drivesdk")</f>
        <v>https://drive.google.com/file/d/1UsMzRx5dAyBC19d7_59BtDW0beEzge2i/view?usp=drivesdk</v>
      </c>
      <c r="C416" s="147" t="str">
        <f>IFERROR(__xludf.DUMMYFUNCTION("""COMPUTED_VALUE"""),"10.1111--j.1467-9280.2008.02052.x.pdf")</f>
        <v>10.1111--j.1467-9280.2008.02052.x.pdf</v>
      </c>
      <c r="D416" s="147" t="str">
        <f>IFERROR(__xludf.DUMMYFUNCTION("""COMPUTED_VALUE"""),"application/pdf")</f>
        <v>application/pdf</v>
      </c>
    </row>
    <row r="417">
      <c r="A417" s="147" t="str">
        <f>IFERROR(__xludf.DUMMYFUNCTION("""COMPUTED_VALUE"""),"10.1111/j.1467-9280.2008.02080.x")</f>
        <v>10.1111/j.1467-9280.2008.02080.x</v>
      </c>
      <c r="B417" s="453" t="str">
        <f>IFERROR(__xludf.DUMMYFUNCTION("""COMPUTED_VALUE"""),"https://drive.google.com/file/d/1vmwxHTrl9F3n9CjnCny5Gv7aZ_iSmn06/view?usp=drivesdk")</f>
        <v>https://drive.google.com/file/d/1vmwxHTrl9F3n9CjnCny5Gv7aZ_iSmn06/view?usp=drivesdk</v>
      </c>
      <c r="C417" s="147" t="str">
        <f>IFERROR(__xludf.DUMMYFUNCTION("""COMPUTED_VALUE"""),"10.1111--j.1467-9280.2008.02080.x.pdf")</f>
        <v>10.1111--j.1467-9280.2008.02080.x.pdf</v>
      </c>
      <c r="D417" s="147" t="str">
        <f>IFERROR(__xludf.DUMMYFUNCTION("""COMPUTED_VALUE"""),"application/pdf")</f>
        <v>application/pdf</v>
      </c>
    </row>
    <row r="418">
      <c r="A418" s="147" t="str">
        <f>IFERROR(__xludf.DUMMYFUNCTION("""COMPUTED_VALUE"""),"10.1111/j.1467-9280.2008.02036.x")</f>
        <v>10.1111/j.1467-9280.2008.02036.x</v>
      </c>
      <c r="B418" s="453" t="str">
        <f>IFERROR(__xludf.DUMMYFUNCTION("""COMPUTED_VALUE"""),"https://drive.google.com/file/d/1tLDYZKQb4z1ZUitzltLK7vgv1To8FFUF/view?usp=drivesdk")</f>
        <v>https://drive.google.com/file/d/1tLDYZKQb4z1ZUitzltLK7vgv1To8FFUF/view?usp=drivesdk</v>
      </c>
      <c r="C418" s="147" t="str">
        <f>IFERROR(__xludf.DUMMYFUNCTION("""COMPUTED_VALUE"""),"10.1111--j.1467-9280.2008.02036.x.pdf")</f>
        <v>10.1111--j.1467-9280.2008.02036.x.pdf</v>
      </c>
      <c r="D418" s="147" t="str">
        <f>IFERROR(__xludf.DUMMYFUNCTION("""COMPUTED_VALUE"""),"application/pdf")</f>
        <v>application/pdf</v>
      </c>
    </row>
    <row r="419">
      <c r="A419" s="147" t="str">
        <f>IFERROR(__xludf.DUMMYFUNCTION("""COMPUTED_VALUE"""),"10.1111/j.1467-9280.2008.02040.x")</f>
        <v>10.1111/j.1467-9280.2008.02040.x</v>
      </c>
      <c r="B419" s="453" t="str">
        <f>IFERROR(__xludf.DUMMYFUNCTION("""COMPUTED_VALUE"""),"https://drive.google.com/file/d/1cd2Q3usXoNSUYACYaL4eodYUxZsj-SOb/view?usp=drivesdk")</f>
        <v>https://drive.google.com/file/d/1cd2Q3usXoNSUYACYaL4eodYUxZsj-SOb/view?usp=drivesdk</v>
      </c>
      <c r="C419" s="147" t="str">
        <f>IFERROR(__xludf.DUMMYFUNCTION("""COMPUTED_VALUE"""),"10.1111--j.1467-9280.2008.02040.x.pdf")</f>
        <v>10.1111--j.1467-9280.2008.02040.x.pdf</v>
      </c>
      <c r="D419" s="147" t="str">
        <f>IFERROR(__xludf.DUMMYFUNCTION("""COMPUTED_VALUE"""),"application/pdf")</f>
        <v>application/pdf</v>
      </c>
    </row>
    <row r="420">
      <c r="A420" s="147" t="str">
        <f>IFERROR(__xludf.DUMMYFUNCTION("""COMPUTED_VALUE"""),"10.1111/j.1467-9280.2008.02058.x")</f>
        <v>10.1111/j.1467-9280.2008.02058.x</v>
      </c>
      <c r="B420" s="453" t="str">
        <f>IFERROR(__xludf.DUMMYFUNCTION("""COMPUTED_VALUE"""),"https://drive.google.com/file/d/1qgt58xRKt3k8Eix4-bV5OBupJ4bQXEgg/view?usp=drivesdk")</f>
        <v>https://drive.google.com/file/d/1qgt58xRKt3k8Eix4-bV5OBupJ4bQXEgg/view?usp=drivesdk</v>
      </c>
      <c r="C420" s="147" t="str">
        <f>IFERROR(__xludf.DUMMYFUNCTION("""COMPUTED_VALUE"""),"10.1111--j.1467-9280.2008.02058.x.pdf")</f>
        <v>10.1111--j.1467-9280.2008.02058.x.pdf</v>
      </c>
      <c r="D420" s="147" t="str">
        <f>IFERROR(__xludf.DUMMYFUNCTION("""COMPUTED_VALUE"""),"application/pdf")</f>
        <v>application/pdf</v>
      </c>
    </row>
    <row r="421">
      <c r="A421" s="147" t="str">
        <f>IFERROR(__xludf.DUMMYFUNCTION("""COMPUTED_VALUE"""),"10.1111/j.1467-9280.2008.02091.x")</f>
        <v>10.1111/j.1467-9280.2008.02091.x</v>
      </c>
      <c r="B421" s="453" t="str">
        <f>IFERROR(__xludf.DUMMYFUNCTION("""COMPUTED_VALUE"""),"https://drive.google.com/file/d/1XfDlpkvCBdw9lQuqmsbfM7aoNwvrAoip/view?usp=drivesdk")</f>
        <v>https://drive.google.com/file/d/1XfDlpkvCBdw9lQuqmsbfM7aoNwvrAoip/view?usp=drivesdk</v>
      </c>
      <c r="C421" s="147" t="str">
        <f>IFERROR(__xludf.DUMMYFUNCTION("""COMPUTED_VALUE"""),"10.1111--j.1467-9280.2008.02091.x.pdf")</f>
        <v>10.1111--j.1467-9280.2008.02091.x.pdf</v>
      </c>
      <c r="D421" s="147" t="str">
        <f>IFERROR(__xludf.DUMMYFUNCTION("""COMPUTED_VALUE"""),"application/pdf")</f>
        <v>application/pdf</v>
      </c>
    </row>
    <row r="422">
      <c r="A422" s="147" t="str">
        <f>IFERROR(__xludf.DUMMYFUNCTION("""COMPUTED_VALUE"""),"10.1111/j.1467-9280.2008.02053.x")</f>
        <v>10.1111/j.1467-9280.2008.02053.x</v>
      </c>
      <c r="B422" s="453" t="str">
        <f>IFERROR(__xludf.DUMMYFUNCTION("""COMPUTED_VALUE"""),"https://drive.google.com/file/d/15X7saP8VbSJHXa2xOtcgFcOKjQJFaUYh/view?usp=drivesdk")</f>
        <v>https://drive.google.com/file/d/15X7saP8VbSJHXa2xOtcgFcOKjQJFaUYh/view?usp=drivesdk</v>
      </c>
      <c r="C422" s="147" t="str">
        <f>IFERROR(__xludf.DUMMYFUNCTION("""COMPUTED_VALUE"""),"10.1111--j.1467-9280.2008.02053.x.pdf")</f>
        <v>10.1111--j.1467-9280.2008.02053.x.pdf</v>
      </c>
      <c r="D422" s="147" t="str">
        <f>IFERROR(__xludf.DUMMYFUNCTION("""COMPUTED_VALUE"""),"application/pdf")</f>
        <v>application/pdf</v>
      </c>
    </row>
    <row r="423">
      <c r="A423" s="147" t="str">
        <f>IFERROR(__xludf.DUMMYFUNCTION("""COMPUTED_VALUE"""),"10.1111/j.1467-9280.2008.02086.x")</f>
        <v>10.1111/j.1467-9280.2008.02086.x</v>
      </c>
      <c r="B423" s="453" t="str">
        <f>IFERROR(__xludf.DUMMYFUNCTION("""COMPUTED_VALUE"""),"https://drive.google.com/file/d/1hzFq7DQ4QBCZolqR2nSfUrSqTtmPYs3_/view?usp=drivesdk")</f>
        <v>https://drive.google.com/file/d/1hzFq7DQ4QBCZolqR2nSfUrSqTtmPYs3_/view?usp=drivesdk</v>
      </c>
      <c r="C423" s="147" t="str">
        <f>IFERROR(__xludf.DUMMYFUNCTION("""COMPUTED_VALUE"""),"10.1111--j.1467-9280.2008.02086.x.pdf")</f>
        <v>10.1111--j.1467-9280.2008.02086.x.pdf</v>
      </c>
      <c r="D423" s="147" t="str">
        <f>IFERROR(__xludf.DUMMYFUNCTION("""COMPUTED_VALUE"""),"application/pdf")</f>
        <v>application/pdf</v>
      </c>
    </row>
    <row r="424">
      <c r="A424" s="147" t="str">
        <f>IFERROR(__xludf.DUMMYFUNCTION("""COMPUTED_VALUE"""),"10.1111/j.1467-9280.2008.02077.x")</f>
        <v>10.1111/j.1467-9280.2008.02077.x</v>
      </c>
      <c r="B424" s="453" t="str">
        <f>IFERROR(__xludf.DUMMYFUNCTION("""COMPUTED_VALUE"""),"https://drive.google.com/file/d/1WwYYCOA_x1mX6TzeKfrhq1RdbnoCXoh0/view?usp=drivesdk")</f>
        <v>https://drive.google.com/file/d/1WwYYCOA_x1mX6TzeKfrhq1RdbnoCXoh0/view?usp=drivesdk</v>
      </c>
      <c r="C424" s="147" t="str">
        <f>IFERROR(__xludf.DUMMYFUNCTION("""COMPUTED_VALUE"""),"10.1111--j.1467-9280.2008.02077.x.pdf")</f>
        <v>10.1111--j.1467-9280.2008.02077.x.pdf</v>
      </c>
      <c r="D424" s="147" t="str">
        <f>IFERROR(__xludf.DUMMYFUNCTION("""COMPUTED_VALUE"""),"application/pdf")</f>
        <v>application/pdf</v>
      </c>
    </row>
    <row r="425">
      <c r="A425" s="147" t="str">
        <f>IFERROR(__xludf.DUMMYFUNCTION("""COMPUTED_VALUE"""),"10.1111/j.1467-9280.2008.02046.x")</f>
        <v>10.1111/j.1467-9280.2008.02046.x</v>
      </c>
      <c r="B425" s="453" t="str">
        <f>IFERROR(__xludf.DUMMYFUNCTION("""COMPUTED_VALUE"""),"https://drive.google.com/file/d/1WsASGCOfsob-mQCui8A8AumUCdwI1vZt/view?usp=drivesdk")</f>
        <v>https://drive.google.com/file/d/1WsASGCOfsob-mQCui8A8AumUCdwI1vZt/view?usp=drivesdk</v>
      </c>
      <c r="C425" s="147" t="str">
        <f>IFERROR(__xludf.DUMMYFUNCTION("""COMPUTED_VALUE"""),"10.1111--j.1467-9280.2008.02046.x.pdf")</f>
        <v>10.1111--j.1467-9280.2008.02046.x.pdf</v>
      </c>
      <c r="D425" s="147" t="str">
        <f>IFERROR(__xludf.DUMMYFUNCTION("""COMPUTED_VALUE"""),"application/pdf")</f>
        <v>application/pdf</v>
      </c>
    </row>
    <row r="426">
      <c r="A426" s="147" t="str">
        <f>IFERROR(__xludf.DUMMYFUNCTION("""COMPUTED_VALUE"""),"10.1111/j.1467-9280.2008.02069.x")</f>
        <v>10.1111/j.1467-9280.2008.02069.x</v>
      </c>
      <c r="B426" s="453" t="str">
        <f>IFERROR(__xludf.DUMMYFUNCTION("""COMPUTED_VALUE"""),"https://drive.google.com/file/d/1-STrPNxtwFZUvuNyyXDlz1bTmYscRd6t/view?usp=drivesdk")</f>
        <v>https://drive.google.com/file/d/1-STrPNxtwFZUvuNyyXDlz1bTmYscRd6t/view?usp=drivesdk</v>
      </c>
      <c r="C426" s="147" t="str">
        <f>IFERROR(__xludf.DUMMYFUNCTION("""COMPUTED_VALUE"""),"10.1111--j.1467-9280.2008.02069.x.pdf")</f>
        <v>10.1111--j.1467-9280.2008.02069.x.pdf</v>
      </c>
      <c r="D426" s="147" t="str">
        <f>IFERROR(__xludf.DUMMYFUNCTION("""COMPUTED_VALUE"""),"application/pdf")</f>
        <v>application/pdf</v>
      </c>
    </row>
    <row r="427">
      <c r="A427" s="147" t="str">
        <f>IFERROR(__xludf.DUMMYFUNCTION("""COMPUTED_VALUE"""),"10.1111/j.1467-9280.2008.02043.x")</f>
        <v>10.1111/j.1467-9280.2008.02043.x</v>
      </c>
      <c r="B427" s="453" t="str">
        <f>IFERROR(__xludf.DUMMYFUNCTION("""COMPUTED_VALUE"""),"https://drive.google.com/file/d/1VxdhYWAzQnqcs07E_QIp8DFonsZrBpYe/view?usp=drivesdk")</f>
        <v>https://drive.google.com/file/d/1VxdhYWAzQnqcs07E_QIp8DFonsZrBpYe/view?usp=drivesdk</v>
      </c>
      <c r="C427" s="147" t="str">
        <f>IFERROR(__xludf.DUMMYFUNCTION("""COMPUTED_VALUE"""),"10.1111--j.1467-9280.2008.02043.x.pdf")</f>
        <v>10.1111--j.1467-9280.2008.02043.x.pdf</v>
      </c>
      <c r="D427" s="147" t="str">
        <f>IFERROR(__xludf.DUMMYFUNCTION("""COMPUTED_VALUE"""),"application/pdf")</f>
        <v>application/pdf</v>
      </c>
    </row>
    <row r="428">
      <c r="A428" s="147" t="str">
        <f>IFERROR(__xludf.DUMMYFUNCTION("""COMPUTED_VALUE"""),"10.1111/j.1467-9280.2008.02089.x")</f>
        <v>10.1111/j.1467-9280.2008.02089.x</v>
      </c>
      <c r="B428" s="453" t="str">
        <f>IFERROR(__xludf.DUMMYFUNCTION("""COMPUTED_VALUE"""),"https://drive.google.com/file/d/1UOMf-snqsk6_xm9569d5Yr7tIrEVriap/view?usp=drivesdk")</f>
        <v>https://drive.google.com/file/d/1UOMf-snqsk6_xm9569d5Yr7tIrEVriap/view?usp=drivesdk</v>
      </c>
      <c r="C428" s="147" t="str">
        <f>IFERROR(__xludf.DUMMYFUNCTION("""COMPUTED_VALUE"""),"10.1111--j.1467-9280.2008.02089.x.pdf")</f>
        <v>10.1111--j.1467-9280.2008.02089.x.pdf</v>
      </c>
      <c r="D428" s="147" t="str">
        <f>IFERROR(__xludf.DUMMYFUNCTION("""COMPUTED_VALUE"""),"application/pdf")</f>
        <v>application/pdf</v>
      </c>
    </row>
    <row r="429">
      <c r="A429" s="147" t="str">
        <f>IFERROR(__xludf.DUMMYFUNCTION("""COMPUTED_VALUE"""),"10.1111/j.1467-9280.2008.02041.x")</f>
        <v>10.1111/j.1467-9280.2008.02041.x</v>
      </c>
      <c r="B429" s="453" t="str">
        <f>IFERROR(__xludf.DUMMYFUNCTION("""COMPUTED_VALUE"""),"https://drive.google.com/file/d/19KQFSemeD8gmmrYhmcTweZW1cifRjRsN/view?usp=drivesdk")</f>
        <v>https://drive.google.com/file/d/19KQFSemeD8gmmrYhmcTweZW1cifRjRsN/view?usp=drivesdk</v>
      </c>
      <c r="C429" s="147" t="str">
        <f>IFERROR(__xludf.DUMMYFUNCTION("""COMPUTED_VALUE"""),"10.1111--j.1467-9280.2008.02041.x.pdf")</f>
        <v>10.1111--j.1467-9280.2008.02041.x.pdf</v>
      </c>
      <c r="D429" s="147" t="str">
        <f>IFERROR(__xludf.DUMMYFUNCTION("""COMPUTED_VALUE"""),"application/pdf")</f>
        <v>application/pdf</v>
      </c>
    </row>
    <row r="430">
      <c r="A430" s="147" t="str">
        <f>IFERROR(__xludf.DUMMYFUNCTION("""COMPUTED_VALUE"""),"10.1111/j.1467-9280.2008.02057.x")</f>
        <v>10.1111/j.1467-9280.2008.02057.x</v>
      </c>
      <c r="B430" s="453" t="str">
        <f>IFERROR(__xludf.DUMMYFUNCTION("""COMPUTED_VALUE"""),"https://drive.google.com/file/d/1-SaG8WiDfkM6zwdVOonoQg1W2TXK8F2W/view?usp=drivesdk")</f>
        <v>https://drive.google.com/file/d/1-SaG8WiDfkM6zwdVOonoQg1W2TXK8F2W/view?usp=drivesdk</v>
      </c>
      <c r="C430" s="147" t="str">
        <f>IFERROR(__xludf.DUMMYFUNCTION("""COMPUTED_VALUE"""),"10.1111--j.1467-9280.2008.02057.x.pdf")</f>
        <v>10.1111--j.1467-9280.2008.02057.x.pdf</v>
      </c>
      <c r="D430" s="147" t="str">
        <f>IFERROR(__xludf.DUMMYFUNCTION("""COMPUTED_VALUE"""),"application/pdf")</f>
        <v>application/pdf</v>
      </c>
    </row>
    <row r="431">
      <c r="A431" s="147" t="str">
        <f>IFERROR(__xludf.DUMMYFUNCTION("""COMPUTED_VALUE"""),"10.1111/j.1467-9280.2008.02092.x")</f>
        <v>10.1111/j.1467-9280.2008.02092.x</v>
      </c>
      <c r="B431" s="453" t="str">
        <f>IFERROR(__xludf.DUMMYFUNCTION("""COMPUTED_VALUE"""),"https://drive.google.com/file/d/122eQrKxq-6WpHqYSHCbu_61qufpfQpP1/view?usp=drivesdk")</f>
        <v>https://drive.google.com/file/d/122eQrKxq-6WpHqYSHCbu_61qufpfQpP1/view?usp=drivesdk</v>
      </c>
      <c r="C431" s="147" t="str">
        <f>IFERROR(__xludf.DUMMYFUNCTION("""COMPUTED_VALUE"""),"10.1111--j.1467-9280.2008.02092.x.pdf")</f>
        <v>10.1111--j.1467-9280.2008.02092.x.pdf</v>
      </c>
      <c r="D431" s="147" t="str">
        <f>IFERROR(__xludf.DUMMYFUNCTION("""COMPUTED_VALUE"""),"application/pdf")</f>
        <v>application/pdf</v>
      </c>
    </row>
    <row r="432">
      <c r="A432" s="147" t="str">
        <f>IFERROR(__xludf.DUMMYFUNCTION("""COMPUTED_VALUE"""),"10.1111/j.1467-9280.2008.02075.x")</f>
        <v>10.1111/j.1467-9280.2008.02075.x</v>
      </c>
      <c r="B432" s="453" t="str">
        <f>IFERROR(__xludf.DUMMYFUNCTION("""COMPUTED_VALUE"""),"https://drive.google.com/file/d/1GJ1TkFgZk1zziaW-LwEzlbPoGlAfjX81/view?usp=drivesdk")</f>
        <v>https://drive.google.com/file/d/1GJ1TkFgZk1zziaW-LwEzlbPoGlAfjX81/view?usp=drivesdk</v>
      </c>
      <c r="C432" s="147" t="str">
        <f>IFERROR(__xludf.DUMMYFUNCTION("""COMPUTED_VALUE"""),"10.1111--j.1467-9280.2008.02075.x.pdf")</f>
        <v>10.1111--j.1467-9280.2008.02075.x.pdf</v>
      </c>
      <c r="D432" s="147" t="str">
        <f>IFERROR(__xludf.DUMMYFUNCTION("""COMPUTED_VALUE"""),"application/pdf")</f>
        <v>application/pdf</v>
      </c>
    </row>
    <row r="433">
      <c r="A433" s="147" t="str">
        <f>IFERROR(__xludf.DUMMYFUNCTION("""COMPUTED_VALUE"""),"10.1111/j.1467-9280.2008.02074.x")</f>
        <v>10.1111/j.1467-9280.2008.02074.x</v>
      </c>
      <c r="B433" s="453" t="str">
        <f>IFERROR(__xludf.DUMMYFUNCTION("""COMPUTED_VALUE"""),"https://drive.google.com/file/d/101cmDqz2Qax5SOrZCpFnyKsko_tw1UW3/view?usp=drivesdk")</f>
        <v>https://drive.google.com/file/d/101cmDqz2Qax5SOrZCpFnyKsko_tw1UW3/view?usp=drivesdk</v>
      </c>
      <c r="C433" s="147" t="str">
        <f>IFERROR(__xludf.DUMMYFUNCTION("""COMPUTED_VALUE"""),"10.1111--j.1467-9280.2008.02074.x.pdf")</f>
        <v>10.1111--j.1467-9280.2008.02074.x.pdf</v>
      </c>
      <c r="D433" s="147" t="str">
        <f>IFERROR(__xludf.DUMMYFUNCTION("""COMPUTED_VALUE"""),"application/pdf")</f>
        <v>application/pdf</v>
      </c>
    </row>
    <row r="434">
      <c r="A434" s="147" t="str">
        <f>IFERROR(__xludf.DUMMYFUNCTION("""COMPUTED_VALUE"""),"10.1111/j.1467-9280.2008.02078.x")</f>
        <v>10.1111/j.1467-9280.2008.02078.x</v>
      </c>
      <c r="B434" s="453" t="str">
        <f>IFERROR(__xludf.DUMMYFUNCTION("""COMPUTED_VALUE"""),"https://drive.google.com/file/d/1ytNNieBfW6njVZa_pFpdio4LUZmKmvXl/view?usp=drivesdk")</f>
        <v>https://drive.google.com/file/d/1ytNNieBfW6njVZa_pFpdio4LUZmKmvXl/view?usp=drivesdk</v>
      </c>
      <c r="C434" s="147" t="str">
        <f>IFERROR(__xludf.DUMMYFUNCTION("""COMPUTED_VALUE"""),"10.1111--j.1467-9280.2008.02078.x.pdf")</f>
        <v>10.1111--j.1467-9280.2008.02078.x.pdf</v>
      </c>
      <c r="D434" s="147" t="str">
        <f>IFERROR(__xludf.DUMMYFUNCTION("""COMPUTED_VALUE"""),"application/pdf")</f>
        <v>application/pdf</v>
      </c>
    </row>
    <row r="435">
      <c r="A435" s="147" t="str">
        <f>IFERROR(__xludf.DUMMYFUNCTION("""COMPUTED_VALUE"""),"10.1111/j.1467-9280.2008.02066.x")</f>
        <v>10.1111/j.1467-9280.2008.02066.x</v>
      </c>
      <c r="B435" s="453" t="str">
        <f>IFERROR(__xludf.DUMMYFUNCTION("""COMPUTED_VALUE"""),"https://drive.google.com/file/d/18ezWy7djA945zL8CbFQlhWO8EZS4wwS1/view?usp=drivesdk")</f>
        <v>https://drive.google.com/file/d/18ezWy7djA945zL8CbFQlhWO8EZS4wwS1/view?usp=drivesdk</v>
      </c>
      <c r="C435" s="147" t="str">
        <f>IFERROR(__xludf.DUMMYFUNCTION("""COMPUTED_VALUE"""),"10.1111--j.1467-9280.2008.02066.x.pdf")</f>
        <v>10.1111--j.1467-9280.2008.02066.x.pdf</v>
      </c>
      <c r="D435" s="147" t="str">
        <f>IFERROR(__xludf.DUMMYFUNCTION("""COMPUTED_VALUE"""),"application/pdf")</f>
        <v>application/pdf</v>
      </c>
    </row>
    <row r="436">
      <c r="A436" s="147" t="str">
        <f>IFERROR(__xludf.DUMMYFUNCTION("""COMPUTED_VALUE"""),"10.1111/j.1467-9280.2008.02083.x")</f>
        <v>10.1111/j.1467-9280.2008.02083.x</v>
      </c>
      <c r="B436" s="453" t="str">
        <f>IFERROR(__xludf.DUMMYFUNCTION("""COMPUTED_VALUE"""),"https://drive.google.com/file/d/19LNgQY4aAE8NOtLkCHGRPgEmv-PwUDkf/view?usp=drivesdk")</f>
        <v>https://drive.google.com/file/d/19LNgQY4aAE8NOtLkCHGRPgEmv-PwUDkf/view?usp=drivesdk</v>
      </c>
      <c r="C436" s="147" t="str">
        <f>IFERROR(__xludf.DUMMYFUNCTION("""COMPUTED_VALUE"""),"10.1111--j.1467-9280.2008.02083.x.pdf")</f>
        <v>10.1111--j.1467-9280.2008.02083.x.pdf</v>
      </c>
      <c r="D436" s="147" t="str">
        <f>IFERROR(__xludf.DUMMYFUNCTION("""COMPUTED_VALUE"""),"application/pdf")</f>
        <v>application/pdf</v>
      </c>
    </row>
    <row r="437">
      <c r="A437" s="147" t="str">
        <f>IFERROR(__xludf.DUMMYFUNCTION("""COMPUTED_VALUE"""),"10.1111/j.1467-9280.2008.02062.x")</f>
        <v>10.1111/j.1467-9280.2008.02062.x</v>
      </c>
      <c r="B437" s="453" t="str">
        <f>IFERROR(__xludf.DUMMYFUNCTION("""COMPUTED_VALUE"""),"https://drive.google.com/file/d/1mWHWKkVq6BilZwniJ1YPf3kKFnahjts7/view?usp=drivesdk")</f>
        <v>https://drive.google.com/file/d/1mWHWKkVq6BilZwniJ1YPf3kKFnahjts7/view?usp=drivesdk</v>
      </c>
      <c r="C437" s="147" t="str">
        <f>IFERROR(__xludf.DUMMYFUNCTION("""COMPUTED_VALUE"""),"10.1111--j.1467-9280.2008.02062.x.pdf")</f>
        <v>10.1111--j.1467-9280.2008.02062.x.pdf</v>
      </c>
      <c r="D437" s="147" t="str">
        <f>IFERROR(__xludf.DUMMYFUNCTION("""COMPUTED_VALUE"""),"application/pdf")</f>
        <v>application/pdf</v>
      </c>
    </row>
    <row r="438">
      <c r="A438" s="147" t="str">
        <f>IFERROR(__xludf.DUMMYFUNCTION("""COMPUTED_VALUE"""),"10.1111/j.1467-9280.2008.02063.x")</f>
        <v>10.1111/j.1467-9280.2008.02063.x</v>
      </c>
      <c r="B438" s="453" t="str">
        <f>IFERROR(__xludf.DUMMYFUNCTION("""COMPUTED_VALUE"""),"https://drive.google.com/file/d/1tPKLdTFqIGFW4cqhMZC7Yr25fvDeEOP4/view?usp=drivesdk")</f>
        <v>https://drive.google.com/file/d/1tPKLdTFqIGFW4cqhMZC7Yr25fvDeEOP4/view?usp=drivesdk</v>
      </c>
      <c r="C438" s="147" t="str">
        <f>IFERROR(__xludf.DUMMYFUNCTION("""COMPUTED_VALUE"""),"10.1111--j.1467-9280.2008.02063.x.pdf")</f>
        <v>10.1111--j.1467-9280.2008.02063.x.pdf</v>
      </c>
      <c r="D438" s="147" t="str">
        <f>IFERROR(__xludf.DUMMYFUNCTION("""COMPUTED_VALUE"""),"application/pdf")</f>
        <v>application/pdf</v>
      </c>
    </row>
    <row r="439">
      <c r="A439" s="147" t="str">
        <f>IFERROR(__xludf.DUMMYFUNCTION("""COMPUTED_VALUE"""),"10.1111/j.1467-9280.2008.02068.x")</f>
        <v>10.1111/j.1467-9280.2008.02068.x</v>
      </c>
      <c r="B439" s="453" t="str">
        <f>IFERROR(__xludf.DUMMYFUNCTION("""COMPUTED_VALUE"""),"https://drive.google.com/file/d/1vyO_YNL5gLoz0OBEYZ9kLrmMmH2YlP79/view?usp=drivesdk")</f>
        <v>https://drive.google.com/file/d/1vyO_YNL5gLoz0OBEYZ9kLrmMmH2YlP79/view?usp=drivesdk</v>
      </c>
      <c r="C439" s="147" t="str">
        <f>IFERROR(__xludf.DUMMYFUNCTION("""COMPUTED_VALUE"""),"10.1111--j.1467-9280.2008.02068.x.pdf")</f>
        <v>10.1111--j.1467-9280.2008.02068.x.pdf</v>
      </c>
      <c r="D439" s="147" t="str">
        <f>IFERROR(__xludf.DUMMYFUNCTION("""COMPUTED_VALUE"""),"application/pdf")</f>
        <v>application/pdf</v>
      </c>
    </row>
    <row r="440">
      <c r="A440" s="147" t="str">
        <f>IFERROR(__xludf.DUMMYFUNCTION("""COMPUTED_VALUE"""),"10.1111/j.1467-9280.2008.02048.x")</f>
        <v>10.1111/j.1467-9280.2008.02048.x</v>
      </c>
      <c r="B440" s="453" t="str">
        <f>IFERROR(__xludf.DUMMYFUNCTION("""COMPUTED_VALUE"""),"https://drive.google.com/file/d/1L7jIX4b7NUY2KcEEPpbjKM2uA4LiKxQQ/view?usp=drivesdk")</f>
        <v>https://drive.google.com/file/d/1L7jIX4b7NUY2KcEEPpbjKM2uA4LiKxQQ/view?usp=drivesdk</v>
      </c>
      <c r="C440" s="147" t="str">
        <f>IFERROR(__xludf.DUMMYFUNCTION("""COMPUTED_VALUE"""),"10.1111--j.1467-9280.2008.02048.x.pdf")</f>
        <v>10.1111--j.1467-9280.2008.02048.x.pdf</v>
      </c>
      <c r="D440" s="147" t="str">
        <f>IFERROR(__xludf.DUMMYFUNCTION("""COMPUTED_VALUE"""),"application/pdf")</f>
        <v>application/pdf</v>
      </c>
    </row>
    <row r="441">
      <c r="A441" s="147" t="str">
        <f>IFERROR(__xludf.DUMMYFUNCTION("""COMPUTED_VALUE"""),"10.1111/j.1467-9280.2008.02054.x")</f>
        <v>10.1111/j.1467-9280.2008.02054.x</v>
      </c>
      <c r="B441" s="453" t="str">
        <f>IFERROR(__xludf.DUMMYFUNCTION("""COMPUTED_VALUE"""),"https://drive.google.com/file/d/1TOZ9euIliRhkN1zDzYb6v8ankkIXs-ya/view?usp=drivesdk")</f>
        <v>https://drive.google.com/file/d/1TOZ9euIliRhkN1zDzYb6v8ankkIXs-ya/view?usp=drivesdk</v>
      </c>
      <c r="C441" s="147" t="str">
        <f>IFERROR(__xludf.DUMMYFUNCTION("""COMPUTED_VALUE"""),"10.1111--j.1467-9280.2008.02054.x.pdf")</f>
        <v>10.1111--j.1467-9280.2008.02054.x.pdf</v>
      </c>
      <c r="D441" s="147" t="str">
        <f>IFERROR(__xludf.DUMMYFUNCTION("""COMPUTED_VALUE"""),"application/pdf")</f>
        <v>application/pdf</v>
      </c>
    </row>
    <row r="442">
      <c r="A442" s="147" t="str">
        <f>IFERROR(__xludf.DUMMYFUNCTION("""COMPUTED_VALUE"""),"10.1037/a0014651")</f>
        <v>10.1037/a0014651</v>
      </c>
      <c r="B442" s="453" t="str">
        <f>IFERROR(__xludf.DUMMYFUNCTION("""COMPUTED_VALUE"""),"https://drive.google.com/file/d/1vwoFAupWbe8Bgv7842QySg1LaEqoDDe_/view?usp=drivesdk")</f>
        <v>https://drive.google.com/file/d/1vwoFAupWbe8Bgv7842QySg1LaEqoDDe_/view?usp=drivesdk</v>
      </c>
      <c r="C442" s="147" t="str">
        <f>IFERROR(__xludf.DUMMYFUNCTION("""COMPUTED_VALUE"""),"10.1037--a0014651.pdf")</f>
        <v>10.1037--a0014651.pdf</v>
      </c>
      <c r="D442" s="147" t="str">
        <f>IFERROR(__xludf.DUMMYFUNCTION("""COMPUTED_VALUE"""),"application/pdf")</f>
        <v>application/pdf</v>
      </c>
    </row>
    <row r="443">
      <c r="A443" s="147" t="str">
        <f>IFERROR(__xludf.DUMMYFUNCTION("""COMPUTED_VALUE"""),"10.1037/0022-3514.94.4.560")</f>
        <v>10.1037/0022-3514.94.4.560</v>
      </c>
      <c r="B443" s="453" t="str">
        <f>IFERROR(__xludf.DUMMYFUNCTION("""COMPUTED_VALUE"""),"https://drive.google.com/file/d/17-wgGNPZwtL6rEYJQatdPfEg3Zj4LlVp/view?usp=drivesdk")</f>
        <v>https://drive.google.com/file/d/17-wgGNPZwtL6rEYJQatdPfEg3Zj4LlVp/view?usp=drivesdk</v>
      </c>
      <c r="C443" s="147" t="str">
        <f>IFERROR(__xludf.DUMMYFUNCTION("""COMPUTED_VALUE"""),"10.1037--0022-3514.94.4.560.pdf")</f>
        <v>10.1037--0022-3514.94.4.560.pdf</v>
      </c>
      <c r="D443" s="147" t="str">
        <f>IFERROR(__xludf.DUMMYFUNCTION("""COMPUTED_VALUE"""),"application/pdf")</f>
        <v>application/pdf</v>
      </c>
    </row>
    <row r="444">
      <c r="A444" s="147" t="str">
        <f>IFERROR(__xludf.DUMMYFUNCTION("""COMPUTED_VALUE"""),"10.1080_0163853x.2024.2339738")</f>
        <v>10.1080_0163853x.2024.2339738</v>
      </c>
      <c r="B444" s="453" t="str">
        <f>IFERROR(__xludf.DUMMYFUNCTION("""COMPUTED_VALUE"""),"https://drive.google.com/file/d/1Jiqe2wOvjNTwwh15yI5l8MIejzUR62bQ/view?usp=drivesdk")</f>
        <v>https://drive.google.com/file/d/1Jiqe2wOvjNTwwh15yI5l8MIejzUR62bQ/view?usp=drivesdk</v>
      </c>
      <c r="C444" s="147" t="str">
        <f>IFERROR(__xludf.DUMMYFUNCTION("""COMPUTED_VALUE"""),"10.1080_0163853X.2024.2339738.pdf")</f>
        <v>10.1080_0163853X.2024.2339738.pdf</v>
      </c>
      <c r="D444" s="147" t="str">
        <f>IFERROR(__xludf.DUMMYFUNCTION("""COMPUTED_VALUE"""),"application/pdf")</f>
        <v>application/pdf</v>
      </c>
    </row>
    <row r="445">
      <c r="A445" s="147" t="str">
        <f>IFERROR(__xludf.DUMMYFUNCTION("""COMPUTED_VALUE"""),"10.1017_s0261444824000120")</f>
        <v>10.1017_s0261444824000120</v>
      </c>
      <c r="B445" s="453" t="str">
        <f>IFERROR(__xludf.DUMMYFUNCTION("""COMPUTED_VALUE"""),"https://drive.google.com/file/d/1O9o-IM6QAwdSD3z77TMTSt_bwseJOoxk/view?usp=drivesdk")</f>
        <v>https://drive.google.com/file/d/1O9o-IM6QAwdSD3z77TMTSt_bwseJOoxk/view?usp=drivesdk</v>
      </c>
      <c r="C445" s="147" t="str">
        <f>IFERROR(__xludf.DUMMYFUNCTION("""COMPUTED_VALUE"""),"10.1017_S0261444824000120.pdf")</f>
        <v>10.1017_S0261444824000120.pdf</v>
      </c>
      <c r="D445" s="147" t="str">
        <f>IFERROR(__xludf.DUMMYFUNCTION("""COMPUTED_VALUE"""),"application/pdf")</f>
        <v>application/pdf</v>
      </c>
    </row>
    <row r="446">
      <c r="A446" s="147" t="str">
        <f>IFERROR(__xludf.DUMMYFUNCTION("""COMPUTED_VALUE"""),"10.1007_s40732-024-00597-x")</f>
        <v>10.1007_s40732-024-00597-x</v>
      </c>
      <c r="B446" s="453" t="str">
        <f>IFERROR(__xludf.DUMMYFUNCTION("""COMPUTED_VALUE"""),"https://drive.google.com/file/d/1jEva3KZqbW-ONMklgs2Rg6dqi_PQzPiT/view?usp=drivesdk")</f>
        <v>https://drive.google.com/file/d/1jEva3KZqbW-ONMklgs2Rg6dqi_PQzPiT/view?usp=drivesdk</v>
      </c>
      <c r="C446" s="147" t="str">
        <f>IFERROR(__xludf.DUMMYFUNCTION("""COMPUTED_VALUE"""),"10.1007_s40732-024-00597-x.pdf")</f>
        <v>10.1007_s40732-024-00597-x.pdf</v>
      </c>
      <c r="D446" s="147" t="str">
        <f>IFERROR(__xludf.DUMMYFUNCTION("""COMPUTED_VALUE"""),"application/pdf")</f>
        <v>application/pdf</v>
      </c>
    </row>
    <row r="447">
      <c r="A447" s="147" t="str">
        <f>IFERROR(__xludf.DUMMYFUNCTION("""COMPUTED_VALUE"""),"10.1002_erv.3103")</f>
        <v>10.1002_erv.3103</v>
      </c>
      <c r="B447" s="453" t="str">
        <f>IFERROR(__xludf.DUMMYFUNCTION("""COMPUTED_VALUE"""),"https://drive.google.com/file/d/1regWIorXDhOmWYb_teCbaUslSpKLmqk8/view?usp=drivesdk")</f>
        <v>https://drive.google.com/file/d/1regWIorXDhOmWYb_teCbaUslSpKLmqk8/view?usp=drivesdk</v>
      </c>
      <c r="C447" s="147" t="str">
        <f>IFERROR(__xludf.DUMMYFUNCTION("""COMPUTED_VALUE"""),"10.1002_erv.3103.pdf")</f>
        <v>10.1002_erv.3103.pdf</v>
      </c>
      <c r="D447" s="147" t="str">
        <f>IFERROR(__xludf.DUMMYFUNCTION("""COMPUTED_VALUE"""),"application/pdf")</f>
        <v>application/pdf</v>
      </c>
    </row>
    <row r="448">
      <c r="A448" s="147" t="str">
        <f>IFERROR(__xludf.DUMMYFUNCTION("""COMPUTED_VALUE"""),"10.1017/pds.2024.14")</f>
        <v>10.1017/pds.2024.14</v>
      </c>
      <c r="B448" s="453" t="str">
        <f>IFERROR(__xludf.DUMMYFUNCTION("""COMPUTED_VALUE"""),"https://drive.google.com/file/d/14Gn77igqT7z48cFv6fyuoc9vsjaDleJT/view?usp=drivesdk")</f>
        <v>https://drive.google.com/file/d/14Gn77igqT7z48cFv6fyuoc9vsjaDleJT/view?usp=drivesdk</v>
      </c>
      <c r="C448" s="147" t="str">
        <f>IFERROR(__xludf.DUMMYFUNCTION("""COMPUTED_VALUE"""),"10.1017--pds.2024.14.pdf")</f>
        <v>10.1017--pds.2024.14.pdf</v>
      </c>
      <c r="D448" s="147" t="str">
        <f>IFERROR(__xludf.DUMMYFUNCTION("""COMPUTED_VALUE"""),"application/pdf")</f>
        <v>application/pdf</v>
      </c>
    </row>
    <row r="449">
      <c r="A449" s="147" t="str">
        <f>IFERROR(__xludf.DUMMYFUNCTION("""COMPUTED_VALUE"""),"10.1145/3649217.3653545")</f>
        <v>10.1145/3649217.3653545</v>
      </c>
      <c r="B449" s="453" t="str">
        <f>IFERROR(__xludf.DUMMYFUNCTION("""COMPUTED_VALUE"""),"https://drive.google.com/file/d/1AeJCeDtR27X7LIlQj69LZhU8lw_irjTZ/view?usp=drivesdk")</f>
        <v>https://drive.google.com/file/d/1AeJCeDtR27X7LIlQj69LZhU8lw_irjTZ/view?usp=drivesdk</v>
      </c>
      <c r="C449" s="147" t="str">
        <f>IFERROR(__xludf.DUMMYFUNCTION("""COMPUTED_VALUE"""),"10.1145--3649217.3653545.pdf")</f>
        <v>10.1145--3649217.3653545.pdf</v>
      </c>
      <c r="D449" s="147" t="str">
        <f>IFERROR(__xludf.DUMMYFUNCTION("""COMPUTED_VALUE"""),"application/pdf")</f>
        <v>application/pdf</v>
      </c>
    </row>
    <row r="450">
      <c r="A450" s="147" t="str">
        <f>IFERROR(__xludf.DUMMYFUNCTION("""COMPUTED_VALUE"""),"bischoff, m. (2024)")</f>
        <v>bischoff, m. (2024)</v>
      </c>
      <c r="B450" s="453" t="str">
        <f>IFERROR(__xludf.DUMMYFUNCTION("""COMPUTED_VALUE"""),"https://drive.google.com/file/d/1GrUOAhTHghIcwyEiFpklKuM_OleLXBcC/view?usp=drivesdk")</f>
        <v>https://drive.google.com/file/d/1GrUOAhTHghIcwyEiFpklKuM_OleLXBcC/view?usp=drivesdk</v>
      </c>
      <c r="C450" s="147" t="str">
        <f>IFERROR(__xludf.DUMMYFUNCTION("""COMPUTED_VALUE"""),"Bischoff, M. (2024).pdf")</f>
        <v>Bischoff, M. (2024).pdf</v>
      </c>
      <c r="D450" s="147" t="str">
        <f>IFERROR(__xludf.DUMMYFUNCTION("""COMPUTED_VALUE"""),"application/pdf")</f>
        <v>application/pdf</v>
      </c>
    </row>
    <row r="451">
      <c r="A451" s="147" t="str">
        <f>IFERROR(__xludf.DUMMYFUNCTION("""COMPUTED_VALUE"""),"10.31234/osf.ioesu9z")</f>
        <v>10.31234/osf.ioesu9z</v>
      </c>
      <c r="B451" s="453" t="str">
        <f>IFERROR(__xludf.DUMMYFUNCTION("""COMPUTED_VALUE"""),"https://drive.google.com/file/d/1W3AEU5DVdupmSq7M9uQdZobAM5ZqFYM0/view?usp=drivesdk")</f>
        <v>https://drive.google.com/file/d/1W3AEU5DVdupmSq7M9uQdZobAM5ZqFYM0/view?usp=drivesdk</v>
      </c>
      <c r="C451" s="147" t="str">
        <f>IFERROR(__xludf.DUMMYFUNCTION("""COMPUTED_VALUE"""),"10.31234--osf.ioesu9z.pdf")</f>
        <v>10.31234--osf.ioesu9z.pdf</v>
      </c>
      <c r="D451" s="147" t="str">
        <f>IFERROR(__xludf.DUMMYFUNCTION("""COMPUTED_VALUE"""),"application/pdf")</f>
        <v>application/pdf</v>
      </c>
    </row>
    <row r="452">
      <c r="A452" s="147" t="str">
        <f>IFERROR(__xludf.DUMMYFUNCTION("""COMPUTED_VALUE"""),"10.1111/padm.12860")</f>
        <v>10.1111/padm.12860</v>
      </c>
      <c r="B452" s="453" t="str">
        <f>IFERROR(__xludf.DUMMYFUNCTION("""COMPUTED_VALUE"""),"https://drive.google.com/file/d/1Zty8FHdgF4Nqed1S2bjomumBBiyC8Mfz/view?usp=drivesdk")</f>
        <v>https://drive.google.com/file/d/1Zty8FHdgF4Nqed1S2bjomumBBiyC8Mfz/view?usp=drivesdk</v>
      </c>
      <c r="C452" s="147" t="str">
        <f>IFERROR(__xludf.DUMMYFUNCTION("""COMPUTED_VALUE"""),"10.1111--padm.12860.pdf")</f>
        <v>10.1111--padm.12860.pdf</v>
      </c>
      <c r="D452" s="147" t="str">
        <f>IFERROR(__xludf.DUMMYFUNCTION("""COMPUTED_VALUE"""),"application/pdf")</f>
        <v>application/pdf</v>
      </c>
    </row>
    <row r="453">
      <c r="A453" s="147" t="str">
        <f>IFERROR(__xludf.DUMMYFUNCTION("""COMPUTED_VALUE"""),"10.1017/s0272263124000342")</f>
        <v>10.1017/s0272263124000342</v>
      </c>
      <c r="B453" s="453" t="str">
        <f>IFERROR(__xludf.DUMMYFUNCTION("""COMPUTED_VALUE"""),"https://drive.google.com/file/d/1fNwzy4f6SEAeVccICF8BD0SDAIH7uPVr/view?usp=drivesdk")</f>
        <v>https://drive.google.com/file/d/1fNwzy4f6SEAeVccICF8BD0SDAIH7uPVr/view?usp=drivesdk</v>
      </c>
      <c r="C453" s="147" t="str">
        <f>IFERROR(__xludf.DUMMYFUNCTION("""COMPUTED_VALUE"""),"10.1017--s0272263124000342.pdf")</f>
        <v>10.1017--s0272263124000342.pdf</v>
      </c>
      <c r="D453" s="147" t="str">
        <f>IFERROR(__xludf.DUMMYFUNCTION("""COMPUTED_VALUE"""),"application/pdf")</f>
        <v>application/pdf</v>
      </c>
    </row>
    <row r="454">
      <c r="A454" s="147" t="str">
        <f>IFERROR(__xludf.DUMMYFUNCTION("""COMPUTED_VALUE"""),"10.1007/s11251-024-09670-y")</f>
        <v>10.1007/s11251-024-09670-y</v>
      </c>
      <c r="B454" s="453" t="str">
        <f>IFERROR(__xludf.DUMMYFUNCTION("""COMPUTED_VALUE"""),"https://drive.google.com/file/d/1pi6g99iJYyhyD_0jGvDca_hbleDdekCp/view?usp=drivesdk")</f>
        <v>https://drive.google.com/file/d/1pi6g99iJYyhyD_0jGvDca_hbleDdekCp/view?usp=drivesdk</v>
      </c>
      <c r="C454" s="147" t="str">
        <f>IFERROR(__xludf.DUMMYFUNCTION("""COMPUTED_VALUE"""),"10.1007--s11251-024-09670-y.pdf")</f>
        <v>10.1007--s11251-024-09670-y.pdf</v>
      </c>
      <c r="D454" s="147" t="str">
        <f>IFERROR(__xludf.DUMMYFUNCTION("""COMPUTED_VALUE"""),"application/pdf")</f>
        <v>application/pdf</v>
      </c>
    </row>
    <row r="455">
      <c r="A455" s="147" t="str">
        <f>IFERROR(__xludf.DUMMYFUNCTION("""COMPUTED_VALUE"""),"10.12688/openreseurope.17749.1")</f>
        <v>10.12688/openreseurope.17749.1</v>
      </c>
      <c r="B455" s="453" t="str">
        <f>IFERROR(__xludf.DUMMYFUNCTION("""COMPUTED_VALUE"""),"https://drive.google.com/file/d/17sgB6ScmXf8Wli1_dKWf0wpvxkNJRZtC/view?usp=drivesdk")</f>
        <v>https://drive.google.com/file/d/17sgB6ScmXf8Wli1_dKWf0wpvxkNJRZtC/view?usp=drivesdk</v>
      </c>
      <c r="C455" s="147" t="str">
        <f>IFERROR(__xludf.DUMMYFUNCTION("""COMPUTED_VALUE"""),"10.12688--openreseurope.17749.1.pdf")</f>
        <v>10.12688--openreseurope.17749.1.pdf</v>
      </c>
      <c r="D455" s="147" t="str">
        <f>IFERROR(__xludf.DUMMYFUNCTION("""COMPUTED_VALUE"""),"application/pdf")</f>
        <v>application/pdf</v>
      </c>
    </row>
    <row r="456">
      <c r="A456" s="147" t="str">
        <f>IFERROR(__xludf.DUMMYFUNCTION("""COMPUTED_VALUE"""),"10.31234/osf.io/xr6bn")</f>
        <v>10.31234/osf.io/xr6bn</v>
      </c>
      <c r="B456" s="453" t="str">
        <f>IFERROR(__xludf.DUMMYFUNCTION("""COMPUTED_VALUE"""),"https://drive.google.com/file/d/1JQppLKOXxrmIyxFhDZtY85ZoIv_TVdh_/view?usp=drivesdk")</f>
        <v>https://drive.google.com/file/d/1JQppLKOXxrmIyxFhDZtY85ZoIv_TVdh_/view?usp=drivesdk</v>
      </c>
      <c r="C456" s="147" t="str">
        <f>IFERROR(__xludf.DUMMYFUNCTION("""COMPUTED_VALUE"""),"10.31234--osf.io--xr6bn.pdf")</f>
        <v>10.31234--osf.io--xr6bn.pdf</v>
      </c>
      <c r="D456" s="147" t="str">
        <f>IFERROR(__xludf.DUMMYFUNCTION("""COMPUTED_VALUE"""),"application/pdf")</f>
        <v>application/pdf</v>
      </c>
    </row>
    <row r="457">
      <c r="A457" s="147" t="str">
        <f>IFERROR(__xludf.DUMMYFUNCTION("""COMPUTED_VALUE"""),"10.20982/tqmp.20.1.r001")</f>
        <v>10.20982/tqmp.20.1.r001</v>
      </c>
      <c r="B457" s="453" t="str">
        <f>IFERROR(__xludf.DUMMYFUNCTION("""COMPUTED_VALUE"""),"https://drive.google.com/file/d/1vDgLj9eoT-VnSILsFHRQ12VvtSFTsWUV/view?usp=drivesdk")</f>
        <v>https://drive.google.com/file/d/1vDgLj9eoT-VnSILsFHRQ12VvtSFTsWUV/view?usp=drivesdk</v>
      </c>
      <c r="C457" s="147" t="str">
        <f>IFERROR(__xludf.DUMMYFUNCTION("""COMPUTED_VALUE"""),"10.20982--tqmp.20.1.r001.pdf")</f>
        <v>10.20982--tqmp.20.1.r001.pdf</v>
      </c>
      <c r="D457" s="147" t="str">
        <f>IFERROR(__xludf.DUMMYFUNCTION("""COMPUTED_VALUE"""),"application/pdf")</f>
        <v>application/pdf</v>
      </c>
    </row>
    <row r="458">
      <c r="A458" s="147" t="str">
        <f>IFERROR(__xludf.DUMMYFUNCTION("""COMPUTED_VALUE"""),"mendoza.2024")</f>
        <v>mendoza.2024</v>
      </c>
      <c r="B458" s="453" t="str">
        <f>IFERROR(__xludf.DUMMYFUNCTION("""COMPUTED_VALUE"""),"https://drive.google.com/file/d/1vapTuoFWQvT1qaSJqcvZzdcKGuZPcOor/view?usp=drivesdk")</f>
        <v>https://drive.google.com/file/d/1vapTuoFWQvT1qaSJqcvZzdcKGuZPcOor/view?usp=drivesdk</v>
      </c>
      <c r="C458" s="147" t="str">
        <f>IFERROR(__xludf.DUMMYFUNCTION("""COMPUTED_VALUE"""),"mendoza.2024.pdf")</f>
        <v>mendoza.2024.pdf</v>
      </c>
      <c r="D458" s="147" t="str">
        <f>IFERROR(__xludf.DUMMYFUNCTION("""COMPUTED_VALUE"""),"application/pdf")</f>
        <v>application/pdf</v>
      </c>
    </row>
    <row r="459">
      <c r="A459" s="147" t="str">
        <f>IFERROR(__xludf.DUMMYFUNCTION("""COMPUTED_VALUE"""),"10.1016/j.obhdp.2018.10.004")</f>
        <v>10.1016/j.obhdp.2018.10.004</v>
      </c>
      <c r="B459" s="453" t="str">
        <f>IFERROR(__xludf.DUMMYFUNCTION("""COMPUTED_VALUE"""),"https://drive.google.com/file/d/1_YiZ9ym1etIoqiYTErFO56HCfNn-rWNe/view?usp=drivesdk")</f>
        <v>https://drive.google.com/file/d/1_YiZ9ym1etIoqiYTErFO56HCfNn-rWNe/view?usp=drivesdk</v>
      </c>
      <c r="C459" s="147" t="str">
        <f>IFERROR(__xludf.DUMMYFUNCTION("""COMPUTED_VALUE"""),"10.1016--j.obhdp.2018.10.004.pdf")</f>
        <v>10.1016--j.obhdp.2018.10.004.pdf</v>
      </c>
      <c r="D459" s="147" t="str">
        <f>IFERROR(__xludf.DUMMYFUNCTION("""COMPUTED_VALUE"""),"application/pdf")</f>
        <v>application/pdf</v>
      </c>
    </row>
    <row r="460">
      <c r="A460" s="147" t="str">
        <f>IFERROR(__xludf.DUMMYFUNCTION("""COMPUTED_VALUE"""),"10.1038/s41467-024-46936-y")</f>
        <v>10.1038/s41467-024-46936-y</v>
      </c>
      <c r="B460" s="453" t="str">
        <f>IFERROR(__xludf.DUMMYFUNCTION("""COMPUTED_VALUE"""),"https://drive.google.com/file/d/1TJ6nnv7-YYGU9DUh1ApFGirYy6BbChHy/view?usp=drivesdk")</f>
        <v>https://drive.google.com/file/d/1TJ6nnv7-YYGU9DUh1ApFGirYy6BbChHy/view?usp=drivesdk</v>
      </c>
      <c r="C460" s="147" t="str">
        <f>IFERROR(__xludf.DUMMYFUNCTION("""COMPUTED_VALUE"""),"10.1038--s41467-024-46936-y.pdf")</f>
        <v>10.1038--s41467-024-46936-y.pdf</v>
      </c>
      <c r="D460" s="147" t="str">
        <f>IFERROR(__xludf.DUMMYFUNCTION("""COMPUTED_VALUE"""),"application/pdf")</f>
        <v>application/pdf</v>
      </c>
    </row>
    <row r="461">
      <c r="A461" s="147" t="str">
        <f>IFERROR(__xludf.DUMMYFUNCTION("""COMPUTED_VALUE"""),"10.1037/met0000650")</f>
        <v>10.1037/met0000650</v>
      </c>
      <c r="B461" s="453" t="str">
        <f>IFERROR(__xludf.DUMMYFUNCTION("""COMPUTED_VALUE"""),"https://drive.google.com/file/d/1VSCtSsv8HPQ12k-JKTjSEPJB-QhdOcwt/view?usp=drivesdk")</f>
        <v>https://drive.google.com/file/d/1VSCtSsv8HPQ12k-JKTjSEPJB-QhdOcwt/view?usp=drivesdk</v>
      </c>
      <c r="C461" s="147" t="str">
        <f>IFERROR(__xludf.DUMMYFUNCTION("""COMPUTED_VALUE"""),"10.1037--met0000650.pdf")</f>
        <v>10.1037--met0000650.pdf</v>
      </c>
      <c r="D461" s="147" t="str">
        <f>IFERROR(__xludf.DUMMYFUNCTION("""COMPUTED_VALUE"""),"application/pdf")</f>
        <v>application/pdf</v>
      </c>
    </row>
    <row r="462">
      <c r="A462" s="147" t="str">
        <f>IFERROR(__xludf.DUMMYFUNCTION("""COMPUTED_VALUE"""),"10.1007/s10826-019-01370-3")</f>
        <v>10.1007/s10826-019-01370-3</v>
      </c>
      <c r="B462" s="453" t="str">
        <f>IFERROR(__xludf.DUMMYFUNCTION("""COMPUTED_VALUE"""),"https://drive.google.com/file/d/1NONRrVPLj3_SNxu7Ptx53k4VBPMr7tIo/view?usp=drivesdk")</f>
        <v>https://drive.google.com/file/d/1NONRrVPLj3_SNxu7Ptx53k4VBPMr7tIo/view?usp=drivesdk</v>
      </c>
      <c r="C462" s="147" t="str">
        <f>IFERROR(__xludf.DUMMYFUNCTION("""COMPUTED_VALUE"""),"10.1007--s10826-019-01370-3.pdf")</f>
        <v>10.1007--s10826-019-01370-3.pdf</v>
      </c>
      <c r="D462" s="147" t="str">
        <f>IFERROR(__xludf.DUMMYFUNCTION("""COMPUTED_VALUE"""),"application/pdf")</f>
        <v>application/pdf</v>
      </c>
    </row>
    <row r="463">
      <c r="A463" s="147" t="str">
        <f>IFERROR(__xludf.DUMMYFUNCTION("""COMPUTED_VALUE"""),"10.1007/s40617-024-00933-1")</f>
        <v>10.1007/s40617-024-00933-1</v>
      </c>
      <c r="B463" s="453" t="str">
        <f>IFERROR(__xludf.DUMMYFUNCTION("""COMPUTED_VALUE"""),"https://drive.google.com/file/d/1LH5FS1-bb7IdYkCgO31BjONeTKWAtRQN/view?usp=drivesdk")</f>
        <v>https://drive.google.com/file/d/1LH5FS1-bb7IdYkCgO31BjONeTKWAtRQN/view?usp=drivesdk</v>
      </c>
      <c r="C463" s="147" t="str">
        <f>IFERROR(__xludf.DUMMYFUNCTION("""COMPUTED_VALUE"""),"10.1007--s40617-024-00933-1.pdf")</f>
        <v>10.1007--s40617-024-00933-1.pdf</v>
      </c>
      <c r="D463" s="147" t="str">
        <f>IFERROR(__xludf.DUMMYFUNCTION("""COMPUTED_VALUE"""),"application/pdf")</f>
        <v>application/pdf</v>
      </c>
    </row>
    <row r="464">
      <c r="A464" s="147" t="str">
        <f>IFERROR(__xludf.DUMMYFUNCTION("""COMPUTED_VALUE"""),"10.1016/s2215-0366(21)00241-8")</f>
        <v>10.1016/s2215-0366(21)00241-8</v>
      </c>
      <c r="B464" s="453" t="str">
        <f>IFERROR(__xludf.DUMMYFUNCTION("""COMPUTED_VALUE"""),"https://drive.google.com/file/d/1n-j6Aip_Ueqh39JoVXmnujoaVUR_DnRz/view?usp=drivesdk")</f>
        <v>https://drive.google.com/file/d/1n-j6Aip_Ueqh39JoVXmnujoaVUR_DnRz/view?usp=drivesdk</v>
      </c>
      <c r="C464" s="147" t="str">
        <f>IFERROR(__xludf.DUMMYFUNCTION("""COMPUTED_VALUE"""),"10.1016--S2215-0366(21)00241-8.pdf")</f>
        <v>10.1016--S2215-0366(21)00241-8.pdf</v>
      </c>
      <c r="D464" s="147" t="str">
        <f>IFERROR(__xludf.DUMMYFUNCTION("""COMPUTED_VALUE"""),"application/pdf")</f>
        <v>application/pdf</v>
      </c>
    </row>
    <row r="465">
      <c r="A465" s="147" t="str">
        <f>IFERROR(__xludf.DUMMYFUNCTION("""COMPUTED_VALUE"""),"10.1002/jaba.946")</f>
        <v>10.1002/jaba.946</v>
      </c>
      <c r="B465" s="453" t="str">
        <f>IFERROR(__xludf.DUMMYFUNCTION("""COMPUTED_VALUE"""),"https://drive.google.com/file/d/1bHfJ-3gEyIURBJhF8bZZGAbZGtPK135A/view?usp=drivesdk")</f>
        <v>https://drive.google.com/file/d/1bHfJ-3gEyIURBJhF8bZZGAbZGtPK135A/view?usp=drivesdk</v>
      </c>
      <c r="C465" s="147" t="str">
        <f>IFERROR(__xludf.DUMMYFUNCTION("""COMPUTED_VALUE"""),"10.1002--jaba.946.pdf")</f>
        <v>10.1002--jaba.946.pdf</v>
      </c>
      <c r="D465" s="147" t="str">
        <f>IFERROR(__xludf.DUMMYFUNCTION("""COMPUTED_VALUE"""),"application/pdf")</f>
        <v>application/pdf</v>
      </c>
    </row>
    <row r="466">
      <c r="A466" s="147" t="str">
        <f>IFERROR(__xludf.DUMMYFUNCTION("""COMPUTED_VALUE"""),"10.1038/s41467-018-06785-y")</f>
        <v>10.1038/s41467-018-06785-y</v>
      </c>
      <c r="B466" s="453" t="str">
        <f>IFERROR(__xludf.DUMMYFUNCTION("""COMPUTED_VALUE"""),"https://drive.google.com/file/d/15kKUsqyFArf82r6bAlXLuUVgHc1vD9sW/view?usp=drivesdk")</f>
        <v>https://drive.google.com/file/d/15kKUsqyFArf82r6bAlXLuUVgHc1vD9sW/view?usp=drivesdk</v>
      </c>
      <c r="C466" s="147" t="str">
        <f>IFERROR(__xludf.DUMMYFUNCTION("""COMPUTED_VALUE"""),"10.1038--s41467-018-06785-y.pdf")</f>
        <v>10.1038--s41467-018-06785-y.pdf</v>
      </c>
      <c r="D466" s="147" t="str">
        <f>IFERROR(__xludf.DUMMYFUNCTION("""COMPUTED_VALUE"""),"application/pdf")</f>
        <v>application/pdf</v>
      </c>
    </row>
    <row r="467">
      <c r="A467" s="147" t="str">
        <f>IFERROR(__xludf.DUMMYFUNCTION("""COMPUTED_VALUE"""),"10.26443/msurj.v19i1.231")</f>
        <v>10.26443/msurj.v19i1.231</v>
      </c>
      <c r="B467" s="453" t="str">
        <f>IFERROR(__xludf.DUMMYFUNCTION("""COMPUTED_VALUE"""),"https://drive.google.com/file/d/12ZFslJnsSmpbIBYf9YKunwP3Ofv14HZ-/view?usp=drivesdk")</f>
        <v>https://drive.google.com/file/d/12ZFslJnsSmpbIBYf9YKunwP3Ofv14HZ-/view?usp=drivesdk</v>
      </c>
      <c r="C467" s="147" t="str">
        <f>IFERROR(__xludf.DUMMYFUNCTION("""COMPUTED_VALUE"""),"10.26443--msurj.v19i1.231.pdf")</f>
        <v>10.26443--msurj.v19i1.231.pdf</v>
      </c>
      <c r="D467" s="147" t="str">
        <f>IFERROR(__xludf.DUMMYFUNCTION("""COMPUTED_VALUE"""),"application/pdf")</f>
        <v>application/pdf</v>
      </c>
    </row>
    <row r="468">
      <c r="A468" s="147" t="str">
        <f>IFERROR(__xludf.DUMMYFUNCTION("""COMPUTED_VALUE"""),"10.1037met0000511")</f>
        <v>10.1037met0000511</v>
      </c>
      <c r="B468" s="453" t="str">
        <f>IFERROR(__xludf.DUMMYFUNCTION("""COMPUTED_VALUE"""),"https://drive.google.com/file/d/1IPv_LwpOrSwgWFLNt3ih6B9kYGRsDgyd/view?usp=drivesdk")</f>
        <v>https://drive.google.com/file/d/1IPv_LwpOrSwgWFLNt3ih6B9kYGRsDgyd/view?usp=drivesdk</v>
      </c>
      <c r="C468" s="147" t="str">
        <f>IFERROR(__xludf.DUMMYFUNCTION("""COMPUTED_VALUE"""),"10.1037met0000511.pdf")</f>
        <v>10.1037met0000511.pdf</v>
      </c>
      <c r="D468" s="147" t="str">
        <f>IFERROR(__xludf.DUMMYFUNCTION("""COMPUTED_VALUE"""),"application/pdf")</f>
        <v>application/pdf</v>
      </c>
    </row>
    <row r="469">
      <c r="A469" s="147" t="str">
        <f>IFERROR(__xludf.DUMMYFUNCTION("""COMPUTED_VALUE"""),"10.1016j.jsp.2021.09.004")</f>
        <v>10.1016j.jsp.2021.09.004</v>
      </c>
      <c r="B469" s="453" t="str">
        <f>IFERROR(__xludf.DUMMYFUNCTION("""COMPUTED_VALUE"""),"https://drive.google.com/file/d/1unAIIiGopeKWxFHgWm5TahygDGPlH1Lj/view?usp=drivesdk")</f>
        <v>https://drive.google.com/file/d/1unAIIiGopeKWxFHgWm5TahygDGPlH1Lj/view?usp=drivesdk</v>
      </c>
      <c r="C469" s="147" t="str">
        <f>IFERROR(__xludf.DUMMYFUNCTION("""COMPUTED_VALUE"""),"10.1016j.jsp.2021.09.004.pdf")</f>
        <v>10.1016j.jsp.2021.09.004.pdf</v>
      </c>
      <c r="D469" s="147" t="str">
        <f>IFERROR(__xludf.DUMMYFUNCTION("""COMPUTED_VALUE"""),"application/pdf")</f>
        <v>application/pdf</v>
      </c>
    </row>
    <row r="470">
      <c r="A470" s="147" t="str">
        <f>IFERROR(__xludf.DUMMYFUNCTION("""COMPUTED_VALUE"""),"10.1111/fare.13030")</f>
        <v>10.1111/fare.13030</v>
      </c>
      <c r="B470" s="453" t="str">
        <f>IFERROR(__xludf.DUMMYFUNCTION("""COMPUTED_VALUE"""),"https://drive.google.com/file/d/1TGN_TAtoJI3jhMQTEG2wnN59FCyiXC2_/view?usp=drivesdk")</f>
        <v>https://drive.google.com/file/d/1TGN_TAtoJI3jhMQTEG2wnN59FCyiXC2_/view?usp=drivesdk</v>
      </c>
      <c r="C470" s="147" t="str">
        <f>IFERROR(__xludf.DUMMYFUNCTION("""COMPUTED_VALUE"""),"10.1111--fare.13030.pdf")</f>
        <v>10.1111--fare.13030.pdf</v>
      </c>
      <c r="D470" s="147" t="str">
        <f>IFERROR(__xludf.DUMMYFUNCTION("""COMPUTED_VALUE"""),"application/pdf")</f>
        <v>application/pdf</v>
      </c>
    </row>
    <row r="471">
      <c r="A471" s="147" t="str">
        <f>IFERROR(__xludf.DUMMYFUNCTION("""COMPUTED_VALUE"""),"10.31234/osf.io68jft")</f>
        <v>10.31234/osf.io68jft</v>
      </c>
      <c r="B471" s="453" t="str">
        <f>IFERROR(__xludf.DUMMYFUNCTION("""COMPUTED_VALUE"""),"https://drive.google.com/file/d/1mgxHY5rSLZY_EieaSS4LRUonj0GvrfQE/view?usp=drivesdk")</f>
        <v>https://drive.google.com/file/d/1mgxHY5rSLZY_EieaSS4LRUonj0GvrfQE/view?usp=drivesdk</v>
      </c>
      <c r="C471" s="147" t="str">
        <f>IFERROR(__xludf.DUMMYFUNCTION("""COMPUTED_VALUE"""),"10.31234--osf.io68jft.pdf")</f>
        <v>10.31234--osf.io68jft.pdf</v>
      </c>
      <c r="D471" s="147" t="str">
        <f>IFERROR(__xludf.DUMMYFUNCTION("""COMPUTED_VALUE"""),"application/pdf")</f>
        <v>application/pdf</v>
      </c>
    </row>
    <row r="472">
      <c r="A472" s="147" t="str">
        <f>IFERROR(__xludf.DUMMYFUNCTION("""COMPUTED_VALUE"""),"10.1111/famp.12997")</f>
        <v>10.1111/famp.12997</v>
      </c>
      <c r="B472" s="453" t="str">
        <f>IFERROR(__xludf.DUMMYFUNCTION("""COMPUTED_VALUE"""),"https://drive.google.com/file/d/1ULfnDtv84kgeFXRyMCCLbY1RRcrTQDB8/view?usp=drivesdk")</f>
        <v>https://drive.google.com/file/d/1ULfnDtv84kgeFXRyMCCLbY1RRcrTQDB8/view?usp=drivesdk</v>
      </c>
      <c r="C472" s="147" t="str">
        <f>IFERROR(__xludf.DUMMYFUNCTION("""COMPUTED_VALUE"""),"10.1111--famp.12997.pdf")</f>
        <v>10.1111--famp.12997.pdf</v>
      </c>
      <c r="D472" s="147" t="str">
        <f>IFERROR(__xludf.DUMMYFUNCTION("""COMPUTED_VALUE"""),"application/pdf")</f>
        <v>application/pdf</v>
      </c>
    </row>
    <row r="473">
      <c r="A473" s="147" t="str">
        <f>IFERROR(__xludf.DUMMYFUNCTION("""COMPUTED_VALUE"""),"10.1093/schbulsbae058")</f>
        <v>10.1093/schbulsbae058</v>
      </c>
      <c r="B473" s="453" t="str">
        <f>IFERROR(__xludf.DUMMYFUNCTION("""COMPUTED_VALUE"""),"https://drive.google.com/file/d/1RgKGmtfOeP7KPA-8BVD5JSSAaub2by_V/view?usp=drivesdk")</f>
        <v>https://drive.google.com/file/d/1RgKGmtfOeP7KPA-8BVD5JSSAaub2by_V/view?usp=drivesdk</v>
      </c>
      <c r="C473" s="147" t="str">
        <f>IFERROR(__xludf.DUMMYFUNCTION("""COMPUTED_VALUE"""),"10.1093--schbulsbae058.pdf")</f>
        <v>10.1093--schbulsbae058.pdf</v>
      </c>
      <c r="D473" s="147" t="str">
        <f>IFERROR(__xludf.DUMMYFUNCTION("""COMPUTED_VALUE"""),"application/pdf")</f>
        <v>application/pdf</v>
      </c>
    </row>
    <row r="474">
      <c r="A474" s="147" t="str">
        <f>IFERROR(__xludf.DUMMYFUNCTION("""COMPUTED_VALUE"""),"10.1016/j.paid.2024.112692")</f>
        <v>10.1016/j.paid.2024.112692</v>
      </c>
      <c r="B474" s="453" t="str">
        <f>IFERROR(__xludf.DUMMYFUNCTION("""COMPUTED_VALUE"""),"https://drive.google.com/file/d/1maMe58N1aLmqdBUtveOinCFDUWOh5rcE/view?usp=drivesdk")</f>
        <v>https://drive.google.com/file/d/1maMe58N1aLmqdBUtveOinCFDUWOh5rcE/view?usp=drivesdk</v>
      </c>
      <c r="C474" s="147" t="str">
        <f>IFERROR(__xludf.DUMMYFUNCTION("""COMPUTED_VALUE"""),"10.1016--j.paid.2024.112692.pdf")</f>
        <v>10.1016--j.paid.2024.112692.pdf</v>
      </c>
      <c r="D474" s="147" t="str">
        <f>IFERROR(__xludf.DUMMYFUNCTION("""COMPUTED_VALUE"""),"application/pdf")</f>
        <v>application/pdf</v>
      </c>
    </row>
    <row r="475">
      <c r="A475" s="147" t="str">
        <f>IFERROR(__xludf.DUMMYFUNCTION("""COMPUTED_VALUE"""),"10.1016/j.jsp.2024.101307")</f>
        <v>10.1016/j.jsp.2024.101307</v>
      </c>
      <c r="B475" s="453" t="str">
        <f>IFERROR(__xludf.DUMMYFUNCTION("""COMPUTED_VALUE"""),"https://drive.google.com/file/d/1VAdnhoiJmdHbv1LbvyIfcfg3rNALrpkj/view?usp=drivesdk")</f>
        <v>https://drive.google.com/file/d/1VAdnhoiJmdHbv1LbvyIfcfg3rNALrpkj/view?usp=drivesdk</v>
      </c>
      <c r="C475" s="147" t="str">
        <f>IFERROR(__xludf.DUMMYFUNCTION("""COMPUTED_VALUE"""),"10.1016--j.jsp.2024.101307.pdf")</f>
        <v>10.1016--j.jsp.2024.101307.pdf</v>
      </c>
      <c r="D475" s="147" t="str">
        <f>IFERROR(__xludf.DUMMYFUNCTION("""COMPUTED_VALUE"""),"application/pdf")</f>
        <v>application/pdf</v>
      </c>
    </row>
    <row r="476">
      <c r="A476" s="147" t="str">
        <f>IFERROR(__xludf.DUMMYFUNCTION("""COMPUTED_VALUE"""),"10.17605/osf.io/2zgf9")</f>
        <v>10.17605/osf.io/2zgf9</v>
      </c>
      <c r="B476" s="453" t="str">
        <f>IFERROR(__xludf.DUMMYFUNCTION("""COMPUTED_VALUE"""),"https://drive.google.com/file/d/15dLELTosbF1NWFYI0UOSPLIC70dnGG5S/view?usp=drivesdk")</f>
        <v>https://drive.google.com/file/d/15dLELTosbF1NWFYI0UOSPLIC70dnGG5S/view?usp=drivesdk</v>
      </c>
      <c r="C476" s="147" t="str">
        <f>IFERROR(__xludf.DUMMYFUNCTION("""COMPUTED_VALUE"""),"10.17605--OSF.IO--2ZGF9.pdf")</f>
        <v>10.17605--OSF.IO--2ZGF9.pdf</v>
      </c>
      <c r="D476" s="147" t="str">
        <f>IFERROR(__xludf.DUMMYFUNCTION("""COMPUTED_VALUE"""),"application/pdf")</f>
        <v>application/pdf</v>
      </c>
    </row>
    <row r="477">
      <c r="A477" s="147" t="str">
        <f>IFERROR(__xludf.DUMMYFUNCTION("""COMPUTED_VALUE"""),"10.17605/osf.io/e9d3k")</f>
        <v>10.17605/osf.io/e9d3k</v>
      </c>
      <c r="B477" s="453" t="str">
        <f>IFERROR(__xludf.DUMMYFUNCTION("""COMPUTED_VALUE"""),"https://drive.google.com/file/d/1VipPphabn-Kfe9AzHC0j5FX1Fqp3bd0q/view?usp=drivesdk")</f>
        <v>https://drive.google.com/file/d/1VipPphabn-Kfe9AzHC0j5FX1Fqp3bd0q/view?usp=drivesdk</v>
      </c>
      <c r="C477" s="147" t="str">
        <f>IFERROR(__xludf.DUMMYFUNCTION("""COMPUTED_VALUE"""),"10.17605--OSF.IO--E9D3K.pdf")</f>
        <v>10.17605--OSF.IO--E9D3K.pdf</v>
      </c>
      <c r="D477" s="147" t="str">
        <f>IFERROR(__xludf.DUMMYFUNCTION("""COMPUTED_VALUE"""),"application/pdf")</f>
        <v>application/pdf</v>
      </c>
    </row>
    <row r="478">
      <c r="A478" s="147" t="str">
        <f>IFERROR(__xludf.DUMMYFUNCTION("""COMPUTED_VALUE"""),"10.1111/j.1467-9280.2007.02004.x")</f>
        <v>10.1111/j.1467-9280.2007.02004.x</v>
      </c>
      <c r="B478" s="453" t="str">
        <f>IFERROR(__xludf.DUMMYFUNCTION("""COMPUTED_VALUE"""),"https://drive.google.com/file/d/15Wsn7yRLOjnPIu3oOYbA1lhbZIRp1-8K/view?usp=drivesdk")</f>
        <v>https://drive.google.com/file/d/15Wsn7yRLOjnPIu3oOYbA1lhbZIRp1-8K/view?usp=drivesdk</v>
      </c>
      <c r="C478" s="147" t="str">
        <f>IFERROR(__xludf.DUMMYFUNCTION("""COMPUTED_VALUE"""),"10.1111--j.1467-9280.2007.02004.x.pdf")</f>
        <v>10.1111--j.1467-9280.2007.02004.x.pdf</v>
      </c>
      <c r="D478" s="147" t="str">
        <f>IFERROR(__xludf.DUMMYFUNCTION("""COMPUTED_VALUE"""),"application/pdf")</f>
        <v>application/pdf</v>
      </c>
    </row>
    <row r="479">
      <c r="A479" s="147" t="str">
        <f>IFERROR(__xludf.DUMMYFUNCTION("""COMPUTED_VALUE"""),"10.2139/ssrn.2586261")</f>
        <v>10.2139/ssrn.2586261</v>
      </c>
      <c r="B479" s="453" t="str">
        <f>IFERROR(__xludf.DUMMYFUNCTION("""COMPUTED_VALUE"""),"https://drive.google.com/file/d/1H4h52o-2l4VeH6zifkEQWasrzj-Pi8k3/view?usp=drivesdk")</f>
        <v>https://drive.google.com/file/d/1H4h52o-2l4VeH6zifkEQWasrzj-Pi8k3/view?usp=drivesdk</v>
      </c>
      <c r="C479" s="147" t="str">
        <f>IFERROR(__xludf.DUMMYFUNCTION("""COMPUTED_VALUE"""),"10.2139--ssrn.2586261.pdf")</f>
        <v>10.2139--ssrn.2586261.pdf</v>
      </c>
      <c r="D479" s="147" t="str">
        <f>IFERROR(__xludf.DUMMYFUNCTION("""COMPUTED_VALUE"""),"application/pdf")</f>
        <v>application/pdf</v>
      </c>
    </row>
    <row r="480">
      <c r="A480" s="147" t="str">
        <f>IFERROR(__xludf.DUMMYFUNCTION("""COMPUTED_VALUE"""),"10.1111/j.1467-9280.2008.02061.x")</f>
        <v>10.1111/j.1467-9280.2008.02061.x</v>
      </c>
      <c r="B480" s="453" t="str">
        <f>IFERROR(__xludf.DUMMYFUNCTION("""COMPUTED_VALUE"""),"https://drive.google.com/file/d/140WKvPe6h8fNM79ffoPo5RX6uP0flGT4/view?usp=drivesdk")</f>
        <v>https://drive.google.com/file/d/140WKvPe6h8fNM79ffoPo5RX6uP0flGT4/view?usp=drivesdk</v>
      </c>
      <c r="C480" s="147" t="str">
        <f>IFERROR(__xludf.DUMMYFUNCTION("""COMPUTED_VALUE"""),"10.1111--j.1467-9280.2008.02061.x.pdf")</f>
        <v>10.1111--j.1467-9280.2008.02061.x.pdf</v>
      </c>
      <c r="D480" s="147" t="str">
        <f>IFERROR(__xludf.DUMMYFUNCTION("""COMPUTED_VALUE"""),"application/pdf")</f>
        <v>application/pdf</v>
      </c>
    </row>
    <row r="481">
      <c r="A481" s="147" t="str">
        <f>IFERROR(__xludf.DUMMYFUNCTION("""COMPUTED_VALUE"""),"10.1371/journal.pone.0096339")</f>
        <v>10.1371/journal.pone.0096339</v>
      </c>
      <c r="B481" s="453" t="str">
        <f>IFERROR(__xludf.DUMMYFUNCTION("""COMPUTED_VALUE"""),"https://drive.google.com/file/d/1gBBT6EBomzmICcRfzrG_6jxfvMnRuQIj/view?usp=drivesdk")</f>
        <v>https://drive.google.com/file/d/1gBBT6EBomzmICcRfzrG_6jxfvMnRuQIj/view?usp=drivesdk</v>
      </c>
      <c r="C481" s="147" t="str">
        <f>IFERROR(__xludf.DUMMYFUNCTION("""COMPUTED_VALUE"""),"10.1371--journal.pone.0096339.pdf")</f>
        <v>10.1371--journal.pone.0096339.pdf</v>
      </c>
      <c r="D481" s="147" t="str">
        <f>IFERROR(__xludf.DUMMYFUNCTION("""COMPUTED_VALUE"""),"application/pdf")</f>
        <v>application/pdf</v>
      </c>
    </row>
    <row r="482">
      <c r="A482" s="147" t="str">
        <f>IFERROR(__xludf.DUMMYFUNCTION("""COMPUTED_VALUE"""),"10.1002/bin.1659")</f>
        <v>10.1002/bin.1659</v>
      </c>
      <c r="B482" s="453" t="str">
        <f>IFERROR(__xludf.DUMMYFUNCTION("""COMPUTED_VALUE"""),"https://drive.google.com/file/d/1CxhrkeSaHBzp5T2m5mVKo0v0N9tNA96j/view?usp=drivesdk")</f>
        <v>https://drive.google.com/file/d/1CxhrkeSaHBzp5T2m5mVKo0v0N9tNA96j/view?usp=drivesdk</v>
      </c>
      <c r="C482" s="147" t="str">
        <f>IFERROR(__xludf.DUMMYFUNCTION("""COMPUTED_VALUE"""),"10.1002--bin.1659.pdf")</f>
        <v>10.1002--bin.1659.pdf</v>
      </c>
      <c r="D482" s="147" t="str">
        <f>IFERROR(__xludf.DUMMYFUNCTION("""COMPUTED_VALUE"""),"application/pdf")</f>
        <v>application/pdf</v>
      </c>
    </row>
    <row r="483">
      <c r="A483" s="147" t="str">
        <f>IFERROR(__xludf.DUMMYFUNCTION("""COMPUTED_VALUE"""),"10.1080/23273798.2020.1810292")</f>
        <v>10.1080/23273798.2020.1810292</v>
      </c>
      <c r="B483" s="453" t="str">
        <f>IFERROR(__xludf.DUMMYFUNCTION("""COMPUTED_VALUE"""),"https://drive.google.com/file/d/11NrpozUj6QEvSuPcqdy2reV2ZmG62r_Z/view?usp=drivesdk")</f>
        <v>https://drive.google.com/file/d/11NrpozUj6QEvSuPcqdy2reV2ZmG62r_Z/view?usp=drivesdk</v>
      </c>
      <c r="C483" s="147" t="str">
        <f>IFERROR(__xludf.DUMMYFUNCTION("""COMPUTED_VALUE"""),"10.1080--23273798.2020.1810292.pdf")</f>
        <v>10.1080--23273798.2020.1810292.pdf</v>
      </c>
      <c r="D483" s="147" t="str">
        <f>IFERROR(__xludf.DUMMYFUNCTION("""COMPUTED_VALUE"""),"application/pdf")</f>
        <v>application/pdf</v>
      </c>
    </row>
    <row r="484">
      <c r="A484" s="147" t="str">
        <f>IFERROR(__xludf.DUMMYFUNCTION("""COMPUTED_VALUE"""),"10.1080/23273798.2024.2337948")</f>
        <v>10.1080/23273798.2024.2337948</v>
      </c>
      <c r="B484" s="453" t="str">
        <f>IFERROR(__xludf.DUMMYFUNCTION("""COMPUTED_VALUE"""),"https://drive.google.com/file/d/1Aes0K1gD14f_6QAHkD9IPsvD4OgnIJ9K/view?usp=drivesdk")</f>
        <v>https://drive.google.com/file/d/1Aes0K1gD14f_6QAHkD9IPsvD4OgnIJ9K/view?usp=drivesdk</v>
      </c>
      <c r="C484" s="147" t="str">
        <f>IFERROR(__xludf.DUMMYFUNCTION("""COMPUTED_VALUE"""),"10.1080--23273798.2024.2337948.pdf")</f>
        <v>10.1080--23273798.2024.2337948.pdf</v>
      </c>
      <c r="D484" s="147" t="str">
        <f>IFERROR(__xludf.DUMMYFUNCTION("""COMPUTED_VALUE"""),"application/pdf")</f>
        <v>application/pdf</v>
      </c>
    </row>
    <row r="485">
      <c r="A485" s="147" t="str">
        <f>IFERROR(__xludf.DUMMYFUNCTION("""COMPUTED_VALUE"""),"10.1037/met0000511")</f>
        <v>10.1037/met0000511</v>
      </c>
      <c r="B485" s="453" t="str">
        <f>IFERROR(__xludf.DUMMYFUNCTION("""COMPUTED_VALUE"""),"https://drive.google.com/file/d/1S1BDaMkHx3KW3osHCgZU9COckw9P0yzi/view?usp=drivesdk")</f>
        <v>https://drive.google.com/file/d/1S1BDaMkHx3KW3osHCgZU9COckw9P0yzi/view?usp=drivesdk</v>
      </c>
      <c r="C485" s="147" t="str">
        <f>IFERROR(__xludf.DUMMYFUNCTION("""COMPUTED_VALUE"""),"10.1037--met0000511.pdf")</f>
        <v>10.1037--met0000511.pdf</v>
      </c>
      <c r="D485" s="147" t="str">
        <f>IFERROR(__xludf.DUMMYFUNCTION("""COMPUTED_VALUE"""),"application/pdf")</f>
        <v>application/pdf</v>
      </c>
    </row>
    <row r="486">
      <c r="A486" s="147" t="str">
        <f>IFERROR(__xludf.DUMMYFUNCTION("""COMPUTED_VALUE"""),"10.1016/j.jarmac.2021.08.001")</f>
        <v>10.1016/j.jarmac.2021.08.001</v>
      </c>
      <c r="B486" s="453" t="str">
        <f>IFERROR(__xludf.DUMMYFUNCTION("""COMPUTED_VALUE"""),"https://drive.google.com/file/d/11FrEIq8nBGRjHM8n6665RHudNtasAq_q/view?usp=drivesdk")</f>
        <v>https://drive.google.com/file/d/11FrEIq8nBGRjHM8n6665RHudNtasAq_q/view?usp=drivesdk</v>
      </c>
      <c r="C486" s="147" t="str">
        <f>IFERROR(__xludf.DUMMYFUNCTION("""COMPUTED_VALUE"""),"10.1016--j.jarmac.2021.08.001.pdf")</f>
        <v>10.1016--j.jarmac.2021.08.001.pdf</v>
      </c>
      <c r="D486" s="147" t="str">
        <f>IFERROR(__xludf.DUMMYFUNCTION("""COMPUTED_VALUE"""),"application/pdf")</f>
        <v>application/pdf</v>
      </c>
    </row>
    <row r="487">
      <c r="A487" s="147" t="str">
        <f>IFERROR(__xludf.DUMMYFUNCTION("""COMPUTED_VALUE"""),"10.1037/pspi0000109")</f>
        <v>10.1037/pspi0000109</v>
      </c>
      <c r="B487" s="453" t="str">
        <f>IFERROR(__xludf.DUMMYFUNCTION("""COMPUTED_VALUE"""),"https://drive.google.com/file/d/1DO937F2xhbz54X6xu8qtsy63K6O9mEYa/view?usp=drivesdk")</f>
        <v>https://drive.google.com/file/d/1DO937F2xhbz54X6xu8qtsy63K6O9mEYa/view?usp=drivesdk</v>
      </c>
      <c r="C487" s="147" t="str">
        <f>IFERROR(__xludf.DUMMYFUNCTION("""COMPUTED_VALUE"""),"10.1037--pspi0000109.pdf")</f>
        <v>10.1037--pspi0000109.pdf</v>
      </c>
      <c r="D487" s="147" t="str">
        <f>IFERROR(__xludf.DUMMYFUNCTION("""COMPUTED_VALUE"""),"application/pdf")</f>
        <v>application/pdf</v>
      </c>
    </row>
    <row r="488">
      <c r="A488" s="147" t="str">
        <f>IFERROR(__xludf.DUMMYFUNCTION("""COMPUTED_VALUE"""),"10.1002/acp.4202")</f>
        <v>10.1002/acp.4202</v>
      </c>
      <c r="B488" s="453" t="str">
        <f>IFERROR(__xludf.DUMMYFUNCTION("""COMPUTED_VALUE"""),"https://drive.google.com/file/d/1GpMdw7ZFDWpDIdg1IjCcxRYXmuDta-6_/view?usp=drivesdk")</f>
        <v>https://drive.google.com/file/d/1GpMdw7ZFDWpDIdg1IjCcxRYXmuDta-6_/view?usp=drivesdk</v>
      </c>
      <c r="C488" s="147" t="str">
        <f>IFERROR(__xludf.DUMMYFUNCTION("""COMPUTED_VALUE"""),"10.1002--acp.4202.pdf")</f>
        <v>10.1002--acp.4202.pdf</v>
      </c>
      <c r="D488" s="147" t="str">
        <f>IFERROR(__xludf.DUMMYFUNCTION("""COMPUTED_VALUE"""),"application/pdf")</f>
        <v>application/pdf</v>
      </c>
    </row>
    <row r="489">
      <c r="A489" s="147" t="str">
        <f>IFERROR(__xludf.DUMMYFUNCTION("""COMPUTED_VALUE"""),"10.1016j/jsp.2024.101307")</f>
        <v>10.1016j/jsp.2024.101307</v>
      </c>
      <c r="B489" s="453" t="str">
        <f>IFERROR(__xludf.DUMMYFUNCTION("""COMPUTED_VALUE"""),"https://drive.google.com/file/d/1OeY-k8G9PoOVwBC3kScmLaiAEl_Sb-3y/view?usp=drivesdk")</f>
        <v>https://drive.google.com/file/d/1OeY-k8G9PoOVwBC3kScmLaiAEl_Sb-3y/view?usp=drivesdk</v>
      </c>
      <c r="C489" s="147" t="str">
        <f>IFERROR(__xludf.DUMMYFUNCTION("""COMPUTED_VALUE"""),"10.1016j--jsp.2024.101307.pdf")</f>
        <v>10.1016j--jsp.2024.101307.pdf</v>
      </c>
      <c r="D489" s="147" t="str">
        <f>IFERROR(__xludf.DUMMYFUNCTION("""COMPUTED_VALUE"""),"application/pdf")</f>
        <v>application/pdf</v>
      </c>
    </row>
    <row r="490">
      <c r="A490" s="147" t="str">
        <f>IFERROR(__xludf.DUMMYFUNCTION("""COMPUTED_VALUE"""),"10.1016/j.jenvp.2022.101868")</f>
        <v>10.1016/j.jenvp.2022.101868</v>
      </c>
      <c r="B490" s="453" t="str">
        <f>IFERROR(__xludf.DUMMYFUNCTION("""COMPUTED_VALUE"""),"https://drive.google.com/file/d/1PO93PC_ps2XExqA6N_FX_WnXnQAPrB_Q/view?usp=drivesdk")</f>
        <v>https://drive.google.com/file/d/1PO93PC_ps2XExqA6N_FX_WnXnQAPrB_Q/view?usp=drivesdk</v>
      </c>
      <c r="C490" s="147" t="str">
        <f>IFERROR(__xludf.DUMMYFUNCTION("""COMPUTED_VALUE"""),"10.1016--j.jenvp.2022.101868.pdf")</f>
        <v>10.1016--j.jenvp.2022.101868.pdf</v>
      </c>
      <c r="D490" s="147" t="str">
        <f>IFERROR(__xludf.DUMMYFUNCTION("""COMPUTED_VALUE"""),"application/pdf")</f>
        <v>application/pdf</v>
      </c>
    </row>
    <row r="491">
      <c r="A491" s="147" t="str">
        <f>IFERROR(__xludf.DUMMYFUNCTION("""COMPUTED_VALUE"""),"10.1016/j.jsp.2021.09.004")</f>
        <v>10.1016/j.jsp.2021.09.004</v>
      </c>
      <c r="B491" s="453" t="str">
        <f>IFERROR(__xludf.DUMMYFUNCTION("""COMPUTED_VALUE"""),"https://drive.google.com/file/d/1RTiaFppoyqVSbs6ENCjo8xyaIVfjFhVI/view?usp=drivesdk")</f>
        <v>https://drive.google.com/file/d/1RTiaFppoyqVSbs6ENCjo8xyaIVfjFhVI/view?usp=drivesdk</v>
      </c>
      <c r="C491" s="147" t="str">
        <f>IFERROR(__xludf.DUMMYFUNCTION("""COMPUTED_VALUE"""),"10.1016--j.jsp.2021.09.004.pdf")</f>
        <v>10.1016--j.jsp.2021.09.004.pdf</v>
      </c>
      <c r="D491" s="147" t="str">
        <f>IFERROR(__xludf.DUMMYFUNCTION("""COMPUTED_VALUE"""),"application/pdf")</f>
        <v>application/pdf</v>
      </c>
    </row>
    <row r="492">
      <c r="A492" s="147" t="str">
        <f>IFERROR(__xludf.DUMMYFUNCTION("""COMPUTED_VALUE"""),"macias mendoza final 5.3.24 with cert")</f>
        <v>macias mendoza final 5.3.24 with cert</v>
      </c>
      <c r="B492" s="453" t="str">
        <f>IFERROR(__xludf.DUMMYFUNCTION("""COMPUTED_VALUE"""),"https://drive.google.com/file/d/1joizDIhyA_6v5iIxaJb92CDtUAqisiiG/view?usp=drivesdk")</f>
        <v>https://drive.google.com/file/d/1joizDIhyA_6v5iIxaJb92CDtUAqisiiG/view?usp=drivesdk</v>
      </c>
      <c r="C492" s="147" t="str">
        <f>IFERROR(__xludf.DUMMYFUNCTION("""COMPUTED_VALUE"""),"MACIAS MENDOZA FINAL 5.3.24 with cert.pdf")</f>
        <v>MACIAS MENDOZA FINAL 5.3.24 with cert.pdf</v>
      </c>
      <c r="D492" s="147" t="str">
        <f>IFERROR(__xludf.DUMMYFUNCTION("""COMPUTED_VALUE"""),"application/pdf")</f>
        <v>application/pdf</v>
      </c>
    </row>
    <row r="493">
      <c r="A493" s="147" t="str">
        <f>IFERROR(__xludf.DUMMYFUNCTION("""COMPUTED_VALUE"""),"10.1016/j.jenvp.2024.102289")</f>
        <v>10.1016/j.jenvp.2024.102289</v>
      </c>
      <c r="B493" s="453" t="str">
        <f>IFERROR(__xludf.DUMMYFUNCTION("""COMPUTED_VALUE"""),"https://drive.google.com/file/d/1y9Sta1A62b6o1louE7uCjU6m-n4q0e5j/view?usp=drivesdk")</f>
        <v>https://drive.google.com/file/d/1y9Sta1A62b6o1louE7uCjU6m-n4q0e5j/view?usp=drivesdk</v>
      </c>
      <c r="C493" s="147" t="str">
        <f>IFERROR(__xludf.DUMMYFUNCTION("""COMPUTED_VALUE"""),"10.1016--j.jenvp.2024.102289.pdf")</f>
        <v>10.1016--j.jenvp.2024.102289.pdf</v>
      </c>
      <c r="D493" s="147" t="str">
        <f>IFERROR(__xludf.DUMMYFUNCTION("""COMPUTED_VALUE"""),"application/pdf")</f>
        <v>application/pdf</v>
      </c>
    </row>
    <row r="494">
      <c r="A494" s="147" t="str">
        <f>IFERROR(__xludf.DUMMYFUNCTION("""COMPUTED_VALUE"""),"10.1111/j.1468-0068.2010.00795.x")</f>
        <v>10.1111/j.1468-0068.2010.00795.x</v>
      </c>
      <c r="B494" s="453" t="str">
        <f>IFERROR(__xludf.DUMMYFUNCTION("""COMPUTED_VALUE"""),"https://drive.google.com/file/d/1O4mjB0-ZSujMTJYtaAoIsXTPuhxgEF-0/view?usp=drivesdk")</f>
        <v>https://drive.google.com/file/d/1O4mjB0-ZSujMTJYtaAoIsXTPuhxgEF-0/view?usp=drivesdk</v>
      </c>
      <c r="C494" s="147" t="str">
        <f>IFERROR(__xludf.DUMMYFUNCTION("""COMPUTED_VALUE"""),"10.1111--j.1468-0068.2010.00795.x.pdf")</f>
        <v>10.1111--j.1468-0068.2010.00795.x.pdf</v>
      </c>
      <c r="D494" s="147" t="str">
        <f>IFERROR(__xludf.DUMMYFUNCTION("""COMPUTED_VALUE"""),"application/pdf")</f>
        <v>application/pdf</v>
      </c>
    </row>
    <row r="495">
      <c r="A495" s="147" t="str">
        <f>IFERROR(__xludf.DUMMYFUNCTION("""COMPUTED_VALUE"""),"10.1002/jae.3082")</f>
        <v>10.1002/jae.3082</v>
      </c>
      <c r="B495" s="453" t="str">
        <f>IFERROR(__xludf.DUMMYFUNCTION("""COMPUTED_VALUE"""),"https://drive.google.com/file/d/1LvmKgU-0Swex9jXhSh89rVHkVzeNMucB/view?usp=drivesdk")</f>
        <v>https://drive.google.com/file/d/1LvmKgU-0Swex9jXhSh89rVHkVzeNMucB/view?usp=drivesdk</v>
      </c>
      <c r="C495" s="147" t="str">
        <f>IFERROR(__xludf.DUMMYFUNCTION("""COMPUTED_VALUE"""),"10.1002--jae.3082.pdf")</f>
        <v>10.1002--jae.3082.pdf</v>
      </c>
      <c r="D495" s="147" t="str">
        <f>IFERROR(__xludf.DUMMYFUNCTION("""COMPUTED_VALUE"""),"application/pdf")</f>
        <v>application/pdf</v>
      </c>
    </row>
    <row r="496">
      <c r="A496" s="147" t="str">
        <f>IFERROR(__xludf.DUMMYFUNCTION("""COMPUTED_VALUE"""),"10.3982/ecta12807")</f>
        <v>10.3982/ecta12807</v>
      </c>
      <c r="B496" s="453" t="str">
        <f>IFERROR(__xludf.DUMMYFUNCTION("""COMPUTED_VALUE"""),"https://drive.google.com/file/d/1MFrh4TN71i6T_XH6VvEuarZ-bkTQmkjp/view?usp=drivesdk")</f>
        <v>https://drive.google.com/file/d/1MFrh4TN71i6T_XH6VvEuarZ-bkTQmkjp/view?usp=drivesdk</v>
      </c>
      <c r="C496" s="147" t="str">
        <f>IFERROR(__xludf.DUMMYFUNCTION("""COMPUTED_VALUE"""),"10.3982--ECTA12807.pdf")</f>
        <v>10.3982--ECTA12807.pdf</v>
      </c>
      <c r="D496" s="147" t="str">
        <f>IFERROR(__xludf.DUMMYFUNCTION("""COMPUTED_VALUE"""),"application/pdf")</f>
        <v>application/pdf</v>
      </c>
    </row>
    <row r="497">
      <c r="A497" s="147" t="str">
        <f>IFERROR(__xludf.DUMMYFUNCTION("""COMPUTED_VALUE"""),"additional_studies91_r")</f>
        <v>additional_studies91_r</v>
      </c>
      <c r="B497" s="453" t="str">
        <f>IFERROR(__xludf.DUMMYFUNCTION("""COMPUTED_VALUE"""),"https://drive.google.com/file/d/1hPhF8KaBqw1LsUQzpj31fTYVbHPo1XfL/view?usp=drivesdk")</f>
        <v>https://drive.google.com/file/d/1hPhF8KaBqw1LsUQzpj31fTYVbHPo1XfL/view?usp=drivesdk</v>
      </c>
      <c r="C497" s="147" t="str">
        <f>IFERROR(__xludf.DUMMYFUNCTION("""COMPUTED_VALUE"""),"additional_studies91_r.pdf")</f>
        <v>additional_studies91_r.pdf</v>
      </c>
      <c r="D497" s="147" t="str">
        <f>IFERROR(__xludf.DUMMYFUNCTION("""COMPUTED_VALUE"""),"application/pdf")</f>
        <v>application/pdf</v>
      </c>
    </row>
    <row r="498">
      <c r="A498" s="147" t="str">
        <f>IFERROR(__xludf.DUMMYFUNCTION("""COMPUTED_VALUE"""),"10.51548/joctec-2021-016")</f>
        <v>10.51548/joctec-2021-016</v>
      </c>
      <c r="B498" s="453" t="str">
        <f>IFERROR(__xludf.DUMMYFUNCTION("""COMPUTED_VALUE"""),"https://drive.google.com/file/d/11B6RDsDdpDnOGVv1Bafc4t3LGTugpLfW/view?usp=drivesdk")</f>
        <v>https://drive.google.com/file/d/11B6RDsDdpDnOGVv1Bafc4t3LGTugpLfW/view?usp=drivesdk</v>
      </c>
      <c r="C498" s="147" t="str">
        <f>IFERROR(__xludf.DUMMYFUNCTION("""COMPUTED_VALUE"""),"10.51548--joctec-2021-016.pdf")</f>
        <v>10.51548--joctec-2021-016.pdf</v>
      </c>
      <c r="D498" s="147" t="str">
        <f>IFERROR(__xludf.DUMMYFUNCTION("""COMPUTED_VALUE"""),"application/pdf")</f>
        <v>application/pdf</v>
      </c>
    </row>
    <row r="499">
      <c r="A499" s="147" t="str">
        <f>IFERROR(__xludf.DUMMYFUNCTION("""COMPUTED_VALUE"""),"10.1080/13527266.2024.2376918")</f>
        <v>10.1080/13527266.2024.2376918</v>
      </c>
      <c r="B499" s="453" t="str">
        <f>IFERROR(__xludf.DUMMYFUNCTION("""COMPUTED_VALUE"""),"https://drive.google.com/file/d/1lBAeCGIckBPanOLBGZwhA7XjuahS_0Dx/view?usp=drivesdk")</f>
        <v>https://drive.google.com/file/d/1lBAeCGIckBPanOLBGZwhA7XjuahS_0Dx/view?usp=drivesdk</v>
      </c>
      <c r="C499" s="147" t="str">
        <f>IFERROR(__xludf.DUMMYFUNCTION("""COMPUTED_VALUE"""),"10.1080--13527266.2024.2376918.pdf")</f>
        <v>10.1080--13527266.2024.2376918.pdf</v>
      </c>
      <c r="D499" s="147" t="str">
        <f>IFERROR(__xludf.DUMMYFUNCTION("""COMPUTED_VALUE"""),"application/pdf")</f>
        <v>application/pdf</v>
      </c>
    </row>
    <row r="500">
      <c r="A500" s="147" t="str">
        <f>IFERROR(__xludf.DUMMYFUNCTION("""COMPUTED_VALUE"""),"10.1080/10496491.2022.2108189")</f>
        <v>10.1080/10496491.2022.2108189</v>
      </c>
      <c r="B500" s="453" t="str">
        <f>IFERROR(__xludf.DUMMYFUNCTION("""COMPUTED_VALUE"""),"https://drive.google.com/file/d/19vVZNnZqbHViA7ik9IZlctpt3T8O8e-i/view?usp=drivesdk")</f>
        <v>https://drive.google.com/file/d/19vVZNnZqbHViA7ik9IZlctpt3T8O8e-i/view?usp=drivesdk</v>
      </c>
      <c r="C500" s="147" t="str">
        <f>IFERROR(__xludf.DUMMYFUNCTION("""COMPUTED_VALUE"""),"10.1080--10496491.2022.2108189.pdf")</f>
        <v>10.1080--10496491.2022.2108189.pdf</v>
      </c>
      <c r="D500" s="147" t="str">
        <f>IFERROR(__xludf.DUMMYFUNCTION("""COMPUTED_VALUE"""),"application/pdf")</f>
        <v>application/pdf</v>
      </c>
    </row>
    <row r="501">
      <c r="A501" s="147" t="str">
        <f>IFERROR(__xludf.DUMMYFUNCTION("""COMPUTED_VALUE"""),"10.1093/applin/amae042")</f>
        <v>10.1093/applin/amae042</v>
      </c>
      <c r="B501" s="453" t="str">
        <f>IFERROR(__xludf.DUMMYFUNCTION("""COMPUTED_VALUE"""),"https://drive.google.com/file/d/1VIxHSn4IKzp_dw4xNX6RMxFlMFrB02Na/view?usp=drivesdk")</f>
        <v>https://drive.google.com/file/d/1VIxHSn4IKzp_dw4xNX6RMxFlMFrB02Na/view?usp=drivesdk</v>
      </c>
      <c r="C501" s="147" t="str">
        <f>IFERROR(__xludf.DUMMYFUNCTION("""COMPUTED_VALUE"""),"10.1093--applin--amae042.pdf")</f>
        <v>10.1093--applin--amae042.pdf</v>
      </c>
      <c r="D501" s="147" t="str">
        <f>IFERROR(__xludf.DUMMYFUNCTION("""COMPUTED_VALUE"""),"application/pdf")</f>
        <v>application/pdf</v>
      </c>
    </row>
    <row r="502">
      <c r="A502" s="147" t="str">
        <f>IFERROR(__xludf.DUMMYFUNCTION("""COMPUTED_VALUE"""),"10.1075/jslp.22013.tel")</f>
        <v>10.1075/jslp.22013.tel</v>
      </c>
      <c r="B502" s="453" t="str">
        <f>IFERROR(__xludf.DUMMYFUNCTION("""COMPUTED_VALUE"""),"https://drive.google.com/file/d/1UoK9lGyVfG2aSVu9UX62d1KXmmkZeMsj/view?usp=drivesdk")</f>
        <v>https://drive.google.com/file/d/1UoK9lGyVfG2aSVu9UX62d1KXmmkZeMsj/view?usp=drivesdk</v>
      </c>
      <c r="C502" s="147" t="str">
        <f>IFERROR(__xludf.DUMMYFUNCTION("""COMPUTED_VALUE"""),"10.1075--jslp.22013.tel.pdf")</f>
        <v>10.1075--jslp.22013.tel.pdf</v>
      </c>
      <c r="D502" s="147" t="str">
        <f>IFERROR(__xludf.DUMMYFUNCTION("""COMPUTED_VALUE"""),"application/pdf")</f>
        <v>application/pdf</v>
      </c>
    </row>
    <row r="503">
      <c r="A503" s="147" t="str">
        <f>IFERROR(__xludf.DUMMYFUNCTION("""COMPUTED_VALUE"""),"10.18718/81781.35")</f>
        <v>10.18718/81781.35</v>
      </c>
      <c r="B503" s="453" t="str">
        <f>IFERROR(__xludf.DUMMYFUNCTION("""COMPUTED_VALUE"""),"https://drive.google.com/file/d/1hacB1-iy_tRTIgneV_Ee01qxYKx_hi62/view?usp=drivesdk")</f>
        <v>https://drive.google.com/file/d/1hacB1-iy_tRTIgneV_Ee01qxYKx_hi62/view?usp=drivesdk</v>
      </c>
      <c r="C503" s="147" t="str">
        <f>IFERROR(__xludf.DUMMYFUNCTION("""COMPUTED_VALUE"""),"10.18718--81781.35.pdf")</f>
        <v>10.18718--81781.35.pdf</v>
      </c>
      <c r="D503" s="147" t="str">
        <f>IFERROR(__xludf.DUMMYFUNCTION("""COMPUTED_VALUE"""),"application/pdf")</f>
        <v>application/pdf</v>
      </c>
    </row>
    <row r="504">
      <c r="A504" s="147" t="str">
        <f>IFERROR(__xludf.DUMMYFUNCTION("""COMPUTED_VALUE"""),"10.1073/pnas.2015539118 ")</f>
        <v>10.1073/pnas.2015539118 </v>
      </c>
      <c r="B504" s="453" t="str">
        <f>IFERROR(__xludf.DUMMYFUNCTION("""COMPUTED_VALUE"""),"https://drive.google.com/file/d/1AkVoo6DTN5LfJVPCR5Qb6og7b_WTwQNJ/view?usp=drivesdk")</f>
        <v>https://drive.google.com/file/d/1AkVoo6DTN5LfJVPCR5Qb6og7b_WTwQNJ/view?usp=drivesdk</v>
      </c>
      <c r="C504" s="147" t="str">
        <f>IFERROR(__xludf.DUMMYFUNCTION("""COMPUTED_VALUE"""),"10.1073--pnas.2015539118 .pdf")</f>
        <v>10.1073--pnas.2015539118 .pdf</v>
      </c>
      <c r="D504" s="147" t="str">
        <f>IFERROR(__xludf.DUMMYFUNCTION("""COMPUTED_VALUE"""),"application/pdf")</f>
        <v>application/pdf</v>
      </c>
    </row>
    <row r="505">
      <c r="A505" s="147" t="str">
        <f>IFERROR(__xludf.DUMMYFUNCTION("""COMPUTED_VALUE"""),"10.1002/jaba.1098")</f>
        <v>10.1002/jaba.1098</v>
      </c>
      <c r="B505" s="453" t="str">
        <f>IFERROR(__xludf.DUMMYFUNCTION("""COMPUTED_VALUE"""),"https://drive.google.com/file/d/14qlQgDUVz3KRZQVXwZQMkCR0K1msJHmK/view?usp=drivesdk")</f>
        <v>https://drive.google.com/file/d/14qlQgDUVz3KRZQVXwZQMkCR0K1msJHmK/view?usp=drivesdk</v>
      </c>
      <c r="C505" s="147" t="str">
        <f>IFERROR(__xludf.DUMMYFUNCTION("""COMPUTED_VALUE"""),"10.1002--jaba.1098.pdf")</f>
        <v>10.1002--jaba.1098.pdf</v>
      </c>
      <c r="D505" s="147" t="str">
        <f>IFERROR(__xludf.DUMMYFUNCTION("""COMPUTED_VALUE"""),"application/pdf")</f>
        <v>application/pdf</v>
      </c>
    </row>
    <row r="506">
      <c r="A506" s="147" t="str">
        <f>IFERROR(__xludf.DUMMYFUNCTION("""COMPUTED_VALUE"""),"10.1002/jaba.968")</f>
        <v>10.1002/jaba.968</v>
      </c>
      <c r="B506" s="453" t="str">
        <f>IFERROR(__xludf.DUMMYFUNCTION("""COMPUTED_VALUE"""),"https://drive.google.com/file/d/1_lgC5OmIfmdyPUatcoMBb50JoLNHFpBH/view?usp=drivesdk")</f>
        <v>https://drive.google.com/file/d/1_lgC5OmIfmdyPUatcoMBb50JoLNHFpBH/view?usp=drivesdk</v>
      </c>
      <c r="C506" s="147" t="str">
        <f>IFERROR(__xludf.DUMMYFUNCTION("""COMPUTED_VALUE"""),"10.1002--jaba.968.pdf")</f>
        <v>10.1002--jaba.968.pdf</v>
      </c>
      <c r="D506" s="147" t="str">
        <f>IFERROR(__xludf.DUMMYFUNCTION("""COMPUTED_VALUE"""),"application/pdf")</f>
        <v>application/pdf</v>
      </c>
    </row>
    <row r="507">
      <c r="A507" s="147" t="str">
        <f>IFERROR(__xludf.DUMMYFUNCTION("""COMPUTED_VALUE"""),"10.31234/osf.io/xjaty")</f>
        <v>10.31234/osf.io/xjaty</v>
      </c>
      <c r="B507" s="453" t="str">
        <f>IFERROR(__xludf.DUMMYFUNCTION("""COMPUTED_VALUE"""),"https://drive.google.com/file/d/1DMMXxQwzUbOxshIWiT8AwdGZ588_WZ8b/view?usp=drivesdk")</f>
        <v>https://drive.google.com/file/d/1DMMXxQwzUbOxshIWiT8AwdGZ588_WZ8b/view?usp=drivesdk</v>
      </c>
      <c r="C507" s="147" t="str">
        <f>IFERROR(__xludf.DUMMYFUNCTION("""COMPUTED_VALUE"""),"10.31234--osf.io--xjaty.pdf")</f>
        <v>10.31234--osf.io--xjaty.pdf</v>
      </c>
      <c r="D507" s="147" t="str">
        <f>IFERROR(__xludf.DUMMYFUNCTION("""COMPUTED_VALUE"""),"application/pdf")</f>
        <v>application/pdf</v>
      </c>
    </row>
    <row r="508">
      <c r="A508" s="147" t="str">
        <f>IFERROR(__xludf.DUMMYFUNCTION("""COMPUTED_VALUE"""),"10.1038/s41586-022-04452-3")</f>
        <v>10.1038/s41586-022-04452-3</v>
      </c>
      <c r="B508" s="453" t="str">
        <f>IFERROR(__xludf.DUMMYFUNCTION("""COMPUTED_VALUE"""),"https://drive.google.com/file/d/1Dle9tBaQJnicGTbi-WNIWZLHBhpRMBFu/view?usp=drivesdk")</f>
        <v>https://drive.google.com/file/d/1Dle9tBaQJnicGTbi-WNIWZLHBhpRMBFu/view?usp=drivesdk</v>
      </c>
      <c r="C508" s="147" t="str">
        <f>IFERROR(__xludf.DUMMYFUNCTION("""COMPUTED_VALUE"""),"10.1038--s41586-022-04452-3.pdf")</f>
        <v>10.1038--s41586-022-04452-3.pdf</v>
      </c>
      <c r="D508" s="147" t="str">
        <f>IFERROR(__xludf.DUMMYFUNCTION("""COMPUTED_VALUE"""),"application/pdf")</f>
        <v>application/pdf</v>
      </c>
    </row>
    <row r="509">
      <c r="A509" s="147" t="str">
        <f>IFERROR(__xludf.DUMMYFUNCTION("""COMPUTED_VALUE"""),"10.31234/osf.io/jfmsz")</f>
        <v>10.31234/osf.io/jfmsz</v>
      </c>
      <c r="B509" s="453" t="str">
        <f>IFERROR(__xludf.DUMMYFUNCTION("""COMPUTED_VALUE"""),"https://drive.google.com/file/d/1VVeqTkEjSzuu9KSkYUb2Q1_BeFG8ZFes/view?usp=drivesdk")</f>
        <v>https://drive.google.com/file/d/1VVeqTkEjSzuu9KSkYUb2Q1_BeFG8ZFes/view?usp=drivesdk</v>
      </c>
      <c r="C509" s="147" t="str">
        <f>IFERROR(__xludf.DUMMYFUNCTION("""COMPUTED_VALUE"""),"10.31234--osf.io--jfmsz.pdf")</f>
        <v>10.31234--osf.io--jfmsz.pdf</v>
      </c>
      <c r="D509" s="147" t="str">
        <f>IFERROR(__xludf.DUMMYFUNCTION("""COMPUTED_VALUE"""),"application/pdf")</f>
        <v>application/pdf</v>
      </c>
    </row>
    <row r="510">
      <c r="A510" s="147" t="str">
        <f>IFERROR(__xludf.DUMMYFUNCTION("""COMPUTED_VALUE"""),"10.1073/pnas.2120668119")</f>
        <v>10.1073/pnas.2120668119</v>
      </c>
      <c r="B510" s="453" t="str">
        <f>IFERROR(__xludf.DUMMYFUNCTION("""COMPUTED_VALUE"""),"https://drive.google.com/file/d/1ANwIdy7vvKbUuPS6VZrKvVbqw28M1etr/view?usp=drivesdk")</f>
        <v>https://drive.google.com/file/d/1ANwIdy7vvKbUuPS6VZrKvVbqw28M1etr/view?usp=drivesdk</v>
      </c>
      <c r="C510" s="147" t="str">
        <f>IFERROR(__xludf.DUMMYFUNCTION("""COMPUTED_VALUE"""),"10.1073--pnas.2120668119.pdf")</f>
        <v>10.1073--pnas.2120668119.pdf</v>
      </c>
      <c r="D510" s="147" t="str">
        <f>IFERROR(__xludf.DUMMYFUNCTION("""COMPUTED_VALUE"""),"application/pdf")</f>
        <v>application/pdf</v>
      </c>
    </row>
    <row r="511">
      <c r="A511" s="147" t="str">
        <f>IFERROR(__xludf.DUMMYFUNCTION("""COMPUTED_VALUE"""),"10.37237/150205")</f>
        <v>10.37237/150205</v>
      </c>
      <c r="B511" s="453" t="str">
        <f>IFERROR(__xludf.DUMMYFUNCTION("""COMPUTED_VALUE"""),"https://drive.google.com/file/d/1mAgtvtRNwI_LQ2ccnmAWuBfkaX8itu_d/view?usp=drivesdk")</f>
        <v>https://drive.google.com/file/d/1mAgtvtRNwI_LQ2ccnmAWuBfkaX8itu_d/view?usp=drivesdk</v>
      </c>
      <c r="C511" s="147" t="str">
        <f>IFERROR(__xludf.DUMMYFUNCTION("""COMPUTED_VALUE"""),"10.37237--150205.pdf")</f>
        <v>10.37237--150205.pdf</v>
      </c>
      <c r="D511" s="147" t="str">
        <f>IFERROR(__xludf.DUMMYFUNCTION("""COMPUTED_VALUE"""),"application/pdf")</f>
        <v>application/pdf</v>
      </c>
    </row>
    <row r="512">
      <c r="A512" s="147" t="str">
        <f>IFERROR(__xludf.DUMMYFUNCTION("""COMPUTED_VALUE"""),"10.37237/relay/010204")</f>
        <v>10.37237/relay/010204</v>
      </c>
      <c r="B512" s="453" t="str">
        <f>IFERROR(__xludf.DUMMYFUNCTION("""COMPUTED_VALUE"""),"https://drive.google.com/file/d/1bQdPG6N4D0o1pKlwFaURIS3ouXnJPLk2/view?usp=drivesdk")</f>
        <v>https://drive.google.com/file/d/1bQdPG6N4D0o1pKlwFaURIS3ouXnJPLk2/view?usp=drivesdk</v>
      </c>
      <c r="C512" s="147" t="str">
        <f>IFERROR(__xludf.DUMMYFUNCTION("""COMPUTED_VALUE"""),"10.37237--relay--010204.pdf")</f>
        <v>10.37237--relay--010204.pdf</v>
      </c>
      <c r="D512" s="147" t="str">
        <f>IFERROR(__xludf.DUMMYFUNCTION("""COMPUTED_VALUE"""),"application/pdf")</f>
        <v>application/pdf</v>
      </c>
    </row>
    <row r="513">
      <c r="A513" s="147" t="str">
        <f>IFERROR(__xludf.DUMMYFUNCTION("""COMPUTED_VALUE"""),"10.1007/s11150-021-09593-4")</f>
        <v>10.1007/s11150-021-09593-4</v>
      </c>
      <c r="B513" s="453" t="str">
        <f>IFERROR(__xludf.DUMMYFUNCTION("""COMPUTED_VALUE"""),"https://drive.google.com/file/d/1IfVJze_D0VNVGP0qGB9jOH8T88AinA4X/view?usp=drivesdk")</f>
        <v>https://drive.google.com/file/d/1IfVJze_D0VNVGP0qGB9jOH8T88AinA4X/view?usp=drivesdk</v>
      </c>
      <c r="C513" s="147" t="str">
        <f>IFERROR(__xludf.DUMMYFUNCTION("""COMPUTED_VALUE"""),"10.1007--s11150-021-09593-4.pdf")</f>
        <v>10.1007--s11150-021-09593-4.pdf</v>
      </c>
      <c r="D513" s="147" t="str">
        <f>IFERROR(__xludf.DUMMYFUNCTION("""COMPUTED_VALUE"""),"application/pdf")</f>
        <v>application/pdf</v>
      </c>
    </row>
    <row r="514">
      <c r="A514" s="147" t="str">
        <f>IFERROR(__xludf.DUMMYFUNCTION("""COMPUTED_VALUE"""),"10.1073/pnas.2218961120")</f>
        <v>10.1073/pnas.2218961120</v>
      </c>
      <c r="B514" s="453" t="str">
        <f>IFERROR(__xludf.DUMMYFUNCTION("""COMPUTED_VALUE"""),"https://drive.google.com/file/d/1y96i0hMyOppZ0ZOc68SfdS2QELKNre-8/view?usp=drivesdk")</f>
        <v>https://drive.google.com/file/d/1y96i0hMyOppZ0ZOc68SfdS2QELKNre-8/view?usp=drivesdk</v>
      </c>
      <c r="C514" s="147" t="str">
        <f>IFERROR(__xludf.DUMMYFUNCTION("""COMPUTED_VALUE"""),"10.1073--pnas.2218961120.pdf")</f>
        <v>10.1073--pnas.2218961120.pdf</v>
      </c>
      <c r="D514" s="147" t="str">
        <f>IFERROR(__xludf.DUMMYFUNCTION("""COMPUTED_VALUE"""),"application/pdf")</f>
        <v>application/pdf</v>
      </c>
    </row>
    <row r="515">
      <c r="A515" s="147" t="str">
        <f>IFERROR(__xludf.DUMMYFUNCTION("""COMPUTED_VALUE"""),"10.1073/pnas.2402315121")</f>
        <v>10.1073/pnas.2402315121</v>
      </c>
      <c r="B515" s="453" t="str">
        <f>IFERROR(__xludf.DUMMYFUNCTION("""COMPUTED_VALUE"""),"https://drive.google.com/file/d/1Mxrn43qE4Nlk4SUVbyTVjT4uEEPF5pZu/view?usp=drivesdk")</f>
        <v>https://drive.google.com/file/d/1Mxrn43qE4Nlk4SUVbyTVjT4uEEPF5pZu/view?usp=drivesdk</v>
      </c>
      <c r="C515" s="147" t="str">
        <f>IFERROR(__xludf.DUMMYFUNCTION("""COMPUTED_VALUE"""),"10.1073--pnas.2402315121.pdf")</f>
        <v>10.1073--pnas.2402315121.pdf</v>
      </c>
      <c r="D515" s="147" t="str">
        <f>IFERROR(__xludf.DUMMYFUNCTION("""COMPUTED_VALUE"""),"application/pdf")</f>
        <v>application/pdf</v>
      </c>
    </row>
    <row r="516">
      <c r="A516" s="147" t="str">
        <f>IFERROR(__xludf.DUMMYFUNCTION("""COMPUTED_VALUE"""),"10.1073/pnas.2218961120 sapp")</f>
        <v>10.1073/pnas.2218961120 sapp</v>
      </c>
      <c r="B516" s="453" t="str">
        <f>IFERROR(__xludf.DUMMYFUNCTION("""COMPUTED_VALUE"""),"https://drive.google.com/file/d/1FFPuywkjnJ2hCvl_bCDbo0AuVlwdfYGa/view?usp=drivesdk")</f>
        <v>https://drive.google.com/file/d/1FFPuywkjnJ2hCvl_bCDbo0AuVlwdfYGa/view?usp=drivesdk</v>
      </c>
      <c r="C516" s="147" t="str">
        <f>IFERROR(__xludf.DUMMYFUNCTION("""COMPUTED_VALUE"""),"10.1073--pnas.2218961120 SAPP.pdf")</f>
        <v>10.1073--pnas.2218961120 SAPP.pdf</v>
      </c>
      <c r="D516" s="147" t="str">
        <f>IFERROR(__xludf.DUMMYFUNCTION("""COMPUTED_VALUE"""),"application/pdf")</f>
        <v>application/pdf</v>
      </c>
    </row>
    <row r="517">
      <c r="A517" s="147" t="str">
        <f>IFERROR(__xludf.DUMMYFUNCTION("""COMPUTED_VALUE"""),"10.1073/pnas.2402315121 sapp")</f>
        <v>10.1073/pnas.2402315121 sapp</v>
      </c>
      <c r="B517" s="453" t="str">
        <f>IFERROR(__xludf.DUMMYFUNCTION("""COMPUTED_VALUE"""),"https://drive.google.com/file/d/12TiI13PmR3BQm4y9CSAIab7_hjQIonUH/view?usp=drivesdk")</f>
        <v>https://drive.google.com/file/d/12TiI13PmR3BQm4y9CSAIab7_hjQIonUH/view?usp=drivesdk</v>
      </c>
      <c r="C517" s="147" t="str">
        <f>IFERROR(__xludf.DUMMYFUNCTION("""COMPUTED_VALUE"""),"10.1073--pnas.2402315121 SAPP.pdf")</f>
        <v>10.1073--pnas.2402315121 SAPP.pdf</v>
      </c>
      <c r="D517" s="147" t="str">
        <f>IFERROR(__xludf.DUMMYFUNCTION("""COMPUTED_VALUE"""),"application/pdf")</f>
        <v>application/pdf</v>
      </c>
    </row>
    <row r="518">
      <c r="A518" s="147" t="str">
        <f>IFERROR(__xludf.DUMMYFUNCTION("""COMPUTED_VALUE"""),"10.1016/j.jsams.2024.07.018")</f>
        <v>10.1016/j.jsams.2024.07.018</v>
      </c>
      <c r="B518" s="453" t="str">
        <f>IFERROR(__xludf.DUMMYFUNCTION("""COMPUTED_VALUE"""),"https://drive.google.com/file/d/1iWxdhqxc4T6twXLJR2WbGMzAHqB2cMPh/view?usp=drivesdk")</f>
        <v>https://drive.google.com/file/d/1iWxdhqxc4T6twXLJR2WbGMzAHqB2cMPh/view?usp=drivesdk</v>
      </c>
      <c r="C518" s="147" t="str">
        <f>IFERROR(__xludf.DUMMYFUNCTION("""COMPUTED_VALUE"""),"10.1016--j.jsams.2024.07.018.pdf")</f>
        <v>10.1016--j.jsams.2024.07.018.pdf</v>
      </c>
      <c r="D518" s="147" t="str">
        <f>IFERROR(__xludf.DUMMYFUNCTION("""COMPUTED_VALUE"""),"application/pdf")</f>
        <v>application/pdf</v>
      </c>
    </row>
    <row r="519">
      <c r="A519" s="147" t="str">
        <f>IFERROR(__xludf.DUMMYFUNCTION("""COMPUTED_VALUE"""),"10.1111/j.1467-9280.2006.01704.x")</f>
        <v>10.1111/j.1467-9280.2006.01704.x</v>
      </c>
      <c r="B519" s="453" t="str">
        <f>IFERROR(__xludf.DUMMYFUNCTION("""COMPUTED_VALUE"""),"https://drive.google.com/file/d/1-8o-L3-LBDg-R5swBEF53YfzOD1dWuZJ/view?usp=drivesdk")</f>
        <v>https://drive.google.com/file/d/1-8o-L3-LBDg-R5swBEF53YfzOD1dWuZJ/view?usp=drivesdk</v>
      </c>
      <c r="C519" s="147" t="str">
        <f>IFERROR(__xludf.DUMMYFUNCTION("""COMPUTED_VALUE"""),"10.1111--j.1467-9280.2006.01704.x.pdf")</f>
        <v>10.1111--j.1467-9280.2006.01704.x.pdf</v>
      </c>
      <c r="D519" s="147" t="str">
        <f>IFERROR(__xludf.DUMMYFUNCTION("""COMPUTED_VALUE"""),"application/pdf")</f>
        <v>application/pdf</v>
      </c>
    </row>
    <row r="520">
      <c r="A520" s="147" t="str">
        <f>IFERROR(__xludf.DUMMYFUNCTION("""COMPUTED_VALUE"""),"10.18718/81781.23")</f>
        <v>10.18718/81781.23</v>
      </c>
      <c r="B520" s="453" t="str">
        <f>IFERROR(__xludf.DUMMYFUNCTION("""COMPUTED_VALUE"""),"https://drive.google.com/file/d/1UFSIBKXNmPXd3__1cxrsTy9PbNax45wB/view?usp=drivesdk")</f>
        <v>https://drive.google.com/file/d/1UFSIBKXNmPXd3__1cxrsTy9PbNax45wB/view?usp=drivesdk</v>
      </c>
      <c r="C520" s="147" t="str">
        <f>IFERROR(__xludf.DUMMYFUNCTION("""COMPUTED_VALUE"""),"10.18718--81781.23.pdf")</f>
        <v>10.18718--81781.23.pdf</v>
      </c>
      <c r="D520" s="147" t="str">
        <f>IFERROR(__xludf.DUMMYFUNCTION("""COMPUTED_VALUE"""),"application/pdf")</f>
        <v>application/pdf</v>
      </c>
    </row>
    <row r="521">
      <c r="A521" s="147" t="str">
        <f>IFERROR(__xludf.DUMMYFUNCTION("""COMPUTED_VALUE"""),"10.17605/osf.io/j8a4p")</f>
        <v>10.17605/osf.io/j8a4p</v>
      </c>
      <c r="B521" s="453" t="str">
        <f>IFERROR(__xludf.DUMMYFUNCTION("""COMPUTED_VALUE"""),"https://drive.google.com/file/d/1Kwdqeb9S0RNT_hHV1vR81MPGAjymnUQq/view?usp=drivesdk")</f>
        <v>https://drive.google.com/file/d/1Kwdqeb9S0RNT_hHV1vR81MPGAjymnUQq/view?usp=drivesdk</v>
      </c>
      <c r="C521" s="147" t="str">
        <f>IFERROR(__xludf.DUMMYFUNCTION("""COMPUTED_VALUE"""),"10.17605--osf.io--j8a4p.pdf")</f>
        <v>10.17605--osf.io--j8a4p.pdf</v>
      </c>
      <c r="D521" s="147" t="str">
        <f>IFERROR(__xludf.DUMMYFUNCTION("""COMPUTED_VALUE"""),"application/pdf")</f>
        <v>application/pdf</v>
      </c>
    </row>
    <row r="522">
      <c r="A522" s="147" t="str">
        <f>IFERROR(__xludf.DUMMYFUNCTION("""COMPUTED_VALUE"""),"10.17605/osf.io/fmd75")</f>
        <v>10.17605/osf.io/fmd75</v>
      </c>
      <c r="B522" s="453" t="str">
        <f>IFERROR(__xludf.DUMMYFUNCTION("""COMPUTED_VALUE"""),"https://drive.google.com/file/d/1ricWbnnQ27T1O2HoAIXHZb1YA8sK8_s2/view?usp=drivesdk")</f>
        <v>https://drive.google.com/file/d/1ricWbnnQ27T1O2HoAIXHZb1YA8sK8_s2/view?usp=drivesdk</v>
      </c>
      <c r="C522" s="147" t="str">
        <f>IFERROR(__xludf.DUMMYFUNCTION("""COMPUTED_VALUE"""),"10.17605--osf.io--fmd75.pdf")</f>
        <v>10.17605--osf.io--fmd75.pdf</v>
      </c>
      <c r="D522" s="147" t="str">
        <f>IFERROR(__xludf.DUMMYFUNCTION("""COMPUTED_VALUE"""),"application/pdf")</f>
        <v>application/pdf</v>
      </c>
    </row>
    <row r="523">
      <c r="A523" s="453" t="str">
        <f>IFERROR(__xludf.DUMMYFUNCTION("""COMPUTED_VALUE"""),"10.1002/jeab.705")</f>
        <v>10.1002/jeab.705</v>
      </c>
      <c r="B523" s="453" t="str">
        <f>IFERROR(__xludf.DUMMYFUNCTION("""COMPUTED_VALUE"""),"https://drive.google.com/file/d/1hiobo976wpKGT4ybTmzucLhLBTnypf_I/view?usp=drivesdk")</f>
        <v>https://drive.google.com/file/d/1hiobo976wpKGT4ybTmzucLhLBTnypf_I/view?usp=drivesdk</v>
      </c>
      <c r="C523" s="147" t="str">
        <f>IFERROR(__xludf.DUMMYFUNCTION("""COMPUTED_VALUE"""),"10.1002--jeab.705.pdf")</f>
        <v>10.1002--jeab.705.pdf</v>
      </c>
      <c r="D523" s="147" t="str">
        <f>IFERROR(__xludf.DUMMYFUNCTION("""COMPUTED_VALUE"""),"application/pdf")</f>
        <v>application/pdf</v>
      </c>
    </row>
    <row r="524">
      <c r="A524" s="453" t="str">
        <f>IFERROR(__xludf.DUMMYFUNCTION("""COMPUTED_VALUE"""),"scholars.indianastate.eduetds/2136")</f>
        <v>scholars.indianastate.eduetds/2136</v>
      </c>
      <c r="B524" s="453" t="str">
        <f>IFERROR(__xludf.DUMMYFUNCTION("""COMPUTED_VALUE"""),"https://drive.google.com/file/d/1jZb-p-3Rc26saHcNX9fyKAs8ayXvLp_G/view?usp=drivesdk")</f>
        <v>https://drive.google.com/file/d/1jZb-p-3Rc26saHcNX9fyKAs8ayXvLp_G/view?usp=drivesdk</v>
      </c>
      <c r="C524" s="147" t="str">
        <f>IFERROR(__xludf.DUMMYFUNCTION("""COMPUTED_VALUE"""),"scholars.indianastate.eduetds--2136.pdf")</f>
        <v>scholars.indianastate.eduetds--2136.pdf</v>
      </c>
      <c r="D524" s="147" t="str">
        <f>IFERROR(__xludf.DUMMYFUNCTION("""COMPUTED_VALUE"""),"application/pdf")</f>
        <v>application/pdf</v>
      </c>
    </row>
    <row r="525">
      <c r="A525" s="453" t="str">
        <f>IFERROR(__xludf.DUMMYFUNCTION("""COMPUTED_VALUE"""),"10.1075/ijlcr.00046.ozk")</f>
        <v>10.1075/ijlcr.00046.ozk</v>
      </c>
      <c r="B525" s="453" t="str">
        <f>IFERROR(__xludf.DUMMYFUNCTION("""COMPUTED_VALUE"""),"https://drive.google.com/file/d/1lyco4NN8QUadLrLaxT4tk2Kth7hjO4p_/view?usp=drivesdk")</f>
        <v>https://drive.google.com/file/d/1lyco4NN8QUadLrLaxT4tk2Kth7hjO4p_/view?usp=drivesdk</v>
      </c>
      <c r="C525" s="147" t="str">
        <f>IFERROR(__xludf.DUMMYFUNCTION("""COMPUTED_VALUE"""),"10.1075--ijlcr.00046.ozk.pdf")</f>
        <v>10.1075--ijlcr.00046.ozk.pdf</v>
      </c>
      <c r="D525" s="147" t="str">
        <f>IFERROR(__xludf.DUMMYFUNCTION("""COMPUTED_VALUE"""),"application/pdf")</f>
        <v>application/pdf</v>
      </c>
    </row>
    <row r="526">
      <c r="A526" s="147" t="str">
        <f>IFERROR(__xludf.DUMMYFUNCTION("""COMPUTED_VALUE"""),"10.1002/jeab.915")</f>
        <v>10.1002/jeab.915</v>
      </c>
      <c r="B526" s="453" t="str">
        <f>IFERROR(__xludf.DUMMYFUNCTION("""COMPUTED_VALUE"""),"https://drive.google.com/file/d/1s7Xp1h565EAKnPa_0Zp3RnS0qmb4t53a/view?usp=drivesdk")</f>
        <v>https://drive.google.com/file/d/1s7Xp1h565EAKnPa_0Zp3RnS0qmb4t53a/view?usp=drivesdk</v>
      </c>
      <c r="C526" s="147" t="str">
        <f>IFERROR(__xludf.DUMMYFUNCTION("""COMPUTED_VALUE"""),"10.1002--jeab.915.pdf")</f>
        <v>10.1002--jeab.915.pdf</v>
      </c>
      <c r="D526" s="147" t="str">
        <f>IFERROR(__xludf.DUMMYFUNCTION("""COMPUTED_VALUE"""),"application/pdf")</f>
        <v>application/pdf</v>
      </c>
    </row>
    <row r="527">
      <c r="A527" s="453" t="str">
        <f>IFERROR(__xludf.DUMMYFUNCTION("""COMPUTED_VALUE"""),"thekeep.eiu.edu/theses/4783")</f>
        <v>thekeep.eiu.edu/theses/4783</v>
      </c>
      <c r="B527" s="453" t="str">
        <f>IFERROR(__xludf.DUMMYFUNCTION("""COMPUTED_VALUE"""),"https://drive.google.com/file/d/13W9ZIRuUntMYZ1V5eqz7utx5OSyGY3y3/view?usp=drivesdk")</f>
        <v>https://drive.google.com/file/d/13W9ZIRuUntMYZ1V5eqz7utx5OSyGY3y3/view?usp=drivesdk</v>
      </c>
      <c r="C527" s="147" t="str">
        <f>IFERROR(__xludf.DUMMYFUNCTION("""COMPUTED_VALUE"""),"thekeep.eiu.edu--theses--4783.pdf")</f>
        <v>thekeep.eiu.edu--theses--4783.pdf</v>
      </c>
      <c r="D527" s="147" t="str">
        <f>IFERROR(__xludf.DUMMYFUNCTION("""COMPUTED_VALUE"""),"application/pdf")</f>
        <v>application/pdf</v>
      </c>
    </row>
    <row r="528">
      <c r="A528" s="453" t="str">
        <f>IFERROR(__xludf.DUMMYFUNCTION("""COMPUTED_VALUE"""),"thekeep.eiu.edu/theses/5025")</f>
        <v>thekeep.eiu.edu/theses/5025</v>
      </c>
      <c r="B528" s="453" t="str">
        <f>IFERROR(__xludf.DUMMYFUNCTION("""COMPUTED_VALUE"""),"https://drive.google.com/file/d/1Fg206MUtjoN9d31kEAQ7bIDHvbUqwyGY/view?usp=drivesdk")</f>
        <v>https://drive.google.com/file/d/1Fg206MUtjoN9d31kEAQ7bIDHvbUqwyGY/view?usp=drivesdk</v>
      </c>
      <c r="C528" s="147" t="str">
        <f>IFERROR(__xludf.DUMMYFUNCTION("""COMPUTED_VALUE"""),"thekeep.eiu.edu--theses--5025.pdf")</f>
        <v>thekeep.eiu.edu--theses--5025.pdf</v>
      </c>
      <c r="D528" s="147" t="str">
        <f>IFERROR(__xludf.DUMMYFUNCTION("""COMPUTED_VALUE"""),"application/pdf")</f>
        <v>application/pdf</v>
      </c>
    </row>
    <row r="529">
      <c r="A529" s="453" t="str">
        <f>IFERROR(__xludf.DUMMYFUNCTION("""COMPUTED_VALUE"""),"aclanthology.org/2024.lrec-main.91")</f>
        <v>aclanthology.org/2024.lrec-main.91</v>
      </c>
      <c r="B529" s="453" t="str">
        <f>IFERROR(__xludf.DUMMYFUNCTION("""COMPUTED_VALUE"""),"https://drive.google.com/file/d/1tRSJ7nCc-S4z9k7Go2ucp_tmetdfTvik/view?usp=drivesdk")</f>
        <v>https://drive.google.com/file/d/1tRSJ7nCc-S4z9k7Go2ucp_tmetdfTvik/view?usp=drivesdk</v>
      </c>
      <c r="C529" s="147" t="str">
        <f>IFERROR(__xludf.DUMMYFUNCTION("""COMPUTED_VALUE"""),"aclanthology.org--2024.lrec-main.91.pdf")</f>
        <v>aclanthology.org--2024.lrec-main.91.pdf</v>
      </c>
      <c r="D529" s="147" t="str">
        <f>IFERROR(__xludf.DUMMYFUNCTION("""COMPUTED_VALUE"""),"application/pdf")</f>
        <v>application/pdf</v>
      </c>
    </row>
    <row r="530">
      <c r="A530" s="147" t="str">
        <f>IFERROR(__xludf.DUMMYFUNCTION("""COMPUTED_VALUE"""),"10.18653/v1/2023.acl-long.864")</f>
        <v>10.18653/v1/2023.acl-long.864</v>
      </c>
      <c r="B530" s="453" t="str">
        <f>IFERROR(__xludf.DUMMYFUNCTION("""COMPUTED_VALUE"""),"https://drive.google.com/file/d/14Tmk9XIOQYVh24x1jFR4QedpIbTx_n_e/view?usp=drivesdk")</f>
        <v>https://drive.google.com/file/d/14Tmk9XIOQYVh24x1jFR4QedpIbTx_n_e/view?usp=drivesdk</v>
      </c>
      <c r="C530" s="147" t="str">
        <f>IFERROR(__xludf.DUMMYFUNCTION("""COMPUTED_VALUE"""),"10.18653--v1--2023.acl-long.864.pdf")</f>
        <v>10.18653--v1--2023.acl-long.864.pdf</v>
      </c>
      <c r="D530" s="147" t="str">
        <f>IFERROR(__xludf.DUMMYFUNCTION("""COMPUTED_VALUE"""),"application/pdf")</f>
        <v>application/pdf</v>
      </c>
    </row>
    <row r="531">
      <c r="A531" s="147" t="str">
        <f>IFERROR(__xludf.DUMMYFUNCTION("""COMPUTED_VALUE"""),"10.1075/ijcl.19131.lar")</f>
        <v>10.1075/ijcl.19131.lar</v>
      </c>
      <c r="B531" s="453" t="str">
        <f>IFERROR(__xludf.DUMMYFUNCTION("""COMPUTED_VALUE"""),"https://drive.google.com/file/d/1L3C99-yf2u_ns_5h3EBhsSGtflOl3HOc/view?usp=drivesdk")</f>
        <v>https://drive.google.com/file/d/1L3C99-yf2u_ns_5h3EBhsSGtflOl3HOc/view?usp=drivesdk</v>
      </c>
      <c r="C531" s="147" t="str">
        <f>IFERROR(__xludf.DUMMYFUNCTION("""COMPUTED_VALUE"""),"10.1075--ijcl.19131.lar.pdf.pdf")</f>
        <v>10.1075--ijcl.19131.lar.pdf.pdf</v>
      </c>
      <c r="D531" s="147" t="str">
        <f>IFERROR(__xludf.DUMMYFUNCTION("""COMPUTED_VALUE"""),"application/pdf")</f>
        <v>application/pdf</v>
      </c>
    </row>
    <row r="532">
      <c r="A532" s="453" t="str">
        <f>IFERROR(__xludf.DUMMYFUNCTION("""COMPUTED_VALUE"""),"digitalcommons.memphis.edu/etd/3538")</f>
        <v>digitalcommons.memphis.edu/etd/3538</v>
      </c>
      <c r="B532" s="453" t="str">
        <f>IFERROR(__xludf.DUMMYFUNCTION("""COMPUTED_VALUE"""),"https://drive.google.com/file/d/1mh0lOHypF2E9Nk9sQ57YmqKyEOyrqka8/view?usp=drivesdk")</f>
        <v>https://drive.google.com/file/d/1mh0lOHypF2E9Nk9sQ57YmqKyEOyrqka8/view?usp=drivesdk</v>
      </c>
      <c r="C532" s="147" t="str">
        <f>IFERROR(__xludf.DUMMYFUNCTION("""COMPUTED_VALUE"""),"digitalcommons.memphis.edu--etd--3538.pdf")</f>
        <v>digitalcommons.memphis.edu--etd--3538.pdf</v>
      </c>
      <c r="D532" s="147" t="str">
        <f>IFERROR(__xludf.DUMMYFUNCTION("""COMPUTED_VALUE"""),"application/pdf")</f>
        <v>application/pdf</v>
      </c>
    </row>
    <row r="533">
      <c r="A533" s="453" t="str">
        <f>IFERROR(__xludf.DUMMYFUNCTION("""COMPUTED_VALUE"""),"b16ebd43-f83b-42c9-9996-adf6735845c1")</f>
        <v>b16ebd43-f83b-42c9-9996-adf6735845c1</v>
      </c>
      <c r="B533" s="453" t="str">
        <f>IFERROR(__xludf.DUMMYFUNCTION("""COMPUTED_VALUE"""),"https://drive.google.com/file/d/1hH6qE7kthoMhFZY570jnJq1nWfRd0uo-/view?usp=drivesdk")</f>
        <v>https://drive.google.com/file/d/1hH6qE7kthoMhFZY570jnJq1nWfRd0uo-/view?usp=drivesdk</v>
      </c>
      <c r="C533" s="147" t="str">
        <f>IFERROR(__xludf.DUMMYFUNCTION("""COMPUTED_VALUE"""),"b16ebd43-f83b-42c9-9996-adf6735845c1.pdf")</f>
        <v>b16ebd43-f83b-42c9-9996-adf6735845c1.pdf</v>
      </c>
      <c r="D533" s="147" t="str">
        <f>IFERROR(__xludf.DUMMYFUNCTION("""COMPUTED_VALUE"""),"application/pdf")</f>
        <v>application/pdf</v>
      </c>
    </row>
    <row r="534">
      <c r="A534" s="147" t="str">
        <f>IFERROR(__xludf.DUMMYFUNCTION("""COMPUTED_VALUE"""),"10.1075/resla.17019.loz")</f>
        <v>10.1075/resla.17019.loz</v>
      </c>
      <c r="B534" s="453" t="str">
        <f>IFERROR(__xludf.DUMMYFUNCTION("""COMPUTED_VALUE"""),"https://drive.google.com/file/d/1h26KXyOgQpabChNDwArC5YlDBW4_cfve/view?usp=drivesdk")</f>
        <v>https://drive.google.com/file/d/1h26KXyOgQpabChNDwArC5YlDBW4_cfve/view?usp=drivesdk</v>
      </c>
      <c r="C534" s="147" t="str">
        <f>IFERROR(__xludf.DUMMYFUNCTION("""COMPUTED_VALUE"""),"10.1075--resla.17019.loz.pdf")</f>
        <v>10.1075--resla.17019.loz.pdf</v>
      </c>
      <c r="D534" s="147" t="str">
        <f>IFERROR(__xludf.DUMMYFUNCTION("""COMPUTED_VALUE"""),"application/pdf")</f>
        <v>application/pdf</v>
      </c>
    </row>
    <row r="535">
      <c r="A535" s="147" t="str">
        <f>IFERROR(__xludf.DUMMYFUNCTION("""COMPUTED_VALUE"""),"brooke, j. h. (1991). science and religion-some historical perspectives")</f>
        <v>brooke, j. h. (1991). science and religion-some historical perspectives</v>
      </c>
      <c r="B535" s="453" t="str">
        <f>IFERROR(__xludf.DUMMYFUNCTION("""COMPUTED_VALUE"""),"https://drive.google.com/file/d/1BfaybP8V5w-BiT0TlcUAV03BKBkfzWla/view?usp=drivesdk")</f>
        <v>https://drive.google.com/file/d/1BfaybP8V5w-BiT0TlcUAV03BKBkfzWla/view?usp=drivesdk</v>
      </c>
      <c r="C535" s="147" t="str">
        <f>IFERROR(__xludf.DUMMYFUNCTION("""COMPUTED_VALUE"""),"Brooke, J. H. (1991). Science and religion-Some historical perspectives.pdf")</f>
        <v>Brooke, J. H. (1991). Science and religion-Some historical perspectives.pdf</v>
      </c>
      <c r="D535" s="147" t="str">
        <f>IFERROR(__xludf.DUMMYFUNCTION("""COMPUTED_VALUE"""),"application/pdf")</f>
        <v>application/pdf</v>
      </c>
    </row>
    <row r="536">
      <c r="A536" s="453" t="str">
        <f>IFERROR(__xludf.DUMMYFUNCTION("""COMPUTED_VALUE"""),"escholarship.org/uc/item/8p5673qn")</f>
        <v>escholarship.org/uc/item/8p5673qn</v>
      </c>
      <c r="B536" s="453" t="str">
        <f>IFERROR(__xludf.DUMMYFUNCTION("""COMPUTED_VALUE"""),"https://drive.google.com/file/d/1lAHnrSuQxWM2CdT06_FM1GDBh9d6nNTe/view?usp=drivesdk")</f>
        <v>https://drive.google.com/file/d/1lAHnrSuQxWM2CdT06_FM1GDBh9d6nNTe/view?usp=drivesdk</v>
      </c>
      <c r="C536" s="147" t="str">
        <f>IFERROR(__xludf.DUMMYFUNCTION("""COMPUTED_VALUE"""),"escholarship.org--uc--item--8p5673qn.pdf")</f>
        <v>escholarship.org--uc--item--8p5673qn.pdf</v>
      </c>
      <c r="D536" s="147" t="str">
        <f>IFERROR(__xludf.DUMMYFUNCTION("""COMPUTED_VALUE"""),"application/pdf")</f>
        <v>application/pdf</v>
      </c>
    </row>
    <row r="537">
      <c r="A537" s="453" t="str">
        <f>IFERROR(__xludf.DUMMYFUNCTION("""COMPUTED_VALUE"""),"escholarship.org/uc/item/0qf9t9pc")</f>
        <v>escholarship.org/uc/item/0qf9t9pc</v>
      </c>
      <c r="B537" s="453" t="str">
        <f>IFERROR(__xludf.DUMMYFUNCTION("""COMPUTED_VALUE"""),"https://drive.google.com/file/d/1vzu_sqHQexZD23Pac-duPSmK-pGIptlf/view?usp=drivesdk")</f>
        <v>https://drive.google.com/file/d/1vzu_sqHQexZD23Pac-duPSmK-pGIptlf/view?usp=drivesdk</v>
      </c>
      <c r="C537" s="147" t="str">
        <f>IFERROR(__xludf.DUMMYFUNCTION("""COMPUTED_VALUE"""),"escholarship.org--uc--item--0qf9t9pc.pdf")</f>
        <v>escholarship.org--uc--item--0qf9t9pc.pdf</v>
      </c>
      <c r="D537" s="147" t="str">
        <f>IFERROR(__xludf.DUMMYFUNCTION("""COMPUTED_VALUE"""),"application/pdf")</f>
        <v>application/pdf</v>
      </c>
    </row>
    <row r="538">
      <c r="A538" s="147" t="str">
        <f>IFERROR(__xludf.DUMMYFUNCTION("""COMPUTED_VALUE"""),"10.16995/zygon.11497")</f>
        <v>10.16995/zygon.11497</v>
      </c>
      <c r="B538" s="453" t="str">
        <f>IFERROR(__xludf.DUMMYFUNCTION("""COMPUTED_VALUE"""),"https://drive.google.com/file/d/1xNa3snr_hhHjS7pnwFaA2tVxjB_0VvqW/view?usp=drivesdk")</f>
        <v>https://drive.google.com/file/d/1xNa3snr_hhHjS7pnwFaA2tVxjB_0VvqW/view?usp=drivesdk</v>
      </c>
      <c r="C538" s="147" t="str">
        <f>IFERROR(__xludf.DUMMYFUNCTION("""COMPUTED_VALUE"""),"10.16995--zygon.11497.pdf")</f>
        <v>10.16995--zygon.11497.pdf</v>
      </c>
      <c r="D538" s="147" t="str">
        <f>IFERROR(__xludf.DUMMYFUNCTION("""COMPUTED_VALUE"""),"application/pdf")</f>
        <v>application/pdf</v>
      </c>
    </row>
    <row r="539">
      <c r="A539" s="147" t="str">
        <f>IFERROR(__xludf.DUMMYFUNCTION("""COMPUTED_VALUE"""),"10.1038/s41598-024-61469-6")</f>
        <v>10.1038/s41598-024-61469-6</v>
      </c>
      <c r="B539" s="453" t="str">
        <f>IFERROR(__xludf.DUMMYFUNCTION("""COMPUTED_VALUE"""),"https://drive.google.com/file/d/1TtkPI6YvV3JyoWKI8Z0FTVrehrNka7__/view?usp=drivesdk")</f>
        <v>https://drive.google.com/file/d/1TtkPI6YvV3JyoWKI8Z0FTVrehrNka7__/view?usp=drivesdk</v>
      </c>
      <c r="C539" s="147" t="str">
        <f>IFERROR(__xludf.DUMMYFUNCTION("""COMPUTED_VALUE"""),"10.1038--s41598-024-61469-6.pdf")</f>
        <v>10.1038--s41598-024-61469-6.pdf</v>
      </c>
      <c r="D539" s="147" t="str">
        <f>IFERROR(__xludf.DUMMYFUNCTION("""COMPUTED_VALUE"""),"application/pdf")</f>
        <v>application/pdf</v>
      </c>
    </row>
    <row r="540">
      <c r="A540" s="147" t="str">
        <f>IFERROR(__xludf.DUMMYFUNCTION("""COMPUTED_VALUE"""),"10.31234/osf.io/kpcwv")</f>
        <v>10.31234/osf.io/kpcwv</v>
      </c>
      <c r="B540" s="453" t="str">
        <f>IFERROR(__xludf.DUMMYFUNCTION("""COMPUTED_VALUE"""),"https://drive.google.com/file/d/1Eufb0NfIAz03c6rDvfbVDbjGjjReVYgi/view?usp=drivesdk")</f>
        <v>https://drive.google.com/file/d/1Eufb0NfIAz03c6rDvfbVDbjGjjReVYgi/view?usp=drivesdk</v>
      </c>
      <c r="C540" s="147" t="str">
        <f>IFERROR(__xludf.DUMMYFUNCTION("""COMPUTED_VALUE"""),"10.31234--osf.io--kpcwv.pdf")</f>
        <v>10.31234--osf.io--kpcwv.pdf</v>
      </c>
      <c r="D540" s="147" t="str">
        <f>IFERROR(__xludf.DUMMYFUNCTION("""COMPUTED_VALUE"""),"application/pdf")</f>
        <v>application/pdf</v>
      </c>
    </row>
    <row r="541">
      <c r="A541" s="147" t="str">
        <f>IFERROR(__xludf.DUMMYFUNCTION("""COMPUTED_VALUE"""),"10.3233/jad-2009-1163")</f>
        <v>10.3233/jad-2009-1163</v>
      </c>
      <c r="B541" s="453" t="str">
        <f>IFERROR(__xludf.DUMMYFUNCTION("""COMPUTED_VALUE"""),"https://drive.google.com/file/d/10IpKBTm-TxBYPtbdDzTDyVDz6z5jT5CF/view?usp=drivesdk")</f>
        <v>https://drive.google.com/file/d/10IpKBTm-TxBYPtbdDzTDyVDz6z5jT5CF/view?usp=drivesdk</v>
      </c>
      <c r="C541" s="147" t="str">
        <f>IFERROR(__xludf.DUMMYFUNCTION("""COMPUTED_VALUE"""),"10.3233--JAD-2009-1163.pdf")</f>
        <v>10.3233--JAD-2009-1163.pdf</v>
      </c>
      <c r="D541" s="147" t="str">
        <f>IFERROR(__xludf.DUMMYFUNCTION("""COMPUTED_VALUE"""),"application/pdf")</f>
        <v>application/pdf</v>
      </c>
    </row>
    <row r="542">
      <c r="A542" s="147" t="str">
        <f>IFERROR(__xludf.DUMMYFUNCTION("""COMPUTED_VALUE"""),"10.5465/amproc.2024.19578abstract")</f>
        <v>10.5465/amproc.2024.19578abstract</v>
      </c>
      <c r="B542" s="453" t="str">
        <f>IFERROR(__xludf.DUMMYFUNCTION("""COMPUTED_VALUE"""),"https://drive.google.com/file/d/1H6X8VsyVixAViuUZ-S2dfj2OJm-VwYrl/view?usp=drivesdk")</f>
        <v>https://drive.google.com/file/d/1H6X8VsyVixAViuUZ-S2dfj2OJm-VwYrl/view?usp=drivesdk</v>
      </c>
      <c r="C542" s="147" t="str">
        <f>IFERROR(__xludf.DUMMYFUNCTION("""COMPUTED_VALUE"""),"10.5465--AMPROC.2024.19578abstract.pdf")</f>
        <v>10.5465--AMPROC.2024.19578abstract.pdf</v>
      </c>
      <c r="D542" s="147" t="str">
        <f>IFERROR(__xludf.DUMMYFUNCTION("""COMPUTED_VALUE"""),"application/pdf")</f>
        <v>application/pdf</v>
      </c>
    </row>
    <row r="543">
      <c r="A543" s="147" t="str">
        <f>IFERROR(__xludf.DUMMYFUNCTION("""COMPUTED_VALUE"""),"10.1037/0022-3514.73.2.321")</f>
        <v>10.1037/0022-3514.73.2.321</v>
      </c>
      <c r="B543" s="453" t="str">
        <f>IFERROR(__xludf.DUMMYFUNCTION("""COMPUTED_VALUE"""),"https://drive.google.com/file/d/1-zejzHs_827BE5ay0BYTDFjpuHdy5VLk/view?usp=drivesdk")</f>
        <v>https://drive.google.com/file/d/1-zejzHs_827BE5ay0BYTDFjpuHdy5VLk/view?usp=drivesdk</v>
      </c>
      <c r="C543" s="147" t="str">
        <f>IFERROR(__xludf.DUMMYFUNCTION("""COMPUTED_VALUE"""),"10.1037--0022-3514.73.2.321.pdf")</f>
        <v>10.1037--0022-3514.73.2.321.pdf</v>
      </c>
      <c r="D543" s="147" t="str">
        <f>IFERROR(__xludf.DUMMYFUNCTION("""COMPUTED_VALUE"""),"application/pdf")</f>
        <v>application/pdf</v>
      </c>
    </row>
    <row r="544">
      <c r="A544" s="147" t="str">
        <f>IFERROR(__xludf.DUMMYFUNCTION("""COMPUTED_VALUE"""),"10.1016/j.learninstruc.2018.04.006")</f>
        <v>10.1016/j.learninstruc.2018.04.006</v>
      </c>
      <c r="B544" s="453" t="str">
        <f>IFERROR(__xludf.DUMMYFUNCTION("""COMPUTED_VALUE"""),"https://drive.google.com/file/d/1woJDHccS6Df_7DkKmeLElCzqxpjoRtns/view?usp=drivesdk")</f>
        <v>https://drive.google.com/file/d/1woJDHccS6Df_7DkKmeLElCzqxpjoRtns/view?usp=drivesdk</v>
      </c>
      <c r="C544" s="147" t="str">
        <f>IFERROR(__xludf.DUMMYFUNCTION("""COMPUTED_VALUE"""),"10.1016--j.learninstruc.2018.04.006.pdf")</f>
        <v>10.1016--j.learninstruc.2018.04.006.pdf</v>
      </c>
      <c r="D544" s="147" t="str">
        <f>IFERROR(__xludf.DUMMYFUNCTION("""COMPUTED_VALUE"""),"application/pdf")</f>
        <v>application/pdf</v>
      </c>
    </row>
    <row r="545">
      <c r="A545" s="147" t="str">
        <f>IFERROR(__xludf.DUMMYFUNCTION("""COMPUTED_VALUE"""),"10.1016/j.cortex.2014.02.013")</f>
        <v>10.1016/j.cortex.2014.02.013</v>
      </c>
      <c r="B545" s="453" t="str">
        <f>IFERROR(__xludf.DUMMYFUNCTION("""COMPUTED_VALUE"""),"https://drive.google.com/file/d/13vglHZTPgv6z9W5xPGWG5OyE_h91M3UK/view?usp=drivesdk")</f>
        <v>https://drive.google.com/file/d/13vglHZTPgv6z9W5xPGWG5OyE_h91M3UK/view?usp=drivesdk</v>
      </c>
      <c r="C545" s="147" t="str">
        <f>IFERROR(__xludf.DUMMYFUNCTION("""COMPUTED_VALUE"""),"10.1016--j.cortex.2014.02.013.pdf")</f>
        <v>10.1016--j.cortex.2014.02.013.pdf</v>
      </c>
      <c r="D545" s="147" t="str">
        <f>IFERROR(__xludf.DUMMYFUNCTION("""COMPUTED_VALUE"""),"application/pdf")</f>
        <v>application/pdf</v>
      </c>
    </row>
    <row r="546">
      <c r="A546" s="147" t="str">
        <f>IFERROR(__xludf.DUMMYFUNCTION("""COMPUTED_VALUE"""),"10.1080/10439463.2017.1342644")</f>
        <v>10.1080/10439463.2017.1342644</v>
      </c>
      <c r="B546" s="453" t="str">
        <f>IFERROR(__xludf.DUMMYFUNCTION("""COMPUTED_VALUE"""),"https://drive.google.com/file/d/1tExO9xgJVhPwCnVdP8xlqn7faKujVADN/view?usp=drivesdk")</f>
        <v>https://drive.google.com/file/d/1tExO9xgJVhPwCnVdP8xlqn7faKujVADN/view?usp=drivesdk</v>
      </c>
      <c r="C546" s="147" t="str">
        <f>IFERROR(__xludf.DUMMYFUNCTION("""COMPUTED_VALUE"""),"10.1080--10439463.2017.1342644.pdf")</f>
        <v>10.1080--10439463.2017.1342644.pdf</v>
      </c>
      <c r="D546" s="147" t="str">
        <f>IFERROR(__xludf.DUMMYFUNCTION("""COMPUTED_VALUE"""),"application/pdf")</f>
        <v>application/pdf</v>
      </c>
    </row>
    <row r="547">
      <c r="A547" s="147" t="str">
        <f>IFERROR(__xludf.DUMMYFUNCTION("""COMPUTED_VALUE"""),"10.3758/bf03211160")</f>
        <v>10.3758/bf03211160</v>
      </c>
      <c r="B547" s="453" t="str">
        <f>IFERROR(__xludf.DUMMYFUNCTION("""COMPUTED_VALUE"""),"https://drive.google.com/file/d/1BtYypYyY-PzT4y8FLAgHXAyFQwMz4y2O/view?usp=drivesdk")</f>
        <v>https://drive.google.com/file/d/1BtYypYyY-PzT4y8FLAgHXAyFQwMz4y2O/view?usp=drivesdk</v>
      </c>
      <c r="C547" s="147" t="str">
        <f>IFERROR(__xludf.DUMMYFUNCTION("""COMPUTED_VALUE"""),"10.3758--BF03211160.pdf")</f>
        <v>10.3758--BF03211160.pdf</v>
      </c>
      <c r="D547" s="147" t="str">
        <f>IFERROR(__xludf.DUMMYFUNCTION("""COMPUTED_VALUE"""),"application/pdf")</f>
        <v>application/pdf</v>
      </c>
    </row>
    <row r="548">
      <c r="A548" s="147" t="str">
        <f>IFERROR(__xludf.DUMMYFUNCTION("""COMPUTED_VALUE"""),"10.1126/science.7455683")</f>
        <v>10.1126/science.7455683</v>
      </c>
      <c r="B548" s="453" t="str">
        <f>IFERROR(__xludf.DUMMYFUNCTION("""COMPUTED_VALUE"""),"https://drive.google.com/file/d/1KdKryH9Qx-Olx2xYcWf9zZPlU9JsWLmq/view?usp=drivesdk")</f>
        <v>https://drive.google.com/file/d/1KdKryH9Qx-Olx2xYcWf9zZPlU9JsWLmq/view?usp=drivesdk</v>
      </c>
      <c r="C548" s="147" t="str">
        <f>IFERROR(__xludf.DUMMYFUNCTION("""COMPUTED_VALUE"""),"10.1126--science.7455683.pdf")</f>
        <v>10.1126--science.7455683.pdf</v>
      </c>
      <c r="D548" s="147" t="str">
        <f>IFERROR(__xludf.DUMMYFUNCTION("""COMPUTED_VALUE"""),"application/pdf")</f>
        <v>application/pdf</v>
      </c>
    </row>
    <row r="549">
      <c r="A549" s="147" t="str">
        <f>IFERROR(__xludf.DUMMYFUNCTION("""COMPUTED_VALUE"""),"10.1037/a0025345")</f>
        <v>10.1037/a0025345</v>
      </c>
      <c r="B549" s="453" t="str">
        <f>IFERROR(__xludf.DUMMYFUNCTION("""COMPUTED_VALUE"""),"https://drive.google.com/file/d/1Dm7RxWVN3iiT5GipgY8Gq3dl65EkIYDu/view?usp=drivesdk")</f>
        <v>https://drive.google.com/file/d/1Dm7RxWVN3iiT5GipgY8Gq3dl65EkIYDu/view?usp=drivesdk</v>
      </c>
      <c r="C549" s="147" t="str">
        <f>IFERROR(__xludf.DUMMYFUNCTION("""COMPUTED_VALUE"""),"10.1037--a0025345.pdf")</f>
        <v>10.1037--a0025345.pdf</v>
      </c>
      <c r="D549" s="147" t="str">
        <f>IFERROR(__xludf.DUMMYFUNCTION("""COMPUTED_VALUE"""),"application/pdf")</f>
        <v>application/pdf</v>
      </c>
    </row>
    <row r="550">
      <c r="A550" s="147" t="str">
        <f>IFERROR(__xludf.DUMMYFUNCTION("""COMPUTED_VALUE"""),"10.2307/25148791")</f>
        <v>10.2307/25148791</v>
      </c>
      <c r="B550" s="453" t="str">
        <f>IFERROR(__xludf.DUMMYFUNCTION("""COMPUTED_VALUE"""),"https://drive.google.com/file/d/1R2VrRXYyejGfSg11kpe_vHbQr5DvYbiJ/view?usp=drivesdk")</f>
        <v>https://drive.google.com/file/d/1R2VrRXYyejGfSg11kpe_vHbQr5DvYbiJ/view?usp=drivesdk</v>
      </c>
      <c r="C550" s="147" t="str">
        <f>IFERROR(__xludf.DUMMYFUNCTION("""COMPUTED_VALUE"""),"10.2307--25148791.pdf")</f>
        <v>10.2307--25148791.pdf</v>
      </c>
      <c r="D550" s="147" t="str">
        <f>IFERROR(__xludf.DUMMYFUNCTION("""COMPUTED_VALUE"""),"application/pdf")</f>
        <v>application/pdf</v>
      </c>
    </row>
    <row r="551">
      <c r="A551" s="147" t="str">
        <f>IFERROR(__xludf.DUMMYFUNCTION("""COMPUTED_VALUE"""),"10.1111/j.1467-9922.2008.00446.x")</f>
        <v>10.1111/j.1467-9922.2008.00446.x</v>
      </c>
      <c r="B551" s="453" t="str">
        <f>IFERROR(__xludf.DUMMYFUNCTION("""COMPUTED_VALUE"""),"https://drive.google.com/file/d/1hFEIf9480JaK6TvFzb55CWH_AxeInkTB/view?usp=drivesdk")</f>
        <v>https://drive.google.com/file/d/1hFEIf9480JaK6TvFzb55CWH_AxeInkTB/view?usp=drivesdk</v>
      </c>
      <c r="C551" s="147" t="str">
        <f>IFERROR(__xludf.DUMMYFUNCTION("""COMPUTED_VALUE"""),"10.1111--j.1467-9922.2008.00446.x.pdf")</f>
        <v>10.1111--j.1467-9922.2008.00446.x.pdf</v>
      </c>
      <c r="D551" s="147" t="str">
        <f>IFERROR(__xludf.DUMMYFUNCTION("""COMPUTED_VALUE"""),"application/pdf")</f>
        <v>application/pdf</v>
      </c>
    </row>
    <row r="552">
      <c r="A552" s="147" t="str">
        <f>IFERROR(__xludf.DUMMYFUNCTION("""COMPUTED_VALUE"""),"10.1111/j.1467-9280.2007.01961.x")</f>
        <v>10.1111/j.1467-9280.2007.01961.x</v>
      </c>
      <c r="B552" s="453" t="str">
        <f>IFERROR(__xludf.DUMMYFUNCTION("""COMPUTED_VALUE"""),"https://drive.google.com/file/d/1XHPKfkBsPhF-1p8BH_npxrU-1vPB8MEe/view?usp=drivesdk")</f>
        <v>https://drive.google.com/file/d/1XHPKfkBsPhF-1p8BH_npxrU-1vPB8MEe/view?usp=drivesdk</v>
      </c>
      <c r="C552" s="147" t="str">
        <f>IFERROR(__xludf.DUMMYFUNCTION("""COMPUTED_VALUE"""),"10.1111--j.1467-9280.2007.01961.x.pdf")</f>
        <v>10.1111--j.1467-9280.2007.01961.x.pdf</v>
      </c>
      <c r="D552" s="147" t="str">
        <f>IFERROR(__xludf.DUMMYFUNCTION("""COMPUTED_VALUE"""),"application/pdf")</f>
        <v>application/pdf</v>
      </c>
    </row>
    <row r="553">
      <c r="A553" s="147" t="str">
        <f>IFERROR(__xludf.DUMMYFUNCTION("""COMPUTED_VALUE"""),"10.1111/j.1467-9280.2006.01721.x")</f>
        <v>10.1111/j.1467-9280.2006.01721.x</v>
      </c>
      <c r="B553" s="453" t="str">
        <f>IFERROR(__xludf.DUMMYFUNCTION("""COMPUTED_VALUE"""),"https://drive.google.com/file/d/14JiPB9PULLRpSMDZtQ3_0LhPcWDH6OCz/view?usp=drivesdk")</f>
        <v>https://drive.google.com/file/d/14JiPB9PULLRpSMDZtQ3_0LhPcWDH6OCz/view?usp=drivesdk</v>
      </c>
      <c r="C553" s="147" t="str">
        <f>IFERROR(__xludf.DUMMYFUNCTION("""COMPUTED_VALUE"""),"10.1111--j.1467-9280.2006.01721.x.pdf")</f>
        <v>10.1111--j.1467-9280.2006.01721.x.pdf</v>
      </c>
      <c r="D553" s="147" t="str">
        <f>IFERROR(__xludf.DUMMYFUNCTION("""COMPUTED_VALUE"""),"application/pdf")</f>
        <v>application/pdf</v>
      </c>
    </row>
    <row r="554">
      <c r="A554" s="147" t="str">
        <f>IFERROR(__xludf.DUMMYFUNCTION("""COMPUTED_VALUE"""),"10.1016/s1057-0810(99)00041-4")</f>
        <v>10.1016/s1057-0810(99)00041-4</v>
      </c>
      <c r="B554" s="453" t="str">
        <f>IFERROR(__xludf.DUMMYFUNCTION("""COMPUTED_VALUE"""),"https://drive.google.com/file/d/10fOdFQUiEeA-wgKC0-KooJXci0dSR4z2/view?usp=drivesdk")</f>
        <v>https://drive.google.com/file/d/10fOdFQUiEeA-wgKC0-KooJXci0dSR4z2/view?usp=drivesdk</v>
      </c>
      <c r="C554" s="147" t="str">
        <f>IFERROR(__xludf.DUMMYFUNCTION("""COMPUTED_VALUE"""),"10.1016--S1057-0810(99)00041-4.pdf")</f>
        <v>10.1016--S1057-0810(99)00041-4.pdf</v>
      </c>
      <c r="D554" s="147" t="str">
        <f>IFERROR(__xludf.DUMMYFUNCTION("""COMPUTED_VALUE"""),"application/pdf")</f>
        <v>application/pdf</v>
      </c>
    </row>
    <row r="555">
      <c r="A555" s="147" t="str">
        <f>IFERROR(__xludf.DUMMYFUNCTION("""COMPUTED_VALUE"""),"10.1037/a0024608")</f>
        <v>10.1037/a0024608</v>
      </c>
      <c r="B555" s="453" t="str">
        <f>IFERROR(__xludf.DUMMYFUNCTION("""COMPUTED_VALUE"""),"https://drive.google.com/file/d/1NhDoKUWqFTe51Dk7ZjfZTxJFNUFzigwr/view?usp=drivesdk")</f>
        <v>https://drive.google.com/file/d/1NhDoKUWqFTe51Dk7ZjfZTxJFNUFzigwr/view?usp=drivesdk</v>
      </c>
      <c r="C555" s="147" t="str">
        <f>IFERROR(__xludf.DUMMYFUNCTION("""COMPUTED_VALUE"""),"10.1037--a0024608.pdf")</f>
        <v>10.1037--a0024608.pdf</v>
      </c>
      <c r="D555" s="147" t="str">
        <f>IFERROR(__xludf.DUMMYFUNCTION("""COMPUTED_VALUE"""),"application/pdf")</f>
        <v>application/pdf</v>
      </c>
    </row>
    <row r="556">
      <c r="A556" s="147" t="str">
        <f>IFERROR(__xludf.DUMMYFUNCTION("""COMPUTED_VALUE"""),"10.1111/jsm.12192")</f>
        <v>10.1111/jsm.12192</v>
      </c>
      <c r="B556" s="453" t="str">
        <f>IFERROR(__xludf.DUMMYFUNCTION("""COMPUTED_VALUE"""),"https://drive.google.com/file/d/1L-LARd7ZRX1JGh3UR9K0BHsrkgo2wADv/view?usp=drivesdk")</f>
        <v>https://drive.google.com/file/d/1L-LARd7ZRX1JGh3UR9K0BHsrkgo2wADv/view?usp=drivesdk</v>
      </c>
      <c r="C556" s="147" t="str">
        <f>IFERROR(__xludf.DUMMYFUNCTION("""COMPUTED_VALUE"""),"10.1111--jsm.12192.pdf")</f>
        <v>10.1111--jsm.12192.pdf</v>
      </c>
      <c r="D556" s="147" t="str">
        <f>IFERROR(__xludf.DUMMYFUNCTION("""COMPUTED_VALUE"""),"application/pdf")</f>
        <v>application/pdf</v>
      </c>
    </row>
    <row r="557">
      <c r="A557" s="147" t="str">
        <f>IFERROR(__xludf.DUMMYFUNCTION("""COMPUTED_VALUE"""),"10.3138/cmlr.65.3.395")</f>
        <v>10.3138/cmlr.65.3.395</v>
      </c>
      <c r="B557" s="453" t="str">
        <f>IFERROR(__xludf.DUMMYFUNCTION("""COMPUTED_VALUE"""),"https://drive.google.com/file/d/19ZhWLN_zymp-mzX14YC7jEv-MHZn0Qb4/view?usp=drivesdk")</f>
        <v>https://drive.google.com/file/d/19ZhWLN_zymp-mzX14YC7jEv-MHZn0Qb4/view?usp=drivesdk</v>
      </c>
      <c r="C557" s="147" t="str">
        <f>IFERROR(__xludf.DUMMYFUNCTION("""COMPUTED_VALUE"""),"10.3138--cmlr.65.3.395.pdf")</f>
        <v>10.3138--cmlr.65.3.395.pdf</v>
      </c>
      <c r="D557" s="147" t="str">
        <f>IFERROR(__xludf.DUMMYFUNCTION("""COMPUTED_VALUE"""),"application/pdf")</f>
        <v>application/pdf</v>
      </c>
    </row>
    <row r="558">
      <c r="A558" s="147" t="str">
        <f>IFERROR(__xludf.DUMMYFUNCTION("""COMPUTED_VALUE"""),"10.1111/j.1467-9221.2005.00416.x")</f>
        <v>10.1111/j.1467-9221.2005.00416.x</v>
      </c>
      <c r="B558" s="453" t="str">
        <f>IFERROR(__xludf.DUMMYFUNCTION("""COMPUTED_VALUE"""),"https://drive.google.com/file/d/1bkTnTMpWLlh3SgTVNkQvjTSRhQmvFwtP/view?usp=drivesdk")</f>
        <v>https://drive.google.com/file/d/1bkTnTMpWLlh3SgTVNkQvjTSRhQmvFwtP/view?usp=drivesdk</v>
      </c>
      <c r="C558" s="147" t="str">
        <f>IFERROR(__xludf.DUMMYFUNCTION("""COMPUTED_VALUE"""),"10.1111--j.1467-9221.2005.00416.x.pdf")</f>
        <v>10.1111--j.1467-9221.2005.00416.x.pdf</v>
      </c>
      <c r="D558" s="147" t="str">
        <f>IFERROR(__xludf.DUMMYFUNCTION("""COMPUTED_VALUE"""),"application/pdf")</f>
        <v>application/pdf</v>
      </c>
    </row>
    <row r="559">
      <c r="A559" s="147" t="str">
        <f>IFERROR(__xludf.DUMMYFUNCTION("""COMPUTED_VALUE"""),"10.1002/soej.12223")</f>
        <v>10.1002/soej.12223</v>
      </c>
      <c r="B559" s="453" t="str">
        <f>IFERROR(__xludf.DUMMYFUNCTION("""COMPUTED_VALUE"""),"https://drive.google.com/file/d/1MSm1yoidPn8M-5atsMIFyyg354c4jcsA/view?usp=drivesdk")</f>
        <v>https://drive.google.com/file/d/1MSm1yoidPn8M-5atsMIFyyg354c4jcsA/view?usp=drivesdk</v>
      </c>
      <c r="C559" s="147" t="str">
        <f>IFERROR(__xludf.DUMMYFUNCTION("""COMPUTED_VALUE"""),"10.1002--soej.12223.pdf")</f>
        <v>10.1002--soej.12223.pdf</v>
      </c>
      <c r="D559" s="147" t="str">
        <f>IFERROR(__xludf.DUMMYFUNCTION("""COMPUTED_VALUE"""),"application/pdf")</f>
        <v>application/pdf</v>
      </c>
    </row>
    <row r="560">
      <c r="A560" s="147" t="str">
        <f>IFERROR(__xludf.DUMMYFUNCTION("""COMPUTED_VALUE"""),"10.1162/rest_a_00258")</f>
        <v>10.1162/rest_a_00258</v>
      </c>
      <c r="B560" s="453" t="str">
        <f>IFERROR(__xludf.DUMMYFUNCTION("""COMPUTED_VALUE"""),"https://drive.google.com/file/d/11AH2LlIZsd9ZFfFjWFxFf5MBHzmbtt8i/view?usp=drivesdk")</f>
        <v>https://drive.google.com/file/d/11AH2LlIZsd9ZFfFjWFxFf5MBHzmbtt8i/view?usp=drivesdk</v>
      </c>
      <c r="C560" s="147" t="str">
        <f>IFERROR(__xludf.DUMMYFUNCTION("""COMPUTED_VALUE"""),"10.1162--REST_a_00258.pdf")</f>
        <v>10.1162--REST_a_00258.pdf</v>
      </c>
      <c r="D560" s="147" t="str">
        <f>IFERROR(__xludf.DUMMYFUNCTION("""COMPUTED_VALUE"""),"application/pdf")</f>
        <v>application/pdf</v>
      </c>
    </row>
    <row r="561">
      <c r="A561" s="147" t="str">
        <f>IFERROR(__xludf.DUMMYFUNCTION("""COMPUTED_VALUE"""),"10.1016/j.janxdis.2009.09.009")</f>
        <v>10.1016/j.janxdis.2009.09.009</v>
      </c>
      <c r="B561" s="453" t="str">
        <f>IFERROR(__xludf.DUMMYFUNCTION("""COMPUTED_VALUE"""),"https://drive.google.com/file/d/1nf6pGq8hq9bbyslYCmBnDq_ApL1IsSNI/view?usp=drivesdk")</f>
        <v>https://drive.google.com/file/d/1nf6pGq8hq9bbyslYCmBnDq_ApL1IsSNI/view?usp=drivesdk</v>
      </c>
      <c r="C561" s="147" t="str">
        <f>IFERROR(__xludf.DUMMYFUNCTION("""COMPUTED_VALUE"""),"10.1016--j.janxdis.2009.09.009.pdf")</f>
        <v>10.1016--j.janxdis.2009.09.009.pdf</v>
      </c>
      <c r="D561" s="147" t="str">
        <f>IFERROR(__xludf.DUMMYFUNCTION("""COMPUTED_VALUE"""),"application/pdf")</f>
        <v>application/pdf</v>
      </c>
    </row>
    <row r="562">
      <c r="A562" s="147" t="str">
        <f>IFERROR(__xludf.DUMMYFUNCTION("""COMPUTED_VALUE"""),"10.1162/003355397555208")</f>
        <v>10.1162/003355397555208</v>
      </c>
      <c r="B562" s="453" t="str">
        <f>IFERROR(__xludf.DUMMYFUNCTION("""COMPUTED_VALUE"""),"https://drive.google.com/file/d/1s-fD3MM9Vafr2eJtS0aNAfCBK-RY3Yo-/view?usp=drivesdk")</f>
        <v>https://drive.google.com/file/d/1s-fD3MM9Vafr2eJtS0aNAfCBK-RY3Yo-/view?usp=drivesdk</v>
      </c>
      <c r="C562" s="147" t="str">
        <f>IFERROR(__xludf.DUMMYFUNCTION("""COMPUTED_VALUE"""),"10.1162--003355397555208.pdf")</f>
        <v>10.1162--003355397555208.pdf</v>
      </c>
      <c r="D562" s="147" t="str">
        <f>IFERROR(__xludf.DUMMYFUNCTION("""COMPUTED_VALUE"""),"application/pdf")</f>
        <v>application/pdf</v>
      </c>
    </row>
    <row r="563">
      <c r="A563" s="147" t="str">
        <f>IFERROR(__xludf.DUMMYFUNCTION("""COMPUTED_VALUE"""),"10.1002/smj.201")</f>
        <v>10.1002/smj.201</v>
      </c>
      <c r="B563" s="453" t="str">
        <f>IFERROR(__xludf.DUMMYFUNCTION("""COMPUTED_VALUE"""),"https://drive.google.com/file/d/1QkWM8jiVqpN5vc_zuD8HexJx-ED2mGF0/view?usp=drivesdk")</f>
        <v>https://drive.google.com/file/d/1QkWM8jiVqpN5vc_zuD8HexJx-ED2mGF0/view?usp=drivesdk</v>
      </c>
      <c r="C563" s="147" t="str">
        <f>IFERROR(__xludf.DUMMYFUNCTION("""COMPUTED_VALUE"""),"10.1002--smj.201.pdf")</f>
        <v>10.1002--smj.201.pdf</v>
      </c>
      <c r="D563" s="147" t="str">
        <f>IFERROR(__xludf.DUMMYFUNCTION("""COMPUTED_VALUE"""),"application/pdf")</f>
        <v>application/pdf</v>
      </c>
    </row>
    <row r="564">
      <c r="A564" s="147" t="str">
        <f>IFERROR(__xludf.DUMMYFUNCTION("""COMPUTED_VALUE"""),"10.1177/1948550611432938")</f>
        <v>10.1177/1948550611432938</v>
      </c>
      <c r="B564" s="453" t="str">
        <f>IFERROR(__xludf.DUMMYFUNCTION("""COMPUTED_VALUE"""),"https://drive.google.com/file/d/1H6qRZ24gIkLnBRWVbjI2jgKRf4KnrPQh/view?usp=drivesdk")</f>
        <v>https://drive.google.com/file/d/1H6qRZ24gIkLnBRWVbjI2jgKRf4KnrPQh/view?usp=drivesdk</v>
      </c>
      <c r="C564" s="147" t="str">
        <f>IFERROR(__xludf.DUMMYFUNCTION("""COMPUTED_VALUE"""),"10.1177--1948550611432938.pdf")</f>
        <v>10.1177--1948550611432938.pdf</v>
      </c>
      <c r="D564" s="147" t="str">
        <f>IFERROR(__xludf.DUMMYFUNCTION("""COMPUTED_VALUE"""),"application/pdf")</f>
        <v>application/pdf</v>
      </c>
    </row>
    <row r="565">
      <c r="A565" s="147" t="str">
        <f>IFERROR(__xludf.DUMMYFUNCTION("""COMPUTED_VALUE"""),"10.1017/s1355617717001059")</f>
        <v>10.1017/s1355617717001059</v>
      </c>
      <c r="B565" s="453" t="str">
        <f>IFERROR(__xludf.DUMMYFUNCTION("""COMPUTED_VALUE"""),"https://drive.google.com/file/d/1EKnIsw-dolmmk1-6Kle0hKb5-wtcqfmw/view?usp=drivesdk")</f>
        <v>https://drive.google.com/file/d/1EKnIsw-dolmmk1-6Kle0hKb5-wtcqfmw/view?usp=drivesdk</v>
      </c>
      <c r="C565" s="147" t="str">
        <f>IFERROR(__xludf.DUMMYFUNCTION("""COMPUTED_VALUE"""),"10.1017--S1355617717001059.pdf")</f>
        <v>10.1017--S1355617717001059.pdf</v>
      </c>
      <c r="D565" s="147" t="str">
        <f>IFERROR(__xludf.DUMMYFUNCTION("""COMPUTED_VALUE"""),"application/pdf")</f>
        <v>application/pdf</v>
      </c>
    </row>
    <row r="566">
      <c r="A566" s="147" t="str">
        <f>IFERROR(__xludf.DUMMYFUNCTION("""COMPUTED_VALUE"""),"10.1016/j.jpsychires.2008.07.004")</f>
        <v>10.1016/j.jpsychires.2008.07.004</v>
      </c>
      <c r="B566" s="453" t="str">
        <f>IFERROR(__xludf.DUMMYFUNCTION("""COMPUTED_VALUE"""),"https://drive.google.com/file/d/1gOWd02cezb5MHlIvhprXv-TgaFt5Ij8f/view?usp=drivesdk")</f>
        <v>https://drive.google.com/file/d/1gOWd02cezb5MHlIvhprXv-TgaFt5Ij8f/view?usp=drivesdk</v>
      </c>
      <c r="C566" s="147" t="str">
        <f>IFERROR(__xludf.DUMMYFUNCTION("""COMPUTED_VALUE"""),"10.1016--j.jpsychires.2008.07.004.pdf")</f>
        <v>10.1016--j.jpsychires.2008.07.004.pdf</v>
      </c>
      <c r="D566" s="147" t="str">
        <f>IFERROR(__xludf.DUMMYFUNCTION("""COMPUTED_VALUE"""),"application/pdf")</f>
        <v>application/pdf</v>
      </c>
    </row>
    <row r="567">
      <c r="A567" s="147" t="str">
        <f>IFERROR(__xludf.DUMMYFUNCTION("""COMPUTED_VALUE"""),"10.1017/s0272263114000126")</f>
        <v>10.1017/s0272263114000126</v>
      </c>
      <c r="B567" s="453" t="str">
        <f>IFERROR(__xludf.DUMMYFUNCTION("""COMPUTED_VALUE"""),"https://drive.google.com/file/d/1rAL0rmM0jbf9S7uX5DiL77r3bNeTGrOY/view?usp=drivesdk")</f>
        <v>https://drive.google.com/file/d/1rAL0rmM0jbf9S7uX5DiL77r3bNeTGrOY/view?usp=drivesdk</v>
      </c>
      <c r="C567" s="147" t="str">
        <f>IFERROR(__xludf.DUMMYFUNCTION("""COMPUTED_VALUE"""),"10.1017--S0272263114000126.pdf")</f>
        <v>10.1017--S0272263114000126.pdf</v>
      </c>
      <c r="D567" s="147" t="str">
        <f>IFERROR(__xludf.DUMMYFUNCTION("""COMPUTED_VALUE"""),"application/pdf")</f>
        <v>application/pdf</v>
      </c>
    </row>
    <row r="568">
      <c r="A568" s="147" t="str">
        <f>IFERROR(__xludf.DUMMYFUNCTION("""COMPUTED_VALUE"""),"10.1111/j.1540-5885.2010.00778.x")</f>
        <v>10.1111/j.1540-5885.2010.00778.x</v>
      </c>
      <c r="B568" s="453" t="str">
        <f>IFERROR(__xludf.DUMMYFUNCTION("""COMPUTED_VALUE"""),"https://drive.google.com/file/d/1NV42SOubbZFwoBVl2IhhGw3jTa6CF1Ns/view?usp=drivesdk")</f>
        <v>https://drive.google.com/file/d/1NV42SOubbZFwoBVl2IhhGw3jTa6CF1Ns/view?usp=drivesdk</v>
      </c>
      <c r="C568" s="147" t="str">
        <f>IFERROR(__xludf.DUMMYFUNCTION("""COMPUTED_VALUE"""),"10.1111--j.1540-5885.2010.00778.x.pdf")</f>
        <v>10.1111--j.1540-5885.2010.00778.x.pdf</v>
      </c>
      <c r="D568" s="147" t="str">
        <f>IFERROR(__xludf.DUMMYFUNCTION("""COMPUTED_VALUE"""),"application/pdf")</f>
        <v>application/pdf</v>
      </c>
    </row>
    <row r="569">
      <c r="A569" s="147" t="str">
        <f>IFERROR(__xludf.DUMMYFUNCTION("""COMPUTED_VALUE"""),"10.1901/jaba.2003.36-21")</f>
        <v>10.1901/jaba.2003.36-21</v>
      </c>
      <c r="B569" s="453" t="str">
        <f>IFERROR(__xludf.DUMMYFUNCTION("""COMPUTED_VALUE"""),"https://drive.google.com/file/d/1Oai9bOqOxT4qWyEsbh965271cRgAplwZ/view?usp=drivesdk")</f>
        <v>https://drive.google.com/file/d/1Oai9bOqOxT4qWyEsbh965271cRgAplwZ/view?usp=drivesdk</v>
      </c>
      <c r="C569" s="147" t="str">
        <f>IFERROR(__xludf.DUMMYFUNCTION("""COMPUTED_VALUE"""),"10.1901--jaba.2003.36-21.pdf")</f>
        <v>10.1901--jaba.2003.36-21.pdf</v>
      </c>
      <c r="D569" s="147" t="str">
        <f>IFERROR(__xludf.DUMMYFUNCTION("""COMPUTED_VALUE"""),"application/pdf")</f>
        <v>application/pdf</v>
      </c>
    </row>
    <row r="570">
      <c r="A570" s="147" t="str">
        <f>IFERROR(__xludf.DUMMYFUNCTION("""COMPUTED_VALUE"""),"10.1016/j.econedurev.2005.05.008")</f>
        <v>10.1016/j.econedurev.2005.05.008</v>
      </c>
      <c r="B570" s="453" t="str">
        <f>IFERROR(__xludf.DUMMYFUNCTION("""COMPUTED_VALUE"""),"https://drive.google.com/file/d/1jEnrVGc2PxWYnqqR5b5QggE9HgY-tjOC/view?usp=drivesdk")</f>
        <v>https://drive.google.com/file/d/1jEnrVGc2PxWYnqqR5b5QggE9HgY-tjOC/view?usp=drivesdk</v>
      </c>
      <c r="C570" s="147" t="str">
        <f>IFERROR(__xludf.DUMMYFUNCTION("""COMPUTED_VALUE"""),"10.1016--j.econedurev.2005.05.008.pdf")</f>
        <v>10.1016--j.econedurev.2005.05.008.pdf</v>
      </c>
      <c r="D570" s="147" t="str">
        <f>IFERROR(__xludf.DUMMYFUNCTION("""COMPUTED_VALUE"""),"application/pdf")</f>
        <v>application/pdf</v>
      </c>
    </row>
    <row r="571">
      <c r="A571" s="147" t="str">
        <f>IFERROR(__xludf.DUMMYFUNCTION("""COMPUTED_VALUE"""),"10.1089/cyber.2015.0311")</f>
        <v>10.1089/cyber.2015.0311</v>
      </c>
      <c r="B571" s="453" t="str">
        <f>IFERROR(__xludf.DUMMYFUNCTION("""COMPUTED_VALUE"""),"https://drive.google.com/file/d/1UOcUsx-QUxFrulQIBnkUuR_13YgQP2Vd/view?usp=drivesdk")</f>
        <v>https://drive.google.com/file/d/1UOcUsx-QUxFrulQIBnkUuR_13YgQP2Vd/view?usp=drivesdk</v>
      </c>
      <c r="C571" s="147" t="str">
        <f>IFERROR(__xludf.DUMMYFUNCTION("""COMPUTED_VALUE"""),"10.1089--cyber.2015.0311.pdf")</f>
        <v>10.1089--cyber.2015.0311.pdf</v>
      </c>
      <c r="D571" s="147" t="str">
        <f>IFERROR(__xludf.DUMMYFUNCTION("""COMPUTED_VALUE"""),"application/pdf")</f>
        <v>application/pdf</v>
      </c>
    </row>
    <row r="572">
      <c r="A572" s="147" t="str">
        <f>IFERROR(__xludf.DUMMYFUNCTION("""COMPUTED_VALUE"""),"10.1111/1467-6281.00073")</f>
        <v>10.1111/1467-6281.00073</v>
      </c>
      <c r="B572" s="453" t="str">
        <f>IFERROR(__xludf.DUMMYFUNCTION("""COMPUTED_VALUE"""),"https://drive.google.com/file/d/1Bqp5tbqcsNPKH_QuWEI9mWZ1-DAWptGv/view?usp=drivesdk")</f>
        <v>https://drive.google.com/file/d/1Bqp5tbqcsNPKH_QuWEI9mWZ1-DAWptGv/view?usp=drivesdk</v>
      </c>
      <c r="C572" s="147" t="str">
        <f>IFERROR(__xludf.DUMMYFUNCTION("""COMPUTED_VALUE"""),"10.1111--1467-6281.00073.pdf")</f>
        <v>10.1111--1467-6281.00073.pdf</v>
      </c>
      <c r="D572" s="147" t="str">
        <f>IFERROR(__xludf.DUMMYFUNCTION("""COMPUTED_VALUE"""),"application/pdf")</f>
        <v>application/pdf</v>
      </c>
    </row>
    <row r="573">
      <c r="A573" s="147" t="str">
        <f>IFERROR(__xludf.DUMMYFUNCTION("""COMPUTED_VALUE"""),"10.1016/j.system.2004.01.001")</f>
        <v>10.1016/j.system.2004.01.001</v>
      </c>
      <c r="B573" s="453" t="str">
        <f>IFERROR(__xludf.DUMMYFUNCTION("""COMPUTED_VALUE"""),"https://drive.google.com/file/d/1c0WTQTFC6wVjO3perznTR_rfzhpTPGnJ/view?usp=drivesdk")</f>
        <v>https://drive.google.com/file/d/1c0WTQTFC6wVjO3perznTR_rfzhpTPGnJ/view?usp=drivesdk</v>
      </c>
      <c r="C573" s="147" t="str">
        <f>IFERROR(__xludf.DUMMYFUNCTION("""COMPUTED_VALUE"""),"10.1016--j.system.2004.01.001.pdf")</f>
        <v>10.1016--j.system.2004.01.001.pdf</v>
      </c>
      <c r="D573" s="147" t="str">
        <f>IFERROR(__xludf.DUMMYFUNCTION("""COMPUTED_VALUE"""),"application/pdf")</f>
        <v>application/pdf</v>
      </c>
    </row>
    <row r="574">
      <c r="A574" s="147" t="str">
        <f>IFERROR(__xludf.DUMMYFUNCTION("""COMPUTED_VALUE"""),"10.1016/j.chiabu.2017.09.022")</f>
        <v>10.1016/j.chiabu.2017.09.022</v>
      </c>
      <c r="B574" s="453" t="str">
        <f>IFERROR(__xludf.DUMMYFUNCTION("""COMPUTED_VALUE"""),"https://drive.google.com/file/d/1F5qGa541IZsvA8V-NJg1vkR_g716Ph_8/view?usp=drivesdk")</f>
        <v>https://drive.google.com/file/d/1F5qGa541IZsvA8V-NJg1vkR_g716Ph_8/view?usp=drivesdk</v>
      </c>
      <c r="C574" s="147" t="str">
        <f>IFERROR(__xludf.DUMMYFUNCTION("""COMPUTED_VALUE"""),"10.1016--j.chiabu.2017.09.022.pdf")</f>
        <v>10.1016--j.chiabu.2017.09.022.pdf</v>
      </c>
      <c r="D574" s="147" t="str">
        <f>IFERROR(__xludf.DUMMYFUNCTION("""COMPUTED_VALUE"""),"application/pdf")</f>
        <v>application/pdf</v>
      </c>
    </row>
    <row r="575">
      <c r="A575" s="147" t="str">
        <f>IFERROR(__xludf.DUMMYFUNCTION("""COMPUTED_VALUE"""),"10.1521/soco.2008.26.2.143")</f>
        <v>10.1521/soco.2008.26.2.143</v>
      </c>
      <c r="B575" s="453" t="str">
        <f>IFERROR(__xludf.DUMMYFUNCTION("""COMPUTED_VALUE"""),"https://drive.google.com/file/d/1ChpFRMejJzL2Sh9so-302icQ-YIJSCTh/view?usp=drivesdk")</f>
        <v>https://drive.google.com/file/d/1ChpFRMejJzL2Sh9so-302icQ-YIJSCTh/view?usp=drivesdk</v>
      </c>
      <c r="C575" s="147" t="str">
        <f>IFERROR(__xludf.DUMMYFUNCTION("""COMPUTED_VALUE"""),"10.1521--soco.2008.26.2.143.pdf")</f>
        <v>10.1521--soco.2008.26.2.143.pdf</v>
      </c>
      <c r="D575" s="147" t="str">
        <f>IFERROR(__xludf.DUMMYFUNCTION("""COMPUTED_VALUE"""),"application/pdf")</f>
        <v>application/pdf</v>
      </c>
    </row>
    <row r="576">
      <c r="A576" s="147" t="str">
        <f>IFERROR(__xludf.DUMMYFUNCTION("""COMPUTED_VALUE"""),"10.1111/j.1469-8986.2010.01081.x")</f>
        <v>10.1111/j.1469-8986.2010.01081.x</v>
      </c>
      <c r="B576" s="453" t="str">
        <f>IFERROR(__xludf.DUMMYFUNCTION("""COMPUTED_VALUE"""),"https://drive.google.com/file/d/1IpGgGfnAQY5wd1rLKDy5RnBFHMi3I5x4/view?usp=drivesdk")</f>
        <v>https://drive.google.com/file/d/1IpGgGfnAQY5wd1rLKDy5RnBFHMi3I5x4/view?usp=drivesdk</v>
      </c>
      <c r="C576" s="147" t="str">
        <f>IFERROR(__xludf.DUMMYFUNCTION("""COMPUTED_VALUE"""),"10.1111--j.1469-8986.2010.01081.x.pdf")</f>
        <v>10.1111--j.1469-8986.2010.01081.x.pdf</v>
      </c>
      <c r="D576" s="147" t="str">
        <f>IFERROR(__xludf.DUMMYFUNCTION("""COMPUTED_VALUE"""),"application/pdf")</f>
        <v>application/pdf</v>
      </c>
    </row>
    <row r="577">
      <c r="A577" s="147" t="str">
        <f>IFERROR(__xludf.DUMMYFUNCTION("""COMPUTED_VALUE"""),"10.1145/3105726.3106182")</f>
        <v>10.1145/3105726.3106182</v>
      </c>
      <c r="B577" s="453" t="str">
        <f>IFERROR(__xludf.DUMMYFUNCTION("""COMPUTED_VALUE"""),"https://drive.google.com/file/d/1wq7-2vqDvzteuPzlUspBQRdnaX3rmhA1/view?usp=drivesdk")</f>
        <v>https://drive.google.com/file/d/1wq7-2vqDvzteuPzlUspBQRdnaX3rmhA1/view?usp=drivesdk</v>
      </c>
      <c r="C577" s="147" t="str">
        <f>IFERROR(__xludf.DUMMYFUNCTION("""COMPUTED_VALUE"""),"10.1145--3105726.3106182.pdf")</f>
        <v>10.1145--3105726.3106182.pdf</v>
      </c>
      <c r="D577" s="147" t="str">
        <f>IFERROR(__xludf.DUMMYFUNCTION("""COMPUTED_VALUE"""),"application/pdf")</f>
        <v>application/pdf</v>
      </c>
    </row>
    <row r="578">
      <c r="A578" s="147" t="str">
        <f>IFERROR(__xludf.DUMMYFUNCTION("""COMPUTED_VALUE"""),"10.1521/pedi.2011.25.4.492")</f>
        <v>10.1521/pedi.2011.25.4.492</v>
      </c>
      <c r="B578" s="453" t="str">
        <f>IFERROR(__xludf.DUMMYFUNCTION("""COMPUTED_VALUE"""),"https://drive.google.com/file/d/1Ce-dl4nRjbQONXIAPX6wZN3ilxDwxEty/view?usp=drivesdk")</f>
        <v>https://drive.google.com/file/d/1Ce-dl4nRjbQONXIAPX6wZN3ilxDwxEty/view?usp=drivesdk</v>
      </c>
      <c r="C578" s="147" t="str">
        <f>IFERROR(__xludf.DUMMYFUNCTION("""COMPUTED_VALUE"""),"10.1521--pedi.2011.25.4.492.pdf")</f>
        <v>10.1521--pedi.2011.25.4.492.pdf</v>
      </c>
      <c r="D578" s="147" t="str">
        <f>IFERROR(__xludf.DUMMYFUNCTION("""COMPUTED_VALUE"""),"application/pdf")</f>
        <v>application/pdf</v>
      </c>
    </row>
    <row r="579">
      <c r="A579" s="147" t="str">
        <f>IFERROR(__xludf.DUMMYFUNCTION("""COMPUTED_VALUE"""),"10.1002/jeab.432")</f>
        <v>10.1002/jeab.432</v>
      </c>
      <c r="B579" s="453" t="str">
        <f>IFERROR(__xludf.DUMMYFUNCTION("""COMPUTED_VALUE"""),"https://drive.google.com/file/d/1oqwZUfEfzfjGZaYk1A2E8B-PU-AQ6SKz/view?usp=drivesdk")</f>
        <v>https://drive.google.com/file/d/1oqwZUfEfzfjGZaYk1A2E8B-PU-AQ6SKz/view?usp=drivesdk</v>
      </c>
      <c r="C579" s="147" t="str">
        <f>IFERROR(__xludf.DUMMYFUNCTION("""COMPUTED_VALUE"""),"10.1002--jeab.432.pdf")</f>
        <v>10.1002--jeab.432.pdf</v>
      </c>
      <c r="D579" s="147" t="str">
        <f>IFERROR(__xludf.DUMMYFUNCTION("""COMPUTED_VALUE"""),"application/pdf")</f>
        <v>application/pdf</v>
      </c>
    </row>
    <row r="580">
      <c r="A580" s="147" t="str">
        <f>IFERROR(__xludf.DUMMYFUNCTION("""COMPUTED_VALUE"""),"10.3102/0013189x13507104")</f>
        <v>10.3102/0013189x13507104</v>
      </c>
      <c r="B580" s="453" t="str">
        <f>IFERROR(__xludf.DUMMYFUNCTION("""COMPUTED_VALUE"""),"https://drive.google.com/file/d/1mMbXlq0wHwW3u94B3l_0KZ3_2GsCObmh/view?usp=drivesdk")</f>
        <v>https://drive.google.com/file/d/1mMbXlq0wHwW3u94B3l_0KZ3_2GsCObmh/view?usp=drivesdk</v>
      </c>
      <c r="C580" s="147" t="str">
        <f>IFERROR(__xludf.DUMMYFUNCTION("""COMPUTED_VALUE"""),"10.3102--0013189X13507104.pdf")</f>
        <v>10.3102--0013189X13507104.pdf</v>
      </c>
      <c r="D580" s="147" t="str">
        <f>IFERROR(__xludf.DUMMYFUNCTION("""COMPUTED_VALUE"""),"application/pdf")</f>
        <v>application/pdf</v>
      </c>
    </row>
    <row r="581">
      <c r="A581" s="147" t="str">
        <f>IFERROR(__xludf.DUMMYFUNCTION("""COMPUTED_VALUE"""),"10.1016/j.euroecorev.2004.01.004")</f>
        <v>10.1016/j.euroecorev.2004.01.004</v>
      </c>
      <c r="B581" s="453" t="str">
        <f>IFERROR(__xludf.DUMMYFUNCTION("""COMPUTED_VALUE"""),"https://drive.google.com/file/d/1EqvEPwgwndawziGmIPqgl3yNKOI51OAS/view?usp=drivesdk")</f>
        <v>https://drive.google.com/file/d/1EqvEPwgwndawziGmIPqgl3yNKOI51OAS/view?usp=drivesdk</v>
      </c>
      <c r="C581" s="147" t="str">
        <f>IFERROR(__xludf.DUMMYFUNCTION("""COMPUTED_VALUE"""),"10.1016--j.euroecorev.2004.01.004.pdf")</f>
        <v>10.1016--j.euroecorev.2004.01.004.pdf</v>
      </c>
      <c r="D581" s="147" t="str">
        <f>IFERROR(__xludf.DUMMYFUNCTION("""COMPUTED_VALUE"""),"application/pdf")</f>
        <v>application/pdf</v>
      </c>
    </row>
    <row r="582">
      <c r="A582" s="147" t="str">
        <f>IFERROR(__xludf.DUMMYFUNCTION("""COMPUTED_VALUE"""),"10.1017/s1366728914000273")</f>
        <v>10.1017/s1366728914000273</v>
      </c>
      <c r="B582" s="453" t="str">
        <f>IFERROR(__xludf.DUMMYFUNCTION("""COMPUTED_VALUE"""),"https://drive.google.com/file/d/1Baedt_RF56dAcd90mHgk4WyAWq0rNUNl/view?usp=drivesdk")</f>
        <v>https://drive.google.com/file/d/1Baedt_RF56dAcd90mHgk4WyAWq0rNUNl/view?usp=drivesdk</v>
      </c>
      <c r="C582" s="147" t="str">
        <f>IFERROR(__xludf.DUMMYFUNCTION("""COMPUTED_VALUE"""),"10.1017--S1366728914000273.pdf")</f>
        <v>10.1017--S1366728914000273.pdf</v>
      </c>
      <c r="D582" s="147" t="str">
        <f>IFERROR(__xludf.DUMMYFUNCTION("""COMPUTED_VALUE"""),"application/pdf")</f>
        <v>application/pdf</v>
      </c>
    </row>
    <row r="583">
      <c r="A583" s="147" t="str">
        <f>IFERROR(__xludf.DUMMYFUNCTION("""COMPUTED_VALUE"""),"10.1086/648381")</f>
        <v>10.1086/648381</v>
      </c>
      <c r="B583" s="453" t="str">
        <f>IFERROR(__xludf.DUMMYFUNCTION("""COMPUTED_VALUE"""),"https://drive.google.com/file/d/14GutnAtB1f13xcVqwnhfc_-RMT6AP_5B/view?usp=drivesdk")</f>
        <v>https://drive.google.com/file/d/14GutnAtB1f13xcVqwnhfc_-RMT6AP_5B/view?usp=drivesdk</v>
      </c>
      <c r="C583" s="147" t="str">
        <f>IFERROR(__xludf.DUMMYFUNCTION("""COMPUTED_VALUE"""),"10.1086--648381.pdf")</f>
        <v>10.1086--648381.pdf</v>
      </c>
      <c r="D583" s="147" t="str">
        <f>IFERROR(__xludf.DUMMYFUNCTION("""COMPUTED_VALUE"""),"application/pdf")</f>
        <v>application/pdf</v>
      </c>
    </row>
    <row r="584">
      <c r="A584" s="147" t="str">
        <f>IFERROR(__xludf.DUMMYFUNCTION("""COMPUTED_VALUE"""),"10.1177/0146167209351435")</f>
        <v>10.1177/0146167209351435</v>
      </c>
      <c r="B584" s="453" t="str">
        <f>IFERROR(__xludf.DUMMYFUNCTION("""COMPUTED_VALUE"""),"https://drive.google.com/file/d/1HPzVmIEplGhQvmWHdVz2IsB9vdc6FFNn/view?usp=drivesdk")</f>
        <v>https://drive.google.com/file/d/1HPzVmIEplGhQvmWHdVz2IsB9vdc6FFNn/view?usp=drivesdk</v>
      </c>
      <c r="C584" s="147" t="str">
        <f>IFERROR(__xludf.DUMMYFUNCTION("""COMPUTED_VALUE"""),"10.1177--0146167209351435.pdf")</f>
        <v>10.1177--0146167209351435.pdf</v>
      </c>
      <c r="D584" s="147" t="str">
        <f>IFERROR(__xludf.DUMMYFUNCTION("""COMPUTED_VALUE"""),"application/pdf")</f>
        <v>application/pdf</v>
      </c>
    </row>
    <row r="585">
      <c r="A585" s="147" t="str">
        <f>IFERROR(__xludf.DUMMYFUNCTION("""COMPUTED_VALUE"""),"10.1016/j.ijinfomgt.2018.03.001")</f>
        <v>10.1016/j.ijinfomgt.2018.03.001</v>
      </c>
      <c r="B585" s="453" t="str">
        <f>IFERROR(__xludf.DUMMYFUNCTION("""COMPUTED_VALUE"""),"https://drive.google.com/file/d/1o9LFgnQOxOWMbLhy5xq59Vl4kwI6felM/view?usp=drivesdk")</f>
        <v>https://drive.google.com/file/d/1o9LFgnQOxOWMbLhy5xq59Vl4kwI6felM/view?usp=drivesdk</v>
      </c>
      <c r="C585" s="147" t="str">
        <f>IFERROR(__xludf.DUMMYFUNCTION("""COMPUTED_VALUE"""),"10.1016--j.ijinfomgt.2018.03.001.pdf")</f>
        <v>10.1016--j.ijinfomgt.2018.03.001.pdf</v>
      </c>
      <c r="D585" s="147" t="str">
        <f>IFERROR(__xludf.DUMMYFUNCTION("""COMPUTED_VALUE"""),"application/pdf")</f>
        <v>application/pdf</v>
      </c>
    </row>
    <row r="586">
      <c r="A586" s="147" t="str">
        <f>IFERROR(__xludf.DUMMYFUNCTION("""COMPUTED_VALUE"""),"10.1016/j.cedpsych.2009.06.005")</f>
        <v>10.1016/j.cedpsych.2009.06.005</v>
      </c>
      <c r="B586" s="453" t="str">
        <f>IFERROR(__xludf.DUMMYFUNCTION("""COMPUTED_VALUE"""),"https://drive.google.com/file/d/148Py_oykj0pRS0KX5Nz43ePS1GIo-Y5B/view?usp=drivesdk")</f>
        <v>https://drive.google.com/file/d/148Py_oykj0pRS0KX5Nz43ePS1GIo-Y5B/view?usp=drivesdk</v>
      </c>
      <c r="C586" s="147" t="str">
        <f>IFERROR(__xludf.DUMMYFUNCTION("""COMPUTED_VALUE"""),"10.1016--j.cedpsych.2009.06.005.pdf")</f>
        <v>10.1016--j.cedpsych.2009.06.005.pdf</v>
      </c>
      <c r="D586" s="147" t="str">
        <f>IFERROR(__xludf.DUMMYFUNCTION("""COMPUTED_VALUE"""),"application/pdf")</f>
        <v>application/pdf</v>
      </c>
    </row>
    <row r="587">
      <c r="A587" s="147" t="str">
        <f>IFERROR(__xludf.DUMMYFUNCTION("""COMPUTED_VALUE"""),"10.1111/0023-8333.00112")</f>
        <v>10.1111/0023-8333.00112</v>
      </c>
      <c r="B587" s="453" t="str">
        <f>IFERROR(__xludf.DUMMYFUNCTION("""COMPUTED_VALUE"""),"https://drive.google.com/file/d/1jZTNlQnL0TIaQEtiJ7d2O9yOJIbibVXq/view?usp=drivesdk")</f>
        <v>https://drive.google.com/file/d/1jZTNlQnL0TIaQEtiJ7d2O9yOJIbibVXq/view?usp=drivesdk</v>
      </c>
      <c r="C587" s="147" t="str">
        <f>IFERROR(__xludf.DUMMYFUNCTION("""COMPUTED_VALUE"""),"10.1111--0023-8333.00112.pdf")</f>
        <v>10.1111--0023-8333.00112.pdf</v>
      </c>
      <c r="D587" s="147" t="str">
        <f>IFERROR(__xludf.DUMMYFUNCTION("""COMPUTED_VALUE"""),"application/pdf")</f>
        <v>application/pdf</v>
      </c>
    </row>
    <row r="588">
      <c r="A588" s="147" t="str">
        <f>IFERROR(__xludf.DUMMYFUNCTION("""COMPUTED_VALUE"""),"10.1086/678193")</f>
        <v>10.1086/678193</v>
      </c>
      <c r="B588" s="453" t="str">
        <f>IFERROR(__xludf.DUMMYFUNCTION("""COMPUTED_VALUE"""),"https://drive.google.com/file/d/1qAWfV1gULW7jC5kaiPJ66v9N_6ujk9G3/view?usp=drivesdk")</f>
        <v>https://drive.google.com/file/d/1qAWfV1gULW7jC5kaiPJ66v9N_6ujk9G3/view?usp=drivesdk</v>
      </c>
      <c r="C588" s="147" t="str">
        <f>IFERROR(__xludf.DUMMYFUNCTION("""COMPUTED_VALUE"""),"10.1086--678193.pdf")</f>
        <v>10.1086--678193.pdf</v>
      </c>
      <c r="D588" s="147" t="str">
        <f>IFERROR(__xludf.DUMMYFUNCTION("""COMPUTED_VALUE"""),"application/pdf")</f>
        <v>application/pdf</v>
      </c>
    </row>
    <row r="589">
      <c r="A589" s="147" t="str">
        <f>IFERROR(__xludf.DUMMYFUNCTION("""COMPUTED_VALUE"""),"10.1016/j.psychres.2017.09.048")</f>
        <v>10.1016/j.psychres.2017.09.048</v>
      </c>
      <c r="B589" s="453" t="str">
        <f>IFERROR(__xludf.DUMMYFUNCTION("""COMPUTED_VALUE"""),"https://drive.google.com/file/d/1bB5zAUL5oQPM2ClvdBCDeAd5AlkWVp4P/view?usp=drivesdk")</f>
        <v>https://drive.google.com/file/d/1bB5zAUL5oQPM2ClvdBCDeAd5AlkWVp4P/view?usp=drivesdk</v>
      </c>
      <c r="C589" s="147" t="str">
        <f>IFERROR(__xludf.DUMMYFUNCTION("""COMPUTED_VALUE"""),"10.1016--j.psychres.2017.09.048.pdf")</f>
        <v>10.1016--j.psychres.2017.09.048.pdf</v>
      </c>
      <c r="D589" s="147" t="str">
        <f>IFERROR(__xludf.DUMMYFUNCTION("""COMPUTED_VALUE"""),"application/pdf")</f>
        <v>application/pdf</v>
      </c>
    </row>
    <row r="590">
      <c r="A590" s="147" t="str">
        <f>IFERROR(__xludf.DUMMYFUNCTION("""COMPUTED_VALUE"""),"10.1037/abn0000277")</f>
        <v>10.1037/abn0000277</v>
      </c>
      <c r="B590" s="453" t="str">
        <f>IFERROR(__xludf.DUMMYFUNCTION("""COMPUTED_VALUE"""),"https://drive.google.com/file/d/1YAtWuID9zn-v4RS7EAtlJ13NrBFRKnTI/view?usp=drivesdk")</f>
        <v>https://drive.google.com/file/d/1YAtWuID9zn-v4RS7EAtlJ13NrBFRKnTI/view?usp=drivesdk</v>
      </c>
      <c r="C590" s="147" t="str">
        <f>IFERROR(__xludf.DUMMYFUNCTION("""COMPUTED_VALUE"""),"10.1037--abn0000277.pdf")</f>
        <v>10.1037--abn0000277.pdf</v>
      </c>
      <c r="D590" s="147" t="str">
        <f>IFERROR(__xludf.DUMMYFUNCTION("""COMPUTED_VALUE"""),"application/pdf")</f>
        <v>application/pdf</v>
      </c>
    </row>
    <row r="591">
      <c r="A591" s="147" t="str">
        <f>IFERROR(__xludf.DUMMYFUNCTION("""COMPUTED_VALUE"""),"10.1111/psyp.12132")</f>
        <v>10.1111/psyp.12132</v>
      </c>
      <c r="B591" s="453" t="str">
        <f>IFERROR(__xludf.DUMMYFUNCTION("""COMPUTED_VALUE"""),"https://drive.google.com/file/d/1-cST4Xer2glOXMG5eTrJVkRfofzfqFTW/view?usp=drivesdk")</f>
        <v>https://drive.google.com/file/d/1-cST4Xer2glOXMG5eTrJVkRfofzfqFTW/view?usp=drivesdk</v>
      </c>
      <c r="C591" s="147" t="str">
        <f>IFERROR(__xludf.DUMMYFUNCTION("""COMPUTED_VALUE"""),"10.1111--psyp.12132.pdf")</f>
        <v>10.1111--psyp.12132.pdf</v>
      </c>
      <c r="D591" s="147" t="str">
        <f>IFERROR(__xludf.DUMMYFUNCTION("""COMPUTED_VALUE"""),"application/pdf")</f>
        <v>application/pdf</v>
      </c>
    </row>
    <row r="592">
      <c r="A592" s="147" t="str">
        <f>IFERROR(__xludf.DUMMYFUNCTION("""COMPUTED_VALUE"""),"10.1016/j.visres.2006.11.013")</f>
        <v>10.1016/j.visres.2006.11.013</v>
      </c>
      <c r="B592" s="453" t="str">
        <f>IFERROR(__xludf.DUMMYFUNCTION("""COMPUTED_VALUE"""),"https://drive.google.com/file/d/1YGUF0pymdL9VWFyddXUkyUtTNzhUn4kL/view?usp=drivesdk")</f>
        <v>https://drive.google.com/file/d/1YGUF0pymdL9VWFyddXUkyUtTNzhUn4kL/view?usp=drivesdk</v>
      </c>
      <c r="C592" s="147" t="str">
        <f>IFERROR(__xludf.DUMMYFUNCTION("""COMPUTED_VALUE"""),"10.1016--j.visres.2006.11.013.pdf")</f>
        <v>10.1016--j.visres.2006.11.013.pdf</v>
      </c>
      <c r="D592" s="147" t="str">
        <f>IFERROR(__xludf.DUMMYFUNCTION("""COMPUTED_VALUE"""),"application/pdf")</f>
        <v>application/pdf</v>
      </c>
    </row>
    <row r="593">
      <c r="A593" s="147" t="str">
        <f>IFERROR(__xludf.DUMMYFUNCTION("""COMPUTED_VALUE"""),"10.1111/lang.12161")</f>
        <v>10.1111/lang.12161</v>
      </c>
      <c r="B593" s="453" t="str">
        <f>IFERROR(__xludf.DUMMYFUNCTION("""COMPUTED_VALUE"""),"https://drive.google.com/file/d/1W_KvsfbanYWBQG9nzoDuqDlzFW_jUYH2/view?usp=drivesdk")</f>
        <v>https://drive.google.com/file/d/1W_KvsfbanYWBQG9nzoDuqDlzFW_jUYH2/view?usp=drivesdk</v>
      </c>
      <c r="C593" s="147" t="str">
        <f>IFERROR(__xludf.DUMMYFUNCTION("""COMPUTED_VALUE"""),"10.1111--lang.12161.pdf")</f>
        <v>10.1111--lang.12161.pdf</v>
      </c>
      <c r="D593" s="147" t="str">
        <f>IFERROR(__xludf.DUMMYFUNCTION("""COMPUTED_VALUE"""),"application/pdf")</f>
        <v>application/pdf</v>
      </c>
    </row>
    <row r="594">
      <c r="A594" s="147" t="str">
        <f>IFERROR(__xludf.DUMMYFUNCTION("""COMPUTED_VALUE"""),"10.1177/0956797611402513")</f>
        <v>10.1177/0956797611402513</v>
      </c>
      <c r="B594" s="453" t="str">
        <f>IFERROR(__xludf.DUMMYFUNCTION("""COMPUTED_VALUE"""),"https://drive.google.com/file/d/1qjg3dUl7eHUol7x5vvlFumz5qKGMMo-n/view?usp=drivesdk")</f>
        <v>https://drive.google.com/file/d/1qjg3dUl7eHUol7x5vvlFumz5qKGMMo-n/view?usp=drivesdk</v>
      </c>
      <c r="C594" s="147" t="str">
        <f>IFERROR(__xludf.DUMMYFUNCTION("""COMPUTED_VALUE"""),"10.1177--0956797611402513.pdf")</f>
        <v>10.1177--0956797611402513.pdf</v>
      </c>
      <c r="D594" s="147" t="str">
        <f>IFERROR(__xludf.DUMMYFUNCTION("""COMPUTED_VALUE"""),"application/pdf")</f>
        <v>application/pdf</v>
      </c>
    </row>
    <row r="595">
      <c r="A595" s="147" t="str">
        <f>IFERROR(__xludf.DUMMYFUNCTION("""COMPUTED_VALUE"""),"10.1177/0267658310386439")</f>
        <v>10.1177/0267658310386439</v>
      </c>
      <c r="B595" s="453" t="str">
        <f>IFERROR(__xludf.DUMMYFUNCTION("""COMPUTED_VALUE"""),"https://drive.google.com/file/d/1c_xOizbgC83hFcsc5jmN-idvU1vfACNB/view?usp=drivesdk")</f>
        <v>https://drive.google.com/file/d/1c_xOizbgC83hFcsc5jmN-idvU1vfACNB/view?usp=drivesdk</v>
      </c>
      <c r="C595" s="147" t="str">
        <f>IFERROR(__xludf.DUMMYFUNCTION("""COMPUTED_VALUE"""),"10.1177--0267658310386439.pdf")</f>
        <v>10.1177--0267658310386439.pdf</v>
      </c>
      <c r="D595" s="147" t="str">
        <f>IFERROR(__xludf.DUMMYFUNCTION("""COMPUTED_VALUE"""),"application/pdf")</f>
        <v>application/pdf</v>
      </c>
    </row>
    <row r="596">
      <c r="A596" s="147" t="str">
        <f>IFERROR(__xludf.DUMMYFUNCTION("""COMPUTED_VALUE"""),"10.1177/2167702614545216")</f>
        <v>10.1177/2167702614545216</v>
      </c>
      <c r="B596" s="453" t="str">
        <f>IFERROR(__xludf.DUMMYFUNCTION("""COMPUTED_VALUE"""),"https://drive.google.com/file/d/1lp6r_eHvrdDz_Jcksbt_MrMZQFC3hwy0/view?usp=drivesdk")</f>
        <v>https://drive.google.com/file/d/1lp6r_eHvrdDz_Jcksbt_MrMZQFC3hwy0/view?usp=drivesdk</v>
      </c>
      <c r="C596" s="147" t="str">
        <f>IFERROR(__xludf.DUMMYFUNCTION("""COMPUTED_VALUE"""),"10.1177--2167702614545216.pdf")</f>
        <v>10.1177--2167702614545216.pdf</v>
      </c>
      <c r="D596" s="147" t="str">
        <f>IFERROR(__xludf.DUMMYFUNCTION("""COMPUTED_VALUE"""),"application/pdf")</f>
        <v>application/pdf</v>
      </c>
    </row>
    <row r="597">
      <c r="A597" s="147" t="str">
        <f>IFERROR(__xludf.DUMMYFUNCTION("""COMPUTED_VALUE"""),"10.1002/pam.21702")</f>
        <v>10.1002/pam.21702</v>
      </c>
      <c r="B597" s="453" t="str">
        <f>IFERROR(__xludf.DUMMYFUNCTION("""COMPUTED_VALUE"""),"https://drive.google.com/file/d/1NxD4srcP8NGAkHA1AWvYHXJLyf_l73EF/view?usp=drivesdk")</f>
        <v>https://drive.google.com/file/d/1NxD4srcP8NGAkHA1AWvYHXJLyf_l73EF/view?usp=drivesdk</v>
      </c>
      <c r="C597" s="147" t="str">
        <f>IFERROR(__xludf.DUMMYFUNCTION("""COMPUTED_VALUE"""),"10.1002--pam.21702.pdf")</f>
        <v>10.1002--pam.21702.pdf</v>
      </c>
      <c r="D597" s="147" t="str">
        <f>IFERROR(__xludf.DUMMYFUNCTION("""COMPUTED_VALUE"""),"application/pdf")</f>
        <v>application/pdf</v>
      </c>
    </row>
    <row r="598">
      <c r="A598" s="147" t="str">
        <f>IFERROR(__xludf.DUMMYFUNCTION("""COMPUTED_VALUE"""),"10.1016/j.learninstruc.2014.08.004")</f>
        <v>10.1016/j.learninstruc.2014.08.004</v>
      </c>
      <c r="B598" s="453" t="str">
        <f>IFERROR(__xludf.DUMMYFUNCTION("""COMPUTED_VALUE"""),"https://drive.google.com/file/d/1dE7-AS0QPxKoPMyquy5WhD3ojjC80SWY/view?usp=drivesdk")</f>
        <v>https://drive.google.com/file/d/1dE7-AS0QPxKoPMyquy5WhD3ojjC80SWY/view?usp=drivesdk</v>
      </c>
      <c r="C598" s="147" t="str">
        <f>IFERROR(__xludf.DUMMYFUNCTION("""COMPUTED_VALUE"""),"10.1016--j.learninstruc.2014.08.004.pdf")</f>
        <v>10.1016--j.learninstruc.2014.08.004.pdf</v>
      </c>
      <c r="D598" s="147" t="str">
        <f>IFERROR(__xludf.DUMMYFUNCTION("""COMPUTED_VALUE"""),"application/pdf")</f>
        <v>application/pdf</v>
      </c>
    </row>
    <row r="599">
      <c r="A599" s="147" t="str">
        <f>IFERROR(__xludf.DUMMYFUNCTION("""COMPUTED_VALUE"""),"10.1162/rest.90.2.300")</f>
        <v>10.1162/rest.90.2.300</v>
      </c>
      <c r="B599" s="453" t="str">
        <f>IFERROR(__xludf.DUMMYFUNCTION("""COMPUTED_VALUE"""),"https://drive.google.com/file/d/150VkxMJ6Qzq8PM52a6Vi7Y9e4ojtHPne/view?usp=drivesdk")</f>
        <v>https://drive.google.com/file/d/150VkxMJ6Qzq8PM52a6Vi7Y9e4ojtHPne/view?usp=drivesdk</v>
      </c>
      <c r="C599" s="147" t="str">
        <f>IFERROR(__xludf.DUMMYFUNCTION("""COMPUTED_VALUE"""),"10.1162--rest.90.2.300.pdf")</f>
        <v>10.1162--rest.90.2.300.pdf</v>
      </c>
      <c r="D599" s="147" t="str">
        <f>IFERROR(__xludf.DUMMYFUNCTION("""COMPUTED_VALUE"""),"application/pdf")</f>
        <v>application/pdf</v>
      </c>
    </row>
    <row r="600">
      <c r="A600" s="147" t="str">
        <f>IFERROR(__xludf.DUMMYFUNCTION("""COMPUTED_VALUE"""),"10.1007/s11858-016-0819-3")</f>
        <v>10.1007/s11858-016-0819-3</v>
      </c>
      <c r="B600" s="453" t="str">
        <f>IFERROR(__xludf.DUMMYFUNCTION("""COMPUTED_VALUE"""),"https://drive.google.com/file/d/1A3A0XWewbvFp536VbiCjIAYxdIJwVP-9/view?usp=drivesdk")</f>
        <v>https://drive.google.com/file/d/1A3A0XWewbvFp536VbiCjIAYxdIJwVP-9/view?usp=drivesdk</v>
      </c>
      <c r="C600" s="147" t="str">
        <f>IFERROR(__xludf.DUMMYFUNCTION("""COMPUTED_VALUE"""),"10.1007--s11858-016-0819-3.pdf")</f>
        <v>10.1007--s11858-016-0819-3.pdf</v>
      </c>
      <c r="D600" s="147" t="str">
        <f>IFERROR(__xludf.DUMMYFUNCTION("""COMPUTED_VALUE"""),"application/pdf")</f>
        <v>application/pdf</v>
      </c>
    </row>
    <row r="601">
      <c r="A601" s="147" t="str">
        <f>IFERROR(__xludf.DUMMYFUNCTION("""COMPUTED_VALUE"""),"10.1016/j.compedu.2013.06.014")</f>
        <v>10.1016/j.compedu.2013.06.014</v>
      </c>
      <c r="B601" s="453" t="str">
        <f>IFERROR(__xludf.DUMMYFUNCTION("""COMPUTED_VALUE"""),"https://drive.google.com/file/d/1Om0VtTokwrnUfKI5dbrEDRogkdHBeMRA/view?usp=drivesdk")</f>
        <v>https://drive.google.com/file/d/1Om0VtTokwrnUfKI5dbrEDRogkdHBeMRA/view?usp=drivesdk</v>
      </c>
      <c r="C601" s="147" t="str">
        <f>IFERROR(__xludf.DUMMYFUNCTION("""COMPUTED_VALUE"""),"10.1016--j.compedu.2013.06.014.pdf")</f>
        <v>10.1016--j.compedu.2013.06.014.pdf</v>
      </c>
      <c r="D601" s="147" t="str">
        <f>IFERROR(__xludf.DUMMYFUNCTION("""COMPUTED_VALUE"""),"application/pdf")</f>
        <v>application/pdf</v>
      </c>
    </row>
    <row r="602">
      <c r="A602" s="147" t="str">
        <f>IFERROR(__xludf.DUMMYFUNCTION("""COMPUTED_VALUE"""),"10.1177/0956797613478614")</f>
        <v>10.1177/0956797613478614</v>
      </c>
      <c r="B602" s="453" t="str">
        <f>IFERROR(__xludf.DUMMYFUNCTION("""COMPUTED_VALUE"""),"https://drive.google.com/file/d/145Pa13zh5Prx2VW-au4YJBMHc37TXuej/view?usp=drivesdk")</f>
        <v>https://drive.google.com/file/d/145Pa13zh5Prx2VW-au4YJBMHc37TXuej/view?usp=drivesdk</v>
      </c>
      <c r="C602" s="147" t="str">
        <f>IFERROR(__xludf.DUMMYFUNCTION("""COMPUTED_VALUE"""),"10.1177--0956797613478614.pdf")</f>
        <v>10.1177--0956797613478614.pdf</v>
      </c>
      <c r="D602" s="147" t="str">
        <f>IFERROR(__xludf.DUMMYFUNCTION("""COMPUTED_VALUE"""),"application/pdf")</f>
        <v>application/pdf</v>
      </c>
    </row>
    <row r="603">
      <c r="A603" s="147" t="str">
        <f>IFERROR(__xludf.DUMMYFUNCTION("""COMPUTED_VALUE"""),"10.1007/s10857-015-9324-9")</f>
        <v>10.1007/s10857-015-9324-9</v>
      </c>
      <c r="B603" s="453" t="str">
        <f>IFERROR(__xludf.DUMMYFUNCTION("""COMPUTED_VALUE"""),"https://drive.google.com/file/d/1JnjkuBqFgDqAEzZj1VnXDDzpULzqwUY4/view?usp=drivesdk")</f>
        <v>https://drive.google.com/file/d/1JnjkuBqFgDqAEzZj1VnXDDzpULzqwUY4/view?usp=drivesdk</v>
      </c>
      <c r="C603" s="147" t="str">
        <f>IFERROR(__xludf.DUMMYFUNCTION("""COMPUTED_VALUE"""),"10.1007--s10857-015-9324-9.pdf")</f>
        <v>10.1007--s10857-015-9324-9.pdf</v>
      </c>
      <c r="D603" s="147" t="str">
        <f>IFERROR(__xludf.DUMMYFUNCTION("""COMPUTED_VALUE"""),"application/pdf")</f>
        <v>application/pdf</v>
      </c>
    </row>
    <row r="604">
      <c r="A604" s="147" t="str">
        <f>IFERROR(__xludf.DUMMYFUNCTION("""COMPUTED_VALUE"""),"10.1016/j.jsams.2017.06.007")</f>
        <v>10.1016/j.jsams.2017.06.007</v>
      </c>
      <c r="B604" s="453" t="str">
        <f>IFERROR(__xludf.DUMMYFUNCTION("""COMPUTED_VALUE"""),"https://drive.google.com/file/d/1bOamtHkDDCeR5rldqOBSgCXc_AFZb3yD/view?usp=drivesdk")</f>
        <v>https://drive.google.com/file/d/1bOamtHkDDCeR5rldqOBSgCXc_AFZb3yD/view?usp=drivesdk</v>
      </c>
      <c r="C604" s="147" t="str">
        <f>IFERROR(__xludf.DUMMYFUNCTION("""COMPUTED_VALUE"""),"10.1016--j.jsams.2017.06.007.pdf")</f>
        <v>10.1016--j.jsams.2017.06.007.pdf</v>
      </c>
      <c r="D604" s="147" t="str">
        <f>IFERROR(__xludf.DUMMYFUNCTION("""COMPUTED_VALUE"""),"application/pdf")</f>
        <v>application/pdf</v>
      </c>
    </row>
    <row r="605">
      <c r="A605" s="147" t="str">
        <f>IFERROR(__xludf.DUMMYFUNCTION("""COMPUTED_VALUE"""),"10.1037/0021-9010.77.4.419")</f>
        <v>10.1037/0021-9010.77.4.419</v>
      </c>
      <c r="B605" s="453" t="str">
        <f>IFERROR(__xludf.DUMMYFUNCTION("""COMPUTED_VALUE"""),"https://drive.google.com/file/d/1XtfL3wumyr6mb9iCgCxuHmUHHvQhg4yN/view?usp=drivesdk")</f>
        <v>https://drive.google.com/file/d/1XtfL3wumyr6mb9iCgCxuHmUHHvQhg4yN/view?usp=drivesdk</v>
      </c>
      <c r="C605" s="147" t="str">
        <f>IFERROR(__xludf.DUMMYFUNCTION("""COMPUTED_VALUE"""),"10.1037--0021-9010.77.4.419.pdf")</f>
        <v>10.1037--0021-9010.77.4.419.pdf</v>
      </c>
      <c r="D605" s="147" t="str">
        <f>IFERROR(__xludf.DUMMYFUNCTION("""COMPUTED_VALUE"""),"application/pdf")</f>
        <v>application/pdf</v>
      </c>
    </row>
    <row r="606">
      <c r="A606" s="147" t="str">
        <f>IFERROR(__xludf.DUMMYFUNCTION("""COMPUTED_VALUE"""),"10.1006/obhd.1994.1063")</f>
        <v>10.1006/obhd.1994.1063</v>
      </c>
      <c r="B606" s="453" t="str">
        <f>IFERROR(__xludf.DUMMYFUNCTION("""COMPUTED_VALUE"""),"https://drive.google.com/file/d/1S6Y_7EBTIU64tChcmNNePtGMO2jWzVGk/view?usp=drivesdk")</f>
        <v>https://drive.google.com/file/d/1S6Y_7EBTIU64tChcmNNePtGMO2jWzVGk/view?usp=drivesdk</v>
      </c>
      <c r="C606" s="147" t="str">
        <f>IFERROR(__xludf.DUMMYFUNCTION("""COMPUTED_VALUE"""),"10.1006--obhd.1994.1063.pdf")</f>
        <v>10.1006--obhd.1994.1063.pdf</v>
      </c>
      <c r="D606" s="147" t="str">
        <f>IFERROR(__xludf.DUMMYFUNCTION("""COMPUTED_VALUE"""),"application/pdf")</f>
        <v>application/pdf</v>
      </c>
    </row>
    <row r="607">
      <c r="A607" s="147" t="str">
        <f>IFERROR(__xludf.DUMMYFUNCTION("""COMPUTED_VALUE"""),"10.1016/j.learninstruc.2018.05.004")</f>
        <v>10.1016/j.learninstruc.2018.05.004</v>
      </c>
      <c r="B607" s="453" t="str">
        <f>IFERROR(__xludf.DUMMYFUNCTION("""COMPUTED_VALUE"""),"https://drive.google.com/file/d/1GpQZNwn0thDz2IQRffeGzv6KDWQiKn_I/view?usp=drivesdk")</f>
        <v>https://drive.google.com/file/d/1GpQZNwn0thDz2IQRffeGzv6KDWQiKn_I/view?usp=drivesdk</v>
      </c>
      <c r="C607" s="147" t="str">
        <f>IFERROR(__xludf.DUMMYFUNCTION("""COMPUTED_VALUE"""),"10.1016--j.learninstruc.2018.05.004.pdf")</f>
        <v>10.1016--j.learninstruc.2018.05.004.pdf</v>
      </c>
      <c r="D607" s="147" t="str">
        <f>IFERROR(__xludf.DUMMYFUNCTION("""COMPUTED_VALUE"""),"application/pdf")</f>
        <v>application/pdf</v>
      </c>
    </row>
    <row r="608">
      <c r="A608" s="147" t="str">
        <f>IFERROR(__xludf.DUMMYFUNCTION("""COMPUTED_VALUE"""),"10.1016/j.jrp.2017.10.002")</f>
        <v>10.1016/j.jrp.2017.10.002</v>
      </c>
      <c r="B608" s="453" t="str">
        <f>IFERROR(__xludf.DUMMYFUNCTION("""COMPUTED_VALUE"""),"https://drive.google.com/file/d/181zSSJL0lk7t_7R7qFXHj6EpNju7NEyy/view?usp=drivesdk")</f>
        <v>https://drive.google.com/file/d/181zSSJL0lk7t_7R7qFXHj6EpNju7NEyy/view?usp=drivesdk</v>
      </c>
      <c r="C608" s="147" t="str">
        <f>IFERROR(__xludf.DUMMYFUNCTION("""COMPUTED_VALUE"""),"10.1016--j.jrp.2017.10.002.pdf")</f>
        <v>10.1016--j.jrp.2017.10.002.pdf</v>
      </c>
      <c r="D608" s="147" t="str">
        <f>IFERROR(__xludf.DUMMYFUNCTION("""COMPUTED_VALUE"""),"application/pdf")</f>
        <v>application/pdf</v>
      </c>
    </row>
    <row r="609">
      <c r="A609" s="147" t="str">
        <f>IFERROR(__xludf.DUMMYFUNCTION("""COMPUTED_VALUE"""),"10.1037/a0019006")</f>
        <v>10.1037/a0019006</v>
      </c>
      <c r="B609" s="453" t="str">
        <f>IFERROR(__xludf.DUMMYFUNCTION("""COMPUTED_VALUE"""),"https://drive.google.com/file/d/1PYhLwP6tdLfH-XKRuD0puhoFxy-sMmFS/view?usp=drivesdk")</f>
        <v>https://drive.google.com/file/d/1PYhLwP6tdLfH-XKRuD0puhoFxy-sMmFS/view?usp=drivesdk</v>
      </c>
      <c r="C609" s="147" t="str">
        <f>IFERROR(__xludf.DUMMYFUNCTION("""COMPUTED_VALUE"""),"10.1037--a0019006.pdf")</f>
        <v>10.1037--a0019006.pdf</v>
      </c>
      <c r="D609" s="147" t="str">
        <f>IFERROR(__xludf.DUMMYFUNCTION("""COMPUTED_VALUE"""),"application/pdf")</f>
        <v>application/pdf</v>
      </c>
    </row>
    <row r="610">
      <c r="A610" s="147" t="str">
        <f>IFERROR(__xludf.DUMMYFUNCTION("""COMPUTED_VALUE"""),"10.1002/(sici)1099-0771(199609)9:3%3c213::aid-bdm230%3e3.0.co;2-1")</f>
        <v>10.1002/(sici)1099-0771(199609)9:3%3c213::aid-bdm230%3e3.0.co;2-1</v>
      </c>
      <c r="B610" s="453" t="str">
        <f>IFERROR(__xludf.DUMMYFUNCTION("""COMPUTED_VALUE"""),"https://drive.google.com/file/d/19H8UbfRLvZEql0tCt59611gSkSLUCmKs/view?usp=drivesdk")</f>
        <v>https://drive.google.com/file/d/19H8UbfRLvZEql0tCt59611gSkSLUCmKs/view?usp=drivesdk</v>
      </c>
      <c r="C610" s="147" t="str">
        <f>IFERROR(__xludf.DUMMYFUNCTION("""COMPUTED_VALUE"""),"10.1002--(SICI)1099-0771(199609)9:3%3C213::AID-BDM230%3E3.0.CO;2-1.pdf")</f>
        <v>10.1002--(SICI)1099-0771(199609)9:3%3C213::AID-BDM230%3E3.0.CO;2-1.pdf</v>
      </c>
      <c r="D610" s="147" t="str">
        <f>IFERROR(__xludf.DUMMYFUNCTION("""COMPUTED_VALUE"""),"application/pdf")</f>
        <v>application/pdf</v>
      </c>
    </row>
    <row r="611">
      <c r="A611" s="147" t="str">
        <f>IFERROR(__xludf.DUMMYFUNCTION("""COMPUTED_VALUE"""),"10.1016/j.biopsycho.2018.08.007")</f>
        <v>10.1016/j.biopsycho.2018.08.007</v>
      </c>
      <c r="B611" s="453" t="str">
        <f>IFERROR(__xludf.DUMMYFUNCTION("""COMPUTED_VALUE"""),"https://drive.google.com/file/d/1V8lTfv6HJ8IMLiB5gYCuvj2XX1Nry6fh/view?usp=drivesdk")</f>
        <v>https://drive.google.com/file/d/1V8lTfv6HJ8IMLiB5gYCuvj2XX1Nry6fh/view?usp=drivesdk</v>
      </c>
      <c r="C611" s="147" t="str">
        <f>IFERROR(__xludf.DUMMYFUNCTION("""COMPUTED_VALUE"""),"10.1016--j.biopsycho.2018.08.007.pdf")</f>
        <v>10.1016--j.biopsycho.2018.08.007.pdf</v>
      </c>
      <c r="D611" s="147" t="str">
        <f>IFERROR(__xludf.DUMMYFUNCTION("""COMPUTED_VALUE"""),"application/pdf")</f>
        <v>application/pdf</v>
      </c>
    </row>
    <row r="612">
      <c r="A612" s="147" t="str">
        <f>IFERROR(__xludf.DUMMYFUNCTION("""COMPUTED_VALUE"""),"10.1109/tse.2016.2527791")</f>
        <v>10.1109/tse.2016.2527791</v>
      </c>
      <c r="B612" s="453" t="str">
        <f>IFERROR(__xludf.DUMMYFUNCTION("""COMPUTED_VALUE"""),"https://drive.google.com/file/d/1NP74FAQ4UheeZ68AMDXl3P1f72HLwpaT/view?usp=drivesdk")</f>
        <v>https://drive.google.com/file/d/1NP74FAQ4UheeZ68AMDXl3P1f72HLwpaT/view?usp=drivesdk</v>
      </c>
      <c r="C612" s="147" t="str">
        <f>IFERROR(__xludf.DUMMYFUNCTION("""COMPUTED_VALUE"""),"10.1109--TSE.2016.2527791.pdf")</f>
        <v>10.1109--TSE.2016.2527791.pdf</v>
      </c>
      <c r="D612" s="147" t="str">
        <f>IFERROR(__xludf.DUMMYFUNCTION("""COMPUTED_VALUE"""),"application/pdf")</f>
        <v>application/pdf</v>
      </c>
    </row>
    <row r="613">
      <c r="A613" s="147" t="str">
        <f>IFERROR(__xludf.DUMMYFUNCTION("""COMPUTED_VALUE"""),"10.1016/0030-5073(76)90005-2")</f>
        <v>10.1016/0030-5073(76)90005-2</v>
      </c>
      <c r="B613" s="453" t="str">
        <f>IFERROR(__xludf.DUMMYFUNCTION("""COMPUTED_VALUE"""),"https://drive.google.com/file/d/1ks4sYhMyRxNwDVYxivPVczl4gI-dQ94P/view?usp=drivesdk")</f>
        <v>https://drive.google.com/file/d/1ks4sYhMyRxNwDVYxivPVczl4gI-dQ94P/view?usp=drivesdk</v>
      </c>
      <c r="C613" s="147" t="str">
        <f>IFERROR(__xludf.DUMMYFUNCTION("""COMPUTED_VALUE"""),"10.1016--0030-5073(76)90005-2.pdf")</f>
        <v>10.1016--0030-5073(76)90005-2.pdf</v>
      </c>
      <c r="D613" s="147" t="str">
        <f>IFERROR(__xludf.DUMMYFUNCTION("""COMPUTED_VALUE"""),"application/pdf")</f>
        <v>application/pdf</v>
      </c>
    </row>
    <row r="614">
      <c r="A614" s="147" t="str">
        <f>IFERROR(__xludf.DUMMYFUNCTION("""COMPUTED_VALUE"""),"10.1016/j.avb.2019.03.001")</f>
        <v>10.1016/j.avb.2019.03.001</v>
      </c>
      <c r="B614" s="453" t="str">
        <f>IFERROR(__xludf.DUMMYFUNCTION("""COMPUTED_VALUE"""),"https://drive.google.com/file/d/1cJsRXmvKPQ7GPC_cm_Airo5Y-ih6oB2j/view?usp=drivesdk")</f>
        <v>https://drive.google.com/file/d/1cJsRXmvKPQ7GPC_cm_Airo5Y-ih6oB2j/view?usp=drivesdk</v>
      </c>
      <c r="C614" s="147" t="str">
        <f>IFERROR(__xludf.DUMMYFUNCTION("""COMPUTED_VALUE"""),"10.1016--j.avb.2019.03.001.pdf")</f>
        <v>10.1016--j.avb.2019.03.001.pdf</v>
      </c>
      <c r="D614" s="147" t="str">
        <f>IFERROR(__xludf.DUMMYFUNCTION("""COMPUTED_VALUE"""),"application/pdf")</f>
        <v>application/pdf</v>
      </c>
    </row>
    <row r="615">
      <c r="A615" s="147" t="str">
        <f>IFERROR(__xludf.DUMMYFUNCTION("""COMPUTED_VALUE"""),"10.1177/0146167213520459")</f>
        <v>10.1177/0146167213520459</v>
      </c>
      <c r="B615" s="453" t="str">
        <f>IFERROR(__xludf.DUMMYFUNCTION("""COMPUTED_VALUE"""),"https://drive.google.com/file/d/1k_T4Rme4laOqj4FFVCtLFL6sVGJsx86a/view?usp=drivesdk")</f>
        <v>https://drive.google.com/file/d/1k_T4Rme4laOqj4FFVCtLFL6sVGJsx86a/view?usp=drivesdk</v>
      </c>
      <c r="C615" s="147" t="str">
        <f>IFERROR(__xludf.DUMMYFUNCTION("""COMPUTED_VALUE"""),"10.1177--0146167213520459.pdf")</f>
        <v>10.1177--0146167213520459.pdf</v>
      </c>
      <c r="D615" s="147" t="str">
        <f>IFERROR(__xludf.DUMMYFUNCTION("""COMPUTED_VALUE"""),"application/pdf")</f>
        <v>application/pdf</v>
      </c>
    </row>
    <row r="616">
      <c r="A616" s="147" t="str">
        <f>IFERROR(__xludf.DUMMYFUNCTION("""COMPUTED_VALUE"""),"10.1177/0956797617719950")</f>
        <v>10.1177/0956797617719950</v>
      </c>
      <c r="B616" s="453" t="str">
        <f>IFERROR(__xludf.DUMMYFUNCTION("""COMPUTED_VALUE"""),"https://drive.google.com/file/d/1oiaWpVjzIMfjLRO9E_LEl1ivIhgYJxRz/view?usp=drivesdk")</f>
        <v>https://drive.google.com/file/d/1oiaWpVjzIMfjLRO9E_LEl1ivIhgYJxRz/view?usp=drivesdk</v>
      </c>
      <c r="C616" s="147" t="str">
        <f>IFERROR(__xludf.DUMMYFUNCTION("""COMPUTED_VALUE"""),"10.1177--0956797617719950.pdf")</f>
        <v>10.1177--0956797617719950.pdf</v>
      </c>
      <c r="D616" s="147" t="str">
        <f>IFERROR(__xludf.DUMMYFUNCTION("""COMPUTED_VALUE"""),"application/pdf")</f>
        <v>application/pdf</v>
      </c>
    </row>
    <row r="617">
      <c r="A617" s="147" t="str">
        <f>IFERROR(__xludf.DUMMYFUNCTION("""COMPUTED_VALUE"""),"10.1177/0956797611432497")</f>
        <v>10.1177/0956797611432497</v>
      </c>
      <c r="B617" s="453" t="str">
        <f>IFERROR(__xludf.DUMMYFUNCTION("""COMPUTED_VALUE"""),"https://drive.google.com/file/d/1WbrVaSPfdqLt24QFCNSjDPwq7kVE4TDC/view?usp=drivesdk")</f>
        <v>https://drive.google.com/file/d/1WbrVaSPfdqLt24QFCNSjDPwq7kVE4TDC/view?usp=drivesdk</v>
      </c>
      <c r="C617" s="147" t="str">
        <f>IFERROR(__xludf.DUMMYFUNCTION("""COMPUTED_VALUE"""),"10.1177--0956797611432497.pdf")</f>
        <v>10.1177--0956797611432497.pdf</v>
      </c>
      <c r="D617" s="147" t="str">
        <f>IFERROR(__xludf.DUMMYFUNCTION("""COMPUTED_VALUE"""),"application/pdf")</f>
        <v>application/pdf</v>
      </c>
    </row>
    <row r="618">
      <c r="A618" s="147" t="str">
        <f>IFERROR(__xludf.DUMMYFUNCTION("""COMPUTED_VALUE"""),"10.1177/0146167299259003")</f>
        <v>10.1177/0146167299259003</v>
      </c>
      <c r="B618" s="453" t="str">
        <f>IFERROR(__xludf.DUMMYFUNCTION("""COMPUTED_VALUE"""),"https://drive.google.com/file/d/1ANlIZ7j6kBtYmK7zjvKHJDP4NHDfNeu0/view?usp=drivesdk")</f>
        <v>https://drive.google.com/file/d/1ANlIZ7j6kBtYmK7zjvKHJDP4NHDfNeu0/view?usp=drivesdk</v>
      </c>
      <c r="C618" s="147" t="str">
        <f>IFERROR(__xludf.DUMMYFUNCTION("""COMPUTED_VALUE"""),"10.1177--0146167299259003.pdf")</f>
        <v>10.1177--0146167299259003.pdf</v>
      </c>
      <c r="D618" s="147" t="str">
        <f>IFERROR(__xludf.DUMMYFUNCTION("""COMPUTED_VALUE"""),"application/pdf")</f>
        <v>application/pdf</v>
      </c>
    </row>
    <row r="619">
      <c r="A619" s="147" t="str">
        <f>IFERROR(__xludf.DUMMYFUNCTION("""COMPUTED_VALUE"""),"10.1146/annurev.psych.57.102904.190127")</f>
        <v>10.1146/annurev.psych.57.102904.190127</v>
      </c>
      <c r="B619" s="453" t="str">
        <f>IFERROR(__xludf.DUMMYFUNCTION("""COMPUTED_VALUE"""),"https://drive.google.com/file/d/12pcrWT7rv8KHcTckp1mVzESreAZAMuLd/view?usp=drivesdk")</f>
        <v>https://drive.google.com/file/d/12pcrWT7rv8KHcTckp1mVzESreAZAMuLd/view?usp=drivesdk</v>
      </c>
      <c r="C619" s="147" t="str">
        <f>IFERROR(__xludf.DUMMYFUNCTION("""COMPUTED_VALUE"""),"10.1146--annurev.psych.57.102904.190127.pdf")</f>
        <v>10.1146--annurev.psych.57.102904.190127.pdf</v>
      </c>
      <c r="D619" s="147" t="str">
        <f>IFERROR(__xludf.DUMMYFUNCTION("""COMPUTED_VALUE"""),"application/pdf")</f>
        <v>application/pdf</v>
      </c>
    </row>
    <row r="620">
      <c r="A620" s="147" t="str">
        <f>IFERROR(__xludf.DUMMYFUNCTION("""COMPUTED_VALUE"""),"10.1126/science.283.5398.77")</f>
        <v>10.1126/science.283.5398.77</v>
      </c>
      <c r="B620" s="453" t="str">
        <f>IFERROR(__xludf.DUMMYFUNCTION("""COMPUTED_VALUE"""),"https://drive.google.com/file/d/1cnM2XgZQxYQfpwgE4BmFxY_VVTpXHKKM/view?usp=drivesdk")</f>
        <v>https://drive.google.com/file/d/1cnM2XgZQxYQfpwgE4BmFxY_VVTpXHKKM/view?usp=drivesdk</v>
      </c>
      <c r="C620" s="147" t="str">
        <f>IFERROR(__xludf.DUMMYFUNCTION("""COMPUTED_VALUE"""),"10.1126--science.283.5398.77.pdf")</f>
        <v>10.1126--science.283.5398.77.pdf</v>
      </c>
      <c r="D620" s="147" t="str">
        <f>IFERROR(__xludf.DUMMYFUNCTION("""COMPUTED_VALUE"""),"application/pdf")</f>
        <v>application/pdf</v>
      </c>
    </row>
    <row r="621">
      <c r="A621" s="147" t="str">
        <f>IFERROR(__xludf.DUMMYFUNCTION("""COMPUTED_VALUE"""),"10.1111/j.2044-8295.1945.tb01093.x")</f>
        <v>10.1111/j.2044-8295.1945.tb01093.x</v>
      </c>
      <c r="B621" s="453" t="str">
        <f>IFERROR(__xludf.DUMMYFUNCTION("""COMPUTED_VALUE"""),"https://drive.google.com/file/d/1pomwSjb3JhWNAcPkuV9rFVeM8shH8WIX/view?usp=drivesdk")</f>
        <v>https://drive.google.com/file/d/1pomwSjb3JhWNAcPkuV9rFVeM8shH8WIX/view?usp=drivesdk</v>
      </c>
      <c r="C621" s="147" t="str">
        <f>IFERROR(__xludf.DUMMYFUNCTION("""COMPUTED_VALUE"""),"10.1111--j.2044-8295.1945.tb01093.x.pdf")</f>
        <v>10.1111--j.2044-8295.1945.tb01093.x.pdf</v>
      </c>
      <c r="D621" s="147" t="str">
        <f>IFERROR(__xludf.DUMMYFUNCTION("""COMPUTED_VALUE"""),"application/pdf")</f>
        <v>application/pdf</v>
      </c>
    </row>
    <row r="622">
      <c r="A622" s="147" t="str">
        <f>IFERROR(__xludf.DUMMYFUNCTION("""COMPUTED_VALUE"""),"10.1111/j.1467-9477.2007.00176.x")</f>
        <v>10.1111/j.1467-9477.2007.00176.x</v>
      </c>
      <c r="B622" s="453" t="str">
        <f>IFERROR(__xludf.DUMMYFUNCTION("""COMPUTED_VALUE"""),"https://drive.google.com/file/d/1givOcPpd1ntLsGdIXQxqAtb-vKGTpGuD/view?usp=drivesdk")</f>
        <v>https://drive.google.com/file/d/1givOcPpd1ntLsGdIXQxqAtb-vKGTpGuD/view?usp=drivesdk</v>
      </c>
      <c r="C622" s="147" t="str">
        <f>IFERROR(__xludf.DUMMYFUNCTION("""COMPUTED_VALUE"""),"10.1111--j.1467-9477.2007.00176.x.pdf")</f>
        <v>10.1111--j.1467-9477.2007.00176.x.pdf</v>
      </c>
      <c r="D622" s="147" t="str">
        <f>IFERROR(__xludf.DUMMYFUNCTION("""COMPUTED_VALUE"""),"application/pdf")</f>
        <v>application/pdf</v>
      </c>
    </row>
    <row r="623">
      <c r="A623" s="147" t="str">
        <f>IFERROR(__xludf.DUMMYFUNCTION("""COMPUTED_VALUE"""),"10.1111/j.1467-9280.2009.02479.x")</f>
        <v>10.1111/j.1467-9280.2009.02479.x</v>
      </c>
      <c r="B623" s="453" t="str">
        <f>IFERROR(__xludf.DUMMYFUNCTION("""COMPUTED_VALUE"""),"https://drive.google.com/file/d/1KL5SoJAHWjHA_I9YQBeFRVy3NF-MVymD/view?usp=drivesdk")</f>
        <v>https://drive.google.com/file/d/1KL5SoJAHWjHA_I9YQBeFRVy3NF-MVymD/view?usp=drivesdk</v>
      </c>
      <c r="C623" s="147" t="str">
        <f>IFERROR(__xludf.DUMMYFUNCTION("""COMPUTED_VALUE"""),"10.1111--j.1467-9280.2009.02479.x.pdf")</f>
        <v>10.1111--j.1467-9280.2009.02479.x.pdf</v>
      </c>
      <c r="D623" s="147" t="str">
        <f>IFERROR(__xludf.DUMMYFUNCTION("""COMPUTED_VALUE"""),"application/pdf")</f>
        <v>application/pdf</v>
      </c>
    </row>
    <row r="624">
      <c r="A624" s="147" t="str">
        <f>IFERROR(__xludf.DUMMYFUNCTION("""COMPUTED_VALUE"""),"10.1111/j.1467-9280.2006.01811.x")</f>
        <v>10.1111/j.1467-9280.2006.01811.x</v>
      </c>
      <c r="B624" s="453" t="str">
        <f>IFERROR(__xludf.DUMMYFUNCTION("""COMPUTED_VALUE"""),"https://drive.google.com/file/d/1L6uVunRTkHlU_O--S4vWF9IFtI4y-nt9/view?usp=drivesdk")</f>
        <v>https://drive.google.com/file/d/1L6uVunRTkHlU_O--S4vWF9IFtI4y-nt9/view?usp=drivesdk</v>
      </c>
      <c r="C624" s="147" t="str">
        <f>IFERROR(__xludf.DUMMYFUNCTION("""COMPUTED_VALUE"""),"10.1111--j.1467-9280.2006.01811.x.pdf")</f>
        <v>10.1111--j.1467-9280.2006.01811.x.pdf</v>
      </c>
      <c r="D624" s="147" t="str">
        <f>IFERROR(__xludf.DUMMYFUNCTION("""COMPUTED_VALUE"""),"application/pdf")</f>
        <v>application/pdf</v>
      </c>
    </row>
    <row r="625">
      <c r="A625" s="147" t="str">
        <f>IFERROR(__xludf.DUMMYFUNCTION("""COMPUTED_VALUE"""),"10.1111/j.0956-7976.2005.00799.x")</f>
        <v>10.1111/j.0956-7976.2005.00799.x</v>
      </c>
      <c r="B625" s="453" t="str">
        <f>IFERROR(__xludf.DUMMYFUNCTION("""COMPUTED_VALUE"""),"https://drive.google.com/file/d/1eABS-vu3YGOP5Z8U-mNYSNElEVFsaeTY/view?usp=drivesdk")</f>
        <v>https://drive.google.com/file/d/1eABS-vu3YGOP5Z8U-mNYSNElEVFsaeTY/view?usp=drivesdk</v>
      </c>
      <c r="C625" s="147" t="str">
        <f>IFERROR(__xludf.DUMMYFUNCTION("""COMPUTED_VALUE"""),"10.1111--j.0956-7976.2005.00799.x.pdf")</f>
        <v>10.1111--j.0956-7976.2005.00799.x.pdf</v>
      </c>
      <c r="D625" s="147" t="str">
        <f>IFERROR(__xludf.DUMMYFUNCTION("""COMPUTED_VALUE"""),"application/pdf")</f>
        <v>application/pdf</v>
      </c>
    </row>
    <row r="626">
      <c r="A626" s="147" t="str">
        <f>IFERROR(__xludf.DUMMYFUNCTION("""COMPUTED_VALUE"""),"10.1111/flan.12063")</f>
        <v>10.1111/flan.12063</v>
      </c>
      <c r="B626" s="453" t="str">
        <f>IFERROR(__xludf.DUMMYFUNCTION("""COMPUTED_VALUE"""),"https://drive.google.com/file/d/1fyRt26qYLHlfICkWkeRvjDxkKPAGMOGH/view?usp=drivesdk")</f>
        <v>https://drive.google.com/file/d/1fyRt26qYLHlfICkWkeRvjDxkKPAGMOGH/view?usp=drivesdk</v>
      </c>
      <c r="C626" s="147" t="str">
        <f>IFERROR(__xludf.DUMMYFUNCTION("""COMPUTED_VALUE"""),"10.1111--flan.12063.pdf")</f>
        <v>10.1111--flan.12063.pdf</v>
      </c>
      <c r="D626" s="147" t="str">
        <f>IFERROR(__xludf.DUMMYFUNCTION("""COMPUTED_VALUE"""),"application/pdf")</f>
        <v>application/pdf</v>
      </c>
    </row>
    <row r="627">
      <c r="A627" s="147" t="str">
        <f>IFERROR(__xludf.DUMMYFUNCTION("""COMPUTED_VALUE"""),"10.1098/rspb.2011.1959")</f>
        <v>10.1098/rspb.2011.1959</v>
      </c>
      <c r="B627" s="453" t="str">
        <f>IFERROR(__xludf.DUMMYFUNCTION("""COMPUTED_VALUE"""),"https://drive.google.com/file/d/1Xegg6zoy4h7DJi5a9pRBsglATfS55faB/view?usp=drivesdk")</f>
        <v>https://drive.google.com/file/d/1Xegg6zoy4h7DJi5a9pRBsglATfS55faB/view?usp=drivesdk</v>
      </c>
      <c r="C627" s="147" t="str">
        <f>IFERROR(__xludf.DUMMYFUNCTION("""COMPUTED_VALUE"""),"10.1098--rspb.2011.1959.pdf")</f>
        <v>10.1098--rspb.2011.1959.pdf</v>
      </c>
      <c r="D627" s="147" t="str">
        <f>IFERROR(__xludf.DUMMYFUNCTION("""COMPUTED_VALUE"""),"application/pdf")</f>
        <v>application/pdf</v>
      </c>
    </row>
    <row r="628">
      <c r="A628" s="147" t="str">
        <f>IFERROR(__xludf.DUMMYFUNCTION("""COMPUTED_VALUE"""),"10.1093/cercor/bhq101")</f>
        <v>10.1093/cercor/bhq101</v>
      </c>
      <c r="B628" s="453" t="str">
        <f>IFERROR(__xludf.DUMMYFUNCTION("""COMPUTED_VALUE"""),"https://drive.google.com/file/d/175dambBNVF0dqo5ScTkVgg0LGuj940kT/view?usp=drivesdk")</f>
        <v>https://drive.google.com/file/d/175dambBNVF0dqo5ScTkVgg0LGuj940kT/view?usp=drivesdk</v>
      </c>
      <c r="C628" s="147" t="str">
        <f>IFERROR(__xludf.DUMMYFUNCTION("""COMPUTED_VALUE"""),"10.1093--cercor--bhq101.pdf")</f>
        <v>10.1093--cercor--bhq101.pdf</v>
      </c>
      <c r="D628" s="147" t="str">
        <f>IFERROR(__xludf.DUMMYFUNCTION("""COMPUTED_VALUE"""),"application/pdf")</f>
        <v>application/pdf</v>
      </c>
    </row>
    <row r="629">
      <c r="A629" s="147" t="str">
        <f>IFERROR(__xludf.DUMMYFUNCTION("""COMPUTED_VALUE"""),"10.1086/679118")</f>
        <v>10.1086/679118</v>
      </c>
      <c r="B629" s="453" t="str">
        <f>IFERROR(__xludf.DUMMYFUNCTION("""COMPUTED_VALUE"""),"https://drive.google.com/file/d/1fC_xdHYtuVSGdyipCTYwInpTLU1nLVOT/view?usp=drivesdk")</f>
        <v>https://drive.google.com/file/d/1fC_xdHYtuVSGdyipCTYwInpTLU1nLVOT/view?usp=drivesdk</v>
      </c>
      <c r="C629" s="147" t="str">
        <f>IFERROR(__xludf.DUMMYFUNCTION("""COMPUTED_VALUE"""),"10.1086--679118.pdf")</f>
        <v>10.1086--679118.pdf</v>
      </c>
      <c r="D629" s="147" t="str">
        <f>IFERROR(__xludf.DUMMYFUNCTION("""COMPUTED_VALUE"""),"application/pdf")</f>
        <v>application/pdf</v>
      </c>
    </row>
    <row r="630">
      <c r="A630" s="147" t="str">
        <f>IFERROR(__xludf.DUMMYFUNCTION("""COMPUTED_VALUE"""),"10.1086/673256")</f>
        <v>10.1086/673256</v>
      </c>
      <c r="B630" s="453" t="str">
        <f>IFERROR(__xludf.DUMMYFUNCTION("""COMPUTED_VALUE"""),"https://drive.google.com/file/d/1PWOOc6h89xT_u8Q2-oYAuMVRWZGeQNop/view?usp=drivesdk")</f>
        <v>https://drive.google.com/file/d/1PWOOc6h89xT_u8Q2-oYAuMVRWZGeQNop/view?usp=drivesdk</v>
      </c>
      <c r="C630" s="147" t="str">
        <f>IFERROR(__xludf.DUMMYFUNCTION("""COMPUTED_VALUE"""),"10.1086--673256.pdf")</f>
        <v>10.1086--673256.pdf</v>
      </c>
      <c r="D630" s="147" t="str">
        <f>IFERROR(__xludf.DUMMYFUNCTION("""COMPUTED_VALUE"""),"application/pdf")</f>
        <v>application/pdf</v>
      </c>
    </row>
    <row r="631">
      <c r="A631" s="147" t="str">
        <f>IFERROR(__xludf.DUMMYFUNCTION("""COMPUTED_VALUE"""),"10.1086/661890")</f>
        <v>10.1086/661890</v>
      </c>
      <c r="B631" s="453" t="str">
        <f>IFERROR(__xludf.DUMMYFUNCTION("""COMPUTED_VALUE"""),"https://drive.google.com/file/d/1fcLB4lAMMhIYG5_xSfIxQZGpuZJ18Sdr/view?usp=drivesdk")</f>
        <v>https://drive.google.com/file/d/1fcLB4lAMMhIYG5_xSfIxQZGpuZJ18Sdr/view?usp=drivesdk</v>
      </c>
      <c r="C631" s="147" t="str">
        <f>IFERROR(__xludf.DUMMYFUNCTION("""COMPUTED_VALUE"""),"10.1086--661890.pdf")</f>
        <v>10.1086--661890.pdf</v>
      </c>
      <c r="D631" s="147" t="str">
        <f>IFERROR(__xludf.DUMMYFUNCTION("""COMPUTED_VALUE"""),"application/pdf")</f>
        <v>application/pdf</v>
      </c>
    </row>
    <row r="632">
      <c r="A632" s="147" t="str">
        <f>IFERROR(__xludf.DUMMYFUNCTION("""COMPUTED_VALUE"""),"10.1086/222258")</f>
        <v>10.1086/222258</v>
      </c>
      <c r="B632" s="453" t="str">
        <f>IFERROR(__xludf.DUMMYFUNCTION("""COMPUTED_VALUE"""),"https://drive.google.com/file/d/17mS9A7BjFB1lWFAmvcSxyq7-jK-oNL_B/view?usp=drivesdk")</f>
        <v>https://drive.google.com/file/d/17mS9A7BjFB1lWFAmvcSxyq7-jK-oNL_B/view?usp=drivesdk</v>
      </c>
      <c r="C632" s="147" t="str">
        <f>IFERROR(__xludf.DUMMYFUNCTION("""COMPUTED_VALUE"""),"10.1086--222258.pdf")</f>
        <v>10.1086--222258.pdf</v>
      </c>
      <c r="D632" s="147" t="str">
        <f>IFERROR(__xludf.DUMMYFUNCTION("""COMPUTED_VALUE"""),"application/pdf")</f>
        <v>application/pdf</v>
      </c>
    </row>
    <row r="633">
      <c r="A633" s="147" t="str">
        <f>IFERROR(__xludf.DUMMYFUNCTION("""COMPUTED_VALUE"""),"10.1080/713755779")</f>
        <v>10.1080/713755779</v>
      </c>
      <c r="B633" s="453" t="str">
        <f>IFERROR(__xludf.DUMMYFUNCTION("""COMPUTED_VALUE"""),"https://drive.google.com/file/d/16tv4QbR_xvFXB4FBrbVNqZqo-wgW9woH/view?usp=drivesdk")</f>
        <v>https://drive.google.com/file/d/16tv4QbR_xvFXB4FBrbVNqZqo-wgW9woH/view?usp=drivesdk</v>
      </c>
      <c r="C633" s="147" t="str">
        <f>IFERROR(__xludf.DUMMYFUNCTION("""COMPUTED_VALUE"""),"10.1080--713755779.pdf")</f>
        <v>10.1080--713755779.pdf</v>
      </c>
      <c r="D633" s="147" t="str">
        <f>IFERROR(__xludf.DUMMYFUNCTION("""COMPUTED_VALUE"""),"application/pdf")</f>
        <v>application/pdf</v>
      </c>
    </row>
    <row r="634">
      <c r="A634" s="147" t="str">
        <f>IFERROR(__xludf.DUMMYFUNCTION("""COMPUTED_VALUE"""),"10.1080/17470218.2016.1253756")</f>
        <v>10.1080/17470218.2016.1253756</v>
      </c>
      <c r="B634" s="453" t="str">
        <f>IFERROR(__xludf.DUMMYFUNCTION("""COMPUTED_VALUE"""),"https://drive.google.com/file/d/1yxqqtaJ_tKrHMAyqOaSeXTtf-KefDu_f/view?usp=drivesdk")</f>
        <v>https://drive.google.com/file/d/1yxqqtaJ_tKrHMAyqOaSeXTtf-KefDu_f/view?usp=drivesdk</v>
      </c>
      <c r="C634" s="147" t="str">
        <f>IFERROR(__xludf.DUMMYFUNCTION("""COMPUTED_VALUE"""),"10.1080--17470218.2016.1253756.pdf")</f>
        <v>10.1080--17470218.2016.1253756.pdf</v>
      </c>
      <c r="D634" s="147" t="str">
        <f>IFERROR(__xludf.DUMMYFUNCTION("""COMPUTED_VALUE"""),"application/pdf")</f>
        <v>application/pdf</v>
      </c>
    </row>
    <row r="635">
      <c r="A635" s="147" t="str">
        <f>IFERROR(__xludf.DUMMYFUNCTION("""COMPUTED_VALUE"""),"10.1080/17439760.2017.1279210")</f>
        <v>10.1080/17439760.2017.1279210</v>
      </c>
      <c r="B635" s="453" t="str">
        <f>IFERROR(__xludf.DUMMYFUNCTION("""COMPUTED_VALUE"""),"https://drive.google.com/file/d/1ZE866GzkUK_NuRwPIYtPoDAMsRZYzg8o/view?usp=drivesdk")</f>
        <v>https://drive.google.com/file/d/1ZE866GzkUK_NuRwPIYtPoDAMsRZYzg8o/view?usp=drivesdk</v>
      </c>
      <c r="C635" s="147" t="str">
        <f>IFERROR(__xludf.DUMMYFUNCTION("""COMPUTED_VALUE"""),"10.1080--17439760.2017.1279210.pdf")</f>
        <v>10.1080--17439760.2017.1279210.pdf</v>
      </c>
      <c r="D635" s="147" t="str">
        <f>IFERROR(__xludf.DUMMYFUNCTION("""COMPUTED_VALUE"""),"application/pdf")</f>
        <v>application/pdf</v>
      </c>
    </row>
    <row r="636">
      <c r="A636" s="147" t="str">
        <f>IFERROR(__xludf.DUMMYFUNCTION("""COMPUTED_VALUE"""),"10.1080/13506280544000093")</f>
        <v>10.1080/13506280544000093</v>
      </c>
      <c r="B636" s="453" t="str">
        <f>IFERROR(__xludf.DUMMYFUNCTION("""COMPUTED_VALUE"""),"https://drive.google.com/file/d/1EjCNuZSYsmVVK-bREacL8yoeRui-q6Cq/view?usp=drivesdk")</f>
        <v>https://drive.google.com/file/d/1EjCNuZSYsmVVK-bREacL8yoeRui-q6Cq/view?usp=drivesdk</v>
      </c>
      <c r="C636" s="147" t="str">
        <f>IFERROR(__xludf.DUMMYFUNCTION("""COMPUTED_VALUE"""),"10.1080--13506280544000093.pdf")</f>
        <v>10.1080--13506280544000093.pdf</v>
      </c>
      <c r="D636" s="147" t="str">
        <f>IFERROR(__xludf.DUMMYFUNCTION("""COMPUTED_VALUE"""),"application/pdf")</f>
        <v>application/pdf</v>
      </c>
    </row>
    <row r="637">
      <c r="A637" s="147" t="str">
        <f>IFERROR(__xludf.DUMMYFUNCTION("""COMPUTED_VALUE"""),"10.1080/095414400382208")</f>
        <v>10.1080/095414400382208</v>
      </c>
      <c r="B637" s="453" t="str">
        <f>IFERROR(__xludf.DUMMYFUNCTION("""COMPUTED_VALUE"""),"https://drive.google.com/file/d/1TgiLVlc8ULkeaLD2kyjupb27kaiuM0VA/view?usp=drivesdk")</f>
        <v>https://drive.google.com/file/d/1TgiLVlc8ULkeaLD2kyjupb27kaiuM0VA/view?usp=drivesdk</v>
      </c>
      <c r="C637" s="147" t="str">
        <f>IFERROR(__xludf.DUMMYFUNCTION("""COMPUTED_VALUE"""),"10.1080--095414400382208.pdf")</f>
        <v>10.1080--095414400382208.pdf</v>
      </c>
      <c r="D637" s="147" t="str">
        <f>IFERROR(__xludf.DUMMYFUNCTION("""COMPUTED_VALUE"""),"application/pdf")</f>
        <v>application/pdf</v>
      </c>
    </row>
    <row r="638">
      <c r="A638" s="147" t="str">
        <f>IFERROR(__xludf.DUMMYFUNCTION("""COMPUTED_VALUE"""),"10.1038/nn1504")</f>
        <v>10.1038/nn1504</v>
      </c>
      <c r="B638" s="453" t="str">
        <f>IFERROR(__xludf.DUMMYFUNCTION("""COMPUTED_VALUE"""),"https://drive.google.com/file/d/1XBkGEx2U8_zKL8MPXGgQNr9pKxuQ1VoK/view?usp=drivesdk")</f>
        <v>https://drive.google.com/file/d/1XBkGEx2U8_zKL8MPXGgQNr9pKxuQ1VoK/view?usp=drivesdk</v>
      </c>
      <c r="C638" s="147" t="str">
        <f>IFERROR(__xludf.DUMMYFUNCTION("""COMPUTED_VALUE"""),"10.1038--nn1504.pdf")</f>
        <v>10.1038--nn1504.pdf</v>
      </c>
      <c r="D638" s="147" t="str">
        <f>IFERROR(__xludf.DUMMYFUNCTION("""COMPUTED_VALUE"""),"application/pdf")</f>
        <v>application/pdf</v>
      </c>
    </row>
    <row r="639">
      <c r="A639" s="147" t="str">
        <f>IFERROR(__xludf.DUMMYFUNCTION("""COMPUTED_VALUE"""),"10.1038/21557")</f>
        <v>10.1038/21557</v>
      </c>
      <c r="B639" s="453" t="str">
        <f>IFERROR(__xludf.DUMMYFUNCTION("""COMPUTED_VALUE"""),"https://drive.google.com/file/d/1zYfPpTsPbmgnUB83pI_Pq1lJ7bNE547G/view?usp=drivesdk")</f>
        <v>https://drive.google.com/file/d/1zYfPpTsPbmgnUB83pI_Pq1lJ7bNE547G/view?usp=drivesdk</v>
      </c>
      <c r="C639" s="147" t="str">
        <f>IFERROR(__xludf.DUMMYFUNCTION("""COMPUTED_VALUE"""),"10.1038--21557.pdf")</f>
        <v>10.1038--21557.pdf</v>
      </c>
      <c r="D639" s="147" t="str">
        <f>IFERROR(__xludf.DUMMYFUNCTION("""COMPUTED_VALUE"""),"application/pdf")</f>
        <v>application/pdf</v>
      </c>
    </row>
    <row r="640">
      <c r="A640" s="147" t="str">
        <f>IFERROR(__xludf.DUMMYFUNCTION("""COMPUTED_VALUE"""),"10.1037/h0093718")</f>
        <v>10.1037/h0093718</v>
      </c>
      <c r="B640" s="453" t="str">
        <f>IFERROR(__xludf.DUMMYFUNCTION("""COMPUTED_VALUE"""),"https://drive.google.com/file/d/1ZcPXNfUiEbN_HwtCd891QdMzTZSYx1fw/view?usp=drivesdk")</f>
        <v>https://drive.google.com/file/d/1ZcPXNfUiEbN_HwtCd891QdMzTZSYx1fw/view?usp=drivesdk</v>
      </c>
      <c r="C640" s="147" t="str">
        <f>IFERROR(__xludf.DUMMYFUNCTION("""COMPUTED_VALUE"""),"10.1037--h0093718.pdf")</f>
        <v>10.1037--h0093718.pdf</v>
      </c>
      <c r="D640" s="147" t="str">
        <f>IFERROR(__xludf.DUMMYFUNCTION("""COMPUTED_VALUE"""),"application/pdf")</f>
        <v>application/pdf</v>
      </c>
    </row>
    <row r="641">
      <c r="A641" s="147" t="str">
        <f>IFERROR(__xludf.DUMMYFUNCTION("""COMPUTED_VALUE"""),"10.1037/h0045925")</f>
        <v>10.1037/h0045925</v>
      </c>
      <c r="B641" s="453" t="str">
        <f>IFERROR(__xludf.DUMMYFUNCTION("""COMPUTED_VALUE"""),"https://drive.google.com/file/d/1RFajdOS3PTs3gG6PijaWUMfbdlg9wH4x/view?usp=drivesdk")</f>
        <v>https://drive.google.com/file/d/1RFajdOS3PTs3gG6PijaWUMfbdlg9wH4x/view?usp=drivesdk</v>
      </c>
      <c r="C641" s="147" t="str">
        <f>IFERROR(__xludf.DUMMYFUNCTION("""COMPUTED_VALUE"""),"10.1037--h0045925.pdf")</f>
        <v>10.1037--h0045925.pdf</v>
      </c>
      <c r="D641" s="147" t="str">
        <f>IFERROR(__xludf.DUMMYFUNCTION("""COMPUTED_VALUE"""),"application/pdf")</f>
        <v>application/pdf</v>
      </c>
    </row>
    <row r="642">
      <c r="A642" s="147" t="str">
        <f>IFERROR(__xludf.DUMMYFUNCTION("""COMPUTED_VALUE"""),"10.1037/ebs0000028")</f>
        <v>10.1037/ebs0000028</v>
      </c>
      <c r="B642" s="453" t="str">
        <f>IFERROR(__xludf.DUMMYFUNCTION("""COMPUTED_VALUE"""),"https://drive.google.com/file/d/1JS_DWZKuNPHbZwKfirj8h4113PQ9podm/view?usp=drivesdk")</f>
        <v>https://drive.google.com/file/d/1JS_DWZKuNPHbZwKfirj8h4113PQ9podm/view?usp=drivesdk</v>
      </c>
      <c r="C642" s="147" t="str">
        <f>IFERROR(__xludf.DUMMYFUNCTION("""COMPUTED_VALUE"""),"10.1037--ebs0000028.pdf")</f>
        <v>10.1037--ebs0000028.pdf</v>
      </c>
      <c r="D642" s="147" t="str">
        <f>IFERROR(__xludf.DUMMYFUNCTION("""COMPUTED_VALUE"""),"application/pdf")</f>
        <v>application/pdf</v>
      </c>
    </row>
    <row r="643">
      <c r="A643" s="147" t="str">
        <f>IFERROR(__xludf.DUMMYFUNCTION("""COMPUTED_VALUE"""),"10.1037/a0020092")</f>
        <v>10.1037/a0020092</v>
      </c>
      <c r="B643" s="453" t="str">
        <f>IFERROR(__xludf.DUMMYFUNCTION("""COMPUTED_VALUE"""),"https://drive.google.com/file/d/1wc8zyG6iIdoZ-JSrDJQh1zhZ8rbFVywC/view?usp=drivesdk")</f>
        <v>https://drive.google.com/file/d/1wc8zyG6iIdoZ-JSrDJQh1zhZ8rbFVywC/view?usp=drivesdk</v>
      </c>
      <c r="C643" s="147" t="str">
        <f>IFERROR(__xludf.DUMMYFUNCTION("""COMPUTED_VALUE"""),"10.1037--a0020092.pdf")</f>
        <v>10.1037--a0020092.pdf</v>
      </c>
      <c r="D643" s="147" t="str">
        <f>IFERROR(__xludf.DUMMYFUNCTION("""COMPUTED_VALUE"""),"application/pdf")</f>
        <v>application/pdf</v>
      </c>
    </row>
    <row r="644">
      <c r="A644" s="147" t="str">
        <f>IFERROR(__xludf.DUMMYFUNCTION("""COMPUTED_VALUE"""),"10.1037/0278-7393.29.6.1312")</f>
        <v>10.1037/0278-7393.29.6.1312</v>
      </c>
      <c r="B644" s="453" t="str">
        <f>IFERROR(__xludf.DUMMYFUNCTION("""COMPUTED_VALUE"""),"https://drive.google.com/file/d/1CgFDbt9DLjtIE39QSYTceBsTH8HynkV2/view?usp=drivesdk")</f>
        <v>https://drive.google.com/file/d/1CgFDbt9DLjtIE39QSYTceBsTH8HynkV2/view?usp=drivesdk</v>
      </c>
      <c r="C644" s="147" t="str">
        <f>IFERROR(__xludf.DUMMYFUNCTION("""COMPUTED_VALUE"""),"10.1037--0278-7393.29.6.1312.pdf")</f>
        <v>10.1037--0278-7393.29.6.1312.pdf</v>
      </c>
      <c r="D644" s="147" t="str">
        <f>IFERROR(__xludf.DUMMYFUNCTION("""COMPUTED_VALUE"""),"application/pdf")</f>
        <v>application/pdf</v>
      </c>
    </row>
    <row r="645">
      <c r="A645" s="147" t="str">
        <f>IFERROR(__xludf.DUMMYFUNCTION("""COMPUTED_VALUE"""),"10.1037/0096-3445.135.4.641")</f>
        <v>10.1037/0096-3445.135.4.641</v>
      </c>
      <c r="B645" s="453" t="str">
        <f>IFERROR(__xludf.DUMMYFUNCTION("""COMPUTED_VALUE"""),"https://drive.google.com/file/d/18ZfYG32M-GTcG_ryoJ1HvEC9C-_ti4fk/view?usp=drivesdk")</f>
        <v>https://drive.google.com/file/d/18ZfYG32M-GTcG_ryoJ1HvEC9C-_ti4fk/view?usp=drivesdk</v>
      </c>
      <c r="C645" s="147" t="str">
        <f>IFERROR(__xludf.DUMMYFUNCTION("""COMPUTED_VALUE"""),"10.1037--0096-3445.135.4.641.pdf")</f>
        <v>10.1037--0096-3445.135.4.641.pdf</v>
      </c>
      <c r="D645" s="147" t="str">
        <f>IFERROR(__xludf.DUMMYFUNCTION("""COMPUTED_VALUE"""),"application/pdf")</f>
        <v>application/pdf</v>
      </c>
    </row>
    <row r="646">
      <c r="A646" s="147" t="str">
        <f>IFERROR(__xludf.DUMMYFUNCTION("""COMPUTED_VALUE"""),"10.1037/0096-3445.108.4.441")</f>
        <v>10.1037/0096-3445.108.4.441</v>
      </c>
      <c r="B646" s="453" t="str">
        <f>IFERROR(__xludf.DUMMYFUNCTION("""COMPUTED_VALUE"""),"https://drive.google.com/file/d/1JLBmwX7nNKGn-P26gO4q3MKf3Xxhf5mp/view?usp=drivesdk")</f>
        <v>https://drive.google.com/file/d/1JLBmwX7nNKGn-P26gO4q3MKf3Xxhf5mp/view?usp=drivesdk</v>
      </c>
      <c r="C646" s="147" t="str">
        <f>IFERROR(__xludf.DUMMYFUNCTION("""COMPUTED_VALUE"""),"10.1037--0096-3445.108.4.441.pdf")</f>
        <v>10.1037--0096-3445.108.4.441.pdf</v>
      </c>
      <c r="D646" s="147" t="str">
        <f>IFERROR(__xludf.DUMMYFUNCTION("""COMPUTED_VALUE"""),"application/pdf")</f>
        <v>application/pdf</v>
      </c>
    </row>
    <row r="647">
      <c r="A647" s="147" t="str">
        <f>IFERROR(__xludf.DUMMYFUNCTION("""COMPUTED_VALUE"""),"10.3758/s13414-019-01723-6")</f>
        <v>10.3758/s13414-019-01723-6</v>
      </c>
      <c r="B647" s="453" t="str">
        <f>IFERROR(__xludf.DUMMYFUNCTION("""COMPUTED_VALUE"""),"https://drive.google.com/file/d/1tdE0c4oVWthHVrM1fRU9Hx8d8vQz1-mn/view?usp=drivesdk")</f>
        <v>https://drive.google.com/file/d/1tdE0c4oVWthHVrM1fRU9Hx8d8vQz1-mn/view?usp=drivesdk</v>
      </c>
      <c r="C647" s="147" t="str">
        <f>IFERROR(__xludf.DUMMYFUNCTION("""COMPUTED_VALUE"""),"10.3758--s13414-019-01723-6.pdf")</f>
        <v>10.3758--s13414-019-01723-6.pdf</v>
      </c>
      <c r="D647" s="147" t="str">
        <f>IFERROR(__xludf.DUMMYFUNCTION("""COMPUTED_VALUE"""),"application/pdf")</f>
        <v>application/pdf</v>
      </c>
    </row>
    <row r="648">
      <c r="A648" s="147" t="str">
        <f>IFERROR(__xludf.DUMMYFUNCTION("""COMPUTED_VALUE"""),"10.3758/bf03203267")</f>
        <v>10.3758/bf03203267</v>
      </c>
      <c r="B648" s="453" t="str">
        <f>IFERROR(__xludf.DUMMYFUNCTION("""COMPUTED_VALUE"""),"https://drive.google.com/file/d/1lGZVI4TT62Hxc9KRIEpXgT3z3fk0_z2T/view?usp=drivesdk")</f>
        <v>https://drive.google.com/file/d/1lGZVI4TT62Hxc9KRIEpXgT3z3fk0_z2T/view?usp=drivesdk</v>
      </c>
      <c r="C648" s="147" t="str">
        <f>IFERROR(__xludf.DUMMYFUNCTION("""COMPUTED_VALUE"""),"10.3758--BF03203267.pdf")</f>
        <v>10.3758--BF03203267.pdf</v>
      </c>
      <c r="D648" s="147" t="str">
        <f>IFERROR(__xludf.DUMMYFUNCTION("""COMPUTED_VALUE"""),"application/pdf")</f>
        <v>application/pdf</v>
      </c>
    </row>
    <row r="649">
      <c r="A649" s="147" t="str">
        <f>IFERROR(__xludf.DUMMYFUNCTION("""COMPUTED_VALUE"""),"10.3758/bf03198377")</f>
        <v>10.3758/bf03198377</v>
      </c>
      <c r="B649" s="453" t="str">
        <f>IFERROR(__xludf.DUMMYFUNCTION("""COMPUTED_VALUE"""),"https://drive.google.com/file/d/1VKbr5pxUdj683_XHIlCKoFwz-29rSMXQ/view?usp=drivesdk")</f>
        <v>https://drive.google.com/file/d/1VKbr5pxUdj683_XHIlCKoFwz-29rSMXQ/view?usp=drivesdk</v>
      </c>
      <c r="C649" s="147" t="str">
        <f>IFERROR(__xludf.DUMMYFUNCTION("""COMPUTED_VALUE"""),"10.3758--BF03198377.pdf")</f>
        <v>10.3758--BF03198377.pdf</v>
      </c>
      <c r="D649" s="147" t="str">
        <f>IFERROR(__xludf.DUMMYFUNCTION("""COMPUTED_VALUE"""),"application/pdf")</f>
        <v>application/pdf</v>
      </c>
    </row>
    <row r="650">
      <c r="A650" s="147" t="str">
        <f>IFERROR(__xludf.DUMMYFUNCTION("""COMPUTED_VALUE"""),"10.3758/bf03197186")</f>
        <v>10.3758/bf03197186</v>
      </c>
      <c r="B650" s="453" t="str">
        <f>IFERROR(__xludf.DUMMYFUNCTION("""COMPUTED_VALUE"""),"https://drive.google.com/file/d/1zxOGnn13MnFttT3gypM4oZgoIrIXa8ts/view?usp=drivesdk")</f>
        <v>https://drive.google.com/file/d/1zxOGnn13MnFttT3gypM4oZgoIrIXa8ts/view?usp=drivesdk</v>
      </c>
      <c r="C650" s="147" t="str">
        <f>IFERROR(__xludf.DUMMYFUNCTION("""COMPUTED_VALUE"""),"10.3758--BF03197186.pdf")</f>
        <v>10.3758--BF03197186.pdf</v>
      </c>
      <c r="D650" s="147" t="str">
        <f>IFERROR(__xludf.DUMMYFUNCTION("""COMPUTED_VALUE"""),"application/pdf")</f>
        <v>application/pdf</v>
      </c>
    </row>
    <row r="651">
      <c r="A651" s="147" t="str">
        <f>IFERROR(__xludf.DUMMYFUNCTION("""COMPUTED_VALUE"""),"10.3758/bf03196313")</f>
        <v>10.3758/bf03196313</v>
      </c>
      <c r="B651" s="453" t="str">
        <f>IFERROR(__xludf.DUMMYFUNCTION("""COMPUTED_VALUE"""),"https://drive.google.com/file/d/1a1lUlk42gIQYcLhUt5t0G_RLi9u-460d/view?usp=drivesdk")</f>
        <v>https://drive.google.com/file/d/1a1lUlk42gIQYcLhUt5t0G_RLi9u-460d/view?usp=drivesdk</v>
      </c>
      <c r="C651" s="147" t="str">
        <f>IFERROR(__xludf.DUMMYFUNCTION("""COMPUTED_VALUE"""),"10.3758--BF03196313.pdf")</f>
        <v>10.3758--BF03196313.pdf</v>
      </c>
      <c r="D651" s="147" t="str">
        <f>IFERROR(__xludf.DUMMYFUNCTION("""COMPUTED_VALUE"""),"application/pdf")</f>
        <v>application/pdf</v>
      </c>
    </row>
    <row r="652">
      <c r="A652" s="147" t="str">
        <f>IFERROR(__xludf.DUMMYFUNCTION("""COMPUTED_VALUE"""),"10.3389/fpsyg.2015.00335")</f>
        <v>10.3389/fpsyg.2015.00335</v>
      </c>
      <c r="B652" s="453" t="str">
        <f>IFERROR(__xludf.DUMMYFUNCTION("""COMPUTED_VALUE"""),"https://drive.google.com/file/d/1xrut3UwaTqtTgH6ZPERdwikqTF1K9Y3S/view?usp=drivesdk")</f>
        <v>https://drive.google.com/file/d/1xrut3UwaTqtTgH6ZPERdwikqTF1K9Y3S/view?usp=drivesdk</v>
      </c>
      <c r="C652" s="147" t="str">
        <f>IFERROR(__xludf.DUMMYFUNCTION("""COMPUTED_VALUE"""),"10.3389--fpsyg.2015.00335.pdf")</f>
        <v>10.3389--fpsyg.2015.00335.pdf</v>
      </c>
      <c r="D652" s="147" t="str">
        <f>IFERROR(__xludf.DUMMYFUNCTION("""COMPUTED_VALUE"""),"application/pdf")</f>
        <v>application/pdf</v>
      </c>
    </row>
    <row r="653">
      <c r="A653" s="147" t="str">
        <f>IFERROR(__xludf.DUMMYFUNCTION("""COMPUTED_VALUE"""),"10.3389/fpsyg.2014.01276")</f>
        <v>10.3389/fpsyg.2014.01276</v>
      </c>
      <c r="B653" s="453" t="str">
        <f>IFERROR(__xludf.DUMMYFUNCTION("""COMPUTED_VALUE"""),"https://drive.google.com/file/d/1CSCUNAQZCt3s32RgzUwXe6pe5scvK0yY/view?usp=drivesdk")</f>
        <v>https://drive.google.com/file/d/1CSCUNAQZCt3s32RgzUwXe6pe5scvK0yY/view?usp=drivesdk</v>
      </c>
      <c r="C653" s="147" t="str">
        <f>IFERROR(__xludf.DUMMYFUNCTION("""COMPUTED_VALUE"""),"10.3389--fpsyg.2014.01276.pdf")</f>
        <v>10.3389--fpsyg.2014.01276.pdf</v>
      </c>
      <c r="D653" s="147" t="str">
        <f>IFERROR(__xludf.DUMMYFUNCTION("""COMPUTED_VALUE"""),"application/pdf")</f>
        <v>application/pdf</v>
      </c>
    </row>
    <row r="654">
      <c r="A654" s="147" t="str">
        <f>IFERROR(__xludf.DUMMYFUNCTION("""COMPUTED_VALUE"""),"10.3389/fpsyg.2014.00378")</f>
        <v>10.3389/fpsyg.2014.00378</v>
      </c>
      <c r="B654" s="453" t="str">
        <f>IFERROR(__xludf.DUMMYFUNCTION("""COMPUTED_VALUE"""),"https://drive.google.com/file/d/1cflioA5Qw5Sj6UkXFjuzZ2STJ0e1v6Gz/view?usp=drivesdk")</f>
        <v>https://drive.google.com/file/d/1cflioA5Qw5Sj6UkXFjuzZ2STJ0e1v6Gz/view?usp=drivesdk</v>
      </c>
      <c r="C654" s="147" t="str">
        <f>IFERROR(__xludf.DUMMYFUNCTION("""COMPUTED_VALUE"""),"10.3389--fpsyg.2014.00378.pdf")</f>
        <v>10.3389--fpsyg.2014.00378.pdf</v>
      </c>
      <c r="D654" s="147" t="str">
        <f>IFERROR(__xludf.DUMMYFUNCTION("""COMPUTED_VALUE"""),"application/pdf")</f>
        <v>application/pdf</v>
      </c>
    </row>
    <row r="655">
      <c r="A655" s="147" t="str">
        <f>IFERROR(__xludf.DUMMYFUNCTION("""COMPUTED_VALUE"""),"10.3389/fped.2019.00206")</f>
        <v>10.3389/fped.2019.00206</v>
      </c>
      <c r="B655" s="453" t="str">
        <f>IFERROR(__xludf.DUMMYFUNCTION("""COMPUTED_VALUE"""),"https://drive.google.com/file/d/1UEfsbEURhIs10uMTifQAssGeEJtFUKKx/view?usp=drivesdk")</f>
        <v>https://drive.google.com/file/d/1UEfsbEURhIs10uMTifQAssGeEJtFUKKx/view?usp=drivesdk</v>
      </c>
      <c r="C655" s="147" t="str">
        <f>IFERROR(__xludf.DUMMYFUNCTION("""COMPUTED_VALUE"""),"10.3389--fped.2019.00206.pdf")</f>
        <v>10.3389--fped.2019.00206.pdf</v>
      </c>
      <c r="D655" s="147" t="str">
        <f>IFERROR(__xludf.DUMMYFUNCTION("""COMPUTED_VALUE"""),"application/pdf")</f>
        <v>application/pdf</v>
      </c>
    </row>
    <row r="656">
      <c r="A656" s="147" t="str">
        <f>IFERROR(__xludf.DUMMYFUNCTION("""COMPUTED_VALUE"""),"10.1287/mnsc.2019.3362")</f>
        <v>10.1287/mnsc.2019.3362</v>
      </c>
      <c r="B656" s="453" t="str">
        <f>IFERROR(__xludf.DUMMYFUNCTION("""COMPUTED_VALUE"""),"https://drive.google.com/file/d/1St2O5UfYoWXX1n7crfXuAdRXy1k6nYoo/view?usp=drivesdk")</f>
        <v>https://drive.google.com/file/d/1St2O5UfYoWXX1n7crfXuAdRXy1k6nYoo/view?usp=drivesdk</v>
      </c>
      <c r="C656" s="147" t="str">
        <f>IFERROR(__xludf.DUMMYFUNCTION("""COMPUTED_VALUE"""),"10.1287--mnsc.2019.3362.pdf")</f>
        <v>10.1287--mnsc.2019.3362.pdf</v>
      </c>
      <c r="D656" s="147" t="str">
        <f>IFERROR(__xludf.DUMMYFUNCTION("""COMPUTED_VALUE"""),"application/pdf")</f>
        <v>application/pdf</v>
      </c>
    </row>
    <row r="657">
      <c r="A657" s="147" t="str">
        <f>IFERROR(__xludf.DUMMYFUNCTION("""COMPUTED_VALUE"""),"10.1186/s40163-021-00141-0")</f>
        <v>10.1186/s40163-021-00141-0</v>
      </c>
      <c r="B657" s="453" t="str">
        <f>IFERROR(__xludf.DUMMYFUNCTION("""COMPUTED_VALUE"""),"https://drive.google.com/file/d/1jpKVfN7bQV2qYmB0hMMFd61i7NfLKBWv/view?usp=drivesdk")</f>
        <v>https://drive.google.com/file/d/1jpKVfN7bQV2qYmB0hMMFd61i7NfLKBWv/view?usp=drivesdk</v>
      </c>
      <c r="C657" s="147" t="str">
        <f>IFERROR(__xludf.DUMMYFUNCTION("""COMPUTED_VALUE"""),"10.1186--s40163-021-00141-0.pdf")</f>
        <v>10.1186--s40163-021-00141-0.pdf</v>
      </c>
      <c r="D657" s="147" t="str">
        <f>IFERROR(__xludf.DUMMYFUNCTION("""COMPUTED_VALUE"""),"application/pdf")</f>
        <v>application/pdf</v>
      </c>
    </row>
    <row r="658">
      <c r="A658" s="147" t="str">
        <f>IFERROR(__xludf.DUMMYFUNCTION("""COMPUTED_VALUE"""),"10.1177/2515245920919667")</f>
        <v>10.1177/2515245920919667</v>
      </c>
      <c r="B658" s="453" t="str">
        <f>IFERROR(__xludf.DUMMYFUNCTION("""COMPUTED_VALUE"""),"https://drive.google.com/file/d/1oIyrc3DheYw0taiflzQv_d41jqNrRjmb/view?usp=drivesdk")</f>
        <v>https://drive.google.com/file/d/1oIyrc3DheYw0taiflzQv_d41jqNrRjmb/view?usp=drivesdk</v>
      </c>
      <c r="C658" s="147" t="str">
        <f>IFERROR(__xludf.DUMMYFUNCTION("""COMPUTED_VALUE"""),"10.1177--2515245920919667.pdf")</f>
        <v>10.1177--2515245920919667.pdf</v>
      </c>
      <c r="D658" s="147" t="str">
        <f>IFERROR(__xludf.DUMMYFUNCTION("""COMPUTED_VALUE"""),"application/pdf")</f>
        <v>application/pdf</v>
      </c>
    </row>
    <row r="659">
      <c r="A659" s="147" t="str">
        <f>IFERROR(__xludf.DUMMYFUNCTION("""COMPUTED_VALUE"""),"10.1177/2515245918810225")</f>
        <v>10.1177/2515245918810225</v>
      </c>
      <c r="B659" s="453" t="str">
        <f>IFERROR(__xludf.DUMMYFUNCTION("""COMPUTED_VALUE"""),"https://drive.google.com/file/d/1rGqHLpg3OEGQnWLvlAEJr7JSMWJ2p-Ar/view?usp=drivesdk")</f>
        <v>https://drive.google.com/file/d/1rGqHLpg3OEGQnWLvlAEJr7JSMWJ2p-Ar/view?usp=drivesdk</v>
      </c>
      <c r="C659" s="147" t="str">
        <f>IFERROR(__xludf.DUMMYFUNCTION("""COMPUTED_VALUE"""),"10.1177--2515245918810225.pdf")</f>
        <v>10.1177--2515245918810225.pdf</v>
      </c>
      <c r="D659" s="147" t="str">
        <f>IFERROR(__xludf.DUMMYFUNCTION("""COMPUTED_VALUE"""),"application/pdf")</f>
        <v>application/pdf</v>
      </c>
    </row>
    <row r="660">
      <c r="A660" s="147" t="str">
        <f>IFERROR(__xludf.DUMMYFUNCTION("""COMPUTED_VALUE"""),"10.1177/1948550619849426")</f>
        <v>10.1177/1948550619849426</v>
      </c>
      <c r="B660" s="453" t="str">
        <f>IFERROR(__xludf.DUMMYFUNCTION("""COMPUTED_VALUE"""),"https://drive.google.com/file/d/14jCdpBA20GeEpZdlt1OEEDrVjc2kp6h7/view?usp=drivesdk")</f>
        <v>https://drive.google.com/file/d/14jCdpBA20GeEpZdlt1OEEDrVjc2kp6h7/view?usp=drivesdk</v>
      </c>
      <c r="C660" s="147" t="str">
        <f>IFERROR(__xludf.DUMMYFUNCTION("""COMPUTED_VALUE"""),"10.1177--1948550619849426.pdf")</f>
        <v>10.1177--1948550619849426.pdf</v>
      </c>
      <c r="D660" s="147" t="str">
        <f>IFERROR(__xludf.DUMMYFUNCTION("""COMPUTED_VALUE"""),"application/pdf")</f>
        <v>application/pdf</v>
      </c>
    </row>
    <row r="661">
      <c r="A661" s="147" t="str">
        <f>IFERROR(__xludf.DUMMYFUNCTION("""COMPUTED_VALUE"""),"10.1177/1948550619843931")</f>
        <v>10.1177/1948550619843931</v>
      </c>
      <c r="B661" s="453" t="str">
        <f>IFERROR(__xludf.DUMMYFUNCTION("""COMPUTED_VALUE"""),"https://drive.google.com/file/d/1mJVZEGRuGEHvjJLpaIkoRcJuDNXnANgI/view?usp=drivesdk")</f>
        <v>https://drive.google.com/file/d/1mJVZEGRuGEHvjJLpaIkoRcJuDNXnANgI/view?usp=drivesdk</v>
      </c>
      <c r="C661" s="147" t="str">
        <f>IFERROR(__xludf.DUMMYFUNCTION("""COMPUTED_VALUE"""),"10.1177--1948550619843931.pdf")</f>
        <v>10.1177--1948550619843931.pdf</v>
      </c>
      <c r="D661" s="147" t="str">
        <f>IFERROR(__xludf.DUMMYFUNCTION("""COMPUTED_VALUE"""),"application/pdf")</f>
        <v>application/pdf</v>
      </c>
    </row>
    <row r="662">
      <c r="A662" s="147" t="str">
        <f>IFERROR(__xludf.DUMMYFUNCTION("""COMPUTED_VALUE"""),"10.1177/0956797618805750")</f>
        <v>10.1177/0956797618805750</v>
      </c>
      <c r="B662" s="453" t="str">
        <f>IFERROR(__xludf.DUMMYFUNCTION("""COMPUTED_VALUE"""),"https://drive.google.com/file/d/1Z9cXGn_9cINuuX5drvoG0YLH4tFIjcZ7/view?usp=drivesdk")</f>
        <v>https://drive.google.com/file/d/1Z9cXGn_9cINuuX5drvoG0YLH4tFIjcZ7/view?usp=drivesdk</v>
      </c>
      <c r="C662" s="147" t="str">
        <f>IFERROR(__xludf.DUMMYFUNCTION("""COMPUTED_VALUE"""),"10.1177--0956797618805750.pdf")</f>
        <v>10.1177--0956797618805750.pdf</v>
      </c>
      <c r="D662" s="147" t="str">
        <f>IFERROR(__xludf.DUMMYFUNCTION("""COMPUTED_VALUE"""),"application/pdf")</f>
        <v>application/pdf</v>
      </c>
    </row>
    <row r="663">
      <c r="A663" s="147" t="str">
        <f>IFERROR(__xludf.DUMMYFUNCTION("""COMPUTED_VALUE"""),"10.1177/0956797618779061")</f>
        <v>10.1177/0956797618779061</v>
      </c>
      <c r="B663" s="453" t="str">
        <f>IFERROR(__xludf.DUMMYFUNCTION("""COMPUTED_VALUE"""),"https://drive.google.com/file/d/1TVEae0arGcjXygxgVD8laFAM0LcnW7EM/view?usp=drivesdk")</f>
        <v>https://drive.google.com/file/d/1TVEae0arGcjXygxgVD8laFAM0LcnW7EM/view?usp=drivesdk</v>
      </c>
      <c r="C663" s="147" t="str">
        <f>IFERROR(__xludf.DUMMYFUNCTION("""COMPUTED_VALUE"""),"10.1177--0956797618779061.pdf")</f>
        <v>10.1177--0956797618779061.pdf</v>
      </c>
      <c r="D663" s="147" t="str">
        <f>IFERROR(__xludf.DUMMYFUNCTION("""COMPUTED_VALUE"""),"application/pdf")</f>
        <v>application/pdf</v>
      </c>
    </row>
    <row r="664">
      <c r="A664" s="147" t="str">
        <f>IFERROR(__xludf.DUMMYFUNCTION("""COMPUTED_VALUE"""),"10.1177/0956797611435919")</f>
        <v>10.1177/0956797611435919</v>
      </c>
      <c r="B664" s="453" t="str">
        <f>IFERROR(__xludf.DUMMYFUNCTION("""COMPUTED_VALUE"""),"https://drive.google.com/file/d/1VcKqsyqYAl_exqLf4Zk_sKFNXaU3WlBH/view?usp=drivesdk")</f>
        <v>https://drive.google.com/file/d/1VcKqsyqYAl_exqLf4Zk_sKFNXaU3WlBH/view?usp=drivesdk</v>
      </c>
      <c r="C664" s="147" t="str">
        <f>IFERROR(__xludf.DUMMYFUNCTION("""COMPUTED_VALUE"""),"10.1177--0956797611435919.pdf")</f>
        <v>10.1177--0956797611435919.pdf</v>
      </c>
      <c r="D664" s="147" t="str">
        <f>IFERROR(__xludf.DUMMYFUNCTION("""COMPUTED_VALUE"""),"application/pdf")</f>
        <v>application/pdf</v>
      </c>
    </row>
    <row r="665">
      <c r="A665" s="147" t="str">
        <f>IFERROR(__xludf.DUMMYFUNCTION("""COMPUTED_VALUE"""),"10.1177/01461672211025423")</f>
        <v>10.1177/01461672211025423</v>
      </c>
      <c r="B665" s="453" t="str">
        <f>IFERROR(__xludf.DUMMYFUNCTION("""COMPUTED_VALUE"""),"https://drive.google.com/file/d/1_Q49N573VFAV_0WagG-Wq7CeefQWtosH/view?usp=drivesdk")</f>
        <v>https://drive.google.com/file/d/1_Q49N573VFAV_0WagG-Wq7CeefQWtosH/view?usp=drivesdk</v>
      </c>
      <c r="C665" s="147" t="str">
        <f>IFERROR(__xludf.DUMMYFUNCTION("""COMPUTED_VALUE"""),"10.1177--01461672211025423.pdf")</f>
        <v>10.1177--01461672211025423.pdf</v>
      </c>
      <c r="D665" s="147" t="str">
        <f>IFERROR(__xludf.DUMMYFUNCTION("""COMPUTED_VALUE"""),"application/pdf")</f>
        <v>application/pdf</v>
      </c>
    </row>
    <row r="666">
      <c r="A666" s="147" t="str">
        <f>IFERROR(__xludf.DUMMYFUNCTION("""COMPUTED_VALUE"""),"10.1177/0146167220908389")</f>
        <v>10.1177/0146167220908389</v>
      </c>
      <c r="B666" s="453" t="str">
        <f>IFERROR(__xludf.DUMMYFUNCTION("""COMPUTED_VALUE"""),"https://drive.google.com/file/d/1Z8QqX6BeYJ31sKxIZKBNg1LwDY6t3snO/view?usp=drivesdk")</f>
        <v>https://drive.google.com/file/d/1Z8QqX6BeYJ31sKxIZKBNg1LwDY6t3snO/view?usp=drivesdk</v>
      </c>
      <c r="C666" s="147" t="str">
        <f>IFERROR(__xludf.DUMMYFUNCTION("""COMPUTED_VALUE"""),"10.1177--0146167220908389.pdf")</f>
        <v>10.1177--0146167220908389.pdf</v>
      </c>
      <c r="D666" s="147" t="str">
        <f>IFERROR(__xludf.DUMMYFUNCTION("""COMPUTED_VALUE"""),"application/pdf")</f>
        <v>application/pdf</v>
      </c>
    </row>
    <row r="667">
      <c r="A667" s="147" t="str">
        <f>IFERROR(__xludf.DUMMYFUNCTION("""COMPUTED_VALUE"""),"10.1177/0093650215609676")</f>
        <v>10.1177/0093650215609676</v>
      </c>
      <c r="B667" s="453" t="str">
        <f>IFERROR(__xludf.DUMMYFUNCTION("""COMPUTED_VALUE"""),"https://drive.google.com/file/d/1XTFfWFGSOorXaSHUTepn_NywZP0WRrna/view?usp=drivesdk")</f>
        <v>https://drive.google.com/file/d/1XTFfWFGSOorXaSHUTepn_NywZP0WRrna/view?usp=drivesdk</v>
      </c>
      <c r="C667" s="147" t="str">
        <f>IFERROR(__xludf.DUMMYFUNCTION("""COMPUTED_VALUE"""),"10.1177--0093650215609676.pdf")</f>
        <v>10.1177--0093650215609676.pdf</v>
      </c>
      <c r="D667" s="147" t="str">
        <f>IFERROR(__xludf.DUMMYFUNCTION("""COMPUTED_VALUE"""),"application/pdf")</f>
        <v>application/pdf</v>
      </c>
    </row>
    <row r="668">
      <c r="A668" s="147" t="str">
        <f>IFERROR(__xludf.DUMMYFUNCTION("""COMPUTED_VALUE"""),"10.1177/0022243720932532")</f>
        <v>10.1177/0022243720932532</v>
      </c>
      <c r="B668" s="453" t="str">
        <f>IFERROR(__xludf.DUMMYFUNCTION("""COMPUTED_VALUE"""),"https://drive.google.com/file/d/1MOD_LiszrqtrS8ADK6fAq6j9ju8s4Owd/view?usp=drivesdk")</f>
        <v>https://drive.google.com/file/d/1MOD_LiszrqtrS8ADK6fAq6j9ju8s4Owd/view?usp=drivesdk</v>
      </c>
      <c r="C668" s="147" t="str">
        <f>IFERROR(__xludf.DUMMYFUNCTION("""COMPUTED_VALUE"""),"10.1177--0022243720932532.pdf")</f>
        <v>10.1177--0022243720932532.pdf</v>
      </c>
      <c r="D668" s="147" t="str">
        <f>IFERROR(__xludf.DUMMYFUNCTION("""COMPUTED_VALUE"""),"application/pdf")</f>
        <v>application/pdf</v>
      </c>
    </row>
    <row r="669">
      <c r="A669" s="147" t="str">
        <f>IFERROR(__xludf.DUMMYFUNCTION("""COMPUTED_VALUE"""),"10.1177/0022243720904758")</f>
        <v>10.1177/0022243720904758</v>
      </c>
      <c r="B669" s="453" t="str">
        <f>IFERROR(__xludf.DUMMYFUNCTION("""COMPUTED_VALUE"""),"https://drive.google.com/file/d/1dAqnDNRhaQ6sjRhO40O2fp3yaLbqJIli/view?usp=drivesdk")</f>
        <v>https://drive.google.com/file/d/1dAqnDNRhaQ6sjRhO40O2fp3yaLbqJIli/view?usp=drivesdk</v>
      </c>
      <c r="C669" s="147" t="str">
        <f>IFERROR(__xludf.DUMMYFUNCTION("""COMPUTED_VALUE"""),"10.1177--0022243720904758.pdf")</f>
        <v>10.1177--0022243720904758.pdf</v>
      </c>
      <c r="D669" s="147" t="str">
        <f>IFERROR(__xludf.DUMMYFUNCTION("""COMPUTED_VALUE"""),"application/pdf")</f>
        <v>application/pdf</v>
      </c>
    </row>
    <row r="670">
      <c r="A670" s="147" t="str">
        <f>IFERROR(__xludf.DUMMYFUNCTION("""COMPUTED_VALUE"""),"10.1177/0022243718813544")</f>
        <v>10.1177/0022243718813544</v>
      </c>
      <c r="B670" s="453" t="str">
        <f>IFERROR(__xludf.DUMMYFUNCTION("""COMPUTED_VALUE"""),"https://drive.google.com/file/d/13a9vBHGI6SG76QMpDyvnIcBH20qNsto2/view?usp=drivesdk")</f>
        <v>https://drive.google.com/file/d/13a9vBHGI6SG76QMpDyvnIcBH20qNsto2/view?usp=drivesdk</v>
      </c>
      <c r="C670" s="147" t="str">
        <f>IFERROR(__xludf.DUMMYFUNCTION("""COMPUTED_VALUE"""),"10.1177--0022243718813544.pdf")</f>
        <v>10.1177--0022243718813544.pdf</v>
      </c>
      <c r="D670" s="147" t="str">
        <f>IFERROR(__xludf.DUMMYFUNCTION("""COMPUTED_VALUE"""),"application/pdf")</f>
        <v>application/pdf</v>
      </c>
    </row>
    <row r="671">
      <c r="A671" s="147" t="str">
        <f>IFERROR(__xludf.DUMMYFUNCTION("""COMPUTED_VALUE"""),"10.1177/002224298204600109")</f>
        <v>10.1177/002224298204600109</v>
      </c>
      <c r="B671" s="453" t="str">
        <f>IFERROR(__xludf.DUMMYFUNCTION("""COMPUTED_VALUE"""),"https://drive.google.com/file/d/1MlLDH_QC-oyJlNsYjSNEwCrfC2Y9mK6Y/view?usp=drivesdk")</f>
        <v>https://drive.google.com/file/d/1MlLDH_QC-oyJlNsYjSNEwCrfC2Y9mK6Y/view?usp=drivesdk</v>
      </c>
      <c r="C671" s="147" t="str">
        <f>IFERROR(__xludf.DUMMYFUNCTION("""COMPUTED_VALUE"""),"10.1177--002224298204600109.pdf")</f>
        <v>10.1177--002224298204600109.pdf</v>
      </c>
      <c r="D671" s="147" t="str">
        <f>IFERROR(__xludf.DUMMYFUNCTION("""COMPUTED_VALUE"""),"application/pdf")</f>
        <v>application/pdf</v>
      </c>
    </row>
    <row r="672">
      <c r="A672" s="147" t="str">
        <f>IFERROR(__xludf.DUMMYFUNCTION("""COMPUTED_VALUE"""),"10.1177/0022002793037003004")</f>
        <v>10.1177/0022002793037003004</v>
      </c>
      <c r="B672" s="453" t="str">
        <f>IFERROR(__xludf.DUMMYFUNCTION("""COMPUTED_VALUE"""),"https://drive.google.com/file/d/1AJ_9VVIBkWOhrIbyTF4e9U5GJriLhVYy/view?usp=drivesdk")</f>
        <v>https://drive.google.com/file/d/1AJ_9VVIBkWOhrIbyTF4e9U5GJriLhVYy/view?usp=drivesdk</v>
      </c>
      <c r="C672" s="147" t="str">
        <f>IFERROR(__xludf.DUMMYFUNCTION("""COMPUTED_VALUE"""),"10.1177--0022002793037003004.pdf")</f>
        <v>10.1177--0022002793037003004.pdf</v>
      </c>
      <c r="D672" s="147" t="str">
        <f>IFERROR(__xludf.DUMMYFUNCTION("""COMPUTED_VALUE"""),"application/pdf")</f>
        <v>application/pdf</v>
      </c>
    </row>
    <row r="673">
      <c r="A673" s="147" t="str">
        <f>IFERROR(__xludf.DUMMYFUNCTION("""COMPUTED_VALUE"""),"10.1177/0001839219840022")</f>
        <v>10.1177/0001839219840022</v>
      </c>
      <c r="B673" s="453" t="str">
        <f>IFERROR(__xludf.DUMMYFUNCTION("""COMPUTED_VALUE"""),"https://drive.google.com/file/d/1gbKPV2rhuEZ5YY7sLWcOmdMsnKF1lOwO/view?usp=drivesdk")</f>
        <v>https://drive.google.com/file/d/1gbKPV2rhuEZ5YY7sLWcOmdMsnKF1lOwO/view?usp=drivesdk</v>
      </c>
      <c r="C673" s="147" t="str">
        <f>IFERROR(__xludf.DUMMYFUNCTION("""COMPUTED_VALUE"""),"10.1177--0001839219840022.pdf")</f>
        <v>10.1177--0001839219840022.pdf</v>
      </c>
      <c r="D673" s="147" t="str">
        <f>IFERROR(__xludf.DUMMYFUNCTION("""COMPUTED_VALUE"""),"application/pdf")</f>
        <v>application/pdf</v>
      </c>
    </row>
    <row r="674">
      <c r="A674" s="147" t="str">
        <f>IFERROR(__xludf.DUMMYFUNCTION("""COMPUTED_VALUE"""),"10.1163/156853706776931385")</f>
        <v>10.1163/156853706776931385</v>
      </c>
      <c r="B674" s="453" t="str">
        <f>IFERROR(__xludf.DUMMYFUNCTION("""COMPUTED_VALUE"""),"https://drive.google.com/file/d/1XAdHa8ntbQreOrtrubV-Qgfz8m_7szBt/view?usp=drivesdk")</f>
        <v>https://drive.google.com/file/d/1XAdHa8ntbQreOrtrubV-Qgfz8m_7szBt/view?usp=drivesdk</v>
      </c>
      <c r="C674" s="147" t="str">
        <f>IFERROR(__xludf.DUMMYFUNCTION("""COMPUTED_VALUE"""),"10.1163--156853706776931385.pdf")</f>
        <v>10.1163--156853706776931385.pdf</v>
      </c>
      <c r="D674" s="147" t="str">
        <f>IFERROR(__xludf.DUMMYFUNCTION("""COMPUTED_VALUE"""),"application/pdf")</f>
        <v>application/pdf</v>
      </c>
    </row>
    <row r="675">
      <c r="A675" s="147" t="str">
        <f>IFERROR(__xludf.DUMMYFUNCTION("""COMPUTED_VALUE"""),"10.1163/156853706776931222")</f>
        <v>10.1163/156853706776931222</v>
      </c>
      <c r="B675" s="453" t="str">
        <f>IFERROR(__xludf.DUMMYFUNCTION("""COMPUTED_VALUE"""),"https://drive.google.com/file/d/1_KweoGhNrt_00Umu1vsjHfibTm4z9cNE/view?usp=drivesdk")</f>
        <v>https://drive.google.com/file/d/1_KweoGhNrt_00Umu1vsjHfibTm4z9cNE/view?usp=drivesdk</v>
      </c>
      <c r="C675" s="147" t="str">
        <f>IFERROR(__xludf.DUMMYFUNCTION("""COMPUTED_VALUE"""),"10.1163--156853706776931222.pdf")</f>
        <v>10.1163--156853706776931222.pdf</v>
      </c>
      <c r="D675" s="147" t="str">
        <f>IFERROR(__xludf.DUMMYFUNCTION("""COMPUTED_VALUE"""),"application/pdf")</f>
        <v>application/pdf</v>
      </c>
    </row>
    <row r="676">
      <c r="A676" s="147" t="str">
        <f>IFERROR(__xludf.DUMMYFUNCTION("""COMPUTED_VALUE"""),"10.1162/rest_a_00694")</f>
        <v>10.1162/rest_a_00694</v>
      </c>
      <c r="B676" s="453" t="str">
        <f>IFERROR(__xludf.DUMMYFUNCTION("""COMPUTED_VALUE"""),"https://drive.google.com/file/d/1QlUnrKvG2byRPDlFFsCbdysV_7ZkCkzf/view?usp=drivesdk")</f>
        <v>https://drive.google.com/file/d/1QlUnrKvG2byRPDlFFsCbdysV_7ZkCkzf/view?usp=drivesdk</v>
      </c>
      <c r="C676" s="147" t="str">
        <f>IFERROR(__xludf.DUMMYFUNCTION("""COMPUTED_VALUE"""),"10.1162--REST_a_00694.pdf")</f>
        <v>10.1162--REST_a_00694.pdf</v>
      </c>
      <c r="D676" s="147" t="str">
        <f>IFERROR(__xludf.DUMMYFUNCTION("""COMPUTED_VALUE"""),"application/pdf")</f>
        <v>application/pdf</v>
      </c>
    </row>
    <row r="677">
      <c r="A677" s="147" t="str">
        <f>IFERROR(__xludf.DUMMYFUNCTION("""COMPUTED_VALUE"""),"10.1162/qjec.122.3.1067")</f>
        <v>10.1162/qjec.122.3.1067</v>
      </c>
      <c r="B677" s="453" t="str">
        <f>IFERROR(__xludf.DUMMYFUNCTION("""COMPUTED_VALUE"""),"https://drive.google.com/file/d/1twhY2w0ctG7Af9H6UOJm8wdSXyXO8TAo/view?usp=drivesdk")</f>
        <v>https://drive.google.com/file/d/1twhY2w0ctG7Af9H6UOJm8wdSXyXO8TAo/view?usp=drivesdk</v>
      </c>
      <c r="C677" s="147" t="str">
        <f>IFERROR(__xludf.DUMMYFUNCTION("""COMPUTED_VALUE"""),"10.1162--qjec.122.3.1067.pdf")</f>
        <v>10.1162--qjec.122.3.1067.pdf</v>
      </c>
      <c r="D677" s="147" t="str">
        <f>IFERROR(__xludf.DUMMYFUNCTION("""COMPUTED_VALUE"""),"application/pdf")</f>
        <v>application/pdf</v>
      </c>
    </row>
    <row r="678">
      <c r="A678" s="147" t="str">
        <f>IFERROR(__xludf.DUMMYFUNCTION("""COMPUTED_VALUE"""),"10.1162/089892900562219")</f>
        <v>10.1162/089892900562219</v>
      </c>
      <c r="B678" s="453" t="str">
        <f>IFERROR(__xludf.DUMMYFUNCTION("""COMPUTED_VALUE"""),"https://drive.google.com/file/d/1ExZ7juOSUgumoSt5vCuDEvgISB_mT9vX/view?usp=drivesdk")</f>
        <v>https://drive.google.com/file/d/1ExZ7juOSUgumoSt5vCuDEvgISB_mT9vX/view?usp=drivesdk</v>
      </c>
      <c r="C678" s="147" t="str">
        <f>IFERROR(__xludf.DUMMYFUNCTION("""COMPUTED_VALUE"""),"10.1162--089892900562219.pdf")</f>
        <v>10.1162--089892900562219.pdf</v>
      </c>
      <c r="D678" s="147" t="str">
        <f>IFERROR(__xludf.DUMMYFUNCTION("""COMPUTED_VALUE"""),"application/pdf")</f>
        <v>application/pdf</v>
      </c>
    </row>
    <row r="679">
      <c r="A679" s="147" t="str">
        <f>IFERROR(__xludf.DUMMYFUNCTION("""COMPUTED_VALUE"""),"10.1152/japplphysiol.91324.2008")</f>
        <v>10.1152/japplphysiol.91324.2008</v>
      </c>
      <c r="B679" s="453" t="str">
        <f>IFERROR(__xludf.DUMMYFUNCTION("""COMPUTED_VALUE"""),"https://drive.google.com/file/d/1jS6-wcsNs2BINT3z4pARWRtZLYGXCQno/view?usp=drivesdk")</f>
        <v>https://drive.google.com/file/d/1jS6-wcsNs2BINT3z4pARWRtZLYGXCQno/view?usp=drivesdk</v>
      </c>
      <c r="C679" s="147" t="str">
        <f>IFERROR(__xludf.DUMMYFUNCTION("""COMPUTED_VALUE"""),"10.1152--japplphysiol.91324.2008.pdf")</f>
        <v>10.1152--japplphysiol.91324.2008.pdf</v>
      </c>
      <c r="D679" s="147" t="str">
        <f>IFERROR(__xludf.DUMMYFUNCTION("""COMPUTED_VALUE"""),"application/pdf")</f>
        <v>application/pdf</v>
      </c>
    </row>
    <row r="680">
      <c r="A680" s="147" t="str">
        <f>IFERROR(__xludf.DUMMYFUNCTION("""COMPUTED_VALUE"""),"10.1145/3290605.3300469")</f>
        <v>10.1145/3290605.3300469</v>
      </c>
      <c r="B680" s="453" t="str">
        <f>IFERROR(__xludf.DUMMYFUNCTION("""COMPUTED_VALUE"""),"https://drive.google.com/file/d/1lOqUFhZvkowPd-Ne3aczCZ30vQ08jqm-/view?usp=drivesdk")</f>
        <v>https://drive.google.com/file/d/1lOqUFhZvkowPd-Ne3aczCZ30vQ08jqm-/view?usp=drivesdk</v>
      </c>
      <c r="C680" s="147" t="str">
        <f>IFERROR(__xludf.DUMMYFUNCTION("""COMPUTED_VALUE"""),"10.1145--3290605.3300469.pdf")</f>
        <v>10.1145--3290605.3300469.pdf</v>
      </c>
      <c r="D680" s="147" t="str">
        <f>IFERROR(__xludf.DUMMYFUNCTION("""COMPUTED_VALUE"""),"application/pdf")</f>
        <v>application/pdf</v>
      </c>
    </row>
    <row r="681">
      <c r="A681" s="147" t="str">
        <f>IFERROR(__xludf.DUMMYFUNCTION("""COMPUTED_VALUE"""),"10.1145/3173574.3174188")</f>
        <v>10.1145/3173574.3174188</v>
      </c>
      <c r="B681" s="453" t="str">
        <f>IFERROR(__xludf.DUMMYFUNCTION("""COMPUTED_VALUE"""),"https://drive.google.com/file/d/12yIYc8a3z4MzJ_-PiAeu39d1ppwYynMI/view?usp=drivesdk")</f>
        <v>https://drive.google.com/file/d/12yIYc8a3z4MzJ_-PiAeu39d1ppwYynMI/view?usp=drivesdk</v>
      </c>
      <c r="C681" s="147" t="str">
        <f>IFERROR(__xludf.DUMMYFUNCTION("""COMPUTED_VALUE"""),"10.1145--3173574.3174188.pdf")</f>
        <v>10.1145--3173574.3174188.pdf</v>
      </c>
      <c r="D681" s="147" t="str">
        <f>IFERROR(__xludf.DUMMYFUNCTION("""COMPUTED_VALUE"""),"application/pdf")</f>
        <v>application/pdf</v>
      </c>
    </row>
    <row r="682">
      <c r="A682" s="147" t="str">
        <f>IFERROR(__xludf.DUMMYFUNCTION("""COMPUTED_VALUE"""),"10.1145/2470654.2481281")</f>
        <v>10.1145/2470654.2481281</v>
      </c>
      <c r="B682" s="453" t="str">
        <f>IFERROR(__xludf.DUMMYFUNCTION("""COMPUTED_VALUE"""),"https://drive.google.com/file/d/1gQEP5IJLffmqgeBD8cJqZD1njhiICXaO/view?usp=drivesdk")</f>
        <v>https://drive.google.com/file/d/1gQEP5IJLffmqgeBD8cJqZD1njhiICXaO/view?usp=drivesdk</v>
      </c>
      <c r="C682" s="147" t="str">
        <f>IFERROR(__xludf.DUMMYFUNCTION("""COMPUTED_VALUE"""),"10.1145--2470654.2481281.pdf")</f>
        <v>10.1145--2470654.2481281.pdf</v>
      </c>
      <c r="D682" s="147" t="str">
        <f>IFERROR(__xludf.DUMMYFUNCTION("""COMPUTED_VALUE"""),"application/pdf")</f>
        <v>application/pdf</v>
      </c>
    </row>
    <row r="683">
      <c r="A683" s="147" t="str">
        <f>IFERROR(__xludf.DUMMYFUNCTION("""COMPUTED_VALUE"""),"10.1126/science.2296719")</f>
        <v>10.1126/science.2296719</v>
      </c>
      <c r="B683" s="453" t="str">
        <f>IFERROR(__xludf.DUMMYFUNCTION("""COMPUTED_VALUE"""),"https://drive.google.com/file/d/1aw1deRdv2_brwSW2ZZ7DG8T0vbU0PYNX/view?usp=drivesdk")</f>
        <v>https://drive.google.com/file/d/1aw1deRdv2_brwSW2ZZ7DG8T0vbU0PYNX/view?usp=drivesdk</v>
      </c>
      <c r="C683" s="147" t="str">
        <f>IFERROR(__xludf.DUMMYFUNCTION("""COMPUTED_VALUE"""),"10.1126--science.2296719.pdf")</f>
        <v>10.1126--science.2296719.pdf</v>
      </c>
      <c r="D683" s="147" t="str">
        <f>IFERROR(__xludf.DUMMYFUNCTION("""COMPUTED_VALUE"""),"application/pdf")</f>
        <v>application/pdf</v>
      </c>
    </row>
    <row r="684">
      <c r="A684" s="147" t="str">
        <f>IFERROR(__xludf.DUMMYFUNCTION("""COMPUTED_VALUE"""),"10.1126/science.185.4157.1124")</f>
        <v>10.1126/science.185.4157.1124</v>
      </c>
      <c r="B684" s="453" t="str">
        <f>IFERROR(__xludf.DUMMYFUNCTION("""COMPUTED_VALUE"""),"https://drive.google.com/file/d/1kwCznuTuMe4F8uergcBMCOeb45jEuXTr/view?usp=drivesdk")</f>
        <v>https://drive.google.com/file/d/1kwCznuTuMe4F8uergcBMCOeb45jEuXTr/view?usp=drivesdk</v>
      </c>
      <c r="C684" s="147" t="str">
        <f>IFERROR(__xludf.DUMMYFUNCTION("""COMPUTED_VALUE"""),"10.1126--science.185.4157.1124.pdf")</f>
        <v>10.1126--science.185.4157.1124.pdf</v>
      </c>
      <c r="D684" s="147" t="str">
        <f>IFERROR(__xludf.DUMMYFUNCTION("""COMPUTED_VALUE"""),"application/pdf")</f>
        <v>application/pdf</v>
      </c>
    </row>
    <row r="685">
      <c r="A685" s="147" t="str">
        <f>IFERROR(__xludf.DUMMYFUNCTION("""COMPUTED_VALUE"""),"10.1126/science.148.3670.661")</f>
        <v>10.1126/science.148.3670.661</v>
      </c>
      <c r="B685" s="453" t="str">
        <f>IFERROR(__xludf.DUMMYFUNCTION("""COMPUTED_VALUE"""),"https://drive.google.com/file/d/1LtoTK2zHVIYGFfb_cXHLXLWkOHpGikA0/view?usp=drivesdk")</f>
        <v>https://drive.google.com/file/d/1LtoTK2zHVIYGFfb_cXHLXLWkOHpGikA0/view?usp=drivesdk</v>
      </c>
      <c r="C685" s="147" t="str">
        <f>IFERROR(__xludf.DUMMYFUNCTION("""COMPUTED_VALUE"""),"10.1126--science.148.3670.661.pdf")</f>
        <v>10.1126--science.148.3670.661.pdf</v>
      </c>
      <c r="D685" s="147" t="str">
        <f>IFERROR(__xludf.DUMMYFUNCTION("""COMPUTED_VALUE"""),"application/pdf")</f>
        <v>application/pdf</v>
      </c>
    </row>
    <row r="686">
      <c r="A686" s="147" t="str">
        <f>IFERROR(__xludf.DUMMYFUNCTION("""COMPUTED_VALUE"""),"10.1126/science.1253932")</f>
        <v>10.1126/science.1253932</v>
      </c>
      <c r="B686" s="453" t="str">
        <f>IFERROR(__xludf.DUMMYFUNCTION("""COMPUTED_VALUE"""),"https://drive.google.com/file/d/1u3UeZsgg-pu1ZHEEX1uaXHGyGnnbQIHr/view?usp=drivesdk")</f>
        <v>https://drive.google.com/file/d/1u3UeZsgg-pu1ZHEEX1uaXHGyGnnbQIHr/view?usp=drivesdk</v>
      </c>
      <c r="C686" s="147" t="str">
        <f>IFERROR(__xludf.DUMMYFUNCTION("""COMPUTED_VALUE"""),"10.1126--science.1253932.pdf")</f>
        <v>10.1126--science.1253932.pdf</v>
      </c>
      <c r="D686" s="147" t="str">
        <f>IFERROR(__xludf.DUMMYFUNCTION("""COMPUTED_VALUE"""),"application/pdf")</f>
        <v>application/pdf</v>
      </c>
    </row>
    <row r="687">
      <c r="A687" s="147" t="str">
        <f>IFERROR(__xludf.DUMMYFUNCTION("""COMPUTED_VALUE"""),"10.1126/science.1250830")</f>
        <v>10.1126/science.1250830</v>
      </c>
      <c r="B687" s="453" t="str">
        <f>IFERROR(__xludf.DUMMYFUNCTION("""COMPUTED_VALUE"""),"https://drive.google.com/file/d/164yvRbDzBp4QTOt60ne0zLFnKfzz6qWW/view?usp=drivesdk")</f>
        <v>https://drive.google.com/file/d/164yvRbDzBp4QTOt60ne0zLFnKfzz6qWW/view?usp=drivesdk</v>
      </c>
      <c r="C687" s="147" t="str">
        <f>IFERROR(__xludf.DUMMYFUNCTION("""COMPUTED_VALUE"""),"10.1126--science.1250830.pdf")</f>
        <v>10.1126--science.1250830.pdf</v>
      </c>
      <c r="D687" s="147" t="str">
        <f>IFERROR(__xludf.DUMMYFUNCTION("""COMPUTED_VALUE"""),"application/pdf")</f>
        <v>application/pdf</v>
      </c>
    </row>
    <row r="688">
      <c r="A688" s="147" t="str">
        <f>IFERROR(__xludf.DUMMYFUNCTION("""COMPUTED_VALUE"""),"10.1126/science.1239918")</f>
        <v>10.1126/science.1239918</v>
      </c>
      <c r="B688" s="453" t="str">
        <f>IFERROR(__xludf.DUMMYFUNCTION("""COMPUTED_VALUE"""),"https://drive.google.com/file/d/1r4PVlL83grqiq4UZ0to7L57VLrbdB9hi/view?usp=drivesdk")</f>
        <v>https://drive.google.com/file/d/1r4PVlL83grqiq4UZ0to7L57VLrbdB9hi/view?usp=drivesdk</v>
      </c>
      <c r="C688" s="147" t="str">
        <f>IFERROR(__xludf.DUMMYFUNCTION("""COMPUTED_VALUE"""),"10.1126--science.1239918.pdf")</f>
        <v>10.1126--science.1239918.pdf</v>
      </c>
      <c r="D688" s="147" t="str">
        <f>IFERROR(__xludf.DUMMYFUNCTION("""COMPUTED_VALUE"""),"application/pdf")</f>
        <v>application/pdf</v>
      </c>
    </row>
    <row r="689">
      <c r="A689" s="147" t="str">
        <f>IFERROR(__xludf.DUMMYFUNCTION("""COMPUTED_VALUE"""),"10.1126/science.1238041")</f>
        <v>10.1126/science.1238041</v>
      </c>
      <c r="B689" s="453" t="str">
        <f>IFERROR(__xludf.DUMMYFUNCTION("""COMPUTED_VALUE"""),"https://drive.google.com/file/d/18geCDJ5bRB3bpM43MHvE6GJwLIjojiV3/view?usp=drivesdk")</f>
        <v>https://drive.google.com/file/d/18geCDJ5bRB3bpM43MHvE6GJwLIjojiV3/view?usp=drivesdk</v>
      </c>
      <c r="C689" s="147" t="str">
        <f>IFERROR(__xludf.DUMMYFUNCTION("""COMPUTED_VALUE"""),"10.1126--science.1238041.pdf")</f>
        <v>10.1126--science.1238041.pdf</v>
      </c>
      <c r="D689" s="147" t="str">
        <f>IFERROR(__xludf.DUMMYFUNCTION("""COMPUTED_VALUE"""),"application/pdf")</f>
        <v>application/pdf</v>
      </c>
    </row>
    <row r="690">
      <c r="A690" s="147" t="str">
        <f>IFERROR(__xludf.DUMMYFUNCTION("""COMPUTED_VALUE"""),"10.1126/science.1224313")</f>
        <v>10.1126/science.1224313</v>
      </c>
      <c r="B690" s="453" t="str">
        <f>IFERROR(__xludf.DUMMYFUNCTION("""COMPUTED_VALUE"""),"https://drive.google.com/file/d/19EgT43RHjwkUo0_VH9RxY_gZl2qByBLZ/view?usp=drivesdk")</f>
        <v>https://drive.google.com/file/d/19EgT43RHjwkUo0_VH9RxY_gZl2qByBLZ/view?usp=drivesdk</v>
      </c>
      <c r="C690" s="147" t="str">
        <f>IFERROR(__xludf.DUMMYFUNCTION("""COMPUTED_VALUE"""),"10.1126--science.1224313.pdf")</f>
        <v>10.1126--science.1224313.pdf</v>
      </c>
      <c r="D690" s="147" t="str">
        <f>IFERROR(__xludf.DUMMYFUNCTION("""COMPUTED_VALUE"""),"application/pdf")</f>
        <v>application/pdf</v>
      </c>
    </row>
    <row r="691">
      <c r="A691" s="147" t="str">
        <f>IFERROR(__xludf.DUMMYFUNCTION("""COMPUTED_VALUE"""),"10.1126/science.1222426")</f>
        <v>10.1126/science.1222426</v>
      </c>
      <c r="B691" s="453" t="str">
        <f>IFERROR(__xludf.DUMMYFUNCTION("""COMPUTED_VALUE"""),"https://drive.google.com/file/d/1wNBIYZ5dm9n9bSFCAgoMnPNgBJBMSCyH/view?usp=drivesdk")</f>
        <v>https://drive.google.com/file/d/1wNBIYZ5dm9n9bSFCAgoMnPNgBJBMSCyH/view?usp=drivesdk</v>
      </c>
      <c r="C691" s="147" t="str">
        <f>IFERROR(__xludf.DUMMYFUNCTION("""COMPUTED_VALUE"""),"10.1126--science.1222426.pdf")</f>
        <v>10.1126--science.1222426.pdf</v>
      </c>
      <c r="D691" s="147" t="str">
        <f>IFERROR(__xludf.DUMMYFUNCTION("""COMPUTED_VALUE"""),"application/pdf")</f>
        <v>application/pdf</v>
      </c>
    </row>
    <row r="692">
      <c r="A692" s="147" t="str">
        <f>IFERROR(__xludf.DUMMYFUNCTION("""COMPUTED_VALUE"""),"10.1126/science.1221936")</f>
        <v>10.1126/science.1221936</v>
      </c>
      <c r="B692" s="453" t="str">
        <f>IFERROR(__xludf.DUMMYFUNCTION("""COMPUTED_VALUE"""),"https://drive.google.com/file/d/1iB1iRJQEIss4hSoqw92nY3NXxa2obChZ/view?usp=drivesdk")</f>
        <v>https://drive.google.com/file/d/1iB1iRJQEIss4hSoqw92nY3NXxa2obChZ/view?usp=drivesdk</v>
      </c>
      <c r="C692" s="147" t="str">
        <f>IFERROR(__xludf.DUMMYFUNCTION("""COMPUTED_VALUE"""),"10.1126--science.1221936.pdf")</f>
        <v>10.1126--science.1221936.pdf</v>
      </c>
      <c r="D692" s="147" t="str">
        <f>IFERROR(__xludf.DUMMYFUNCTION("""COMPUTED_VALUE"""),"application/pdf")</f>
        <v>application/pdf</v>
      </c>
    </row>
    <row r="693">
      <c r="A693" s="147" t="str">
        <f>IFERROR(__xludf.DUMMYFUNCTION("""COMPUTED_VALUE"""),"10.1126/science.1211180")</f>
        <v>10.1126/science.1211180</v>
      </c>
      <c r="B693" s="453" t="str">
        <f>IFERROR(__xludf.DUMMYFUNCTION("""COMPUTED_VALUE"""),"https://drive.google.com/file/d/1SP5jHd3WRyyvYJcl4eFapcMBBizKeGUl/view?usp=drivesdk")</f>
        <v>https://drive.google.com/file/d/1SP5jHd3WRyyvYJcl4eFapcMBBizKeGUl/view?usp=drivesdk</v>
      </c>
      <c r="C693" s="147" t="str">
        <f>IFERROR(__xludf.DUMMYFUNCTION("""COMPUTED_VALUE"""),"10.1126--science.1211180.pdf")</f>
        <v>10.1126--science.1211180.pdf</v>
      </c>
      <c r="D693" s="147" t="str">
        <f>IFERROR(__xludf.DUMMYFUNCTION("""COMPUTED_VALUE"""),"application/pdf")</f>
        <v>application/pdf</v>
      </c>
    </row>
    <row r="694">
      <c r="A694" s="147" t="str">
        <f>IFERROR(__xludf.DUMMYFUNCTION("""COMPUTED_VALUE"""),"10.1126/science.1215647")</f>
        <v>10.1126/science.1215647</v>
      </c>
      <c r="B694" s="453" t="str">
        <f>IFERROR(__xludf.DUMMYFUNCTION("""COMPUTED_VALUE"""),"https://drive.google.com/file/d/1Vg-OUhY15FAok2mtyokmeZIHZaqgAHg5/view?usp=drivesdk")</f>
        <v>https://drive.google.com/file/d/1Vg-OUhY15FAok2mtyokmeZIHZaqgAHg5/view?usp=drivesdk</v>
      </c>
      <c r="C694" s="147" t="str">
        <f>IFERROR(__xludf.DUMMYFUNCTION("""COMPUTED_VALUE"""),"10.1126--science.1215647.pdf")</f>
        <v>10.1126--science.1215647.pdf</v>
      </c>
      <c r="D694" s="147" t="str">
        <f>IFERROR(__xludf.DUMMYFUNCTION("""COMPUTED_VALUE"""),"application/pdf")</f>
        <v>application/pdf</v>
      </c>
    </row>
    <row r="695">
      <c r="A695" s="147" t="str">
        <f>IFERROR(__xludf.DUMMYFUNCTION("""COMPUTED_VALUE"""),"10.1126/science.1207745")</f>
        <v>10.1126/science.1207745</v>
      </c>
      <c r="B695" s="453" t="str">
        <f>IFERROR(__xludf.DUMMYFUNCTION("""COMPUTED_VALUE"""),"https://drive.google.com/file/d/1Ea_lj0SN0yiXoEUsbmTc67SPDOrQH-yU/view?usp=drivesdk")</f>
        <v>https://drive.google.com/file/d/1Ea_lj0SN0yiXoEUsbmTc67SPDOrQH-yU/view?usp=drivesdk</v>
      </c>
      <c r="C695" s="147" t="str">
        <f>IFERROR(__xludf.DUMMYFUNCTION("""COMPUTED_VALUE"""),"10.1126--science.1207745.pdf")</f>
        <v>10.1126--science.1207745.pdf</v>
      </c>
      <c r="D695" s="147" t="str">
        <f>IFERROR(__xludf.DUMMYFUNCTION("""COMPUTED_VALUE"""),"application/pdf")</f>
        <v>application/pdf</v>
      </c>
    </row>
    <row r="696">
      <c r="A696" s="147" t="str">
        <f>IFERROR(__xludf.DUMMYFUNCTION("""COMPUTED_VALUE"""),"10.1126/science.1199427")</f>
        <v>10.1126/science.1199427</v>
      </c>
      <c r="B696" s="453" t="str">
        <f>IFERROR(__xludf.DUMMYFUNCTION("""COMPUTED_VALUE"""),"https://drive.google.com/file/d/1VlyFF2XH_n9dzHKe2EMaqBWsh-0cgYrJ/view?usp=drivesdk")</f>
        <v>https://drive.google.com/file/d/1VlyFF2XH_n9dzHKe2EMaqBWsh-0cgYrJ/view?usp=drivesdk</v>
      </c>
      <c r="C696" s="147" t="str">
        <f>IFERROR(__xludf.DUMMYFUNCTION("""COMPUTED_VALUE"""),"10.1126--science.1199427.pdf")</f>
        <v>10.1126--science.1199427.pdf</v>
      </c>
      <c r="D696" s="147" t="str">
        <f>IFERROR(__xludf.DUMMYFUNCTION("""COMPUTED_VALUE"""),"application/pdf")</f>
        <v>application/pdf</v>
      </c>
    </row>
    <row r="697">
      <c r="A697" s="147" t="str">
        <f>IFERROR(__xludf.DUMMYFUNCTION("""COMPUTED_VALUE"""),"10.1126/science.1199327")</f>
        <v>10.1126/science.1199327</v>
      </c>
      <c r="B697" s="453" t="str">
        <f>IFERROR(__xludf.DUMMYFUNCTION("""COMPUTED_VALUE"""),"https://drive.google.com/file/d/1nLprzUcZjsicDG7JT3icjAuAK7g2gLY1/view?usp=drivesdk")</f>
        <v>https://drive.google.com/file/d/1nLprzUcZjsicDG7JT3icjAuAK7g2gLY1/view?usp=drivesdk</v>
      </c>
      <c r="C697" s="147" t="str">
        <f>IFERROR(__xludf.DUMMYFUNCTION("""COMPUTED_VALUE"""),"10.1126--science.1199327.pdf")</f>
        <v>10.1126--science.1199327.pdf</v>
      </c>
      <c r="D697" s="147" t="str">
        <f>IFERROR(__xludf.DUMMYFUNCTION("""COMPUTED_VALUE"""),"application/pdf")</f>
        <v>application/pdf</v>
      </c>
    </row>
    <row r="698">
      <c r="A698" s="147" t="str">
        <f>IFERROR(__xludf.DUMMYFUNCTION("""COMPUTED_VALUE"""),"10.1126/science.1195701")</f>
        <v>10.1126/science.1195701</v>
      </c>
      <c r="B698" s="453" t="str">
        <f>IFERROR(__xludf.DUMMYFUNCTION("""COMPUTED_VALUE"""),"https://drive.google.com/file/d/19X5spXSqhBiEOOUR62_YtANpegjkcJ1f/view?usp=drivesdk")</f>
        <v>https://drive.google.com/file/d/19X5spXSqhBiEOOUR62_YtANpegjkcJ1f/view?usp=drivesdk</v>
      </c>
      <c r="C698" s="147" t="str">
        <f>IFERROR(__xludf.DUMMYFUNCTION("""COMPUTED_VALUE"""),"10.1126--science.1195701.pdf")</f>
        <v>10.1126--science.1195701.pdf</v>
      </c>
      <c r="D698" s="147" t="str">
        <f>IFERROR(__xludf.DUMMYFUNCTION("""COMPUTED_VALUE"""),"application/pdf")</f>
        <v>application/pdf</v>
      </c>
    </row>
    <row r="699">
      <c r="A699" s="147" t="str">
        <f>IFERROR(__xludf.DUMMYFUNCTION("""COMPUTED_VALUE"""),"10.1126/science.1191465")</f>
        <v>10.1126/science.1191465</v>
      </c>
      <c r="B699" s="453" t="str">
        <f>IFERROR(__xludf.DUMMYFUNCTION("""COMPUTED_VALUE"""),"https://drive.google.com/file/d/14xOP8LLETNXBDDadvwleV2pKnaxwaGBi/view?usp=drivesdk")</f>
        <v>https://drive.google.com/file/d/14xOP8LLETNXBDDadvwleV2pKnaxwaGBi/view?usp=drivesdk</v>
      </c>
      <c r="C699" s="147" t="str">
        <f>IFERROR(__xludf.DUMMYFUNCTION("""COMPUTED_VALUE"""),"10.1126--science.1191465.pdf")</f>
        <v>10.1126--science.1191465.pdf</v>
      </c>
      <c r="D699" s="147" t="str">
        <f>IFERROR(__xludf.DUMMYFUNCTION("""COMPUTED_VALUE"""),"application/pdf")</f>
        <v>application/pdf</v>
      </c>
    </row>
    <row r="700">
      <c r="A700" s="147" t="str">
        <f>IFERROR(__xludf.DUMMYFUNCTION("""COMPUTED_VALUE"""),"10.1126/science.1190792")</f>
        <v>10.1126/science.1190792</v>
      </c>
      <c r="B700" s="453" t="str">
        <f>IFERROR(__xludf.DUMMYFUNCTION("""COMPUTED_VALUE"""),"https://drive.google.com/file/d/1Chyql9h2DEg41XAYeRupg6Etz-OFp0us/view?usp=drivesdk")</f>
        <v>https://drive.google.com/file/d/1Chyql9h2DEg41XAYeRupg6Etz-OFp0us/view?usp=drivesdk</v>
      </c>
      <c r="C700" s="147" t="str">
        <f>IFERROR(__xludf.DUMMYFUNCTION("""COMPUTED_VALUE"""),"10.1126--science.1190792.pdf")</f>
        <v>10.1126--science.1190792.pdf</v>
      </c>
      <c r="D700" s="147" t="str">
        <f>IFERROR(__xludf.DUMMYFUNCTION("""COMPUTED_VALUE"""),"application/pdf")</f>
        <v>application/pdf</v>
      </c>
    </row>
    <row r="701">
      <c r="A701" s="147" t="str">
        <f>IFERROR(__xludf.DUMMYFUNCTION("""COMPUTED_VALUE"""),"10.1126/science.1189993")</f>
        <v>10.1126/science.1189993</v>
      </c>
      <c r="B701" s="453" t="str">
        <f>IFERROR(__xludf.DUMMYFUNCTION("""COMPUTED_VALUE"""),"https://drive.google.com/file/d/1AKsdj68dbJXeSGboPcfZ2uD3ua_fvFPP/view?usp=drivesdk")</f>
        <v>https://drive.google.com/file/d/1AKsdj68dbJXeSGboPcfZ2uD3ua_fvFPP/view?usp=drivesdk</v>
      </c>
      <c r="C701" s="147" t="str">
        <f>IFERROR(__xludf.DUMMYFUNCTION("""COMPUTED_VALUE"""),"10.1126--science.1189993.pdf")</f>
        <v>10.1126--science.1189993.pdf</v>
      </c>
      <c r="D701" s="147" t="str">
        <f>IFERROR(__xludf.DUMMYFUNCTION("""COMPUTED_VALUE"""),"application/pdf")</f>
        <v>application/pdf</v>
      </c>
    </row>
    <row r="702">
      <c r="A702" s="147" t="str">
        <f>IFERROR(__xludf.DUMMYFUNCTION("""COMPUTED_VALUE"""),"10.1126/science.1186799")</f>
        <v>10.1126/science.1186799</v>
      </c>
      <c r="B702" s="453" t="str">
        <f>IFERROR(__xludf.DUMMYFUNCTION("""COMPUTED_VALUE"""),"https://drive.google.com/file/d/1E31uybgDVJiRN0FEcJfVIX_of85BuGEz/view?usp=drivesdk")</f>
        <v>https://drive.google.com/file/d/1E31uybgDVJiRN0FEcJfVIX_of85BuGEz/view?usp=drivesdk</v>
      </c>
      <c r="C702" s="147" t="str">
        <f>IFERROR(__xludf.DUMMYFUNCTION("""COMPUTED_VALUE"""),"10.1126--science.1186799.pdf")</f>
        <v>10.1126--science.1186799.pdf</v>
      </c>
      <c r="D702" s="147" t="str">
        <f>IFERROR(__xludf.DUMMYFUNCTION("""COMPUTED_VALUE"""),"application/pdf")</f>
        <v>application/pdf</v>
      </c>
    </row>
    <row r="703">
      <c r="A703" s="147" t="str">
        <f>IFERROR(__xludf.DUMMYFUNCTION("""COMPUTED_VALUE"""),"10.1126/science.1183532")</f>
        <v>10.1126/science.1183532</v>
      </c>
      <c r="B703" s="453" t="str">
        <f>IFERROR(__xludf.DUMMYFUNCTION("""COMPUTED_VALUE"""),"https://drive.google.com/file/d/1evQDXWr9N4KV0RMwcCRfMKAkbspCGUUG/view?usp=drivesdk")</f>
        <v>https://drive.google.com/file/d/1evQDXWr9N4KV0RMwcCRfMKAkbspCGUUG/view?usp=drivesdk</v>
      </c>
      <c r="C703" s="147" t="str">
        <f>IFERROR(__xludf.DUMMYFUNCTION("""COMPUTED_VALUE"""),"10.1126--science.1183532.pdf")</f>
        <v>10.1126--science.1183532.pdf</v>
      </c>
      <c r="D703" s="147" t="str">
        <f>IFERROR(__xludf.DUMMYFUNCTION("""COMPUTED_VALUE"""),"application/pdf")</f>
        <v>application/pdf</v>
      </c>
    </row>
    <row r="704">
      <c r="A704" s="147" t="str">
        <f>IFERROR(__xludf.DUMMYFUNCTION("""COMPUTED_VALUE"""),"10.1126/science.1169144")</f>
        <v>10.1126/science.1169144</v>
      </c>
      <c r="B704" s="453" t="str">
        <f>IFERROR(__xludf.DUMMYFUNCTION("""COMPUTED_VALUE"""),"https://drive.google.com/file/d/1Fno1IJz68iXs7JWnmc01NK1s0TMRMxHi/view?usp=drivesdk")</f>
        <v>https://drive.google.com/file/d/1Fno1IJz68iXs7JWnmc01NK1s0TMRMxHi/view?usp=drivesdk</v>
      </c>
      <c r="C704" s="147" t="str">
        <f>IFERROR(__xludf.DUMMYFUNCTION("""COMPUTED_VALUE"""),"10.1126--science.1169144.pdf")</f>
        <v>10.1126--science.1169144.pdf</v>
      </c>
      <c r="D704" s="147" t="str">
        <f>IFERROR(__xludf.DUMMYFUNCTION("""COMPUTED_VALUE"""),"application/pdf")</f>
        <v>application/pdf</v>
      </c>
    </row>
    <row r="705">
      <c r="A705" s="147" t="str">
        <f>IFERROR(__xludf.DUMMYFUNCTION("""COMPUTED_VALUE"""),"10.1126/science.1162548")</f>
        <v>10.1126/science.1162548</v>
      </c>
      <c r="B705" s="453" t="str">
        <f>IFERROR(__xludf.DUMMYFUNCTION("""COMPUTED_VALUE"""),"https://drive.google.com/file/d/1p-5Yi30wwPB5qbrkCQnV04nlGIUAqW1j/view?usp=drivesdk")</f>
        <v>https://drive.google.com/file/d/1p-5Yi30wwPB5qbrkCQnV04nlGIUAqW1j/view?usp=drivesdk</v>
      </c>
      <c r="C705" s="147" t="str">
        <f>IFERROR(__xludf.DUMMYFUNCTION("""COMPUTED_VALUE"""),"10.1126--science.1162548.pdf")</f>
        <v>10.1126--science.1162548.pdf</v>
      </c>
      <c r="D705" s="147" t="str">
        <f>IFERROR(__xludf.DUMMYFUNCTION("""COMPUTED_VALUE"""),"application/pdf")</f>
        <v>application/pdf</v>
      </c>
    </row>
    <row r="706">
      <c r="A706" s="147" t="str">
        <f>IFERROR(__xludf.DUMMYFUNCTION("""COMPUTED_VALUE"""),"10.1126/science.1157627")</f>
        <v>10.1126/science.1157627</v>
      </c>
      <c r="B706" s="453" t="str">
        <f>IFERROR(__xludf.DUMMYFUNCTION("""COMPUTED_VALUE"""),"https://drive.google.com/file/d/1EK9QiU9xsqLxXgH_myrXEDvCAwAm--TL/view?usp=drivesdk")</f>
        <v>https://drive.google.com/file/d/1EK9QiU9xsqLxXgH_myrXEDvCAwAm--TL/view?usp=drivesdk</v>
      </c>
      <c r="C706" s="147" t="str">
        <f>IFERROR(__xludf.DUMMYFUNCTION("""COMPUTED_VALUE"""),"10.1126--science.1157627.pdf")</f>
        <v>10.1126--science.1157627.pdf</v>
      </c>
      <c r="D706" s="147" t="str">
        <f>IFERROR(__xludf.DUMMYFUNCTION("""COMPUTED_VALUE"""),"application/pdf")</f>
        <v>application/pdf</v>
      </c>
    </row>
    <row r="707">
      <c r="A707" s="147" t="str">
        <f>IFERROR(__xludf.DUMMYFUNCTION("""COMPUTED_VALUE"""),"10.1126/science.1154983")</f>
        <v>10.1126/science.1154983</v>
      </c>
      <c r="B707" s="453" t="str">
        <f>IFERROR(__xludf.DUMMYFUNCTION("""COMPUTED_VALUE"""),"https://drive.google.com/file/d/1W95pBxdYQtvPqjqDP0LAubJz1aG6pbkC/view?usp=drivesdk")</f>
        <v>https://drive.google.com/file/d/1W95pBxdYQtvPqjqDP0LAubJz1aG6pbkC/view?usp=drivesdk</v>
      </c>
      <c r="C707" s="147" t="str">
        <f>IFERROR(__xludf.DUMMYFUNCTION("""COMPUTED_VALUE"""),"10.1126--science.1154983.pdf")</f>
        <v>10.1126--science.1154983.pdf</v>
      </c>
      <c r="D707" s="147" t="str">
        <f>IFERROR(__xludf.DUMMYFUNCTION("""COMPUTED_VALUE"""),"application/pdf")</f>
        <v>application/pdf</v>
      </c>
    </row>
    <row r="708">
      <c r="A708" s="147" t="str">
        <f>IFERROR(__xludf.DUMMYFUNCTION("""COMPUTED_VALUE"""),"10.1126/science.1150952")</f>
        <v>10.1126/science.1150952</v>
      </c>
      <c r="B708" s="453" t="str">
        <f>IFERROR(__xludf.DUMMYFUNCTION("""COMPUTED_VALUE"""),"https://drive.google.com/file/d/10YsdVEp76YRuLQNPspg-TkAG5mYL74RG/view?usp=drivesdk")</f>
        <v>https://drive.google.com/file/d/10YsdVEp76YRuLQNPspg-TkAG5mYL74RG/view?usp=drivesdk</v>
      </c>
      <c r="C708" s="147" t="str">
        <f>IFERROR(__xludf.DUMMYFUNCTION("""COMPUTED_VALUE"""),"10.1126--science.1150952.pdf")</f>
        <v>10.1126--science.1150952.pdf</v>
      </c>
      <c r="D708" s="147" t="str">
        <f>IFERROR(__xludf.DUMMYFUNCTION("""COMPUTED_VALUE"""),"application/pdf")</f>
        <v>application/pdf</v>
      </c>
    </row>
    <row r="709">
      <c r="A709" s="147" t="str">
        <f>IFERROR(__xludf.DUMMYFUNCTION("""COMPUTED_VALUE"""),"10.1126/science.1134475")</f>
        <v>10.1126/science.1134475</v>
      </c>
      <c r="B709" s="453" t="str">
        <f>IFERROR(__xludf.DUMMYFUNCTION("""COMPUTED_VALUE"""),"https://drive.google.com/file/d/1JcrIIJziv9H4c66sUbolfvMwbkPdlR44/view?usp=drivesdk")</f>
        <v>https://drive.google.com/file/d/1JcrIIJziv9H4c66sUbolfvMwbkPdlR44/view?usp=drivesdk</v>
      </c>
      <c r="C709" s="147" t="str">
        <f>IFERROR(__xludf.DUMMYFUNCTION("""COMPUTED_VALUE"""),"10.1126--science.1134475.pdf")</f>
        <v>10.1126--science.1134475.pdf</v>
      </c>
      <c r="D709" s="147" t="str">
        <f>IFERROR(__xludf.DUMMYFUNCTION("""COMPUTED_VALUE"""),"application/pdf")</f>
        <v>application/pdf</v>
      </c>
    </row>
    <row r="710">
      <c r="A710" s="147" t="str">
        <f>IFERROR(__xludf.DUMMYFUNCTION("""COMPUTED_VALUE"""),"10.1126/science.1132491")</f>
        <v>10.1126/science.1132491</v>
      </c>
      <c r="B710" s="453" t="str">
        <f>IFERROR(__xludf.DUMMYFUNCTION("""COMPUTED_VALUE"""),"https://drive.google.com/file/d/1OWk3W7aLK7NhvpfeOXWbAeYjSBS6on3O/view?usp=drivesdk")</f>
        <v>https://drive.google.com/file/d/1OWk3W7aLK7NhvpfeOXWbAeYjSBS6on3O/view?usp=drivesdk</v>
      </c>
      <c r="C710" s="147" t="str">
        <f>IFERROR(__xludf.DUMMYFUNCTION("""COMPUTED_VALUE"""),"10.1126--science.1132491.pdf")</f>
        <v>10.1126--science.1132491.pdf</v>
      </c>
      <c r="D710" s="147" t="str">
        <f>IFERROR(__xludf.DUMMYFUNCTION("""COMPUTED_VALUE"""),"application/pdf")</f>
        <v>application/pdf</v>
      </c>
    </row>
    <row r="711">
      <c r="A711" s="147" t="str">
        <f>IFERROR(__xludf.DUMMYFUNCTION("""COMPUTED_VALUE"""),"10.1126/science.1130726")</f>
        <v>10.1126/science.1130726</v>
      </c>
      <c r="B711" s="453" t="str">
        <f>IFERROR(__xludf.DUMMYFUNCTION("""COMPUTED_VALUE"""),"https://drive.google.com/file/d/1w2KBBoT3U7JrwQsTrJduC-AS9fihTDq0/view?usp=drivesdk")</f>
        <v>https://drive.google.com/file/d/1w2KBBoT3U7JrwQsTrJduC-AS9fihTDq0/view?usp=drivesdk</v>
      </c>
      <c r="C711" s="147" t="str">
        <f>IFERROR(__xludf.DUMMYFUNCTION("""COMPUTED_VALUE"""),"10.1126--science.1130726.pdf")</f>
        <v>10.1126--science.1130726.pdf</v>
      </c>
      <c r="D711" s="147" t="str">
        <f>IFERROR(__xludf.DUMMYFUNCTION("""COMPUTED_VALUE"""),"application/pdf")</f>
        <v>application/pdf</v>
      </c>
    </row>
    <row r="712">
      <c r="A712" s="147" t="str">
        <f>IFERROR(__xludf.DUMMYFUNCTION("""COMPUTED_VALUE"""),"10.1126/science.1121629")</f>
        <v>10.1126/science.1121629</v>
      </c>
      <c r="B712" s="453" t="str">
        <f>IFERROR(__xludf.DUMMYFUNCTION("""COMPUTED_VALUE"""),"https://drive.google.com/file/d/1BZtRJ02shFZjYSEcLvnyj0pKcfmvcWZd/view?usp=drivesdk")</f>
        <v>https://drive.google.com/file/d/1BZtRJ02shFZjYSEcLvnyj0pKcfmvcWZd/view?usp=drivesdk</v>
      </c>
      <c r="C712" s="147" t="str">
        <f>IFERROR(__xludf.DUMMYFUNCTION("""COMPUTED_VALUE"""),"10.1126--science.1121629.pdf")</f>
        <v>10.1126--science.1121629.pdf</v>
      </c>
      <c r="D712" s="147" t="str">
        <f>IFERROR(__xludf.DUMMYFUNCTION("""COMPUTED_VALUE"""),"application/pdf")</f>
        <v>application/pdf</v>
      </c>
    </row>
    <row r="713">
      <c r="A713" s="147" t="str">
        <f>IFERROR(__xludf.DUMMYFUNCTION("""COMPUTED_VALUE"""),"10.1126/science.1091721")</f>
        <v>10.1126/science.1091721</v>
      </c>
      <c r="B713" s="453" t="str">
        <f>IFERROR(__xludf.DUMMYFUNCTION("""COMPUTED_VALUE"""),"https://drive.google.com/file/d/1eSIhQoNaIQOjrthga8k1fEWUQ1wNc0I3/view?usp=drivesdk")</f>
        <v>https://drive.google.com/file/d/1eSIhQoNaIQOjrthga8k1fEWUQ1wNc0I3/view?usp=drivesdk</v>
      </c>
      <c r="C713" s="147" t="str">
        <f>IFERROR(__xludf.DUMMYFUNCTION("""COMPUTED_VALUE"""),"10.1126--science.1091721.pdf")</f>
        <v>10.1126--science.1091721.pdf</v>
      </c>
      <c r="D713" s="147" t="str">
        <f>IFERROR(__xludf.DUMMYFUNCTION("""COMPUTED_VALUE"""),"application/pdf")</f>
        <v>application/pdf</v>
      </c>
    </row>
    <row r="714">
      <c r="A714" s="147" t="str">
        <f>IFERROR(__xludf.DUMMYFUNCTION("""COMPUTED_VALUE"""),"10.1126/science.1083968")</f>
        <v>10.1126/science.1083968</v>
      </c>
      <c r="B714" s="453" t="str">
        <f>IFERROR(__xludf.DUMMYFUNCTION("""COMPUTED_VALUE"""),"https://drive.google.com/file/d/1exWLXuK48MQ2ATmSKbzKWBwM5DY_aMcK/view?usp=drivesdk")</f>
        <v>https://drive.google.com/file/d/1exWLXuK48MQ2ATmSKbzKWBwM5DY_aMcK/view?usp=drivesdk</v>
      </c>
      <c r="C714" s="147" t="str">
        <f>IFERROR(__xludf.DUMMYFUNCTION("""COMPUTED_VALUE"""),"10.1126--science.1083968.pdf")</f>
        <v>10.1126--science.1083968.pdf</v>
      </c>
      <c r="D714" s="147" t="str">
        <f>IFERROR(__xludf.DUMMYFUNCTION("""COMPUTED_VALUE"""),"application/pdf")</f>
        <v>application/pdf</v>
      </c>
    </row>
    <row r="715">
      <c r="A715" s="147" t="str">
        <f>IFERROR(__xludf.DUMMYFUNCTION("""COMPUTED_VALUE"""),"10.1111/nous.12017")</f>
        <v>10.1111/nous.12017</v>
      </c>
      <c r="B715" s="453" t="str">
        <f>IFERROR(__xludf.DUMMYFUNCTION("""COMPUTED_VALUE"""),"https://drive.google.com/file/d/1siDzTCg5TAqWvx1F7jfvqWF5y01jo9l6/view?usp=drivesdk")</f>
        <v>https://drive.google.com/file/d/1siDzTCg5TAqWvx1F7jfvqWF5y01jo9l6/view?usp=drivesdk</v>
      </c>
      <c r="C715" s="147" t="str">
        <f>IFERROR(__xludf.DUMMYFUNCTION("""COMPUTED_VALUE"""),"10.1111--nous.12017.pdf")</f>
        <v>10.1111--nous.12017.pdf</v>
      </c>
      <c r="D715" s="147" t="str">
        <f>IFERROR(__xludf.DUMMYFUNCTION("""COMPUTED_VALUE"""),"application/pdf")</f>
        <v>application/pdf</v>
      </c>
    </row>
    <row r="716">
      <c r="A716" s="147" t="str">
        <f>IFERROR(__xludf.DUMMYFUNCTION("""COMPUTED_VALUE"""),"10.1111/lang.12140")</f>
        <v>10.1111/lang.12140</v>
      </c>
      <c r="B716" s="453" t="str">
        <f>IFERROR(__xludf.DUMMYFUNCTION("""COMPUTED_VALUE"""),"https://drive.google.com/file/d/1iHwvqbzkE5E6QaDEkGEEiffgzbsf9lQG/view?usp=drivesdk")</f>
        <v>https://drive.google.com/file/d/1iHwvqbzkE5E6QaDEkGEEiffgzbsf9lQG/view?usp=drivesdk</v>
      </c>
      <c r="C716" s="147" t="str">
        <f>IFERROR(__xludf.DUMMYFUNCTION("""COMPUTED_VALUE"""),"10.1111--lang.12140.pdf")</f>
        <v>10.1111--lang.12140.pdf</v>
      </c>
      <c r="D716" s="147" t="str">
        <f>IFERROR(__xludf.DUMMYFUNCTION("""COMPUTED_VALUE"""),"application/pdf")</f>
        <v>application/pdf</v>
      </c>
    </row>
    <row r="717">
      <c r="A717" s="147" t="str">
        <f>IFERROR(__xludf.DUMMYFUNCTION("""COMPUTED_VALUE"""),"10.1111/j.2044-835x.1986.tb01003.x")</f>
        <v>10.1111/j.2044-835x.1986.tb01003.x</v>
      </c>
      <c r="B717" s="453" t="str">
        <f>IFERROR(__xludf.DUMMYFUNCTION("""COMPUTED_VALUE"""),"https://drive.google.com/file/d/18lSrzJb6hlq2LTXVDLpK1cxy7NDtFwlx/view?usp=drivesdk")</f>
        <v>https://drive.google.com/file/d/18lSrzJb6hlq2LTXVDLpK1cxy7NDtFwlx/view?usp=drivesdk</v>
      </c>
      <c r="C717" s="147" t="str">
        <f>IFERROR(__xludf.DUMMYFUNCTION("""COMPUTED_VALUE"""),"10.1111--j.2044-835x.1986.tb01003.x.pdf")</f>
        <v>10.1111--j.2044-835x.1986.tb01003.x.pdf</v>
      </c>
      <c r="D717" s="147" t="str">
        <f>IFERROR(__xludf.DUMMYFUNCTION("""COMPUTED_VALUE"""),"application/pdf")</f>
        <v>application/pdf</v>
      </c>
    </row>
    <row r="718">
      <c r="A718" s="147" t="str">
        <f>IFERROR(__xludf.DUMMYFUNCTION("""COMPUTED_VALUE"""),"10.1111/j.2044-8295.1997.tb02648.x")</f>
        <v>10.1111/j.2044-8295.1997.tb02648.x</v>
      </c>
      <c r="B718" s="453" t="str">
        <f>IFERROR(__xludf.DUMMYFUNCTION("""COMPUTED_VALUE"""),"https://drive.google.com/file/d/1cbRs7pAG_HHsYWLTtiX-MwQvS4vQmSB6/view?usp=drivesdk")</f>
        <v>https://drive.google.com/file/d/1cbRs7pAG_HHsYWLTtiX-MwQvS4vQmSB6/view?usp=drivesdk</v>
      </c>
      <c r="C718" s="147" t="str">
        <f>IFERROR(__xludf.DUMMYFUNCTION("""COMPUTED_VALUE"""),"10.1111--j.2044-8295.1997.tb02648.x.pdf")</f>
        <v>10.1111--j.2044-8295.1997.tb02648.x.pdf</v>
      </c>
      <c r="D718" s="147" t="str">
        <f>IFERROR(__xludf.DUMMYFUNCTION("""COMPUTED_VALUE"""),"application/pdf")</f>
        <v>application/pdf</v>
      </c>
    </row>
    <row r="719">
      <c r="A719" s="147" t="str">
        <f>IFERROR(__xludf.DUMMYFUNCTION("""COMPUTED_VALUE"""),"10.1111/j.2044-8295.1975.tb01468.x")</f>
        <v>10.1111/j.2044-8295.1975.tb01468.x</v>
      </c>
      <c r="B719" s="453" t="str">
        <f>IFERROR(__xludf.DUMMYFUNCTION("""COMPUTED_VALUE"""),"https://drive.google.com/file/d/1kDsi06We11UwXurjeSQ26k_Oq21xYFhx/view?usp=drivesdk")</f>
        <v>https://drive.google.com/file/d/1kDsi06We11UwXurjeSQ26k_Oq21xYFhx/view?usp=drivesdk</v>
      </c>
      <c r="C719" s="147" t="str">
        <f>IFERROR(__xludf.DUMMYFUNCTION("""COMPUTED_VALUE"""),"10.1111--j.2044-8295.1975.tb01468.x.pdf")</f>
        <v>10.1111--j.2044-8295.1975.tb01468.x.pdf</v>
      </c>
      <c r="D719" s="147" t="str">
        <f>IFERROR(__xludf.DUMMYFUNCTION("""COMPUTED_VALUE"""),"application/pdf")</f>
        <v>application/pdf</v>
      </c>
    </row>
    <row r="720">
      <c r="A720" s="147" t="str">
        <f>IFERROR(__xludf.DUMMYFUNCTION("""COMPUTED_VALUE"""),"10.1111/j.1933-1592.2012.00609.x")</f>
        <v>10.1111/j.1933-1592.2012.00609.x</v>
      </c>
      <c r="B720" s="453" t="str">
        <f>IFERROR(__xludf.DUMMYFUNCTION("""COMPUTED_VALUE"""),"https://drive.google.com/file/d/1vevfUy0iTc6NQfF1T-jwqjcTM_yHdsf0/view?usp=drivesdk")</f>
        <v>https://drive.google.com/file/d/1vevfUy0iTc6NQfF1T-jwqjcTM_yHdsf0/view?usp=drivesdk</v>
      </c>
      <c r="C720" s="147" t="str">
        <f>IFERROR(__xludf.DUMMYFUNCTION("""COMPUTED_VALUE"""),"10.1111--j.1933-1592.2012.00609.x.pdf")</f>
        <v>10.1111--j.1933-1592.2012.00609.x.pdf</v>
      </c>
      <c r="D720" s="147" t="str">
        <f>IFERROR(__xludf.DUMMYFUNCTION("""COMPUTED_VALUE"""),"application/pdf")</f>
        <v>application/pdf</v>
      </c>
    </row>
    <row r="721">
      <c r="A721" s="147" t="str">
        <f>IFERROR(__xludf.DUMMYFUNCTION("""COMPUTED_VALUE"""),"10.1111/j.1933-1592.2006.tb00603.x")</f>
        <v>10.1111/j.1933-1592.2006.tb00603.x</v>
      </c>
      <c r="B721" s="453" t="str">
        <f>IFERROR(__xludf.DUMMYFUNCTION("""COMPUTED_VALUE"""),"https://drive.google.com/file/d/1tNde2WsKCKtTxCH7EfB-a1TjXERl50pJ/view?usp=drivesdk")</f>
        <v>https://drive.google.com/file/d/1tNde2WsKCKtTxCH7EfB-a1TjXERl50pJ/view?usp=drivesdk</v>
      </c>
      <c r="C721" s="147" t="str">
        <f>IFERROR(__xludf.DUMMYFUNCTION("""COMPUTED_VALUE"""),"10.1111--j.1933-1592.2006.tb00603.x.pdf")</f>
        <v>10.1111--j.1933-1592.2006.tb00603.x.pdf</v>
      </c>
      <c r="D721" s="147" t="str">
        <f>IFERROR(__xludf.DUMMYFUNCTION("""COMPUTED_VALUE"""),"application/pdf")</f>
        <v>application/pdf</v>
      </c>
    </row>
    <row r="722">
      <c r="A722" s="147" t="str">
        <f>IFERROR(__xludf.DUMMYFUNCTION("""COMPUTED_VALUE"""),"10.1111/j.1744-6570.1999.tb00174.x")</f>
        <v>10.1111/j.1744-6570.1999.tb00174.x</v>
      </c>
      <c r="B722" s="453" t="str">
        <f>IFERROR(__xludf.DUMMYFUNCTION("""COMPUTED_VALUE"""),"https://drive.google.com/file/d/1JjrD9NOW8xliYqnpBZzkTwq4qgfO4wNJ/view?usp=drivesdk")</f>
        <v>https://drive.google.com/file/d/1JjrD9NOW8xliYqnpBZzkTwq4qgfO4wNJ/view?usp=drivesdk</v>
      </c>
      <c r="C722" s="147" t="str">
        <f>IFERROR(__xludf.DUMMYFUNCTION("""COMPUTED_VALUE"""),"10.1111--j.1744-6570.1999.tb00174.x.pdf")</f>
        <v>10.1111--j.1744-6570.1999.tb00174.x.pdf</v>
      </c>
      <c r="D722" s="147" t="str">
        <f>IFERROR(__xludf.DUMMYFUNCTION("""COMPUTED_VALUE"""),"application/pdf")</f>
        <v>application/pdf</v>
      </c>
    </row>
    <row r="723">
      <c r="A723" s="147" t="str">
        <f>IFERROR(__xludf.DUMMYFUNCTION("""COMPUTED_VALUE"""),"10.1111/j.1551-6709.2010.01164.x")</f>
        <v>10.1111/j.1551-6709.2010.01164.x</v>
      </c>
      <c r="B723" s="453" t="str">
        <f>IFERROR(__xludf.DUMMYFUNCTION("""COMPUTED_VALUE"""),"https://drive.google.com/file/d/1F1gmEthZ6jBt549BBg-rdg_5OVDXWokk/view?usp=drivesdk")</f>
        <v>https://drive.google.com/file/d/1F1gmEthZ6jBt549BBg-rdg_5OVDXWokk/view?usp=drivesdk</v>
      </c>
      <c r="C723" s="147" t="str">
        <f>IFERROR(__xludf.DUMMYFUNCTION("""COMPUTED_VALUE"""),"10.1111--j.1551-6709.2010.01164.x.pdf")</f>
        <v>10.1111--j.1551-6709.2010.01164.x.pdf</v>
      </c>
      <c r="D723" s="147" t="str">
        <f>IFERROR(__xludf.DUMMYFUNCTION("""COMPUTED_VALUE"""),"application/pdf")</f>
        <v>application/pdf</v>
      </c>
    </row>
    <row r="724">
      <c r="A724" s="147" t="str">
        <f>IFERROR(__xludf.DUMMYFUNCTION("""COMPUTED_VALUE"""),"10.1111/j.1551-6709.2011.01210.x")</f>
        <v>10.1111/j.1551-6709.2011.01210.x</v>
      </c>
      <c r="B724" s="453" t="str">
        <f>IFERROR(__xludf.DUMMYFUNCTION("""COMPUTED_VALUE"""),"https://drive.google.com/file/d/1peHj2qn55XShERDto7FmUKmKRW04vw25/view?usp=drivesdk")</f>
        <v>https://drive.google.com/file/d/1peHj2qn55XShERDto7FmUKmKRW04vw25/view?usp=drivesdk</v>
      </c>
      <c r="C724" s="147" t="str">
        <f>IFERROR(__xludf.DUMMYFUNCTION("""COMPUTED_VALUE"""),"10.1111--j.1551-6709.2011.01210.x.pdf")</f>
        <v>10.1111--j.1551-6709.2011.01210.x.pdf</v>
      </c>
      <c r="D724" s="147" t="str">
        <f>IFERROR(__xludf.DUMMYFUNCTION("""COMPUTED_VALUE"""),"application/pdf")</f>
        <v>application/pdf</v>
      </c>
    </row>
    <row r="725">
      <c r="A725" s="147" t="str">
        <f>IFERROR(__xludf.DUMMYFUNCTION("""COMPUTED_VALUE"""),"10.1111/j.1551-6709.2010.01161.x")</f>
        <v>10.1111/j.1551-6709.2010.01161.x</v>
      </c>
      <c r="B725" s="453" t="str">
        <f>IFERROR(__xludf.DUMMYFUNCTION("""COMPUTED_VALUE"""),"https://drive.google.com/file/d/1mu475Zzy_-pzVxpT6L8wHxxpOPeohqGN/view?usp=drivesdk")</f>
        <v>https://drive.google.com/file/d/1mu475Zzy_-pzVxpT6L8wHxxpOPeohqGN/view?usp=drivesdk</v>
      </c>
      <c r="C725" s="147" t="str">
        <f>IFERROR(__xludf.DUMMYFUNCTION("""COMPUTED_VALUE"""),"10.1111--j.1551-6709.2010.01161.x.pdf")</f>
        <v>10.1111--j.1551-6709.2010.01161.x.pdf</v>
      </c>
      <c r="D725" s="147" t="str">
        <f>IFERROR(__xludf.DUMMYFUNCTION("""COMPUTED_VALUE"""),"application/pdf")</f>
        <v>application/pdf</v>
      </c>
    </row>
    <row r="726">
      <c r="A726" s="147" t="str">
        <f>IFERROR(__xludf.DUMMYFUNCTION("""COMPUTED_VALUE"""),"10.1111/j.1475-4975.2007.00158.x")</f>
        <v>10.1111/j.1475-4975.2007.00158.x</v>
      </c>
      <c r="B726" s="453" t="str">
        <f>IFERROR(__xludf.DUMMYFUNCTION("""COMPUTED_VALUE"""),"https://drive.google.com/file/d/1Mbtg5W4r7YUV6SqGN7Y6QssV1kBq9eYn/view?usp=drivesdk")</f>
        <v>https://drive.google.com/file/d/1Mbtg5W4r7YUV6SqGN7Y6QssV1kBq9eYn/view?usp=drivesdk</v>
      </c>
      <c r="C726" s="147" t="str">
        <f>IFERROR(__xludf.DUMMYFUNCTION("""COMPUTED_VALUE"""),"10.1111--j.1475-4975.2007.00158.x.pdf")</f>
        <v>10.1111--j.1475-4975.2007.00158.x.pdf</v>
      </c>
      <c r="D726" s="147" t="str">
        <f>IFERROR(__xludf.DUMMYFUNCTION("""COMPUTED_VALUE"""),"application/pdf")</f>
        <v>application/pdf</v>
      </c>
    </row>
    <row r="727">
      <c r="A727" s="147" t="str">
        <f>IFERROR(__xludf.DUMMYFUNCTION("""COMPUTED_VALUE"""),"10.1111/j.1475-4975.2007.00150.x")</f>
        <v>10.1111/j.1475-4975.2007.00150.x</v>
      </c>
      <c r="B727" s="453" t="str">
        <f>IFERROR(__xludf.DUMMYFUNCTION("""COMPUTED_VALUE"""),"https://drive.google.com/file/d/16qY0dLq9qys2p0JL-JepbP82uCNsmR0S/view?usp=drivesdk")</f>
        <v>https://drive.google.com/file/d/16qY0dLq9qys2p0JL-JepbP82uCNsmR0S/view?usp=drivesdk</v>
      </c>
      <c r="C727" s="147" t="str">
        <f>IFERROR(__xludf.DUMMYFUNCTION("""COMPUTED_VALUE"""),"10.1111--j.1475-4975.2007.00150.x.pdf")</f>
        <v>10.1111--j.1475-4975.2007.00150.x.pdf</v>
      </c>
      <c r="D727" s="147" t="str">
        <f>IFERROR(__xludf.DUMMYFUNCTION("""COMPUTED_VALUE"""),"application/pdf")</f>
        <v>application/pdf</v>
      </c>
    </row>
    <row r="728">
      <c r="A728" s="147" t="str">
        <f>IFERROR(__xludf.DUMMYFUNCTION("""COMPUTED_VALUE"""),"10.1111/j.1468-0068.2007.00666.x")</f>
        <v>10.1111/j.1468-0068.2007.00666.x</v>
      </c>
      <c r="B728" s="453" t="str">
        <f>IFERROR(__xludf.DUMMYFUNCTION("""COMPUTED_VALUE"""),"https://drive.google.com/file/d/1KGwRGETP91kM9JQ1Lkln3MN4JSxyj4OW/view?usp=drivesdk")</f>
        <v>https://drive.google.com/file/d/1KGwRGETP91kM9JQ1Lkln3MN4JSxyj4OW/view?usp=drivesdk</v>
      </c>
      <c r="C728" s="147" t="str">
        <f>IFERROR(__xludf.DUMMYFUNCTION("""COMPUTED_VALUE"""),"10.1111--j.1468-0068.2007.00666.x.pdf")</f>
        <v>10.1111--j.1468-0068.2007.00666.x.pdf</v>
      </c>
      <c r="D728" s="147" t="str">
        <f>IFERROR(__xludf.DUMMYFUNCTION("""COMPUTED_VALUE"""),"application/pdf")</f>
        <v>application/pdf</v>
      </c>
    </row>
    <row r="729">
      <c r="A729" s="147" t="str">
        <f>IFERROR(__xludf.DUMMYFUNCTION("""COMPUTED_VALUE"""),"10.1111/j.1468-0017.2011.01428.x")</f>
        <v>10.1111/j.1468-0017.2011.01428.x</v>
      </c>
      <c r="B729" s="453" t="str">
        <f>IFERROR(__xludf.DUMMYFUNCTION("""COMPUTED_VALUE"""),"https://drive.google.com/file/d/1TdFZluOSkUInT8sXikux3vYR7IOX4RMk/view?usp=drivesdk")</f>
        <v>https://drive.google.com/file/d/1TdFZluOSkUInT8sXikux3vYR7IOX4RMk/view?usp=drivesdk</v>
      </c>
      <c r="C729" s="147" t="str">
        <f>IFERROR(__xludf.DUMMYFUNCTION("""COMPUTED_VALUE"""),"10.1111--j.1468-0017.2011.01428.x.pdf")</f>
        <v>10.1111--j.1468-0017.2011.01428.x.pdf</v>
      </c>
      <c r="D729" s="147" t="str">
        <f>IFERROR(__xludf.DUMMYFUNCTION("""COMPUTED_VALUE"""),"application/pdf")</f>
        <v>application/pdf</v>
      </c>
    </row>
    <row r="730">
      <c r="A730" s="147" t="str">
        <f>IFERROR(__xludf.DUMMYFUNCTION("""COMPUTED_VALUE"""),"10.1111/j.1468-0017.2010.01398.x")</f>
        <v>10.1111/j.1468-0017.2010.01398.x</v>
      </c>
      <c r="B730" s="453" t="str">
        <f>IFERROR(__xludf.DUMMYFUNCTION("""COMPUTED_VALUE"""),"https://drive.google.com/file/d/1Q-7NFLR9V_1Z9QaSQGnQmRUgw6UigOsQ/view?usp=drivesdk")</f>
        <v>https://drive.google.com/file/d/1Q-7NFLR9V_1Z9QaSQGnQmRUgw6UigOsQ/view?usp=drivesdk</v>
      </c>
      <c r="C730" s="147" t="str">
        <f>IFERROR(__xludf.DUMMYFUNCTION("""COMPUTED_VALUE"""),"10.1111--j.1468-0017.2010.01398.x.pdf")</f>
        <v>10.1111--j.1468-0017.2010.01398.x.pdf</v>
      </c>
      <c r="D730" s="147" t="str">
        <f>IFERROR(__xludf.DUMMYFUNCTION("""COMPUTED_VALUE"""),"application/pdf")</f>
        <v>application/pdf</v>
      </c>
    </row>
    <row r="731">
      <c r="A731" s="147" t="str">
        <f>IFERROR(__xludf.DUMMYFUNCTION("""COMPUTED_VALUE"""),"10.1111/j.1467-9280.2009.02426.x")</f>
        <v>10.1111/j.1467-9280.2009.02426.x</v>
      </c>
      <c r="B731" s="453" t="str">
        <f>IFERROR(__xludf.DUMMYFUNCTION("""COMPUTED_VALUE"""),"https://drive.google.com/file/d/1dqYztlMOBsUY1H2Tadvsh9mJOiZQ1nVh/view?usp=drivesdk")</f>
        <v>https://drive.google.com/file/d/1dqYztlMOBsUY1H2Tadvsh9mJOiZQ1nVh/view?usp=drivesdk</v>
      </c>
      <c r="C731" s="147" t="str">
        <f>IFERROR(__xludf.DUMMYFUNCTION("""COMPUTED_VALUE"""),"10.1111--j.1467-9280.2009.02426.x.pdf")</f>
        <v>10.1111--j.1467-9280.2009.02426.x.pdf</v>
      </c>
      <c r="D731" s="147" t="str">
        <f>IFERROR(__xludf.DUMMYFUNCTION("""COMPUTED_VALUE"""),"application/pdf")</f>
        <v>application/pdf</v>
      </c>
    </row>
    <row r="732">
      <c r="A732" s="147" t="str">
        <f>IFERROR(__xludf.DUMMYFUNCTION("""COMPUTED_VALUE"""),"10.1111/j.1467-9280.2009.02370.x")</f>
        <v>10.1111/j.1467-9280.2009.02370.x</v>
      </c>
      <c r="B732" s="453" t="str">
        <f>IFERROR(__xludf.DUMMYFUNCTION("""COMPUTED_VALUE"""),"https://drive.google.com/file/d/1neMVHM3ME1ns4lZlT0zcHFK0hjaH4cLF/view?usp=drivesdk")</f>
        <v>https://drive.google.com/file/d/1neMVHM3ME1ns4lZlT0zcHFK0hjaH4cLF/view?usp=drivesdk</v>
      </c>
      <c r="C732" s="147" t="str">
        <f>IFERROR(__xludf.DUMMYFUNCTION("""COMPUTED_VALUE"""),"10.1111--j.1467-9280.2009.02370.x.pdf")</f>
        <v>10.1111--j.1467-9280.2009.02370.x.pdf</v>
      </c>
      <c r="D732" s="147" t="str">
        <f>IFERROR(__xludf.DUMMYFUNCTION("""COMPUTED_VALUE"""),"application/pdf")</f>
        <v>application/pdf</v>
      </c>
    </row>
    <row r="733">
      <c r="A733" s="147" t="str">
        <f>IFERROR(__xludf.DUMMYFUNCTION("""COMPUTED_VALUE"""),"10.1111/j.1467-9280.2008.02227.x")</f>
        <v>10.1111/j.1467-9280.2008.02227.x</v>
      </c>
      <c r="B733" s="453" t="str">
        <f>IFERROR(__xludf.DUMMYFUNCTION("""COMPUTED_VALUE"""),"https://drive.google.com/file/d/1WZ-wmp0ZBZO-MwxvYanAL8j3J4k47183/view?usp=drivesdk")</f>
        <v>https://drive.google.com/file/d/1WZ-wmp0ZBZO-MwxvYanAL8j3J4k47183/view?usp=drivesdk</v>
      </c>
      <c r="C733" s="147" t="str">
        <f>IFERROR(__xludf.DUMMYFUNCTION("""COMPUTED_VALUE"""),"10.1111--j.1467-9280.2008.02227.x.pdf")</f>
        <v>10.1111--j.1467-9280.2008.02227.x.pdf</v>
      </c>
      <c r="D733" s="147" t="str">
        <f>IFERROR(__xludf.DUMMYFUNCTION("""COMPUTED_VALUE"""),"application/pdf")</f>
        <v>application/pdf</v>
      </c>
    </row>
    <row r="734">
      <c r="A734" s="147" t="str">
        <f>IFERROR(__xludf.DUMMYFUNCTION("""COMPUTED_VALUE"""),"10.1111/j.1467-9280.2008.02159.x")</f>
        <v>10.1111/j.1467-9280.2008.02159.x</v>
      </c>
      <c r="B734" s="453" t="str">
        <f>IFERROR(__xludf.DUMMYFUNCTION("""COMPUTED_VALUE"""),"https://drive.google.com/file/d/1E2mHJvDw_0w0e8vIm0HpIS0Ju6aQpYhO/view?usp=drivesdk")</f>
        <v>https://drive.google.com/file/d/1E2mHJvDw_0w0e8vIm0HpIS0Ju6aQpYhO/view?usp=drivesdk</v>
      </c>
      <c r="C734" s="147" t="str">
        <f>IFERROR(__xludf.DUMMYFUNCTION("""COMPUTED_VALUE"""),"10.1111--j.1467-9280.2008.02159.x.pdf")</f>
        <v>10.1111--j.1467-9280.2008.02159.x.pdf</v>
      </c>
      <c r="D734" s="147" t="str">
        <f>IFERROR(__xludf.DUMMYFUNCTION("""COMPUTED_VALUE"""),"application/pdf")</f>
        <v>application/pdf</v>
      </c>
    </row>
    <row r="735">
      <c r="A735" s="147" t="str">
        <f>IFERROR(__xludf.DUMMYFUNCTION("""COMPUTED_VALUE"""),"10.1111/j.1467-9280.2008.02157.x")</f>
        <v>10.1111/j.1467-9280.2008.02157.x</v>
      </c>
      <c r="B735" s="453" t="str">
        <f>IFERROR(__xludf.DUMMYFUNCTION("""COMPUTED_VALUE"""),"https://drive.google.com/file/d/1VNZVfi392roXkffFia5wqQeCQjwEpyCc/view?usp=drivesdk")</f>
        <v>https://drive.google.com/file/d/1VNZVfi392roXkffFia5wqQeCQjwEpyCc/view?usp=drivesdk</v>
      </c>
      <c r="C735" s="147" t="str">
        <f>IFERROR(__xludf.DUMMYFUNCTION("""COMPUTED_VALUE"""),"10.1111--j.1467-9280.2008.02157.x.pdf")</f>
        <v>10.1111--j.1467-9280.2008.02157.x.pdf</v>
      </c>
      <c r="D735" s="147" t="str">
        <f>IFERROR(__xludf.DUMMYFUNCTION("""COMPUTED_VALUE"""),"application/pdf")</f>
        <v>application/pdf</v>
      </c>
    </row>
    <row r="736">
      <c r="A736" s="147" t="str">
        <f>IFERROR(__xludf.DUMMYFUNCTION("""COMPUTED_VALUE"""),"10.1111/j.1467-9280.2008.02136.x")</f>
        <v>10.1111/j.1467-9280.2008.02136.x</v>
      </c>
      <c r="B736" s="453" t="str">
        <f>IFERROR(__xludf.DUMMYFUNCTION("""COMPUTED_VALUE"""),"https://drive.google.com/file/d/15VbpcEsW9L5op3IMpHA4I2dI5ndZgOpe/view?usp=drivesdk")</f>
        <v>https://drive.google.com/file/d/15VbpcEsW9L5op3IMpHA4I2dI5ndZgOpe/view?usp=drivesdk</v>
      </c>
      <c r="C736" s="147" t="str">
        <f>IFERROR(__xludf.DUMMYFUNCTION("""COMPUTED_VALUE"""),"10.1111--j.1467-9280.2008.02136.x.pdf")</f>
        <v>10.1111--j.1467-9280.2008.02136.x.pdf</v>
      </c>
      <c r="D736" s="147" t="str">
        <f>IFERROR(__xludf.DUMMYFUNCTION("""COMPUTED_VALUE"""),"application/pdf")</f>
        <v>application/pdf</v>
      </c>
    </row>
    <row r="737">
      <c r="A737" s="147" t="str">
        <f>IFERROR(__xludf.DUMMYFUNCTION("""COMPUTED_VALUE"""),"10.1111/j.1467-9280.2008.02100.x")</f>
        <v>10.1111/j.1467-9280.2008.02100.x</v>
      </c>
      <c r="B737" s="453" t="str">
        <f>IFERROR(__xludf.DUMMYFUNCTION("""COMPUTED_VALUE"""),"https://drive.google.com/file/d/1xSVM7VMKatYnl6XkKdkAikq6Hru3wdAI/view?usp=drivesdk")</f>
        <v>https://drive.google.com/file/d/1xSVM7VMKatYnl6XkKdkAikq6Hru3wdAI/view?usp=drivesdk</v>
      </c>
      <c r="C737" s="147" t="str">
        <f>IFERROR(__xludf.DUMMYFUNCTION("""COMPUTED_VALUE"""),"10.1111--j.1467-9280.2008.02100.x.pdf")</f>
        <v>10.1111--j.1467-9280.2008.02100.x.pdf</v>
      </c>
      <c r="D737" s="147" t="str">
        <f>IFERROR(__xludf.DUMMYFUNCTION("""COMPUTED_VALUE"""),"application/pdf")</f>
        <v>application/pdf</v>
      </c>
    </row>
    <row r="738">
      <c r="A738" s="147" t="str">
        <f>IFERROR(__xludf.DUMMYFUNCTION("""COMPUTED_VALUE"""),"10.1111/j.1467-9280.2008.02099.x")</f>
        <v>10.1111/j.1467-9280.2008.02099.x</v>
      </c>
      <c r="B738" s="453" t="str">
        <f>IFERROR(__xludf.DUMMYFUNCTION("""COMPUTED_VALUE"""),"https://drive.google.com/file/d/1eFWX5LIk2qUBEWJ46yJyou3O_bXjmNLe/view?usp=drivesdk")</f>
        <v>https://drive.google.com/file/d/1eFWX5LIk2qUBEWJ46yJyou3O_bXjmNLe/view?usp=drivesdk</v>
      </c>
      <c r="C738" s="147" t="str">
        <f>IFERROR(__xludf.DUMMYFUNCTION("""COMPUTED_VALUE"""),"10.1111--j.1467-9280.2008.02099.x.pdf")</f>
        <v>10.1111--j.1467-9280.2008.02099.x.pdf</v>
      </c>
      <c r="D738" s="147" t="str">
        <f>IFERROR(__xludf.DUMMYFUNCTION("""COMPUTED_VALUE"""),"application/pdf")</f>
        <v>application/pdf</v>
      </c>
    </row>
    <row r="739">
      <c r="A739" s="147" t="str">
        <f>IFERROR(__xludf.DUMMYFUNCTION("""COMPUTED_VALUE"""),"10.1111/j.1467-9280.2008.02098.x")</f>
        <v>10.1111/j.1467-9280.2008.02098.x</v>
      </c>
      <c r="B739" s="453" t="str">
        <f>IFERROR(__xludf.DUMMYFUNCTION("""COMPUTED_VALUE"""),"https://drive.google.com/file/d/1z9vM-OymRrqp1u2xxHltR_nTYkRN8Bhe/view?usp=drivesdk")</f>
        <v>https://drive.google.com/file/d/1z9vM-OymRrqp1u2xxHltR_nTYkRN8Bhe/view?usp=drivesdk</v>
      </c>
      <c r="C739" s="147" t="str">
        <f>IFERROR(__xludf.DUMMYFUNCTION("""COMPUTED_VALUE"""),"10.1111--j.1467-9280.2008.02098.x.pdf")</f>
        <v>10.1111--j.1467-9280.2008.02098.x.pdf</v>
      </c>
      <c r="D739" s="147" t="str">
        <f>IFERROR(__xludf.DUMMYFUNCTION("""COMPUTED_VALUE"""),"application/pdf")</f>
        <v>application/pdf</v>
      </c>
    </row>
    <row r="740">
      <c r="A740" s="147" t="str">
        <f>IFERROR(__xludf.DUMMYFUNCTION("""COMPUTED_VALUE"""),"10.1111/j.1467-9280.2008.02097.x")</f>
        <v>10.1111/j.1467-9280.2008.02097.x</v>
      </c>
      <c r="B740" s="453" t="str">
        <f>IFERROR(__xludf.DUMMYFUNCTION("""COMPUTED_VALUE"""),"https://drive.google.com/file/d/12-QJoC50RBrzSEp9gb50Wj-q2rFwe_UQ/view?usp=drivesdk")</f>
        <v>https://drive.google.com/file/d/12-QJoC50RBrzSEp9gb50Wj-q2rFwe_UQ/view?usp=drivesdk</v>
      </c>
      <c r="C740" s="147" t="str">
        <f>IFERROR(__xludf.DUMMYFUNCTION("""COMPUTED_VALUE"""),"10.1111--j.1467-9280.2008.02097.x.pdf")</f>
        <v>10.1111--j.1467-9280.2008.02097.x.pdf</v>
      </c>
      <c r="D740" s="147" t="str">
        <f>IFERROR(__xludf.DUMMYFUNCTION("""COMPUTED_VALUE"""),"application/pdf")</f>
        <v>application/pdf</v>
      </c>
    </row>
    <row r="741">
      <c r="A741" s="147" t="str">
        <f>IFERROR(__xludf.DUMMYFUNCTION("""COMPUTED_VALUE"""),"10.1111/j.1467-9280.2008.02096.x")</f>
        <v>10.1111/j.1467-9280.2008.02096.x</v>
      </c>
      <c r="B741" s="453" t="str">
        <f>IFERROR(__xludf.DUMMYFUNCTION("""COMPUTED_VALUE"""),"https://drive.google.com/file/d/1u1KUYNIvVhIV8JolkU3hmE9IAKO7Zwnq/view?usp=drivesdk")</f>
        <v>https://drive.google.com/file/d/1u1KUYNIvVhIV8JolkU3hmE9IAKO7Zwnq/view?usp=drivesdk</v>
      </c>
      <c r="C741" s="147" t="str">
        <f>IFERROR(__xludf.DUMMYFUNCTION("""COMPUTED_VALUE"""),"10.1111--j.1467-9280.2008.02096.x.pdf")</f>
        <v>10.1111--j.1467-9280.2008.02096.x.pdf</v>
      </c>
      <c r="D741" s="147" t="str">
        <f>IFERROR(__xludf.DUMMYFUNCTION("""COMPUTED_VALUE"""),"application/pdf")</f>
        <v>application/pdf</v>
      </c>
    </row>
    <row r="742">
      <c r="A742" s="147" t="str">
        <f>IFERROR(__xludf.DUMMYFUNCTION("""COMPUTED_VALUE"""),"10.1111/j.1467-9280.2008.02095.x")</f>
        <v>10.1111/j.1467-9280.2008.02095.x</v>
      </c>
      <c r="B742" s="453" t="str">
        <f>IFERROR(__xludf.DUMMYFUNCTION("""COMPUTED_VALUE"""),"https://drive.google.com/file/d/1hN-J6Uky5FuFHoIu7VleAWRSmSqB3wMb/view?usp=drivesdk")</f>
        <v>https://drive.google.com/file/d/1hN-J6Uky5FuFHoIu7VleAWRSmSqB3wMb/view?usp=drivesdk</v>
      </c>
      <c r="C742" s="147" t="str">
        <f>IFERROR(__xludf.DUMMYFUNCTION("""COMPUTED_VALUE"""),"10.1111--j.1467-9280.2008.02095.x.pdf")</f>
        <v>10.1111--j.1467-9280.2008.02095.x.pdf</v>
      </c>
      <c r="D742" s="147" t="str">
        <f>IFERROR(__xludf.DUMMYFUNCTION("""COMPUTED_VALUE"""),"application/pdf")</f>
        <v>application/pdf</v>
      </c>
    </row>
    <row r="743">
      <c r="A743" s="147" t="str">
        <f>IFERROR(__xludf.DUMMYFUNCTION("""COMPUTED_VALUE"""),"10.1111/j.1467-9280.2008.02094.x")</f>
        <v>10.1111/j.1467-9280.2008.02094.x</v>
      </c>
      <c r="B743" s="453" t="str">
        <f>IFERROR(__xludf.DUMMYFUNCTION("""COMPUTED_VALUE"""),"https://drive.google.com/file/d/1y1GzGYijv2hKxQybrnUBP_imhXHPoSF1/view?usp=drivesdk")</f>
        <v>https://drive.google.com/file/d/1y1GzGYijv2hKxQybrnUBP_imhXHPoSF1/view?usp=drivesdk</v>
      </c>
      <c r="C743" s="147" t="str">
        <f>IFERROR(__xludf.DUMMYFUNCTION("""COMPUTED_VALUE"""),"10.1111--j.1467-9280.2008.02094.x.pdf")</f>
        <v>10.1111--j.1467-9280.2008.02094.x.pdf</v>
      </c>
      <c r="D743" s="147" t="str">
        <f>IFERROR(__xludf.DUMMYFUNCTION("""COMPUTED_VALUE"""),"application/pdf")</f>
        <v>application/pdf</v>
      </c>
    </row>
    <row r="744">
      <c r="A744" s="147" t="str">
        <f>IFERROR(__xludf.DUMMYFUNCTION("""COMPUTED_VALUE"""),"10.1111/j.1467-9280.2008.02093.x")</f>
        <v>10.1111/j.1467-9280.2008.02093.x</v>
      </c>
      <c r="B744" s="453" t="str">
        <f>IFERROR(__xludf.DUMMYFUNCTION("""COMPUTED_VALUE"""),"https://drive.google.com/file/d/1RWYs4BxngJFHCjARwIfsUfl_7-oYLebS/view?usp=drivesdk")</f>
        <v>https://drive.google.com/file/d/1RWYs4BxngJFHCjARwIfsUfl_7-oYLebS/view?usp=drivesdk</v>
      </c>
      <c r="C744" s="147" t="str">
        <f>IFERROR(__xludf.DUMMYFUNCTION("""COMPUTED_VALUE"""),"10.1111--j.1467-9280.2008.02093.x.pdf")</f>
        <v>10.1111--j.1467-9280.2008.02093.x.pdf</v>
      </c>
      <c r="D744" s="147" t="str">
        <f>IFERROR(__xludf.DUMMYFUNCTION("""COMPUTED_VALUE"""),"application/pdf")</f>
        <v>application/pdf</v>
      </c>
    </row>
    <row r="745">
      <c r="A745" s="147" t="str">
        <f>IFERROR(__xludf.DUMMYFUNCTION("""COMPUTED_VALUE"""),"10.1093/jcr/ucz031")</f>
        <v>10.1093/jcr/ucz031</v>
      </c>
      <c r="B745" s="453" t="str">
        <f>IFERROR(__xludf.DUMMYFUNCTION("""COMPUTED_VALUE"""),"https://drive.google.com/file/d/1AXw8qY84rt7zhu4JXQNDv8qAI41V_l3t/view?usp=drivesdk")</f>
        <v>https://drive.google.com/file/d/1AXw8qY84rt7zhu4JXQNDv8qAI41V_l3t/view?usp=drivesdk</v>
      </c>
      <c r="C745" s="147" t="str">
        <f>IFERROR(__xludf.DUMMYFUNCTION("""COMPUTED_VALUE"""),"10.1093--jcr--ucz031.pdf")</f>
        <v>10.1093--jcr--ucz031.pdf</v>
      </c>
      <c r="D745" s="147" t="str">
        <f>IFERROR(__xludf.DUMMYFUNCTION("""COMPUTED_VALUE"""),"application/pdf")</f>
        <v>application/pdf</v>
      </c>
    </row>
    <row r="746">
      <c r="A746" s="147" t="str">
        <f>IFERROR(__xludf.DUMMYFUNCTION("""COMPUTED_VALUE"""),"10.1093/jcr/ucz028")</f>
        <v>10.1093/jcr/ucz028</v>
      </c>
      <c r="B746" s="453" t="str">
        <f>IFERROR(__xludf.DUMMYFUNCTION("""COMPUTED_VALUE"""),"https://drive.google.com/file/d/1rk2IUs1sRK-aqHnQzlQBCIve807-cy1l/view?usp=drivesdk")</f>
        <v>https://drive.google.com/file/d/1rk2IUs1sRK-aqHnQzlQBCIve807-cy1l/view?usp=drivesdk</v>
      </c>
      <c r="C746" s="147" t="str">
        <f>IFERROR(__xludf.DUMMYFUNCTION("""COMPUTED_VALUE"""),"10.1093--jcr--ucz028.pdf")</f>
        <v>10.1093--jcr--ucz028.pdf</v>
      </c>
      <c r="D746" s="147" t="str">
        <f>IFERROR(__xludf.DUMMYFUNCTION("""COMPUTED_VALUE"""),"application/pdf")</f>
        <v>application/pdf</v>
      </c>
    </row>
    <row r="747">
      <c r="A747" s="147" t="str">
        <f>IFERROR(__xludf.DUMMYFUNCTION("""COMPUTED_VALUE"""),"10.1093/jcr/ucz022")</f>
        <v>10.1093/jcr/ucz022</v>
      </c>
      <c r="B747" s="453" t="str">
        <f>IFERROR(__xludf.DUMMYFUNCTION("""COMPUTED_VALUE"""),"https://drive.google.com/file/d/1JBL7ACa1LCauL8Ee0-semKwkjovJ9Pgw/view?usp=drivesdk")</f>
        <v>https://drive.google.com/file/d/1JBL7ACa1LCauL8Ee0-semKwkjovJ9Pgw/view?usp=drivesdk</v>
      </c>
      <c r="C747" s="147" t="str">
        <f>IFERROR(__xludf.DUMMYFUNCTION("""COMPUTED_VALUE"""),"10.1093--jcr--ucz022.pdf")</f>
        <v>10.1093--jcr--ucz022.pdf</v>
      </c>
      <c r="D747" s="147" t="str">
        <f>IFERROR(__xludf.DUMMYFUNCTION("""COMPUTED_VALUE"""),"application/pdf")</f>
        <v>application/pdf</v>
      </c>
    </row>
    <row r="748">
      <c r="A748" s="147" t="str">
        <f>IFERROR(__xludf.DUMMYFUNCTION("""COMPUTED_VALUE"""),"10.1093/jcr/ucy082")</f>
        <v>10.1093/jcr/ucy082</v>
      </c>
      <c r="B748" s="453" t="str">
        <f>IFERROR(__xludf.DUMMYFUNCTION("""COMPUTED_VALUE"""),"https://drive.google.com/file/d/14_Y2sJYhrMVCOOYkvc8B2OnD9Oj96po_/view?usp=drivesdk")</f>
        <v>https://drive.google.com/file/d/14_Y2sJYhrMVCOOYkvc8B2OnD9Oj96po_/view?usp=drivesdk</v>
      </c>
      <c r="C748" s="147" t="str">
        <f>IFERROR(__xludf.DUMMYFUNCTION("""COMPUTED_VALUE"""),"10.1093--jcr--ucy082.pdf")</f>
        <v>10.1093--jcr--ucy082.pdf</v>
      </c>
      <c r="D748" s="147" t="str">
        <f>IFERROR(__xludf.DUMMYFUNCTION("""COMPUTED_VALUE"""),"application/pdf")</f>
        <v>application/pdf</v>
      </c>
    </row>
    <row r="749">
      <c r="A749" s="147" t="str">
        <f>IFERROR(__xludf.DUMMYFUNCTION("""COMPUTED_VALUE"""),"10.1093/jcr/ucy055")</f>
        <v>10.1093/jcr/ucy055</v>
      </c>
      <c r="B749" s="453" t="str">
        <f>IFERROR(__xludf.DUMMYFUNCTION("""COMPUTED_VALUE"""),"https://drive.google.com/file/d/18XcHnZBS-SDEbuBnehiRFyGRPzzYWeeF/view?usp=drivesdk")</f>
        <v>https://drive.google.com/file/d/18XcHnZBS-SDEbuBnehiRFyGRPzzYWeeF/view?usp=drivesdk</v>
      </c>
      <c r="C749" s="147" t="str">
        <f>IFERROR(__xludf.DUMMYFUNCTION("""COMPUTED_VALUE"""),"10.1093--jcr--ucy055.pdf")</f>
        <v>10.1093--jcr--ucy055.pdf</v>
      </c>
      <c r="D749" s="147" t="str">
        <f>IFERROR(__xludf.DUMMYFUNCTION("""COMPUTED_VALUE"""),"application/pdf")</f>
        <v>application/pdf</v>
      </c>
    </row>
    <row r="750">
      <c r="A750" s="147" t="str">
        <f>IFERROR(__xludf.DUMMYFUNCTION("""COMPUTED_VALUE"""),"10.1093/jcr/ucx039")</f>
        <v>10.1093/jcr/ucx039</v>
      </c>
      <c r="B750" s="453" t="str">
        <f>IFERROR(__xludf.DUMMYFUNCTION("""COMPUTED_VALUE"""),"https://drive.google.com/file/d/1K1a6m1aYmLn1_vwhiSohmNLDtZ1Y4Ux_/view?usp=drivesdk")</f>
        <v>https://drive.google.com/file/d/1K1a6m1aYmLn1_vwhiSohmNLDtZ1Y4Ux_/view?usp=drivesdk</v>
      </c>
      <c r="C750" s="147" t="str">
        <f>IFERROR(__xludf.DUMMYFUNCTION("""COMPUTED_VALUE"""),"10.1093--jcr--ucx039.pdf")</f>
        <v>10.1093--jcr--ucx039.pdf</v>
      </c>
      <c r="D750" s="147" t="str">
        <f>IFERROR(__xludf.DUMMYFUNCTION("""COMPUTED_VALUE"""),"application/pdf")</f>
        <v>application/pdf</v>
      </c>
    </row>
    <row r="751">
      <c r="A751" s="147" t="str">
        <f>IFERROR(__xludf.DUMMYFUNCTION("""COMPUTED_VALUE"""),"10.1093/jcr/ucw056")</f>
        <v>10.1093/jcr/ucw056</v>
      </c>
      <c r="B751" s="453" t="str">
        <f>IFERROR(__xludf.DUMMYFUNCTION("""COMPUTED_VALUE"""),"https://drive.google.com/file/d/1SAkzHUXu2em_LOpzZzUsNAbEmhFQYt6z/view?usp=drivesdk")</f>
        <v>https://drive.google.com/file/d/1SAkzHUXu2em_LOpzZzUsNAbEmhFQYt6z/view?usp=drivesdk</v>
      </c>
      <c r="C751" s="147" t="str">
        <f>IFERROR(__xludf.DUMMYFUNCTION("""COMPUTED_VALUE"""),"10.1093--jcr--ucw056.pdf")</f>
        <v>10.1093--jcr--ucw056.pdf</v>
      </c>
      <c r="D751" s="147" t="str">
        <f>IFERROR(__xludf.DUMMYFUNCTION("""COMPUTED_VALUE"""),"application/pdf")</f>
        <v>application/pdf</v>
      </c>
    </row>
    <row r="752">
      <c r="A752" s="147" t="str">
        <f>IFERROR(__xludf.DUMMYFUNCTION("""COMPUTED_VALUE"""),"10.1093/jcr/ucw008")</f>
        <v>10.1093/jcr/ucw008</v>
      </c>
      <c r="B752" s="453" t="str">
        <f>IFERROR(__xludf.DUMMYFUNCTION("""COMPUTED_VALUE"""),"https://drive.google.com/file/d/1-T6lXw_9tDN2t-Z39SM1dhIPR_IhO8fF/view?usp=drivesdk")</f>
        <v>https://drive.google.com/file/d/1-T6lXw_9tDN2t-Z39SM1dhIPR_IhO8fF/view?usp=drivesdk</v>
      </c>
      <c r="C752" s="147" t="str">
        <f>IFERROR(__xludf.DUMMYFUNCTION("""COMPUTED_VALUE"""),"10.1093--jcr--ucw008.pdf")</f>
        <v>10.1093--jcr--ucw008.pdf</v>
      </c>
      <c r="D752" s="147" t="str">
        <f>IFERROR(__xludf.DUMMYFUNCTION("""COMPUTED_VALUE"""),"application/pdf")</f>
        <v>application/pdf</v>
      </c>
    </row>
    <row r="753">
      <c r="A753" s="147" t="str">
        <f>IFERROR(__xludf.DUMMYFUNCTION("""COMPUTED_VALUE"""),"10.1093/jcr/ucv051")</f>
        <v>10.1093/jcr/ucv051</v>
      </c>
      <c r="B753" s="453" t="str">
        <f>IFERROR(__xludf.DUMMYFUNCTION("""COMPUTED_VALUE"""),"https://drive.google.com/file/d/1k1zAeWl01m62ZgoBtOmSJCCoqfFGxddZ/view?usp=drivesdk")</f>
        <v>https://drive.google.com/file/d/1k1zAeWl01m62ZgoBtOmSJCCoqfFGxddZ/view?usp=drivesdk</v>
      </c>
      <c r="C753" s="147" t="str">
        <f>IFERROR(__xludf.DUMMYFUNCTION("""COMPUTED_VALUE"""),"10.1093--jcr--ucv051.pdf")</f>
        <v>10.1093--jcr--ucv051.pdf</v>
      </c>
      <c r="D753" s="147" t="str">
        <f>IFERROR(__xludf.DUMMYFUNCTION("""COMPUTED_VALUE"""),"application/pdf")</f>
        <v>application/pdf</v>
      </c>
    </row>
    <row r="754">
      <c r="A754" s="147" t="str">
        <f>IFERROR(__xludf.DUMMYFUNCTION("""COMPUTED_VALUE"""),"10.1093/jcr/ucv049")</f>
        <v>10.1093/jcr/ucv049</v>
      </c>
      <c r="B754" s="453" t="str">
        <f>IFERROR(__xludf.DUMMYFUNCTION("""COMPUTED_VALUE"""),"https://drive.google.com/file/d/13HKE_rn4Mbnjq9uqiyo3J7J3BkR53UfI/view?usp=drivesdk")</f>
        <v>https://drive.google.com/file/d/13HKE_rn4Mbnjq9uqiyo3J7J3BkR53UfI/view?usp=drivesdk</v>
      </c>
      <c r="C754" s="147" t="str">
        <f>IFERROR(__xludf.DUMMYFUNCTION("""COMPUTED_VALUE"""),"10.1093--jcr--ucv049.pdf")</f>
        <v>10.1093--jcr--ucv049.pdf</v>
      </c>
      <c r="D754" s="147" t="str">
        <f>IFERROR(__xludf.DUMMYFUNCTION("""COMPUTED_VALUE"""),"application/pdf")</f>
        <v>application/pdf</v>
      </c>
    </row>
    <row r="755">
      <c r="A755" s="147" t="str">
        <f>IFERROR(__xludf.DUMMYFUNCTION("""COMPUTED_VALUE"""),"10.1093/jcr/ucv048")</f>
        <v>10.1093/jcr/ucv048</v>
      </c>
      <c r="B755" s="453" t="str">
        <f>IFERROR(__xludf.DUMMYFUNCTION("""COMPUTED_VALUE"""),"https://drive.google.com/file/d/1MEpc9c6ksJJFPoeqztJd7l8g_1S5mA-8/view?usp=drivesdk")</f>
        <v>https://drive.google.com/file/d/1MEpc9c6ksJJFPoeqztJd7l8g_1S5mA-8/view?usp=drivesdk</v>
      </c>
      <c r="C755" s="147" t="str">
        <f>IFERROR(__xludf.DUMMYFUNCTION("""COMPUTED_VALUE"""),"10.1093--jcr--ucv048.pdf")</f>
        <v>10.1093--jcr--ucv048.pdf</v>
      </c>
      <c r="D755" s="147" t="str">
        <f>IFERROR(__xludf.DUMMYFUNCTION("""COMPUTED_VALUE"""),"application/pdf")</f>
        <v>application/pdf</v>
      </c>
    </row>
    <row r="756">
      <c r="A756" s="147" t="str">
        <f>IFERROR(__xludf.DUMMYFUNCTION("""COMPUTED_VALUE"""),"10.1093/jcr/ucv007")</f>
        <v>10.1093/jcr/ucv007</v>
      </c>
      <c r="B756" s="453" t="str">
        <f>IFERROR(__xludf.DUMMYFUNCTION("""COMPUTED_VALUE"""),"https://drive.google.com/file/d/1hs6XpHWMiyMPANJzK7B4OuBvEZ7slY88/view?usp=drivesdk")</f>
        <v>https://drive.google.com/file/d/1hs6XpHWMiyMPANJzK7B4OuBvEZ7slY88/view?usp=drivesdk</v>
      </c>
      <c r="C756" s="147" t="str">
        <f>IFERROR(__xludf.DUMMYFUNCTION("""COMPUTED_VALUE"""),"10.1093--jcr--ucv007.pdf")</f>
        <v>10.1093--jcr--ucv007.pdf</v>
      </c>
      <c r="D756" s="147" t="str">
        <f>IFERROR(__xludf.DUMMYFUNCTION("""COMPUTED_VALUE"""),"application/pdf")</f>
        <v>application/pdf</v>
      </c>
    </row>
    <row r="757">
      <c r="A757" s="147" t="str">
        <f>IFERROR(__xludf.DUMMYFUNCTION("""COMPUTED_VALUE"""),"10.1093/jcr/ucaa019")</f>
        <v>10.1093/jcr/ucaa019</v>
      </c>
      <c r="B757" s="453" t="str">
        <f>IFERROR(__xludf.DUMMYFUNCTION("""COMPUTED_VALUE"""),"https://drive.google.com/file/d/1F9_n_UhEAcWuePr4oCoaRdVdWXw-1HnA/view?usp=drivesdk")</f>
        <v>https://drive.google.com/file/d/1F9_n_UhEAcWuePr4oCoaRdVdWXw-1HnA/view?usp=drivesdk</v>
      </c>
      <c r="C757" s="147" t="str">
        <f>IFERROR(__xludf.DUMMYFUNCTION("""COMPUTED_VALUE"""),"10.1093--jcr--ucaa019.pdf")</f>
        <v>10.1093--jcr--ucaa019.pdf</v>
      </c>
      <c r="D757" s="147" t="str">
        <f>IFERROR(__xludf.DUMMYFUNCTION("""COMPUTED_VALUE"""),"application/pdf")</f>
        <v>application/pdf</v>
      </c>
    </row>
    <row r="758">
      <c r="A758" s="147" t="str">
        <f>IFERROR(__xludf.DUMMYFUNCTION("""COMPUTED_VALUE"""),"10.1093/jcr/ucaa006")</f>
        <v>10.1093/jcr/ucaa006</v>
      </c>
      <c r="B758" s="453" t="str">
        <f>IFERROR(__xludf.DUMMYFUNCTION("""COMPUTED_VALUE"""),"https://drive.google.com/file/d/1gRgJHSBe6N9GFTwpidg5erf-GYFKEsJL/view?usp=drivesdk")</f>
        <v>https://drive.google.com/file/d/1gRgJHSBe6N9GFTwpidg5erf-GYFKEsJL/view?usp=drivesdk</v>
      </c>
      <c r="C758" s="147" t="str">
        <f>IFERROR(__xludf.DUMMYFUNCTION("""COMPUTED_VALUE"""),"10.1093--jcr--ucaa006.pdf")</f>
        <v>10.1093--jcr--ucaa006.pdf</v>
      </c>
      <c r="D758" s="147" t="str">
        <f>IFERROR(__xludf.DUMMYFUNCTION("""COMPUTED_VALUE"""),"application/pdf")</f>
        <v>application/pdf</v>
      </c>
    </row>
    <row r="759">
      <c r="A759" s="147" t="str">
        <f>IFERROR(__xludf.DUMMYFUNCTION("""COMPUTED_VALUE"""),"10.1093/geroni/igaa023")</f>
        <v>10.1093/geroni/igaa023</v>
      </c>
      <c r="B759" s="453" t="str">
        <f>IFERROR(__xludf.DUMMYFUNCTION("""COMPUTED_VALUE"""),"https://drive.google.com/file/d/1pZNlp1XdYUtsNz_D8YxxUj7KaLbFmfHk/view?usp=drivesdk")</f>
        <v>https://drive.google.com/file/d/1pZNlp1XdYUtsNz_D8YxxUj7KaLbFmfHk/view?usp=drivesdk</v>
      </c>
      <c r="C759" s="147" t="str">
        <f>IFERROR(__xludf.DUMMYFUNCTION("""COMPUTED_VALUE"""),"10.1093--geroni--igaa023.pdf")</f>
        <v>10.1093--geroni--igaa023.pdf</v>
      </c>
      <c r="D759" s="147" t="str">
        <f>IFERROR(__xludf.DUMMYFUNCTION("""COMPUTED_VALUE"""),"application/pdf")</f>
        <v>application/pdf</v>
      </c>
    </row>
    <row r="760">
      <c r="A760" s="147" t="str">
        <f>IFERROR(__xludf.DUMMYFUNCTION("""COMPUTED_VALUE"""),"10.1093/aesthj/ayu027")</f>
        <v>10.1093/aesthj/ayu027</v>
      </c>
      <c r="B760" s="453" t="str">
        <f>IFERROR(__xludf.DUMMYFUNCTION("""COMPUTED_VALUE"""),"https://drive.google.com/file/d/17zk5ntmJwRuglkdI2KDBsmDyHp9ZT9nk/view?usp=drivesdk")</f>
        <v>https://drive.google.com/file/d/17zk5ntmJwRuglkdI2KDBsmDyHp9ZT9nk/view?usp=drivesdk</v>
      </c>
      <c r="C760" s="147" t="str">
        <f>IFERROR(__xludf.DUMMYFUNCTION("""COMPUTED_VALUE"""),"10.1093--aesthj--ayu027.pdf")</f>
        <v>10.1093--aesthj--ayu027.pdf</v>
      </c>
      <c r="D760" s="147" t="str">
        <f>IFERROR(__xludf.DUMMYFUNCTION("""COMPUTED_VALUE"""),"application/pdf")</f>
        <v>application/pdf</v>
      </c>
    </row>
    <row r="761">
      <c r="A761" s="147" t="str">
        <f>IFERROR(__xludf.DUMMYFUNCTION("""COMPUTED_VALUE"""),"10.1037/0022-3514.94.2.94.2.231")</f>
        <v>10.1037/0022-3514.94.2.94.2.231</v>
      </c>
      <c r="B761" s="453" t="str">
        <f>IFERROR(__xludf.DUMMYFUNCTION("""COMPUTED_VALUE"""),"https://drive.google.com/file/d/15DQQpECVr9NdJZ7O7RNWRdNwXQ6KQeXe/view?usp=drivesdk")</f>
        <v>https://drive.google.com/file/d/15DQQpECVr9NdJZ7O7RNWRdNwXQ6KQeXe/view?usp=drivesdk</v>
      </c>
      <c r="C761" s="147" t="str">
        <f>IFERROR(__xludf.DUMMYFUNCTION("""COMPUTED_VALUE"""),"10.1037--0022-3514.94.2.94.2.231.pdf")</f>
        <v>10.1037--0022-3514.94.2.94.2.231.pdf</v>
      </c>
      <c r="D761" s="147" t="str">
        <f>IFERROR(__xludf.DUMMYFUNCTION("""COMPUTED_VALUE"""),"application/pdf")</f>
        <v>application/pdf</v>
      </c>
    </row>
    <row r="762">
      <c r="A762" s="147" t="str">
        <f>IFERROR(__xludf.DUMMYFUNCTION("""COMPUTED_VALUE"""),"10.1037/0022-3514.94.2.94.2.214")</f>
        <v>10.1037/0022-3514.94.2.94.2.214</v>
      </c>
      <c r="B762" s="453" t="str">
        <f>IFERROR(__xludf.DUMMYFUNCTION("""COMPUTED_VALUE"""),"https://drive.google.com/file/d/1uvNnSbKbMCM86OxWRFAhGKTZTJ6XCJE-/view?usp=drivesdk")</f>
        <v>https://drive.google.com/file/d/1uvNnSbKbMCM86OxWRFAhGKTZTJ6XCJE-/view?usp=drivesdk</v>
      </c>
      <c r="C762" s="147" t="str">
        <f>IFERROR(__xludf.DUMMYFUNCTION("""COMPUTED_VALUE"""),"10.1037--0022-3514.94.2.94.2.214.pdf")</f>
        <v>10.1037--0022-3514.94.2.94.2.214.pdf</v>
      </c>
      <c r="D762" s="147" t="str">
        <f>IFERROR(__xludf.DUMMYFUNCTION("""COMPUTED_VALUE"""),"application/pdf")</f>
        <v>application/pdf</v>
      </c>
    </row>
    <row r="763">
      <c r="A763" s="147" t="str">
        <f>IFERROR(__xludf.DUMMYFUNCTION("""COMPUTED_VALUE"""),"10.1016/j.intell.2006.02.004")</f>
        <v>10.1016/j.intell.2006.02.004</v>
      </c>
      <c r="B763" s="453" t="str">
        <f>IFERROR(__xludf.DUMMYFUNCTION("""COMPUTED_VALUE"""),"https://drive.google.com/file/d/1Rd9xGPWDV88bQCLvGyH8PPp-DhHO-_DW/view?usp=drivesdk")</f>
        <v>https://drive.google.com/file/d/1Rd9xGPWDV88bQCLvGyH8PPp-DhHO-_DW/view?usp=drivesdk</v>
      </c>
      <c r="C763" s="147" t="str">
        <f>IFERROR(__xludf.DUMMYFUNCTION("""COMPUTED_VALUE"""),"10.1016--j.intell.2006.02.004.pdf")</f>
        <v>10.1016--j.intell.2006.02.004.pdf</v>
      </c>
      <c r="D763" s="147" t="str">
        <f>IFERROR(__xludf.DUMMYFUNCTION("""COMPUTED_VALUE"""),"application/pdf")</f>
        <v>application/pdf</v>
      </c>
    </row>
    <row r="764">
      <c r="A764" s="147" t="str">
        <f>IFERROR(__xludf.DUMMYFUNCTION("""COMPUTED_VALUE"""),"10.1016/j.tine.2017.02.002")</f>
        <v>10.1016/j.tine.2017.02.002</v>
      </c>
      <c r="B764" s="453" t="str">
        <f>IFERROR(__xludf.DUMMYFUNCTION("""COMPUTED_VALUE"""),"https://drive.google.com/file/d/1v82xrF9c9ehLJpxzdx2U84oHz4YW6M1g/view?usp=drivesdk")</f>
        <v>https://drive.google.com/file/d/1v82xrF9c9ehLJpxzdx2U84oHz4YW6M1g/view?usp=drivesdk</v>
      </c>
      <c r="C764" s="147" t="str">
        <f>IFERROR(__xludf.DUMMYFUNCTION("""COMPUTED_VALUE"""),"10.1016--j.tine.2017.02.002.pdf")</f>
        <v>10.1016--j.tine.2017.02.002.pdf</v>
      </c>
      <c r="D764" s="147" t="str">
        <f>IFERROR(__xludf.DUMMYFUNCTION("""COMPUTED_VALUE"""),"application/pdf")</f>
        <v>application/pdf</v>
      </c>
    </row>
    <row r="765">
      <c r="A765" s="147" t="str">
        <f>IFERROR(__xludf.DUMMYFUNCTION("""COMPUTED_VALUE"""),"10.1207/s15326985ep4104_1")</f>
        <v>10.1207/s15326985ep4104_1</v>
      </c>
      <c r="B765" s="453" t="str">
        <f>IFERROR(__xludf.DUMMYFUNCTION("""COMPUTED_VALUE"""),"https://drive.google.com/file/d/1qE6c5eqWeEKM9st3yOraYsnw5N9yJH7l/view?usp=drivesdk")</f>
        <v>https://drive.google.com/file/d/1qE6c5eqWeEKM9st3yOraYsnw5N9yJH7l/view?usp=drivesdk</v>
      </c>
      <c r="C765" s="147" t="str">
        <f>IFERROR(__xludf.DUMMYFUNCTION("""COMPUTED_VALUE"""),"10.1207--s15326985ep4104_1.pdf")</f>
        <v>10.1207--s15326985ep4104_1.pdf</v>
      </c>
      <c r="D765" s="147" t="str">
        <f>IFERROR(__xludf.DUMMYFUNCTION("""COMPUTED_VALUE"""),"application/pdf")</f>
        <v>application/pdf</v>
      </c>
    </row>
    <row r="766">
      <c r="A766" s="147" t="str">
        <f>IFERROR(__xludf.DUMMYFUNCTION("""COMPUTED_VALUE"""),"10.1162/jocn_a_00141")</f>
        <v>10.1162/jocn_a_00141</v>
      </c>
      <c r="B766" s="453" t="str">
        <f>IFERROR(__xludf.DUMMYFUNCTION("""COMPUTED_VALUE"""),"https://drive.google.com/file/d/1yicevDL8q3uBlrq8FME7wO35hhINlm9i/view?usp=drivesdk")</f>
        <v>https://drive.google.com/file/d/1yicevDL8q3uBlrq8FME7wO35hhINlm9i/view?usp=drivesdk</v>
      </c>
      <c r="C766" s="147" t="str">
        <f>IFERROR(__xludf.DUMMYFUNCTION("""COMPUTED_VALUE"""),"10.1162--jocn_a_00141.pdf")</f>
        <v>10.1162--jocn_a_00141.pdf</v>
      </c>
      <c r="D766" s="147" t="str">
        <f>IFERROR(__xludf.DUMMYFUNCTION("""COMPUTED_VALUE"""),"application/pdf")</f>
        <v>application/pdf</v>
      </c>
    </row>
    <row r="767">
      <c r="A767" s="147" t="str">
        <f>IFERROR(__xludf.DUMMYFUNCTION("""COMPUTED_VALUE"""),"10.1016/j.neuron.2010.11.045")</f>
        <v>10.1016/j.neuron.2010.11.045</v>
      </c>
      <c r="B767" s="453" t="str">
        <f>IFERROR(__xludf.DUMMYFUNCTION("""COMPUTED_VALUE"""),"https://drive.google.com/file/d/1QGwFQzaQRDG3tlEKooHy4FGNPwX6h1w1/view?usp=drivesdk")</f>
        <v>https://drive.google.com/file/d/1QGwFQzaQRDG3tlEKooHy4FGNPwX6h1w1/view?usp=drivesdk</v>
      </c>
      <c r="C767" s="147" t="str">
        <f>IFERROR(__xludf.DUMMYFUNCTION("""COMPUTED_VALUE"""),"10.1016--j.neuron.2010.11.045.pdf")</f>
        <v>10.1016--j.neuron.2010.11.045.pdf</v>
      </c>
      <c r="D767" s="147" t="str">
        <f>IFERROR(__xludf.DUMMYFUNCTION("""COMPUTED_VALUE"""),"application/pdf")</f>
        <v>application/pdf</v>
      </c>
    </row>
    <row r="768">
      <c r="A768" s="147" t="str">
        <f>IFERROR(__xludf.DUMMYFUNCTION("""COMPUTED_VALUE"""),"10.1016/j.cub.2016.03.047")</f>
        <v>10.1016/j.cub.2016.03.047</v>
      </c>
      <c r="B768" s="453" t="str">
        <f>IFERROR(__xludf.DUMMYFUNCTION("""COMPUTED_VALUE"""),"https://drive.google.com/file/d/1612cVHt8YAoCVAa9x6CR0LsF-S_e-dzF/view?usp=drivesdk")</f>
        <v>https://drive.google.com/file/d/1612cVHt8YAoCVAa9x6CR0LsF-S_e-dzF/view?usp=drivesdk</v>
      </c>
      <c r="C768" s="147" t="str">
        <f>IFERROR(__xludf.DUMMYFUNCTION("""COMPUTED_VALUE"""),"10.1016--j.cub.2016.03.047.pdf")</f>
        <v>10.1016--j.cub.2016.03.047.pdf</v>
      </c>
      <c r="D768" s="147" t="str">
        <f>IFERROR(__xludf.DUMMYFUNCTION("""COMPUTED_VALUE"""),"application/pdf")</f>
        <v>application/pdf</v>
      </c>
    </row>
    <row r="769">
      <c r="A769" s="147" t="str">
        <f>IFERROR(__xludf.DUMMYFUNCTION("""COMPUTED_VALUE"""),"10.1016/j.jml.2010.09.002")</f>
        <v>10.1016/j.jml.2010.09.002</v>
      </c>
      <c r="B769" s="453" t="str">
        <f>IFERROR(__xludf.DUMMYFUNCTION("""COMPUTED_VALUE"""),"https://drive.google.com/file/d/13scdctuunPsPA7VN0U_MwGGRn8XVKTbE/view?usp=drivesdk")</f>
        <v>https://drive.google.com/file/d/13scdctuunPsPA7VN0U_MwGGRn8XVKTbE/view?usp=drivesdk</v>
      </c>
      <c r="C769" s="147" t="str">
        <f>IFERROR(__xludf.DUMMYFUNCTION("""COMPUTED_VALUE"""),"10.1016--j.jml.2010.09.002.pdf")</f>
        <v>10.1016--j.jml.2010.09.002.pdf</v>
      </c>
      <c r="D769" s="147" t="str">
        <f>IFERROR(__xludf.DUMMYFUNCTION("""COMPUTED_VALUE"""),"application/pdf")</f>
        <v>application/pdf</v>
      </c>
    </row>
    <row r="770">
      <c r="A770" s="147" t="str">
        <f>IFERROR(__xludf.DUMMYFUNCTION("""COMPUTED_VALUE"""),"10.1080/17470218.2013.771689")</f>
        <v>10.1080/17470218.2013.771689</v>
      </c>
      <c r="B770" s="453" t="str">
        <f>IFERROR(__xludf.DUMMYFUNCTION("""COMPUTED_VALUE"""),"https://drive.google.com/file/d/17rssfXeSwSyxfwOWnaBs0wPihBQAhZp-/view?usp=drivesdk")</f>
        <v>https://drive.google.com/file/d/17rssfXeSwSyxfwOWnaBs0wPihBQAhZp-/view?usp=drivesdk</v>
      </c>
      <c r="C770" s="147" t="str">
        <f>IFERROR(__xludf.DUMMYFUNCTION("""COMPUTED_VALUE"""),"10.1080--17470218.2013.771689.pdf")</f>
        <v>10.1080--17470218.2013.771689.pdf</v>
      </c>
      <c r="D770" s="147" t="str">
        <f>IFERROR(__xludf.DUMMYFUNCTION("""COMPUTED_VALUE"""),"application/pdf")</f>
        <v>application/pdf</v>
      </c>
    </row>
    <row r="771">
      <c r="A771" s="147" t="str">
        <f>IFERROR(__xludf.DUMMYFUNCTION("""COMPUTED_VALUE"""),"10.1177/0956797617739704")</f>
        <v>10.1177/0956797617739704</v>
      </c>
      <c r="B771" s="453" t="str">
        <f>IFERROR(__xludf.DUMMYFUNCTION("""COMPUTED_VALUE"""),"https://drive.google.com/file/d/1jd9ycYWZkLbbUrtvuNJeNEiLp_k9LMoe/view?usp=drivesdk")</f>
        <v>https://drive.google.com/file/d/1jd9ycYWZkLbbUrtvuNJeNEiLp_k9LMoe/view?usp=drivesdk</v>
      </c>
      <c r="C771" s="147" t="str">
        <f>IFERROR(__xludf.DUMMYFUNCTION("""COMPUTED_VALUE"""),"10.1177--0956797617739704.pdf")</f>
        <v>10.1177--0956797617739704.pdf</v>
      </c>
      <c r="D771" s="147" t="str">
        <f>IFERROR(__xludf.DUMMYFUNCTION("""COMPUTED_VALUE"""),"application/pdf")</f>
        <v>application/pdf</v>
      </c>
    </row>
    <row r="772">
      <c r="A772" s="147" t="str">
        <f>IFERROR(__xludf.DUMMYFUNCTION("""COMPUTED_VALUE"""),"10.1038/s41562-018-0506-1")</f>
        <v>10.1038/s41562-018-0506-1</v>
      </c>
      <c r="B772" s="453" t="str">
        <f>IFERROR(__xludf.DUMMYFUNCTION("""COMPUTED_VALUE"""),"https://drive.google.com/file/d/1PHdeD8DCOHYtYlSowdL4RnjXdXP9WvnF/view?usp=drivesdk")</f>
        <v>https://drive.google.com/file/d/1PHdeD8DCOHYtYlSowdL4RnjXdXP9WvnF/view?usp=drivesdk</v>
      </c>
      <c r="C772" s="147" t="str">
        <f>IFERROR(__xludf.DUMMYFUNCTION("""COMPUTED_VALUE"""),"10.1038--s41562-018-0506-1.pdf")</f>
        <v>10.1038--s41562-018-0506-1.pdf</v>
      </c>
      <c r="D772" s="147" t="str">
        <f>IFERROR(__xludf.DUMMYFUNCTION("""COMPUTED_VALUE"""),"application/pdf")</f>
        <v>application/pdf</v>
      </c>
    </row>
    <row r="773">
      <c r="A773" s="147" t="str">
        <f>IFERROR(__xludf.DUMMYFUNCTION("""COMPUTED_VALUE"""),"10.1016/j.paid.2019.109707")</f>
        <v>10.1016/j.paid.2019.109707</v>
      </c>
      <c r="B773" s="453" t="str">
        <f>IFERROR(__xludf.DUMMYFUNCTION("""COMPUTED_VALUE"""),"https://drive.google.com/file/d/1Qtwddk-XDlbwPPGy3W-QXhpffZJZhBKc/view?usp=drivesdk")</f>
        <v>https://drive.google.com/file/d/1Qtwddk-XDlbwPPGy3W-QXhpffZJZhBKc/view?usp=drivesdk</v>
      </c>
      <c r="C773" s="147" t="str">
        <f>IFERROR(__xludf.DUMMYFUNCTION("""COMPUTED_VALUE"""),"10.1016--j.paid.2019.109707.pdf")</f>
        <v>10.1016--j.paid.2019.109707.pdf</v>
      </c>
      <c r="D773" s="147" t="str">
        <f>IFERROR(__xludf.DUMMYFUNCTION("""COMPUTED_VALUE"""),"application/pdf")</f>
        <v>application/pdf</v>
      </c>
    </row>
    <row r="774">
      <c r="A774" s="147" t="str">
        <f>IFERROR(__xludf.DUMMYFUNCTION("""COMPUTED_VALUE"""),"10.1177/0956797617724208")</f>
        <v>10.1177/0956797617724208</v>
      </c>
      <c r="B774" s="453" t="str">
        <f>IFERROR(__xludf.DUMMYFUNCTION("""COMPUTED_VALUE"""),"https://drive.google.com/file/d/1mL9Ab5TM5BMWagobH7NKQFy8VurCd2et/view?usp=drivesdk")</f>
        <v>https://drive.google.com/file/d/1mL9Ab5TM5BMWagobH7NKQFy8VurCd2et/view?usp=drivesdk</v>
      </c>
      <c r="C774" s="147" t="str">
        <f>IFERROR(__xludf.DUMMYFUNCTION("""COMPUTED_VALUE"""),"10.1177--0956797617724208.pdf")</f>
        <v>10.1177--0956797617724208.pdf</v>
      </c>
      <c r="D774" s="147" t="str">
        <f>IFERROR(__xludf.DUMMYFUNCTION("""COMPUTED_VALUE"""),"application/pdf")</f>
        <v>application/pdf</v>
      </c>
    </row>
    <row r="775">
      <c r="A775" s="147" t="str">
        <f>IFERROR(__xludf.DUMMYFUNCTION("""COMPUTED_VALUE"""),"10.1177/1745691609357019")</f>
        <v>10.1177/1745691609357019</v>
      </c>
      <c r="B775" s="453" t="str">
        <f>IFERROR(__xludf.DUMMYFUNCTION("""COMPUTED_VALUE"""),"https://drive.google.com/file/d/1Ss_WUKD-G7G3jlVK_OnYeM1slXhgl9ui/view?usp=drivesdk")</f>
        <v>https://drive.google.com/file/d/1Ss_WUKD-G7G3jlVK_OnYeM1slXhgl9ui/view?usp=drivesdk</v>
      </c>
      <c r="C775" s="147" t="str">
        <f>IFERROR(__xludf.DUMMYFUNCTION("""COMPUTED_VALUE"""),"10.1177--1745691609357019.pdf")</f>
        <v>10.1177--1745691609357019.pdf</v>
      </c>
      <c r="D775" s="147" t="str">
        <f>IFERROR(__xludf.DUMMYFUNCTION("""COMPUTED_VALUE"""),"application/pdf")</f>
        <v>application/pdf</v>
      </c>
    </row>
    <row r="776">
      <c r="A776" s="147" t="str">
        <f>IFERROR(__xludf.DUMMYFUNCTION("""COMPUTED_VALUE"""),"10.1177/2167696812466848")</f>
        <v>10.1177/2167696812466848</v>
      </c>
      <c r="B776" s="453" t="str">
        <f>IFERROR(__xludf.DUMMYFUNCTION("""COMPUTED_VALUE"""),"https://drive.google.com/file/d/1o2k7vj4lCbLr-sUckUJPC5evZ3l6CFw_/view?usp=drivesdk")</f>
        <v>https://drive.google.com/file/d/1o2k7vj4lCbLr-sUckUJPC5evZ3l6CFw_/view?usp=drivesdk</v>
      </c>
      <c r="C776" s="147" t="str">
        <f>IFERROR(__xludf.DUMMYFUNCTION("""COMPUTED_VALUE"""),"10.1177--2167696812466848.pdf")</f>
        <v>10.1177--2167696812466848.pdf</v>
      </c>
      <c r="D776" s="147" t="str">
        <f>IFERROR(__xludf.DUMMYFUNCTION("""COMPUTED_VALUE"""),"application/pdf")</f>
        <v>application/pdf</v>
      </c>
    </row>
    <row r="777">
      <c r="A777" s="147" t="str">
        <f>IFERROR(__xludf.DUMMYFUNCTION("""COMPUTED_VALUE"""),"10.3390/su13158315")</f>
        <v>10.3390/su13158315</v>
      </c>
      <c r="B777" s="453" t="str">
        <f>IFERROR(__xludf.DUMMYFUNCTION("""COMPUTED_VALUE"""),"https://drive.google.com/file/d/1xWtzIalTyDfQmth-6vNfg7v6DUlLfVxw/view?usp=drivesdk")</f>
        <v>https://drive.google.com/file/d/1xWtzIalTyDfQmth-6vNfg7v6DUlLfVxw/view?usp=drivesdk</v>
      </c>
      <c r="C777" s="147" t="str">
        <f>IFERROR(__xludf.DUMMYFUNCTION("""COMPUTED_VALUE"""),"10.3390--su13158315.pdf")</f>
        <v>10.3390--su13158315.pdf</v>
      </c>
      <c r="D777" s="147" t="str">
        <f>IFERROR(__xludf.DUMMYFUNCTION("""COMPUTED_VALUE"""),"application/pdf")</f>
        <v>application/pdf</v>
      </c>
    </row>
    <row r="778">
      <c r="A778" s="147" t="str">
        <f>IFERROR(__xludf.DUMMYFUNCTION("""COMPUTED_VALUE"""),"10.1177/0956797613520236")</f>
        <v>10.1177/0956797613520236</v>
      </c>
      <c r="B778" s="453" t="str">
        <f>IFERROR(__xludf.DUMMYFUNCTION("""COMPUTED_VALUE"""),"https://drive.google.com/file/d/1r2agxTQW4eF6F77aYqt_qAMgbq4h6vhA/view?usp=drivesdk")</f>
        <v>https://drive.google.com/file/d/1r2agxTQW4eF6F77aYqt_qAMgbq4h6vhA/view?usp=drivesdk</v>
      </c>
      <c r="C778" s="147" t="str">
        <f>IFERROR(__xludf.DUMMYFUNCTION("""COMPUTED_VALUE"""),"10.1177--0956797613520236.pdf")</f>
        <v>10.1177--0956797613520236.pdf</v>
      </c>
      <c r="D778" s="147" t="str">
        <f>IFERROR(__xludf.DUMMYFUNCTION("""COMPUTED_VALUE"""),"application/pdf")</f>
        <v>application/pdf</v>
      </c>
    </row>
    <row r="779">
      <c r="A779" s="147" t="str">
        <f>IFERROR(__xludf.DUMMYFUNCTION("""COMPUTED_VALUE"""),"10.1038/s41598-019-40917-8")</f>
        <v>10.1038/s41598-019-40917-8</v>
      </c>
      <c r="B779" s="453" t="str">
        <f>IFERROR(__xludf.DUMMYFUNCTION("""COMPUTED_VALUE"""),"https://drive.google.com/file/d/111nuS5F8JlaSOcxh61VDyUCY_DCdOKGM/view?usp=drivesdk")</f>
        <v>https://drive.google.com/file/d/111nuS5F8JlaSOcxh61VDyUCY_DCdOKGM/view?usp=drivesdk</v>
      </c>
      <c r="C779" s="147" t="str">
        <f>IFERROR(__xludf.DUMMYFUNCTION("""COMPUTED_VALUE"""),"10.1038--s41598-019-40917-8.pdf")</f>
        <v>10.1038--s41598-019-40917-8.pdf</v>
      </c>
      <c r="D779" s="147" t="str">
        <f>IFERROR(__xludf.DUMMYFUNCTION("""COMPUTED_VALUE"""),"application/pdf")</f>
        <v>application/pdf</v>
      </c>
    </row>
    <row r="780">
      <c r="A780" s="147" t="str">
        <f>IFERROR(__xludf.DUMMYFUNCTION("""COMPUTED_VALUE"""),"10.1016/j.neulet.2016.03.027")</f>
        <v>10.1016/j.neulet.2016.03.027</v>
      </c>
      <c r="B780" s="453" t="str">
        <f>IFERROR(__xludf.DUMMYFUNCTION("""COMPUTED_VALUE"""),"https://drive.google.com/file/d/12AI5DRJwy5EUDc4Bff1lMMigRu387odK/view?usp=drivesdk")</f>
        <v>https://drive.google.com/file/d/12AI5DRJwy5EUDc4Bff1lMMigRu387odK/view?usp=drivesdk</v>
      </c>
      <c r="C780" s="147" t="str">
        <f>IFERROR(__xludf.DUMMYFUNCTION("""COMPUTED_VALUE"""),"10.1016--j.neulet.2016.03.027.pdf")</f>
        <v>10.1016--j.neulet.2016.03.027.pdf</v>
      </c>
      <c r="D780" s="147" t="str">
        <f>IFERROR(__xludf.DUMMYFUNCTION("""COMPUTED_VALUE"""),"application/pdf")</f>
        <v>application/pdf</v>
      </c>
    </row>
    <row r="781">
      <c r="A781" s="147" t="str">
        <f>IFERROR(__xludf.DUMMYFUNCTION("""COMPUTED_VALUE"""),"10.1080/17437199.2016.1176865")</f>
        <v>10.1080/17437199.2016.1176865</v>
      </c>
      <c r="B781" s="453" t="str">
        <f>IFERROR(__xludf.DUMMYFUNCTION("""COMPUTED_VALUE"""),"https://drive.google.com/file/d/1q3zDBCAa9Iik9Z4vigCtXmanj8_d5bWb/view?usp=drivesdk")</f>
        <v>https://drive.google.com/file/d/1q3zDBCAa9Iik9Z4vigCtXmanj8_d5bWb/view?usp=drivesdk</v>
      </c>
      <c r="C781" s="147" t="str">
        <f>IFERROR(__xludf.DUMMYFUNCTION("""COMPUTED_VALUE"""),"10.1080--17437199.2016.1176865.pdf")</f>
        <v>10.1080--17437199.2016.1176865.pdf</v>
      </c>
      <c r="D781" s="147" t="str">
        <f>IFERROR(__xludf.DUMMYFUNCTION("""COMPUTED_VALUE"""),"application/pdf")</f>
        <v>application/pdf</v>
      </c>
    </row>
    <row r="782">
      <c r="A782" s="147" t="str">
        <f>IFERROR(__xludf.DUMMYFUNCTION("""COMPUTED_VALUE"""),"10.1509/jmkg.70.1.079.qxd")</f>
        <v>10.1509/jmkg.70.1.079.qxd</v>
      </c>
      <c r="B782" s="453" t="str">
        <f>IFERROR(__xludf.DUMMYFUNCTION("""COMPUTED_VALUE"""),"https://drive.google.com/file/d/1rPq3gMHnm7Y6lLJHL8-tANQFNLPqfbYm/view?usp=drivesdk")</f>
        <v>https://drive.google.com/file/d/1rPq3gMHnm7Y6lLJHL8-tANQFNLPqfbYm/view?usp=drivesdk</v>
      </c>
      <c r="C782" s="147" t="str">
        <f>IFERROR(__xludf.DUMMYFUNCTION("""COMPUTED_VALUE"""),"10.1509--jmkg.70.1.079.qxd.pdf")</f>
        <v>10.1509--jmkg.70.1.079.qxd.pdf</v>
      </c>
      <c r="D782" s="147" t="str">
        <f>IFERROR(__xludf.DUMMYFUNCTION("""COMPUTED_VALUE"""),"application/pdf")</f>
        <v>application/pdf</v>
      </c>
    </row>
    <row r="783">
      <c r="A783" s="147" t="str">
        <f>IFERROR(__xludf.DUMMYFUNCTION("""COMPUTED_VALUE"""),"10.1111/desc.12704")</f>
        <v>10.1111/desc.12704</v>
      </c>
      <c r="B783" s="453" t="str">
        <f>IFERROR(__xludf.DUMMYFUNCTION("""COMPUTED_VALUE"""),"https://drive.google.com/file/d/1ArbZggjGoMVmiSY_xH3hTtR4y6VtR9YL/view?usp=drivesdk")</f>
        <v>https://drive.google.com/file/d/1ArbZggjGoMVmiSY_xH3hTtR4y6VtR9YL/view?usp=drivesdk</v>
      </c>
      <c r="C783" s="147" t="str">
        <f>IFERROR(__xludf.DUMMYFUNCTION("""COMPUTED_VALUE"""),"10.1111--desc.12704.pdf")</f>
        <v>10.1111--desc.12704.pdf</v>
      </c>
      <c r="D783" s="147" t="str">
        <f>IFERROR(__xludf.DUMMYFUNCTION("""COMPUTED_VALUE"""),"application/pdf")</f>
        <v>application/pdf</v>
      </c>
    </row>
    <row r="784">
      <c r="A784" s="147" t="str">
        <f>IFERROR(__xludf.DUMMYFUNCTION("""COMPUTED_VALUE"""),"10.1016/0191-8869(87)90045-6")</f>
        <v>10.1016/0191-8869(87)90045-6</v>
      </c>
      <c r="B784" s="453" t="str">
        <f>IFERROR(__xludf.DUMMYFUNCTION("""COMPUTED_VALUE"""),"https://drive.google.com/file/d/1bCQvFNYbFfqWVOhzqt4obegEPIxfYXMT/view?usp=drivesdk")</f>
        <v>https://drive.google.com/file/d/1bCQvFNYbFfqWVOhzqt4obegEPIxfYXMT/view?usp=drivesdk</v>
      </c>
      <c r="C784" s="147" t="str">
        <f>IFERROR(__xludf.DUMMYFUNCTION("""COMPUTED_VALUE"""),"10.1016--0191-8869(87)90045-6.pdf")</f>
        <v>10.1016--0191-8869(87)90045-6.pdf</v>
      </c>
      <c r="D784" s="147" t="str">
        <f>IFERROR(__xludf.DUMMYFUNCTION("""COMPUTED_VALUE"""),"application/pdf")</f>
        <v>application/pdf</v>
      </c>
    </row>
    <row r="785">
      <c r="A785" s="147" t="str">
        <f>IFERROR(__xludf.DUMMYFUNCTION("""COMPUTED_VALUE"""),"10.1086/683144")</f>
        <v>10.1086/683144</v>
      </c>
      <c r="B785" s="453" t="str">
        <f>IFERROR(__xludf.DUMMYFUNCTION("""COMPUTED_VALUE"""),"https://drive.google.com/file/d/1-Jvwx8R_dcvBtVji-UAeDOhCZFiAAn9H/view?usp=drivesdk")</f>
        <v>https://drive.google.com/file/d/1-Jvwx8R_dcvBtVji-UAeDOhCZFiAAn9H/view?usp=drivesdk</v>
      </c>
      <c r="C785" s="147" t="str">
        <f>IFERROR(__xludf.DUMMYFUNCTION("""COMPUTED_VALUE"""),"10.1086--683144.pdf")</f>
        <v>10.1086--683144.pdf</v>
      </c>
      <c r="D785" s="147" t="str">
        <f>IFERROR(__xludf.DUMMYFUNCTION("""COMPUTED_VALUE"""),"application/pdf")</f>
        <v>application/pdf</v>
      </c>
    </row>
    <row r="786">
      <c r="A786" s="147" t="str">
        <f>IFERROR(__xludf.DUMMYFUNCTION("""COMPUTED_VALUE"""),"10.1177/0956797616668510")</f>
        <v>10.1177/0956797616668510</v>
      </c>
      <c r="B786" s="453" t="str">
        <f>IFERROR(__xludf.DUMMYFUNCTION("""COMPUTED_VALUE"""),"https://drive.google.com/file/d/1m5ZlxWxxW6mIJMc4yPo8-xk7pqhPlOsf/view?usp=drivesdk")</f>
        <v>https://drive.google.com/file/d/1m5ZlxWxxW6mIJMc4yPo8-xk7pqhPlOsf/view?usp=drivesdk</v>
      </c>
      <c r="C786" s="147" t="str">
        <f>IFERROR(__xludf.DUMMYFUNCTION("""COMPUTED_VALUE"""),"10.1177--0956797616668510.pdf")</f>
        <v>10.1177--0956797616668510.pdf</v>
      </c>
      <c r="D786" s="147" t="str">
        <f>IFERROR(__xludf.DUMMYFUNCTION("""COMPUTED_VALUE"""),"application/pdf")</f>
        <v>application/pdf</v>
      </c>
    </row>
    <row r="787">
      <c r="A787" s="147" t="str">
        <f>IFERROR(__xludf.DUMMYFUNCTION("""COMPUTED_VALUE"""),"10.1177/2515245920917931")</f>
        <v>10.1177/2515245920917931</v>
      </c>
      <c r="B787" s="453" t="str">
        <f>IFERROR(__xludf.DUMMYFUNCTION("""COMPUTED_VALUE"""),"https://drive.google.com/file/d/1PTnkzr8QEo22di-UQWPHzD8_NqzRwLZZ/view?usp=drivesdk")</f>
        <v>https://drive.google.com/file/d/1PTnkzr8QEo22di-UQWPHzD8_NqzRwLZZ/view?usp=drivesdk</v>
      </c>
      <c r="C787" s="147" t="str">
        <f>IFERROR(__xludf.DUMMYFUNCTION("""COMPUTED_VALUE"""),"10.1177--2515245920917931.pdf")</f>
        <v>10.1177--2515245920917931.pdf</v>
      </c>
      <c r="D787" s="147" t="str">
        <f>IFERROR(__xludf.DUMMYFUNCTION("""COMPUTED_VALUE"""),"application/pdf")</f>
        <v>application/pdf</v>
      </c>
    </row>
    <row r="788">
      <c r="A788" s="147" t="str">
        <f>IFERROR(__xludf.DUMMYFUNCTION("""COMPUTED_VALUE"""),"10.1080/02699931.2018.1429389")</f>
        <v>10.1080/02699931.2018.1429389</v>
      </c>
      <c r="B788" s="453" t="str">
        <f>IFERROR(__xludf.DUMMYFUNCTION("""COMPUTED_VALUE"""),"https://drive.google.com/file/d/1a_TAmQXjhkfvt4i4JzzGhoFGBmtYk_1Z/view?usp=drivesdk")</f>
        <v>https://drive.google.com/file/d/1a_TAmQXjhkfvt4i4JzzGhoFGBmtYk_1Z/view?usp=drivesdk</v>
      </c>
      <c r="C788" s="147" t="str">
        <f>IFERROR(__xludf.DUMMYFUNCTION("""COMPUTED_VALUE"""),"10.1080--02699931.2018.1429389.pdf")</f>
        <v>10.1080--02699931.2018.1429389.pdf</v>
      </c>
      <c r="D788" s="147" t="str">
        <f>IFERROR(__xludf.DUMMYFUNCTION("""COMPUTED_VALUE"""),"application/pdf")</f>
        <v>application/pdf</v>
      </c>
    </row>
    <row r="789">
      <c r="A789" s="147" t="str">
        <f>IFERROR(__xludf.DUMMYFUNCTION("""COMPUTED_VALUE"""),"10.1017/s026144482000021x")</f>
        <v>10.1017/s026144482000021x</v>
      </c>
      <c r="B789" s="453" t="str">
        <f>IFERROR(__xludf.DUMMYFUNCTION("""COMPUTED_VALUE"""),"https://drive.google.com/file/d/1nVUA1RBik6M2hcwtK79Vsh6Pw_dxLn8h/view?usp=drivesdk")</f>
        <v>https://drive.google.com/file/d/1nVUA1RBik6M2hcwtK79Vsh6Pw_dxLn8h/view?usp=drivesdk</v>
      </c>
      <c r="C789" s="147" t="str">
        <f>IFERROR(__xludf.DUMMYFUNCTION("""COMPUTED_VALUE"""),"10.1017--S026144482000021X.pdf")</f>
        <v>10.1017--S026144482000021X.pdf</v>
      </c>
      <c r="D789" s="147" t="str">
        <f>IFERROR(__xludf.DUMMYFUNCTION("""COMPUTED_VALUE"""),"application/pdf")</f>
        <v>application/pdf</v>
      </c>
    </row>
    <row r="790">
      <c r="A790" s="147" t="str">
        <f>IFERROR(__xludf.DUMMYFUNCTION("""COMPUTED_VALUE"""),"10.1016/j.actpsy.2011.10.002")</f>
        <v>10.1016/j.actpsy.2011.10.002</v>
      </c>
      <c r="B790" s="453" t="str">
        <f>IFERROR(__xludf.DUMMYFUNCTION("""COMPUTED_VALUE"""),"https://drive.google.com/file/d/1Mg33u9waVV2mObboAz-o1lX_7OGD4KRf/view?usp=drivesdk")</f>
        <v>https://drive.google.com/file/d/1Mg33u9waVV2mObboAz-o1lX_7OGD4KRf/view?usp=drivesdk</v>
      </c>
      <c r="C790" s="147" t="str">
        <f>IFERROR(__xludf.DUMMYFUNCTION("""COMPUTED_VALUE"""),"10.1016--j.actpsy.2011.10.002.pdf")</f>
        <v>10.1016--j.actpsy.2011.10.002.pdf</v>
      </c>
      <c r="D790" s="147" t="str">
        <f>IFERROR(__xludf.DUMMYFUNCTION("""COMPUTED_VALUE"""),"application/pdf")</f>
        <v>application/pdf</v>
      </c>
    </row>
    <row r="791">
      <c r="A791" s="147" t="str">
        <f>IFERROR(__xludf.DUMMYFUNCTION("""COMPUTED_VALUE"""),"10.3758/s13421-019-00963-z")</f>
        <v>10.3758/s13421-019-00963-z</v>
      </c>
      <c r="B791" s="453" t="str">
        <f>IFERROR(__xludf.DUMMYFUNCTION("""COMPUTED_VALUE"""),"https://drive.google.com/file/d/137jHE2eBwiXadYLyoWCwy8P9cobbLSgR/view?usp=drivesdk")</f>
        <v>https://drive.google.com/file/d/137jHE2eBwiXadYLyoWCwy8P9cobbLSgR/view?usp=drivesdk</v>
      </c>
      <c r="C791" s="147" t="str">
        <f>IFERROR(__xludf.DUMMYFUNCTION("""COMPUTED_VALUE"""),"10.3758--s13421-019-00963-z.pdf")</f>
        <v>10.3758--s13421-019-00963-z.pdf</v>
      </c>
      <c r="D791" s="147" t="str">
        <f>IFERROR(__xludf.DUMMYFUNCTION("""COMPUTED_VALUE"""),"application/pdf")</f>
        <v>application/pdf</v>
      </c>
    </row>
    <row r="792">
      <c r="A792" s="147" t="str">
        <f>IFERROR(__xludf.DUMMYFUNCTION("""COMPUTED_VALUE"""),"10.1080/13506280544000075")</f>
        <v>10.1080/13506280544000075</v>
      </c>
      <c r="B792" s="453" t="str">
        <f>IFERROR(__xludf.DUMMYFUNCTION("""COMPUTED_VALUE"""),"https://drive.google.com/file/d/1JV5E_tSPkgvvTRPEu2rgklQPb_8Yb_7M/view?usp=drivesdk")</f>
        <v>https://drive.google.com/file/d/1JV5E_tSPkgvvTRPEu2rgklQPb_8Yb_7M/view?usp=drivesdk</v>
      </c>
      <c r="C792" s="147" t="str">
        <f>IFERROR(__xludf.DUMMYFUNCTION("""COMPUTED_VALUE"""),"10.1080--13506280544000075.pdf")</f>
        <v>10.1080--13506280544000075.pdf</v>
      </c>
      <c r="D792" s="147" t="str">
        <f>IFERROR(__xludf.DUMMYFUNCTION("""COMPUTED_VALUE"""),"application/pdf")</f>
        <v>application/pdf</v>
      </c>
    </row>
    <row r="793">
      <c r="A793" s="147" t="str">
        <f>IFERROR(__xludf.DUMMYFUNCTION("""COMPUTED_VALUE"""),"10.1371/journal.pone.0232133")</f>
        <v>10.1371/journal.pone.0232133</v>
      </c>
      <c r="B793" s="453" t="str">
        <f>IFERROR(__xludf.DUMMYFUNCTION("""COMPUTED_VALUE"""),"https://drive.google.com/file/d/1KPX3cJhfnpW31dGY6ra4LvHIpzivafj3/view?usp=drivesdk")</f>
        <v>https://drive.google.com/file/d/1KPX3cJhfnpW31dGY6ra4LvHIpzivafj3/view?usp=drivesdk</v>
      </c>
      <c r="C793" s="147" t="str">
        <f>IFERROR(__xludf.DUMMYFUNCTION("""COMPUTED_VALUE"""),"10.1371--journal.pone.0232133.pdf")</f>
        <v>10.1371--journal.pone.0232133.pdf</v>
      </c>
      <c r="D793" s="147" t="str">
        <f>IFERROR(__xludf.DUMMYFUNCTION("""COMPUTED_VALUE"""),"application/pdf")</f>
        <v>application/pdf</v>
      </c>
    </row>
    <row r="794">
      <c r="A794" s="147" t="str">
        <f>IFERROR(__xludf.DUMMYFUNCTION("""COMPUTED_VALUE"""),"10.1016/j.actpsy.2008.12.004")</f>
        <v>10.1016/j.actpsy.2008.12.004</v>
      </c>
      <c r="B794" s="453" t="str">
        <f>IFERROR(__xludf.DUMMYFUNCTION("""COMPUTED_VALUE"""),"https://drive.google.com/file/d/1mgtXjUjGQ4kYpZsW972EgP1jUJi2bdlT/view?usp=drivesdk")</f>
        <v>https://drive.google.com/file/d/1mgtXjUjGQ4kYpZsW972EgP1jUJi2bdlT/view?usp=drivesdk</v>
      </c>
      <c r="C794" s="147" t="str">
        <f>IFERROR(__xludf.DUMMYFUNCTION("""COMPUTED_VALUE"""),"10.1016--j.actpsy.2008.12.004.pdf")</f>
        <v>10.1016--j.actpsy.2008.12.004.pdf</v>
      </c>
      <c r="D794" s="147" t="str">
        <f>IFERROR(__xludf.DUMMYFUNCTION("""COMPUTED_VALUE"""),"application/pdf")</f>
        <v>application/pdf</v>
      </c>
    </row>
    <row r="795">
      <c r="A795" s="147" t="str">
        <f>IFERROR(__xludf.DUMMYFUNCTION("""COMPUTED_VALUE"""),"10.3758/s13423-020-01787-8")</f>
        <v>10.3758/s13423-020-01787-8</v>
      </c>
      <c r="B795" s="453" t="str">
        <f>IFERROR(__xludf.DUMMYFUNCTION("""COMPUTED_VALUE"""),"https://drive.google.com/file/d/1Y8g9Mt2NlD4L3SEcN0KuE57CVvxX5ojn/view?usp=drivesdk")</f>
        <v>https://drive.google.com/file/d/1Y8g9Mt2NlD4L3SEcN0KuE57CVvxX5ojn/view?usp=drivesdk</v>
      </c>
      <c r="C795" s="147" t="str">
        <f>IFERROR(__xludf.DUMMYFUNCTION("""COMPUTED_VALUE"""),"10.3758--s13423-020-01787-8.pdf")</f>
        <v>10.3758--s13423-020-01787-8.pdf</v>
      </c>
      <c r="D795" s="147" t="str">
        <f>IFERROR(__xludf.DUMMYFUNCTION("""COMPUTED_VALUE"""),"application/pdf")</f>
        <v>application/pdf</v>
      </c>
    </row>
    <row r="796">
      <c r="A796" s="147" t="str">
        <f>IFERROR(__xludf.DUMMYFUNCTION("""COMPUTED_VALUE"""),"10.1515/opli-2017-0025")</f>
        <v>10.1515/opli-2017-0025</v>
      </c>
      <c r="B796" s="453" t="str">
        <f>IFERROR(__xludf.DUMMYFUNCTION("""COMPUTED_VALUE"""),"https://drive.google.com/file/d/15DG09z-Q1avKwoLeUifY-dU1v9ht0kXY/view?usp=drivesdk")</f>
        <v>https://drive.google.com/file/d/15DG09z-Q1avKwoLeUifY-dU1v9ht0kXY/view?usp=drivesdk</v>
      </c>
      <c r="C796" s="147" t="str">
        <f>IFERROR(__xludf.DUMMYFUNCTION("""COMPUTED_VALUE"""),"10.1515--opli-2017-0025.pdf")</f>
        <v>10.1515--opli-2017-0025.pdf</v>
      </c>
      <c r="D796" s="147" t="str">
        <f>IFERROR(__xludf.DUMMYFUNCTION("""COMPUTED_VALUE"""),"application/pdf")</f>
        <v>application/pdf</v>
      </c>
    </row>
    <row r="797">
      <c r="A797" s="147" t="str">
        <f>IFERROR(__xludf.DUMMYFUNCTION("""COMPUTED_VALUE"""),"10.3758/s13428-013-0383-5")</f>
        <v>10.3758/s13428-013-0383-5</v>
      </c>
      <c r="B797" s="453" t="str">
        <f>IFERROR(__xludf.DUMMYFUNCTION("""COMPUTED_VALUE"""),"https://drive.google.com/file/d/1aNCopp6L-iHhMqKziEr--S-rJPm203hR/view?usp=drivesdk")</f>
        <v>https://drive.google.com/file/d/1aNCopp6L-iHhMqKziEr--S-rJPm203hR/view?usp=drivesdk</v>
      </c>
      <c r="C797" s="147" t="str">
        <f>IFERROR(__xludf.DUMMYFUNCTION("""COMPUTED_VALUE"""),"10.3758--s13428-013-0383-5.pdf")</f>
        <v>10.3758--s13428-013-0383-5.pdf</v>
      </c>
      <c r="D797" s="147" t="str">
        <f>IFERROR(__xludf.DUMMYFUNCTION("""COMPUTED_VALUE"""),"application/pdf")</f>
        <v>application/pdf</v>
      </c>
    </row>
    <row r="798">
      <c r="A798" s="147" t="str">
        <f>IFERROR(__xludf.DUMMYFUNCTION("""COMPUTED_VALUE"""),"10.1016/s1053-8119(03)00227-1")</f>
        <v>10.1016/s1053-8119(03)00227-1</v>
      </c>
      <c r="B798" s="453" t="str">
        <f>IFERROR(__xludf.DUMMYFUNCTION("""COMPUTED_VALUE"""),"https://drive.google.com/file/d/1dsvOBmBs1wP88rR3tXOp4XVBBUmmNcsQ/view?usp=drivesdk")</f>
        <v>https://drive.google.com/file/d/1dsvOBmBs1wP88rR3tXOp4XVBBUmmNcsQ/view?usp=drivesdk</v>
      </c>
      <c r="C798" s="147" t="str">
        <f>IFERROR(__xludf.DUMMYFUNCTION("""COMPUTED_VALUE"""),"10.1016--S1053-8119(03)00227-1.pdf")</f>
        <v>10.1016--S1053-8119(03)00227-1.pdf</v>
      </c>
      <c r="D798" s="147" t="str">
        <f>IFERROR(__xludf.DUMMYFUNCTION("""COMPUTED_VALUE"""),"application/pdf")</f>
        <v>application/pdf</v>
      </c>
    </row>
    <row r="799">
      <c r="A799" s="147" t="str">
        <f>IFERROR(__xludf.DUMMYFUNCTION("""COMPUTED_VALUE"""),"10.1177/1368430213510573")</f>
        <v>10.1177/1368430213510573</v>
      </c>
      <c r="B799" s="453" t="str">
        <f>IFERROR(__xludf.DUMMYFUNCTION("""COMPUTED_VALUE"""),"https://drive.google.com/file/d/1FA-zcvOHTA7xvok7vsBsqo32SwSG_W0T/view?usp=drivesdk")</f>
        <v>https://drive.google.com/file/d/1FA-zcvOHTA7xvok7vsBsqo32SwSG_W0T/view?usp=drivesdk</v>
      </c>
      <c r="C799" s="147" t="str">
        <f>IFERROR(__xludf.DUMMYFUNCTION("""COMPUTED_VALUE"""),"10.1177--1368430213510573.pdf")</f>
        <v>10.1177--1368430213510573.pdf</v>
      </c>
      <c r="D799" s="147" t="str">
        <f>IFERROR(__xludf.DUMMYFUNCTION("""COMPUTED_VALUE"""),"application/pdf")</f>
        <v>application/pdf</v>
      </c>
    </row>
    <row r="800">
      <c r="A800" s="147" t="str">
        <f>IFERROR(__xludf.DUMMYFUNCTION("""COMPUTED_VALUE"""),"10.1016/j.ijresmar.2012.05.001")</f>
        <v>10.1016/j.ijresmar.2012.05.001</v>
      </c>
      <c r="B800" s="453" t="str">
        <f>IFERROR(__xludf.DUMMYFUNCTION("""COMPUTED_VALUE"""),"https://drive.google.com/file/d/1fG33_gUttrbjxOWCW-_NMak-KhKBrija/view?usp=drivesdk")</f>
        <v>https://drive.google.com/file/d/1fG33_gUttrbjxOWCW-_NMak-KhKBrija/view?usp=drivesdk</v>
      </c>
      <c r="C800" s="147" t="str">
        <f>IFERROR(__xludf.DUMMYFUNCTION("""COMPUTED_VALUE"""),"10.1016--j.ijresmar.2012.05.001.pdf")</f>
        <v>10.1016--j.ijresmar.2012.05.001.pdf</v>
      </c>
      <c r="D800" s="147" t="str">
        <f>IFERROR(__xludf.DUMMYFUNCTION("""COMPUTED_VALUE"""),"application/pdf")</f>
        <v>application/pdf</v>
      </c>
    </row>
    <row r="801">
      <c r="A801" s="147" t="str">
        <f>IFERROR(__xludf.DUMMYFUNCTION("""COMPUTED_VALUE"""),"10.1111/cogs.12968")</f>
        <v>10.1111/cogs.12968</v>
      </c>
      <c r="B801" s="453" t="str">
        <f>IFERROR(__xludf.DUMMYFUNCTION("""COMPUTED_VALUE"""),"https://drive.google.com/file/d/1R36UqBtXAtA4BMYOQZDdBTMQHYPhyClu/view?usp=drivesdk")</f>
        <v>https://drive.google.com/file/d/1R36UqBtXAtA4BMYOQZDdBTMQHYPhyClu/view?usp=drivesdk</v>
      </c>
      <c r="C801" s="147" t="str">
        <f>IFERROR(__xludf.DUMMYFUNCTION("""COMPUTED_VALUE"""),"10.1111--cogs.12968.pdf")</f>
        <v>10.1111--cogs.12968.pdf</v>
      </c>
      <c r="D801" s="147" t="str">
        <f>IFERROR(__xludf.DUMMYFUNCTION("""COMPUTED_VALUE"""),"application/pdf")</f>
        <v>application/pdf</v>
      </c>
    </row>
    <row r="802">
      <c r="A802" s="147" t="str">
        <f>IFERROR(__xludf.DUMMYFUNCTION("""COMPUTED_VALUE"""),"10.1371/journal.pone.0147924")</f>
        <v>10.1371/journal.pone.0147924</v>
      </c>
      <c r="B802" s="453" t="str">
        <f>IFERROR(__xludf.DUMMYFUNCTION("""COMPUTED_VALUE"""),"https://drive.google.com/file/d/1QViH4ajHq8X5kkbFfEdjYYy64Zu212y8/view?usp=drivesdk")</f>
        <v>https://drive.google.com/file/d/1QViH4ajHq8X5kkbFfEdjYYy64Zu212y8/view?usp=drivesdk</v>
      </c>
      <c r="C802" s="147" t="str">
        <f>IFERROR(__xludf.DUMMYFUNCTION("""COMPUTED_VALUE"""),"10.1371--journal.pone.0147924.pdf")</f>
        <v>10.1371--journal.pone.0147924.pdf</v>
      </c>
      <c r="D802" s="147" t="str">
        <f>IFERROR(__xludf.DUMMYFUNCTION("""COMPUTED_VALUE"""),"application/pdf")</f>
        <v>application/pdf</v>
      </c>
    </row>
    <row r="803">
      <c r="A803" s="147" t="str">
        <f>IFERROR(__xludf.DUMMYFUNCTION("""COMPUTED_VALUE"""),"10.1016/j.bodyim.2021.05.005.")</f>
        <v>10.1016/j.bodyim.2021.05.005.</v>
      </c>
      <c r="B803" s="453" t="str">
        <f>IFERROR(__xludf.DUMMYFUNCTION("""COMPUTED_VALUE"""),"https://drive.google.com/file/d/1p9EfrEPmDrshSQQyoPV1qK7eirjasytX/view?usp=drivesdk")</f>
        <v>https://drive.google.com/file/d/1p9EfrEPmDrshSQQyoPV1qK7eirjasytX/view?usp=drivesdk</v>
      </c>
      <c r="C803" s="147" t="str">
        <f>IFERROR(__xludf.DUMMYFUNCTION("""COMPUTED_VALUE"""),"10.1016--j.bodyim.2021.05.005..pdf")</f>
        <v>10.1016--j.bodyim.2021.05.005..pdf</v>
      </c>
      <c r="D803" s="147" t="str">
        <f>IFERROR(__xludf.DUMMYFUNCTION("""COMPUTED_VALUE"""),"application/pdf")</f>
        <v>application/pdf</v>
      </c>
    </row>
    <row r="804">
      <c r="A804" s="147" t="str">
        <f>IFERROR(__xludf.DUMMYFUNCTION("""COMPUTED_VALUE"""),"10.1016/j.ijresmar.2013.09.001")</f>
        <v>10.1016/j.ijresmar.2013.09.001</v>
      </c>
      <c r="B804" s="453" t="str">
        <f>IFERROR(__xludf.DUMMYFUNCTION("""COMPUTED_VALUE"""),"https://drive.google.com/file/d/10-cf4o0AuxlLhrP13LowyOyLXJEcfPon/view?usp=drivesdk")</f>
        <v>https://drive.google.com/file/d/10-cf4o0AuxlLhrP13LowyOyLXJEcfPon/view?usp=drivesdk</v>
      </c>
      <c r="C804" s="147" t="str">
        <f>IFERROR(__xludf.DUMMYFUNCTION("""COMPUTED_VALUE"""),"10.1016--j.ijresmar.2013.09.001.pdf")</f>
        <v>10.1016--j.ijresmar.2013.09.001.pdf</v>
      </c>
      <c r="D804" s="147" t="str">
        <f>IFERROR(__xludf.DUMMYFUNCTION("""COMPUTED_VALUE"""),"application/pdf")</f>
        <v>application/pdf</v>
      </c>
    </row>
    <row r="805">
      <c r="A805" s="147" t="str">
        <f>IFERROR(__xludf.DUMMYFUNCTION("""COMPUTED_VALUE"""),"10.1016/j.jesp.2016.11.003")</f>
        <v>10.1016/j.jesp.2016.11.003</v>
      </c>
      <c r="B805" s="453" t="str">
        <f>IFERROR(__xludf.DUMMYFUNCTION("""COMPUTED_VALUE"""),"https://drive.google.com/file/d/1ZkYyI9Xh0T6WySPVfqp6p62lMTtr4-4Z/view?usp=drivesdk")</f>
        <v>https://drive.google.com/file/d/1ZkYyI9Xh0T6WySPVfqp6p62lMTtr4-4Z/view?usp=drivesdk</v>
      </c>
      <c r="C805" s="147" t="str">
        <f>IFERROR(__xludf.DUMMYFUNCTION("""COMPUTED_VALUE"""),"10.1016--j.jesp.2016.11.003.pdf")</f>
        <v>10.1016--j.jesp.2016.11.003.pdf</v>
      </c>
      <c r="D805" s="147" t="str">
        <f>IFERROR(__xludf.DUMMYFUNCTION("""COMPUTED_VALUE"""),"application/pdf")</f>
        <v>application/pdf</v>
      </c>
    </row>
    <row r="806">
      <c r="A806" s="147" t="str">
        <f>IFERROR(__xludf.DUMMYFUNCTION("""COMPUTED_VALUE"""),"10.3758/bf03201200")</f>
        <v>10.3758/bf03201200</v>
      </c>
      <c r="B806" s="453" t="str">
        <f>IFERROR(__xludf.DUMMYFUNCTION("""COMPUTED_VALUE"""),"https://drive.google.com/file/d/1zi3DLqOGO7Btyv2lzS3_iuu2oIfHSvhn/view?usp=drivesdk")</f>
        <v>https://drive.google.com/file/d/1zi3DLqOGO7Btyv2lzS3_iuu2oIfHSvhn/view?usp=drivesdk</v>
      </c>
      <c r="C806" s="147" t="str">
        <f>IFERROR(__xludf.DUMMYFUNCTION("""COMPUTED_VALUE"""),"10.3758--bf03201200.pdf")</f>
        <v>10.3758--bf03201200.pdf</v>
      </c>
      <c r="D806" s="147" t="str">
        <f>IFERROR(__xludf.DUMMYFUNCTION("""COMPUTED_VALUE"""),"application/pdf")</f>
        <v>application/pdf</v>
      </c>
    </row>
    <row r="807">
      <c r="A807" s="147" t="str">
        <f>IFERROR(__xludf.DUMMYFUNCTION("""COMPUTED_VALUE"""),"10.1080/02687039808249561")</f>
        <v>10.1080/02687039808249561</v>
      </c>
      <c r="B807" s="453" t="str">
        <f>IFERROR(__xludf.DUMMYFUNCTION("""COMPUTED_VALUE"""),"https://drive.google.com/file/d/1NKuXy2eEACsWL03AhiZ1c6s6CeqztW4P/view?usp=drivesdk")</f>
        <v>https://drive.google.com/file/d/1NKuXy2eEACsWL03AhiZ1c6s6CeqztW4P/view?usp=drivesdk</v>
      </c>
      <c r="C807" s="147" t="str">
        <f>IFERROR(__xludf.DUMMYFUNCTION("""COMPUTED_VALUE"""),"10.1080--02687039808249561.pdf")</f>
        <v>10.1080--02687039808249561.pdf</v>
      </c>
      <c r="D807" s="147" t="str">
        <f>IFERROR(__xludf.DUMMYFUNCTION("""COMPUTED_VALUE"""),"application/pdf")</f>
        <v>application/pdf</v>
      </c>
    </row>
    <row r="808">
      <c r="A808" s="147" t="str">
        <f>IFERROR(__xludf.DUMMYFUNCTION("""COMPUTED_VALUE"""),"10.1016/j.cognition.2020.104191")</f>
        <v>10.1016/j.cognition.2020.104191</v>
      </c>
      <c r="B808" s="453" t="str">
        <f>IFERROR(__xludf.DUMMYFUNCTION("""COMPUTED_VALUE"""),"https://drive.google.com/file/d/1-FYT0QOVIGaA4PgfHyCIHis4MjqOeFiY/view?usp=drivesdk")</f>
        <v>https://drive.google.com/file/d/1-FYT0QOVIGaA4PgfHyCIHis4MjqOeFiY/view?usp=drivesdk</v>
      </c>
      <c r="C808" s="147" t="str">
        <f>IFERROR(__xludf.DUMMYFUNCTION("""COMPUTED_VALUE"""),"10.1016--j.cognition.2020.104191.pdf")</f>
        <v>10.1016--j.cognition.2020.104191.pdf</v>
      </c>
      <c r="D808" s="147" t="str">
        <f>IFERROR(__xludf.DUMMYFUNCTION("""COMPUTED_VALUE"""),"application/pdf")</f>
        <v>application/pdf</v>
      </c>
    </row>
    <row r="809">
      <c r="A809" s="147" t="str">
        <f>IFERROR(__xludf.DUMMYFUNCTION("""COMPUTED_VALUE"""),"10.1016/j.infbeh.2019.101350")</f>
        <v>10.1016/j.infbeh.2019.101350</v>
      </c>
      <c r="B809" s="453" t="str">
        <f>IFERROR(__xludf.DUMMYFUNCTION("""COMPUTED_VALUE"""),"https://drive.google.com/file/d/1-wsXELxSOwXrENqGKeAN6dmdsJy5xqtf/view?usp=drivesdk")</f>
        <v>https://drive.google.com/file/d/1-wsXELxSOwXrENqGKeAN6dmdsJy5xqtf/view?usp=drivesdk</v>
      </c>
      <c r="C809" s="147" t="str">
        <f>IFERROR(__xludf.DUMMYFUNCTION("""COMPUTED_VALUE"""),"10.1016--j.infbeh.2019.101350.pdf")</f>
        <v>10.1016--j.infbeh.2019.101350.pdf</v>
      </c>
      <c r="D809" s="147" t="str">
        <f>IFERROR(__xludf.DUMMYFUNCTION("""COMPUTED_VALUE"""),"application/pdf")</f>
        <v>application/pdf</v>
      </c>
    </row>
    <row r="810">
      <c r="A810" s="147" t="str">
        <f>IFERROR(__xludf.DUMMYFUNCTION("""COMPUTED_VALUE"""),"10.1111/cns.13526")</f>
        <v>10.1111/cns.13526</v>
      </c>
      <c r="B810" s="453" t="str">
        <f>IFERROR(__xludf.DUMMYFUNCTION("""COMPUTED_VALUE"""),"https://drive.google.com/file/d/14DNZRM40L2rRaRLath5YsJWIG0aixqy-/view?usp=drivesdk")</f>
        <v>https://drive.google.com/file/d/14DNZRM40L2rRaRLath5YsJWIG0aixqy-/view?usp=drivesdk</v>
      </c>
      <c r="C810" s="147" t="str">
        <f>IFERROR(__xludf.DUMMYFUNCTION("""COMPUTED_VALUE"""),"10.1111--cns.13526.pdf")</f>
        <v>10.1111--cns.13526.pdf</v>
      </c>
      <c r="D810" s="147" t="str">
        <f>IFERROR(__xludf.DUMMYFUNCTION("""COMPUTED_VALUE"""),"application/pdf")</f>
        <v>application/pdf</v>
      </c>
    </row>
    <row r="811">
      <c r="A811" s="147" t="str">
        <f>IFERROR(__xludf.DUMMYFUNCTION("""COMPUTED_VALUE"""),"10.1016/j.concog.2015.11.011")</f>
        <v>10.1016/j.concog.2015.11.011</v>
      </c>
      <c r="B811" s="453" t="str">
        <f>IFERROR(__xludf.DUMMYFUNCTION("""COMPUTED_VALUE"""),"https://drive.google.com/file/d/14I4i-H3Y7sJWjSiL3kd591Tq0IYRx-nO/view?usp=drivesdk")</f>
        <v>https://drive.google.com/file/d/14I4i-H3Y7sJWjSiL3kd591Tq0IYRx-nO/view?usp=drivesdk</v>
      </c>
      <c r="C811" s="147" t="str">
        <f>IFERROR(__xludf.DUMMYFUNCTION("""COMPUTED_VALUE"""),"10.1016--j.concog.2015.11.011.pdf")</f>
        <v>10.1016--j.concog.2015.11.011.pdf</v>
      </c>
      <c r="D811" s="147" t="str">
        <f>IFERROR(__xludf.DUMMYFUNCTION("""COMPUTED_VALUE"""),"application/pdf")</f>
        <v>application/pdf</v>
      </c>
    </row>
    <row r="812">
      <c r="A812" s="147" t="str">
        <f>IFERROR(__xludf.DUMMYFUNCTION("""COMPUTED_VALUE"""),"10.1016/j.neuroimage.2019.116286")</f>
        <v>10.1016/j.neuroimage.2019.116286</v>
      </c>
      <c r="B812" s="453" t="str">
        <f>IFERROR(__xludf.DUMMYFUNCTION("""COMPUTED_VALUE"""),"https://drive.google.com/file/d/1nPeNQuXq6UAyW8Ux_E5ua7um4qsFLJ_o/view?usp=drivesdk")</f>
        <v>https://drive.google.com/file/d/1nPeNQuXq6UAyW8Ux_E5ua7um4qsFLJ_o/view?usp=drivesdk</v>
      </c>
      <c r="C812" s="147" t="str">
        <f>IFERROR(__xludf.DUMMYFUNCTION("""COMPUTED_VALUE"""),"10.1016--j.neuroimage.2019.116286.pdf")</f>
        <v>10.1016--j.neuroimage.2019.116286.pdf</v>
      </c>
      <c r="D812" s="147" t="str">
        <f>IFERROR(__xludf.DUMMYFUNCTION("""COMPUTED_VALUE"""),"application/pdf")</f>
        <v>application/pdf</v>
      </c>
    </row>
    <row r="813">
      <c r="A813" s="147" t="str">
        <f>IFERROR(__xludf.DUMMYFUNCTION("""COMPUTED_VALUE"""),"10.1037/0022-0663.76.1.85")</f>
        <v>10.1037/0022-0663.76.1.85</v>
      </c>
      <c r="B813" s="453" t="str">
        <f>IFERROR(__xludf.DUMMYFUNCTION("""COMPUTED_VALUE"""),"https://drive.google.com/file/d/1kEKQ8OZ8hWV7vjvUgePWcgbmTxOS3OkH/view?usp=drivesdk")</f>
        <v>https://drive.google.com/file/d/1kEKQ8OZ8hWV7vjvUgePWcgbmTxOS3OkH/view?usp=drivesdk</v>
      </c>
      <c r="C813" s="147" t="str">
        <f>IFERROR(__xludf.DUMMYFUNCTION("""COMPUTED_VALUE"""),"10.1037--0022-0663.76.1.85.pdf")</f>
        <v>10.1037--0022-0663.76.1.85.pdf</v>
      </c>
      <c r="D813" s="147" t="str">
        <f>IFERROR(__xludf.DUMMYFUNCTION("""COMPUTED_VALUE"""),"application/pdf")</f>
        <v>application/pdf</v>
      </c>
    </row>
    <row r="814">
      <c r="A814" s="147" t="str">
        <f>IFERROR(__xludf.DUMMYFUNCTION("""COMPUTED_VALUE"""),"10.1207/s15327957pspr0902_3")</f>
        <v>10.1207/s15327957pspr0902_3</v>
      </c>
      <c r="B814" s="453" t="str">
        <f>IFERROR(__xludf.DUMMYFUNCTION("""COMPUTED_VALUE"""),"https://drive.google.com/file/d/139fwfSuHaC3wTChDe3wxF-d919Mz_jKy/view?usp=drivesdk")</f>
        <v>https://drive.google.com/file/d/139fwfSuHaC3wTChDe3wxF-d919Mz_jKy/view?usp=drivesdk</v>
      </c>
      <c r="C814" s="147" t="str">
        <f>IFERROR(__xludf.DUMMYFUNCTION("""COMPUTED_VALUE"""),"10.1207--s15327957pspr0902_3.pdf")</f>
        <v>10.1207--s15327957pspr0902_3.pdf</v>
      </c>
      <c r="D814" s="147" t="str">
        <f>IFERROR(__xludf.DUMMYFUNCTION("""COMPUTED_VALUE"""),"application/pdf")</f>
        <v>application/pdf</v>
      </c>
    </row>
    <row r="815">
      <c r="A815" s="147" t="str">
        <f>IFERROR(__xludf.DUMMYFUNCTION("""COMPUTED_VALUE"""),"10.1016/s0160-2896(99)00026-4")</f>
        <v>10.1016/s0160-2896(99)00026-4</v>
      </c>
      <c r="B815" s="453" t="str">
        <f>IFERROR(__xludf.DUMMYFUNCTION("""COMPUTED_VALUE"""),"https://drive.google.com/file/d/1Igh1OYrpvOLJ8WDgqCuHskXzEU7ZoW_6/view?usp=drivesdk")</f>
        <v>https://drive.google.com/file/d/1Igh1OYrpvOLJ8WDgqCuHskXzEU7ZoW_6/view?usp=drivesdk</v>
      </c>
      <c r="C815" s="147" t="str">
        <f>IFERROR(__xludf.DUMMYFUNCTION("""COMPUTED_VALUE"""),"10.1016--S0160-2896(99)00026-4.pdf")</f>
        <v>10.1016--S0160-2896(99)00026-4.pdf</v>
      </c>
      <c r="D815" s="147" t="str">
        <f>IFERROR(__xludf.DUMMYFUNCTION("""COMPUTED_VALUE"""),"application/pdf")</f>
        <v>application/pdf</v>
      </c>
    </row>
    <row r="816">
      <c r="A816" s="147" t="str">
        <f>IFERROR(__xludf.DUMMYFUNCTION("""COMPUTED_VALUE"""),"10.1371/journal.pone.0172636")</f>
        <v>10.1371/journal.pone.0172636</v>
      </c>
      <c r="B816" s="453" t="str">
        <f>IFERROR(__xludf.DUMMYFUNCTION("""COMPUTED_VALUE"""),"https://drive.google.com/file/d/1ZdStIAryiMG9Yjyb-epjFMXsQ4Y0oqnn/view?usp=drivesdk")</f>
        <v>https://drive.google.com/file/d/1ZdStIAryiMG9Yjyb-epjFMXsQ4Y0oqnn/view?usp=drivesdk</v>
      </c>
      <c r="C816" s="147" t="str">
        <f>IFERROR(__xludf.DUMMYFUNCTION("""COMPUTED_VALUE"""),"10.1371--journal.pone.0172636.pdf")</f>
        <v>10.1371--journal.pone.0172636.pdf</v>
      </c>
      <c r="D816" s="147" t="str">
        <f>IFERROR(__xludf.DUMMYFUNCTION("""COMPUTED_VALUE"""),"application/pdf")</f>
        <v>application/pdf</v>
      </c>
    </row>
    <row r="817">
      <c r="A817" s="147" t="str">
        <f>IFERROR(__xludf.DUMMYFUNCTION("""COMPUTED_VALUE"""),"10.1097/pec.0000000000000291")</f>
        <v>10.1097/pec.0000000000000291</v>
      </c>
      <c r="B817" s="453" t="str">
        <f>IFERROR(__xludf.DUMMYFUNCTION("""COMPUTED_VALUE"""),"https://drive.google.com/file/d/10IIx36WTqPVUiEaE8gV365XVujuS4Gfu/view?usp=drivesdk")</f>
        <v>https://drive.google.com/file/d/10IIx36WTqPVUiEaE8gV365XVujuS4Gfu/view?usp=drivesdk</v>
      </c>
      <c r="C817" s="147" t="str">
        <f>IFERROR(__xludf.DUMMYFUNCTION("""COMPUTED_VALUE"""),"10.1097--PEC.0000000000000291.pdf")</f>
        <v>10.1097--PEC.0000000000000291.pdf</v>
      </c>
      <c r="D817" s="147" t="str">
        <f>IFERROR(__xludf.DUMMYFUNCTION("""COMPUTED_VALUE"""),"application/pdf")</f>
        <v>application/pdf</v>
      </c>
    </row>
    <row r="818">
      <c r="A818" s="147" t="str">
        <f>IFERROR(__xludf.DUMMYFUNCTION("""COMPUTED_VALUE"""),"10.2466/pr0.1997.80.1.243")</f>
        <v>10.2466/pr0.1997.80.1.243</v>
      </c>
      <c r="B818" s="453" t="str">
        <f>IFERROR(__xludf.DUMMYFUNCTION("""COMPUTED_VALUE"""),"https://drive.google.com/file/d/1wo2PsM8GTYQx74frM70uNiJKYAsBFUYB/view?usp=drivesdk")</f>
        <v>https://drive.google.com/file/d/1wo2PsM8GTYQx74frM70uNiJKYAsBFUYB/view?usp=drivesdk</v>
      </c>
      <c r="C818" s="147" t="str">
        <f>IFERROR(__xludf.DUMMYFUNCTION("""COMPUTED_VALUE"""),"10.2466--pr0.1997.80.1.243.pdf")</f>
        <v>10.2466--pr0.1997.80.1.243.pdf</v>
      </c>
      <c r="D818" s="147" t="str">
        <f>IFERROR(__xludf.DUMMYFUNCTION("""COMPUTED_VALUE"""),"application/pdf")</f>
        <v>application/pdf</v>
      </c>
    </row>
    <row r="819">
      <c r="A819" s="147" t="str">
        <f>IFERROR(__xludf.DUMMYFUNCTION("""COMPUTED_VALUE"""),"10.1037/a0029406")</f>
        <v>10.1037/a0029406</v>
      </c>
      <c r="B819" s="453" t="str">
        <f>IFERROR(__xludf.DUMMYFUNCTION("""COMPUTED_VALUE"""),"https://drive.google.com/file/d/18k5lmuAt7G5fW0h7Ox4zm9sp87t0pl9o/view?usp=drivesdk")</f>
        <v>https://drive.google.com/file/d/18k5lmuAt7G5fW0h7Ox4zm9sp87t0pl9o/view?usp=drivesdk</v>
      </c>
      <c r="C819" s="147" t="str">
        <f>IFERROR(__xludf.DUMMYFUNCTION("""COMPUTED_VALUE"""),"10.1037--a0029406.pdf")</f>
        <v>10.1037--a0029406.pdf</v>
      </c>
      <c r="D819" s="147" t="str">
        <f>IFERROR(__xludf.DUMMYFUNCTION("""COMPUTED_VALUE"""),"application/pdf")</f>
        <v>application/pdf</v>
      </c>
    </row>
    <row r="820">
      <c r="A820" s="147" t="str">
        <f>IFERROR(__xludf.DUMMYFUNCTION("""COMPUTED_VALUE"""),"10.1037/0033-2909.132.3.354")</f>
        <v>10.1037/0033-2909.132.3.354</v>
      </c>
      <c r="B820" s="453" t="str">
        <f>IFERROR(__xludf.DUMMYFUNCTION("""COMPUTED_VALUE"""),"https://drive.google.com/file/d/1MPCWsbzcBe5ePjP0UljBAK8ZnOW2vQy1/view?usp=drivesdk")</f>
        <v>https://drive.google.com/file/d/1MPCWsbzcBe5ePjP0UljBAK8ZnOW2vQy1/view?usp=drivesdk</v>
      </c>
      <c r="C820" s="147" t="str">
        <f>IFERROR(__xludf.DUMMYFUNCTION("""COMPUTED_VALUE"""),"10.1037--0033-2909.132.3.354.pdf")</f>
        <v>10.1037--0033-2909.132.3.354.pdf</v>
      </c>
      <c r="D820" s="147" t="str">
        <f>IFERROR(__xludf.DUMMYFUNCTION("""COMPUTED_VALUE"""),"application/pdf")</f>
        <v>application/pdf</v>
      </c>
    </row>
    <row r="821">
      <c r="A821" s="147" t="str">
        <f>IFERROR(__xludf.DUMMYFUNCTION("""COMPUTED_VALUE"""),"10.1086/374692")</f>
        <v>10.1086/374692</v>
      </c>
      <c r="B821" s="453" t="str">
        <f>IFERROR(__xludf.DUMMYFUNCTION("""COMPUTED_VALUE"""),"https://drive.google.com/file/d/1bqv0JC0jxBSnGUXudYVy287HrZYkg7f8/view?usp=drivesdk")</f>
        <v>https://drive.google.com/file/d/1bqv0JC0jxBSnGUXudYVy287HrZYkg7f8/view?usp=drivesdk</v>
      </c>
      <c r="C821" s="147" t="str">
        <f>IFERROR(__xludf.DUMMYFUNCTION("""COMPUTED_VALUE"""),"10.1086--374692.pdf")</f>
        <v>10.1086--374692.pdf</v>
      </c>
      <c r="D821" s="147" t="str">
        <f>IFERROR(__xludf.DUMMYFUNCTION("""COMPUTED_VALUE"""),"application/pdf")</f>
        <v>application/pdf</v>
      </c>
    </row>
    <row r="822">
      <c r="A822" s="147" t="str">
        <f>IFERROR(__xludf.DUMMYFUNCTION("""COMPUTED_VALUE"""),"10.3758/bf03214311")</f>
        <v>10.3758/bf03214311</v>
      </c>
      <c r="B822" s="453" t="str">
        <f>IFERROR(__xludf.DUMMYFUNCTION("""COMPUTED_VALUE"""),"https://drive.google.com/file/d/13QpH12y8u_3LYQfpUlZPXruZ9ITxBj7L/view?usp=drivesdk")</f>
        <v>https://drive.google.com/file/d/13QpH12y8u_3LYQfpUlZPXruZ9ITxBj7L/view?usp=drivesdk</v>
      </c>
      <c r="C822" s="147" t="str">
        <f>IFERROR(__xludf.DUMMYFUNCTION("""COMPUTED_VALUE"""),"10.3758--BF03214311.pdf")</f>
        <v>10.3758--BF03214311.pdf</v>
      </c>
      <c r="D822" s="147" t="str">
        <f>IFERROR(__xludf.DUMMYFUNCTION("""COMPUTED_VALUE"""),"application/pdf")</f>
        <v>application/pdf</v>
      </c>
    </row>
    <row r="823">
      <c r="A823" s="147" t="str">
        <f>IFERROR(__xludf.DUMMYFUNCTION("""COMPUTED_VALUE"""),"10.3758/bf03209254")</f>
        <v>10.3758/bf03209254</v>
      </c>
      <c r="B823" s="453" t="str">
        <f>IFERROR(__xludf.DUMMYFUNCTION("""COMPUTED_VALUE"""),"https://drive.google.com/file/d/1vSUoURXNkSjOH5b-EJ3fbPhxlP2R6Cmd/view?usp=drivesdk")</f>
        <v>https://drive.google.com/file/d/1vSUoURXNkSjOH5b-EJ3fbPhxlP2R6Cmd/view?usp=drivesdk</v>
      </c>
      <c r="C823" s="147" t="str">
        <f>IFERROR(__xludf.DUMMYFUNCTION("""COMPUTED_VALUE"""),"10.3758--BF03209254.pdf")</f>
        <v>10.3758--BF03209254.pdf</v>
      </c>
      <c r="D823" s="147" t="str">
        <f>IFERROR(__xludf.DUMMYFUNCTION("""COMPUTED_VALUE"""),"application/pdf")</f>
        <v>application/pdf</v>
      </c>
    </row>
    <row r="824">
      <c r="A824" s="147" t="str">
        <f>IFERROR(__xludf.DUMMYFUNCTION("""COMPUTED_VALUE"""),"10.1037/0278-7393.24.2.284")</f>
        <v>10.1037/0278-7393.24.2.284</v>
      </c>
      <c r="B824" s="453" t="str">
        <f>IFERROR(__xludf.DUMMYFUNCTION("""COMPUTED_VALUE"""),"https://drive.google.com/file/d/1BV6WsC6qCPXZsjA8vsWO-pA40hx0KbaP/view?usp=drivesdk")</f>
        <v>https://drive.google.com/file/d/1BV6WsC6qCPXZsjA8vsWO-pA40hx0KbaP/view?usp=drivesdk</v>
      </c>
      <c r="C824" s="147" t="str">
        <f>IFERROR(__xludf.DUMMYFUNCTION("""COMPUTED_VALUE"""),"10.1037--0278-7393.24.2.284.pdf")</f>
        <v>10.1037--0278-7393.24.2.284.pdf</v>
      </c>
      <c r="D824" s="147" t="str">
        <f>IFERROR(__xludf.DUMMYFUNCTION("""COMPUTED_VALUE"""),"application/pdf")</f>
        <v>application/pdf</v>
      </c>
    </row>
    <row r="825">
      <c r="A825" s="147" t="str">
        <f>IFERROR(__xludf.DUMMYFUNCTION("""COMPUTED_VALUE"""),"10.1177/2515245920903079")</f>
        <v>10.1177/2515245920903079</v>
      </c>
      <c r="B825" s="453" t="str">
        <f>IFERROR(__xludf.DUMMYFUNCTION("""COMPUTED_VALUE"""),"https://drive.google.com/file/d/1YKtEfMrOGZwhGnqG8EYyHuWgZ1XN5GQT/view?usp=drivesdk")</f>
        <v>https://drive.google.com/file/d/1YKtEfMrOGZwhGnqG8EYyHuWgZ1XN5GQT/view?usp=drivesdk</v>
      </c>
      <c r="C825" s="147" t="str">
        <f>IFERROR(__xludf.DUMMYFUNCTION("""COMPUTED_VALUE"""),"10.1177--2515245920903079.pdf")</f>
        <v>10.1177--2515245920903079.pdf</v>
      </c>
      <c r="D825" s="147" t="str">
        <f>IFERROR(__xludf.DUMMYFUNCTION("""COMPUTED_VALUE"""),"application/pdf")</f>
        <v>application/pdf</v>
      </c>
    </row>
    <row r="826">
      <c r="A826" s="147" t="str">
        <f>IFERROR(__xludf.DUMMYFUNCTION("""COMPUTED_VALUE"""),"10.1038/nn1066")</f>
        <v>10.1038/nn1066</v>
      </c>
      <c r="B826" s="453" t="str">
        <f>IFERROR(__xludf.DUMMYFUNCTION("""COMPUTED_VALUE"""),"https://drive.google.com/file/d/1mFs9muymaEK-hSfyAYbiFpraUy2r_S5J/view?usp=drivesdk")</f>
        <v>https://drive.google.com/file/d/1mFs9muymaEK-hSfyAYbiFpraUy2r_S5J/view?usp=drivesdk</v>
      </c>
      <c r="C826" s="147" t="str">
        <f>IFERROR(__xludf.DUMMYFUNCTION("""COMPUTED_VALUE"""),"10.1038--nn1066.pdf")</f>
        <v>10.1038--nn1066.pdf</v>
      </c>
      <c r="D826" s="147" t="str">
        <f>IFERROR(__xludf.DUMMYFUNCTION("""COMPUTED_VALUE"""),"application/pdf")</f>
        <v>application/pdf</v>
      </c>
    </row>
    <row r="827">
      <c r="A827" s="147" t="str">
        <f>IFERROR(__xludf.DUMMYFUNCTION("""COMPUTED_VALUE"""),"10.1037/0022-3514.91.5.975")</f>
        <v>10.1037/0022-3514.91.5.975</v>
      </c>
      <c r="B827" s="453" t="str">
        <f>IFERROR(__xludf.DUMMYFUNCTION("""COMPUTED_VALUE"""),"https://drive.google.com/file/d/10TU4DldvRAGQQB8ko09DTR5kZTiT8DWd/view?usp=drivesdk")</f>
        <v>https://drive.google.com/file/d/10TU4DldvRAGQQB8ko09DTR5kZTiT8DWd/view?usp=drivesdk</v>
      </c>
      <c r="C827" s="147" t="str">
        <f>IFERROR(__xludf.DUMMYFUNCTION("""COMPUTED_VALUE"""),"10.1037--0022-3514.91.5.975.pdf")</f>
        <v>10.1037--0022-3514.91.5.975.pdf</v>
      </c>
      <c r="D827" s="147" t="str">
        <f>IFERROR(__xludf.DUMMYFUNCTION("""COMPUTED_VALUE"""),"application/pdf")</f>
        <v>application/pdf</v>
      </c>
    </row>
    <row r="828">
      <c r="A828" s="147" t="str">
        <f>IFERROR(__xludf.DUMMYFUNCTION("""COMPUTED_VALUE"""),"10.1038/s41562-020-0886-x")</f>
        <v>10.1038/s41562-020-0886-x</v>
      </c>
      <c r="B828" s="453" t="str">
        <f>IFERROR(__xludf.DUMMYFUNCTION("""COMPUTED_VALUE"""),"https://drive.google.com/file/d/1ZJwJnhrQqNemZlVg810zY4UqBiSQXKPx/view?usp=drivesdk")</f>
        <v>https://drive.google.com/file/d/1ZJwJnhrQqNemZlVg810zY4UqBiSQXKPx/view?usp=drivesdk</v>
      </c>
      <c r="C828" s="147" t="str">
        <f>IFERROR(__xludf.DUMMYFUNCTION("""COMPUTED_VALUE"""),"10.1038--s41562-020-0886-x.pdf")</f>
        <v>10.1038--s41562-020-0886-x.pdf</v>
      </c>
      <c r="D828" s="147" t="str">
        <f>IFERROR(__xludf.DUMMYFUNCTION("""COMPUTED_VALUE"""),"application/pdf")</f>
        <v>application/pdf</v>
      </c>
    </row>
    <row r="829">
      <c r="A829" s="147" t="str">
        <f>IFERROR(__xludf.DUMMYFUNCTION("""COMPUTED_VALUE"""),"10.1093/cercor/bhx353")</f>
        <v>10.1093/cercor/bhx353</v>
      </c>
      <c r="B829" s="453" t="str">
        <f>IFERROR(__xludf.DUMMYFUNCTION("""COMPUTED_VALUE"""),"https://drive.google.com/file/d/14aPtuimCBHuACTR6Ysm7rhuUdNnhNt3M/view?usp=drivesdk")</f>
        <v>https://drive.google.com/file/d/14aPtuimCBHuACTR6Ysm7rhuUdNnhNt3M/view?usp=drivesdk</v>
      </c>
      <c r="C829" s="147" t="str">
        <f>IFERROR(__xludf.DUMMYFUNCTION("""COMPUTED_VALUE"""),"10.1093--cercor--bhx353.pdf")</f>
        <v>10.1093--cercor--bhx353.pdf</v>
      </c>
      <c r="D829" s="147" t="str">
        <f>IFERROR(__xludf.DUMMYFUNCTION("""COMPUTED_VALUE"""),"application/pdf")</f>
        <v>application/pdf</v>
      </c>
    </row>
    <row r="830">
      <c r="A830" s="147" t="str">
        <f>IFERROR(__xludf.DUMMYFUNCTION("""COMPUTED_VALUE"""),"10.1177/2515245918781032")</f>
        <v>10.1177/2515245918781032</v>
      </c>
      <c r="B830" s="453" t="str">
        <f>IFERROR(__xludf.DUMMYFUNCTION("""COMPUTED_VALUE"""),"https://drive.google.com/file/d/1FOQ7FQtPiTG4rTwMmNxW_mEod9sHnt_d/view?usp=drivesdk")</f>
        <v>https://drive.google.com/file/d/1FOQ7FQtPiTG4rTwMmNxW_mEod9sHnt_d/view?usp=drivesdk</v>
      </c>
      <c r="C830" s="147" t="str">
        <f>IFERROR(__xludf.DUMMYFUNCTION("""COMPUTED_VALUE"""),"10.1177--2515245918781032.pdf")</f>
        <v>10.1177--2515245918781032.pdf</v>
      </c>
      <c r="D830" s="147" t="str">
        <f>IFERROR(__xludf.DUMMYFUNCTION("""COMPUTED_VALUE"""),"application/pdf")</f>
        <v>application/pdf</v>
      </c>
    </row>
    <row r="831">
      <c r="A831" s="147" t="str">
        <f>IFERROR(__xludf.DUMMYFUNCTION("""COMPUTED_VALUE"""),"10.1002/acp.3775")</f>
        <v>10.1002/acp.3775</v>
      </c>
      <c r="B831" s="453" t="str">
        <f>IFERROR(__xludf.DUMMYFUNCTION("""COMPUTED_VALUE"""),"https://drive.google.com/file/d/1JFP7-KuZoBHwOtFwTX7dQBbZLZsnnzO1/view?usp=drivesdk")</f>
        <v>https://drive.google.com/file/d/1JFP7-KuZoBHwOtFwTX7dQBbZLZsnnzO1/view?usp=drivesdk</v>
      </c>
      <c r="C831" s="147" t="str">
        <f>IFERROR(__xludf.DUMMYFUNCTION("""COMPUTED_VALUE"""),"10.1002--acp.3775.pdf")</f>
        <v>10.1002--acp.3775.pdf</v>
      </c>
      <c r="D831" s="147" t="str">
        <f>IFERROR(__xludf.DUMMYFUNCTION("""COMPUTED_VALUE"""),"application/pdf")</f>
        <v>application/pdf</v>
      </c>
    </row>
    <row r="832">
      <c r="A832" s="147" t="str">
        <f>IFERROR(__xludf.DUMMYFUNCTION("""COMPUTED_VALUE"""),"10.1016/j.jesp.2021.104154")</f>
        <v>10.1016/j.jesp.2021.104154</v>
      </c>
      <c r="B832" s="453" t="str">
        <f>IFERROR(__xludf.DUMMYFUNCTION("""COMPUTED_VALUE"""),"https://drive.google.com/file/d/1nh5VP9Rb5MKotf2eusMhTvkZWvd4bgdF/view?usp=drivesdk")</f>
        <v>https://drive.google.com/file/d/1nh5VP9Rb5MKotf2eusMhTvkZWvd4bgdF/view?usp=drivesdk</v>
      </c>
      <c r="C832" s="147" t="str">
        <f>IFERROR(__xludf.DUMMYFUNCTION("""COMPUTED_VALUE"""),"10.1016--j.jesp.2021.104154.pdf")</f>
        <v>10.1016--j.jesp.2021.104154.pdf</v>
      </c>
      <c r="D832" s="147" t="str">
        <f>IFERROR(__xludf.DUMMYFUNCTION("""COMPUTED_VALUE"""),"application/pdf")</f>
        <v>application/pdf</v>
      </c>
    </row>
    <row r="833">
      <c r="A833" s="147" t="str">
        <f>IFERROR(__xludf.DUMMYFUNCTION("""COMPUTED_VALUE"""),"10.1037/bul0000030")</f>
        <v>10.1037/bul0000030</v>
      </c>
      <c r="B833" s="453" t="str">
        <f>IFERROR(__xludf.DUMMYFUNCTION("""COMPUTED_VALUE"""),"https://drive.google.com/file/d/1jOuc6HwGGOjFEh2R_gS67iWnf5Ql-TJX/view?usp=drivesdk")</f>
        <v>https://drive.google.com/file/d/1jOuc6HwGGOjFEh2R_gS67iWnf5Ql-TJX/view?usp=drivesdk</v>
      </c>
      <c r="C833" s="147" t="str">
        <f>IFERROR(__xludf.DUMMYFUNCTION("""COMPUTED_VALUE"""),"10.1037--bul0000030.pdf")</f>
        <v>10.1037--bul0000030.pdf</v>
      </c>
      <c r="D833" s="147" t="str">
        <f>IFERROR(__xludf.DUMMYFUNCTION("""COMPUTED_VALUE"""),"application/pdf")</f>
        <v>application/pdf</v>
      </c>
    </row>
    <row r="834">
      <c r="A834" s="147" t="str">
        <f>IFERROR(__xludf.DUMMYFUNCTION("""COMPUTED_VALUE"""),"10.1016/j.obhdp.2009.01.001")</f>
        <v>10.1016/j.obhdp.2009.01.001</v>
      </c>
      <c r="B834" s="453" t="str">
        <f>IFERROR(__xludf.DUMMYFUNCTION("""COMPUTED_VALUE"""),"https://drive.google.com/file/d/15BF8OmP5jtaEWWYkqexESPGYmO6G2k5L/view?usp=drivesdk")</f>
        <v>https://drive.google.com/file/d/15BF8OmP5jtaEWWYkqexESPGYmO6G2k5L/view?usp=drivesdk</v>
      </c>
      <c r="C834" s="147" t="str">
        <f>IFERROR(__xludf.DUMMYFUNCTION("""COMPUTED_VALUE"""),"10.1016--j.obhdp.2009.01.001.pdf")</f>
        <v>10.1016--j.obhdp.2009.01.001.pdf</v>
      </c>
      <c r="D834" s="147" t="str">
        <f>IFERROR(__xludf.DUMMYFUNCTION("""COMPUTED_VALUE"""),"application/pdf")</f>
        <v>application/pdf</v>
      </c>
    </row>
    <row r="835">
      <c r="A835" s="147" t="str">
        <f>IFERROR(__xludf.DUMMYFUNCTION("""COMPUTED_VALUE"""),"10.1177/0956797620953842")</f>
        <v>10.1177/0956797620953842</v>
      </c>
      <c r="B835" s="453" t="str">
        <f>IFERROR(__xludf.DUMMYFUNCTION("""COMPUTED_VALUE"""),"https://drive.google.com/file/d/1K3OKZrTIktD_b-8XBnmOYsspWQGFGk0Q/view?usp=drivesdk")</f>
        <v>https://drive.google.com/file/d/1K3OKZrTIktD_b-8XBnmOYsspWQGFGk0Q/view?usp=drivesdk</v>
      </c>
      <c r="C835" s="147" t="str">
        <f>IFERROR(__xludf.DUMMYFUNCTION("""COMPUTED_VALUE"""),"10.1177--0956797620953842.pdf")</f>
        <v>10.1177--0956797620953842.pdf</v>
      </c>
      <c r="D835" s="147" t="str">
        <f>IFERROR(__xludf.DUMMYFUNCTION("""COMPUTED_VALUE"""),"application/pdf")</f>
        <v>application/pdf</v>
      </c>
    </row>
    <row r="836">
      <c r="A836" s="147" t="str">
        <f>IFERROR(__xludf.DUMMYFUNCTION("""COMPUTED_VALUE"""),"10.1177/0956797620922477")</f>
        <v>10.1177/0956797620922477</v>
      </c>
      <c r="B836" s="453" t="str">
        <f>IFERROR(__xludf.DUMMYFUNCTION("""COMPUTED_VALUE"""),"https://drive.google.com/file/d/1bqNCgQVoUhLOppqc8fkMKPTkt16YU69C/view?usp=drivesdk")</f>
        <v>https://drive.google.com/file/d/1bqNCgQVoUhLOppqc8fkMKPTkt16YU69C/view?usp=drivesdk</v>
      </c>
      <c r="C836" s="147" t="str">
        <f>IFERROR(__xludf.DUMMYFUNCTION("""COMPUTED_VALUE"""),"10.1177--0956797620922477.pdf")</f>
        <v>10.1177--0956797620922477.pdf</v>
      </c>
      <c r="D836" s="147" t="str">
        <f>IFERROR(__xludf.DUMMYFUNCTION("""COMPUTED_VALUE"""),"application/pdf")</f>
        <v>application/pdf</v>
      </c>
    </row>
    <row r="837">
      <c r="A837" s="147" t="str">
        <f>IFERROR(__xludf.DUMMYFUNCTION("""COMPUTED_VALUE"""),"10.1177/1745691616652873")</f>
        <v>10.1177/1745691616652873</v>
      </c>
      <c r="B837" s="453" t="str">
        <f>IFERROR(__xludf.DUMMYFUNCTION("""COMPUTED_VALUE"""),"https://drive.google.com/file/d/1z3GCMlnj8CXi5EAWeC90iwE1ueOD17a1/view?usp=drivesdk")</f>
        <v>https://drive.google.com/file/d/1z3GCMlnj8CXi5EAWeC90iwE1ueOD17a1/view?usp=drivesdk</v>
      </c>
      <c r="C837" s="147" t="str">
        <f>IFERROR(__xludf.DUMMYFUNCTION("""COMPUTED_VALUE"""),"10.1177--1745691616652873.pdf")</f>
        <v>10.1177--1745691616652873.pdf</v>
      </c>
      <c r="D837" s="147" t="str">
        <f>IFERROR(__xludf.DUMMYFUNCTION("""COMPUTED_VALUE"""),"application/pdf")</f>
        <v>application/pdf</v>
      </c>
    </row>
    <row r="838">
      <c r="A838" s="147" t="str">
        <f>IFERROR(__xludf.DUMMYFUNCTION("""COMPUTED_VALUE"""),"10.1177/0956797613516010")</f>
        <v>10.1177/0956797613516010</v>
      </c>
      <c r="B838" s="453" t="str">
        <f>IFERROR(__xludf.DUMMYFUNCTION("""COMPUTED_VALUE"""),"https://drive.google.com/file/d/1FHadUuNmTdW0LnkNTp5zQlyfn5GZ28bX/view?usp=drivesdk")</f>
        <v>https://drive.google.com/file/d/1FHadUuNmTdW0LnkNTp5zQlyfn5GZ28bX/view?usp=drivesdk</v>
      </c>
      <c r="C838" s="147" t="str">
        <f>IFERROR(__xludf.DUMMYFUNCTION("""COMPUTED_VALUE"""),"10.1177--0956797613516010.pdf")</f>
        <v>10.1177--0956797613516010.pdf</v>
      </c>
      <c r="D838" s="147" t="str">
        <f>IFERROR(__xludf.DUMMYFUNCTION("""COMPUTED_VALUE"""),"application/pdf")</f>
        <v>application/pdf</v>
      </c>
    </row>
    <row r="839">
      <c r="A839" s="147" t="str">
        <f>IFERROR(__xludf.DUMMYFUNCTION("""COMPUTED_VALUE"""),"10.1177/1948550616654211")</f>
        <v>10.1177/1948550616654211</v>
      </c>
      <c r="B839" s="453" t="str">
        <f>IFERROR(__xludf.DUMMYFUNCTION("""COMPUTED_VALUE"""),"https://drive.google.com/file/d/19FbyW9fNY6UwGhgLEzSQ05MwRyCTC3YQ/view?usp=drivesdk")</f>
        <v>https://drive.google.com/file/d/19FbyW9fNY6UwGhgLEzSQ05MwRyCTC3YQ/view?usp=drivesdk</v>
      </c>
      <c r="C839" s="147" t="str">
        <f>IFERROR(__xludf.DUMMYFUNCTION("""COMPUTED_VALUE"""),"10.1177--1948550616654211.pdf")</f>
        <v>10.1177--1948550616654211.pdf</v>
      </c>
      <c r="D839" s="147" t="str">
        <f>IFERROR(__xludf.DUMMYFUNCTION("""COMPUTED_VALUE"""),"application/pdf")</f>
        <v>application/pdf</v>
      </c>
    </row>
    <row r="840">
      <c r="A840" s="147" t="str">
        <f>IFERROR(__xludf.DUMMYFUNCTION("""COMPUTED_VALUE"""),"10.1177/2515245919881152")</f>
        <v>10.1177/2515245919881152</v>
      </c>
      <c r="B840" s="453" t="str">
        <f>IFERROR(__xludf.DUMMYFUNCTION("""COMPUTED_VALUE"""),"https://drive.google.com/file/d/12jZzJF_5fcsQJhqPJb44akoOqNQsLihi/view?usp=drivesdk")</f>
        <v>https://drive.google.com/file/d/12jZzJF_5fcsQJhqPJb44akoOqNQsLihi/view?usp=drivesdk</v>
      </c>
      <c r="C840" s="147" t="str">
        <f>IFERROR(__xludf.DUMMYFUNCTION("""COMPUTED_VALUE"""),"10.1177--2515245919881152.pdf")</f>
        <v>10.1177--2515245919881152.pdf</v>
      </c>
      <c r="D840" s="147" t="str">
        <f>IFERROR(__xludf.DUMMYFUNCTION("""COMPUTED_VALUE"""),"application/pdf")</f>
        <v>application/pdf</v>
      </c>
    </row>
    <row r="841">
      <c r="A841" s="147" t="str">
        <f>IFERROR(__xludf.DUMMYFUNCTION("""COMPUTED_VALUE"""),"10.1371/journal.pone.0141181")</f>
        <v>10.1371/journal.pone.0141181</v>
      </c>
      <c r="B841" s="453" t="str">
        <f>IFERROR(__xludf.DUMMYFUNCTION("""COMPUTED_VALUE"""),"https://drive.google.com/file/d/1QoCLP7bUct1n8A_-MZCF8wm8Kz2BUX1d/view?usp=drivesdk")</f>
        <v>https://drive.google.com/file/d/1QoCLP7bUct1n8A_-MZCF8wm8Kz2BUX1d/view?usp=drivesdk</v>
      </c>
      <c r="C841" s="147" t="str">
        <f>IFERROR(__xludf.DUMMYFUNCTION("""COMPUTED_VALUE"""),"10.1371--journal.pone.0141181.pdf")</f>
        <v>10.1371--journal.pone.0141181.pdf</v>
      </c>
      <c r="D841" s="147" t="str">
        <f>IFERROR(__xludf.DUMMYFUNCTION("""COMPUTED_VALUE"""),"application/pdf")</f>
        <v>application/pdf</v>
      </c>
    </row>
    <row r="842">
      <c r="A842" s="147" t="str">
        <f>IFERROR(__xludf.DUMMYFUNCTION("""COMPUTED_VALUE"""),"10.1177/1745691615605826")</f>
        <v>10.1177/1745691615605826</v>
      </c>
      <c r="B842" s="453" t="str">
        <f>IFERROR(__xludf.DUMMYFUNCTION("""COMPUTED_VALUE"""),"https://drive.google.com/file/d/1WZ3vLKAiyXVJ8Y7P_HaRQAjUO19rFtGj/view?usp=drivesdk")</f>
        <v>https://drive.google.com/file/d/1WZ3vLKAiyXVJ8Y7P_HaRQAjUO19rFtGj/view?usp=drivesdk</v>
      </c>
      <c r="C842" s="147" t="str">
        <f>IFERROR(__xludf.DUMMYFUNCTION("""COMPUTED_VALUE"""),"10.1177--1745691615605826.pdf")</f>
        <v>10.1177--1745691615605826.pdf</v>
      </c>
      <c r="D842" s="147" t="str">
        <f>IFERROR(__xludf.DUMMYFUNCTION("""COMPUTED_VALUE"""),"application/pdf")</f>
        <v>application/pdf</v>
      </c>
    </row>
    <row r="843">
      <c r="A843" s="147" t="str">
        <f>IFERROR(__xludf.DUMMYFUNCTION("""COMPUTED_VALUE"""),"10.1007/s00426-019-01203-4")</f>
        <v>10.1007/s00426-019-01203-4</v>
      </c>
      <c r="B843" s="453" t="str">
        <f>IFERROR(__xludf.DUMMYFUNCTION("""COMPUTED_VALUE"""),"https://drive.google.com/file/d/1F_nuyD_n047nlKR4UNCi4EOBqH27odbQ/view?usp=drivesdk")</f>
        <v>https://drive.google.com/file/d/1F_nuyD_n047nlKR4UNCi4EOBqH27odbQ/view?usp=drivesdk</v>
      </c>
      <c r="C843" s="147" t="str">
        <f>IFERROR(__xludf.DUMMYFUNCTION("""COMPUTED_VALUE"""),"10.1007--s00426-019-01203-4.pdf")</f>
        <v>10.1007--s00426-019-01203-4.pdf</v>
      </c>
      <c r="D843" s="147" t="str">
        <f>IFERROR(__xludf.DUMMYFUNCTION("""COMPUTED_VALUE"""),"application/pdf")</f>
        <v>application/pdf</v>
      </c>
    </row>
    <row r="844">
      <c r="A844" s="147" t="str">
        <f>IFERROR(__xludf.DUMMYFUNCTION("""COMPUTED_VALUE"""),"10.1177/1948550616652209")</f>
        <v>10.1177/1948550616652209</v>
      </c>
      <c r="B844" s="453" t="str">
        <f>IFERROR(__xludf.DUMMYFUNCTION("""COMPUTED_VALUE"""),"https://drive.google.com/file/d/1Siah8cHN9e47_gL9zhIF1EGajvH1CyAB/view?usp=drivesdk")</f>
        <v>https://drive.google.com/file/d/1Siah8cHN9e47_gL9zhIF1EGajvH1CyAB/view?usp=drivesdk</v>
      </c>
      <c r="C844" s="147" t="str">
        <f>IFERROR(__xludf.DUMMYFUNCTION("""COMPUTED_VALUE"""),"10.1177--1948550616652209.pdf")</f>
        <v>10.1177--1948550616652209.pdf</v>
      </c>
      <c r="D844" s="147" t="str">
        <f>IFERROR(__xludf.DUMMYFUNCTION("""COMPUTED_VALUE"""),"application/pdf")</f>
        <v>application/pdf</v>
      </c>
    </row>
    <row r="845">
      <c r="A845" s="147" t="str">
        <f>IFERROR(__xludf.DUMMYFUNCTION("""COMPUTED_VALUE"""),"10.1177/0956797614553946")</f>
        <v>10.1177/0956797614553946</v>
      </c>
      <c r="B845" s="453" t="str">
        <f>IFERROR(__xludf.DUMMYFUNCTION("""COMPUTED_VALUE"""),"https://drive.google.com/file/d/182GXuG3qegDOfzlWQwH4rNCoeEmBWZVE/view?usp=drivesdk")</f>
        <v>https://drive.google.com/file/d/182GXuG3qegDOfzlWQwH4rNCoeEmBWZVE/view?usp=drivesdk</v>
      </c>
      <c r="C845" s="147" t="str">
        <f>IFERROR(__xludf.DUMMYFUNCTION("""COMPUTED_VALUE"""),"10.1177--0956797614553946.pdf")</f>
        <v>10.1177--0956797614553946.pdf</v>
      </c>
      <c r="D845" s="147" t="str">
        <f>IFERROR(__xludf.DUMMYFUNCTION("""COMPUTED_VALUE"""),"application/pdf")</f>
        <v>application/pdf</v>
      </c>
    </row>
    <row r="846">
      <c r="A846" s="147" t="str">
        <f>IFERROR(__xludf.DUMMYFUNCTION("""COMPUTED_VALUE"""),"10.1080/23743603.2017.1341186")</f>
        <v>10.1080/23743603.2017.1341186</v>
      </c>
      <c r="B846" s="453" t="str">
        <f>IFERROR(__xludf.DUMMYFUNCTION("""COMPUTED_VALUE"""),"https://drive.google.com/file/d/1JkzKHLpwRKawpwzVmuWAxuS42YRz05mT/view?usp=drivesdk")</f>
        <v>https://drive.google.com/file/d/1JkzKHLpwRKawpwzVmuWAxuS42YRz05mT/view?usp=drivesdk</v>
      </c>
      <c r="C846" s="147" t="str">
        <f>IFERROR(__xludf.DUMMYFUNCTION("""COMPUTED_VALUE"""),"10.1080--23743603.2017.1341186.pdf")</f>
        <v>10.1080--23743603.2017.1341186.pdf</v>
      </c>
      <c r="D846" s="147" t="str">
        <f>IFERROR(__xludf.DUMMYFUNCTION("""COMPUTED_VALUE"""),"application/pdf")</f>
        <v>application/pdf</v>
      </c>
    </row>
    <row r="847">
      <c r="A847" s="147" t="str">
        <f>IFERROR(__xludf.DUMMYFUNCTION("""COMPUTED_VALUE"""),"10.1080/23743603.2017.1341183")</f>
        <v>10.1080/23743603.2017.1341183</v>
      </c>
      <c r="B847" s="453" t="str">
        <f>IFERROR(__xludf.DUMMYFUNCTION("""COMPUTED_VALUE"""),"https://drive.google.com/file/d/18NQOUQh8MW-PbnLNWU49bwK7tgWLtRuO/view?usp=drivesdk")</f>
        <v>https://drive.google.com/file/d/18NQOUQh8MW-PbnLNWU49bwK7tgWLtRuO/view?usp=drivesdk</v>
      </c>
      <c r="C847" s="147" t="str">
        <f>IFERROR(__xludf.DUMMYFUNCTION("""COMPUTED_VALUE"""),"10.1080--23743603.2017.1341183.pdf")</f>
        <v>10.1080--23743603.2017.1341183.pdf</v>
      </c>
      <c r="D847" s="147" t="str">
        <f>IFERROR(__xludf.DUMMYFUNCTION("""COMPUTED_VALUE"""),"application/pdf")</f>
        <v>application/pdf</v>
      </c>
    </row>
    <row r="848">
      <c r="A848" s="147" t="str">
        <f>IFERROR(__xludf.DUMMYFUNCTION("""COMPUTED_VALUE"""),"10.1080/23743603.2016.1248081")</f>
        <v>10.1080/23743603.2016.1248081</v>
      </c>
      <c r="B848" s="453" t="str">
        <f>IFERROR(__xludf.DUMMYFUNCTION("""COMPUTED_VALUE"""),"https://drive.google.com/file/d/1tOYv5tephBInK45nXBgMdZTCvXDOaxS-/view?usp=drivesdk")</f>
        <v>https://drive.google.com/file/d/1tOYv5tephBInK45nXBgMdZTCvXDOaxS-/view?usp=drivesdk</v>
      </c>
      <c r="C848" s="147" t="str">
        <f>IFERROR(__xludf.DUMMYFUNCTION("""COMPUTED_VALUE"""),"10.1080--23743603.2016.1248081.pdf")</f>
        <v>10.1080--23743603.2016.1248081.pdf</v>
      </c>
      <c r="D848" s="147" t="str">
        <f>IFERROR(__xludf.DUMMYFUNCTION("""COMPUTED_VALUE"""),"application/pdf")</f>
        <v>application/pdf</v>
      </c>
    </row>
    <row r="849">
      <c r="A849" s="147" t="str">
        <f>IFERROR(__xludf.DUMMYFUNCTION("""COMPUTED_VALUE"""),"10.1080/23743603.2016.1248079")</f>
        <v>10.1080/23743603.2016.1248079</v>
      </c>
      <c r="B849" s="453" t="str">
        <f>IFERROR(__xludf.DUMMYFUNCTION("""COMPUTED_VALUE"""),"https://drive.google.com/file/d/1as3AUf7PRMswz__MVvHdjHvWtN6M-Jme/view?usp=drivesdk")</f>
        <v>https://drive.google.com/file/d/1as3AUf7PRMswz__MVvHdjHvWtN6M-Jme/view?usp=drivesdk</v>
      </c>
      <c r="C849" s="147" t="str">
        <f>IFERROR(__xludf.DUMMYFUNCTION("""COMPUTED_VALUE"""),"10.1080--23743603.2016.1248079.pdf")</f>
        <v>10.1080--23743603.2016.1248079.pdf</v>
      </c>
      <c r="D849" s="147" t="str">
        <f>IFERROR(__xludf.DUMMYFUNCTION("""COMPUTED_VALUE"""),"application/pdf")</f>
        <v>application/pdf</v>
      </c>
    </row>
    <row r="850">
      <c r="A850" s="147" t="str">
        <f>IFERROR(__xludf.DUMMYFUNCTION("""COMPUTED_VALUE"""),"10.1371/journal.pone.0026016")</f>
        <v>10.1371/journal.pone.0026016</v>
      </c>
      <c r="B850" s="453" t="str">
        <f>IFERROR(__xludf.DUMMYFUNCTION("""COMPUTED_VALUE"""),"https://drive.google.com/file/d/1Ls_1G30LlE9ynAfY1xfCDSGYTI9JG2pC/view?usp=drivesdk")</f>
        <v>https://drive.google.com/file/d/1Ls_1G30LlE9ynAfY1xfCDSGYTI9JG2pC/view?usp=drivesdk</v>
      </c>
      <c r="C850" s="147" t="str">
        <f>IFERROR(__xludf.DUMMYFUNCTION("""COMPUTED_VALUE"""),"10.1371--journal.pone.0026016.pdf")</f>
        <v>10.1371--journal.pone.0026016.pdf</v>
      </c>
      <c r="D850" s="147" t="str">
        <f>IFERROR(__xludf.DUMMYFUNCTION("""COMPUTED_VALUE"""),"application/pdf")</f>
        <v>application/pdf</v>
      </c>
    </row>
    <row r="851">
      <c r="A851" s="147" t="str">
        <f>IFERROR(__xludf.DUMMYFUNCTION("""COMPUTED_VALUE"""),"10.1177/0956797617734315")</f>
        <v>10.1177/0956797617734315</v>
      </c>
      <c r="B851" s="453" t="str">
        <f>IFERROR(__xludf.DUMMYFUNCTION("""COMPUTED_VALUE"""),"https://drive.google.com/file/d/1qIFGf5ktWSXh7rQfL1KhTAj0tN-Q92hY/view?usp=drivesdk")</f>
        <v>https://drive.google.com/file/d/1qIFGf5ktWSXh7rQfL1KhTAj0tN-Q92hY/view?usp=drivesdk</v>
      </c>
      <c r="C851" s="147" t="str">
        <f>IFERROR(__xludf.DUMMYFUNCTION("""COMPUTED_VALUE"""),"10.1177--0956797617734315.pdf")</f>
        <v>10.1177--0956797617734315.pdf</v>
      </c>
      <c r="D851" s="147" t="str">
        <f>IFERROR(__xludf.DUMMYFUNCTION("""COMPUTED_VALUE"""),"application/pdf")</f>
        <v>application/pdf</v>
      </c>
    </row>
    <row r="852">
      <c r="A852" s="147" t="str">
        <f>IFERROR(__xludf.DUMMYFUNCTION("""COMPUTED_VALUE"""),"10.1177/0093650211418339")</f>
        <v>10.1177/0093650211418339</v>
      </c>
      <c r="B852" s="453" t="str">
        <f>IFERROR(__xludf.DUMMYFUNCTION("""COMPUTED_VALUE"""),"https://drive.google.com/file/d/1pWzqx5i9lfrh-IwhoBg1HHZbNkomyc43/view?usp=drivesdk")</f>
        <v>https://drive.google.com/file/d/1pWzqx5i9lfrh-IwhoBg1HHZbNkomyc43/view?usp=drivesdk</v>
      </c>
      <c r="C852" s="147" t="str">
        <f>IFERROR(__xludf.DUMMYFUNCTION("""COMPUTED_VALUE"""),"10.1177--0093650211418339.pdf")</f>
        <v>10.1177--0093650211418339.pdf</v>
      </c>
      <c r="D852" s="147" t="str">
        <f>IFERROR(__xludf.DUMMYFUNCTION("""COMPUTED_VALUE"""),"application/pdf")</f>
        <v>application/pdf</v>
      </c>
    </row>
    <row r="853">
      <c r="A853" s="147" t="str">
        <f>IFERROR(__xludf.DUMMYFUNCTION("""COMPUTED_VALUE"""),"10.1016/j.actpsy.2020.103138")</f>
        <v>10.1016/j.actpsy.2020.103138</v>
      </c>
      <c r="B853" s="453" t="str">
        <f>IFERROR(__xludf.DUMMYFUNCTION("""COMPUTED_VALUE"""),"https://drive.google.com/file/d/1Cv2pkcb9Dgfe7JtHwek1MCnDz3x3Kw7w/view?usp=drivesdk")</f>
        <v>https://drive.google.com/file/d/1Cv2pkcb9Dgfe7JtHwek1MCnDz3x3Kw7w/view?usp=drivesdk</v>
      </c>
      <c r="C853" s="147" t="str">
        <f>IFERROR(__xludf.DUMMYFUNCTION("""COMPUTED_VALUE"""),"10.1016--j.actpsy.2020.103138.pdf")</f>
        <v>10.1016--j.actpsy.2020.103138.pdf</v>
      </c>
      <c r="D853" s="147" t="str">
        <f>IFERROR(__xludf.DUMMYFUNCTION("""COMPUTED_VALUE"""),"application/pdf")</f>
        <v>application/pdf</v>
      </c>
    </row>
    <row r="854">
      <c r="A854" s="147" t="str">
        <f>IFERROR(__xludf.DUMMYFUNCTION("""COMPUTED_VALUE"""),"10.1037/a0036913")</f>
        <v>10.1037/a0036913</v>
      </c>
      <c r="B854" s="453" t="str">
        <f>IFERROR(__xludf.DUMMYFUNCTION("""COMPUTED_VALUE"""),"https://drive.google.com/file/d/1wdYvk7Rmo2EyJOhM_u_52bnzKuwozJai/view?usp=drivesdk")</f>
        <v>https://drive.google.com/file/d/1wdYvk7Rmo2EyJOhM_u_52bnzKuwozJai/view?usp=drivesdk</v>
      </c>
      <c r="C854" s="147" t="str">
        <f>IFERROR(__xludf.DUMMYFUNCTION("""COMPUTED_VALUE"""),"10.1037--a0036913.pdf")</f>
        <v>10.1037--a0036913.pdf</v>
      </c>
      <c r="D854" s="147" t="str">
        <f>IFERROR(__xludf.DUMMYFUNCTION("""COMPUTED_VALUE"""),"application/pdf")</f>
        <v>application/pdf</v>
      </c>
    </row>
    <row r="855">
      <c r="A855" s="147" t="str">
        <f>IFERROR(__xludf.DUMMYFUNCTION("""COMPUTED_VALUE"""),"10.1007/s004260000041")</f>
        <v>10.1007/s004260000041</v>
      </c>
      <c r="B855" s="453" t="str">
        <f>IFERROR(__xludf.DUMMYFUNCTION("""COMPUTED_VALUE"""),"https://drive.google.com/file/d/13ErdM89UVNJLjA0F4YjMOg_9Z3MZKgKQ/view?usp=drivesdk")</f>
        <v>https://drive.google.com/file/d/13ErdM89UVNJLjA0F4YjMOg_9Z3MZKgKQ/view?usp=drivesdk</v>
      </c>
      <c r="C855" s="147" t="str">
        <f>IFERROR(__xludf.DUMMYFUNCTION("""COMPUTED_VALUE"""),"10.1007--s004260000041.pdf")</f>
        <v>10.1007--s004260000041.pdf</v>
      </c>
      <c r="D855" s="147" t="str">
        <f>IFERROR(__xludf.DUMMYFUNCTION("""COMPUTED_VALUE"""),"application/pdf")</f>
        <v>application/pdf</v>
      </c>
    </row>
    <row r="856">
      <c r="A856" s="147" t="str">
        <f>IFERROR(__xludf.DUMMYFUNCTION("""COMPUTED_VALUE"""),"10.1037/0096-1523.26.5.1515")</f>
        <v>10.1037/0096-1523.26.5.1515</v>
      </c>
      <c r="B856" s="453" t="str">
        <f>IFERROR(__xludf.DUMMYFUNCTION("""COMPUTED_VALUE"""),"https://drive.google.com/file/d/12NOTFTy9kTGJZ9GCQplncqds0pQoFd46/view?usp=drivesdk")</f>
        <v>https://drive.google.com/file/d/12NOTFTy9kTGJZ9GCQplncqds0pQoFd46/view?usp=drivesdk</v>
      </c>
      <c r="C856" s="147" t="str">
        <f>IFERROR(__xludf.DUMMYFUNCTION("""COMPUTED_VALUE"""),"10.1037--0096-1523.26.5.1515.pdf")</f>
        <v>10.1037--0096-1523.26.5.1515.pdf</v>
      </c>
      <c r="D856" s="147" t="str">
        <f>IFERROR(__xludf.DUMMYFUNCTION("""COMPUTED_VALUE"""),"application/pdf")</f>
        <v>application/pdf</v>
      </c>
    </row>
    <row r="857">
      <c r="A857" s="147" t="str">
        <f>IFERROR(__xludf.DUMMYFUNCTION("""COMPUTED_VALUE"""),"10.1007/bf00419703")</f>
        <v>10.1007/bf00419703</v>
      </c>
      <c r="B857" s="453" t="str">
        <f>IFERROR(__xludf.DUMMYFUNCTION("""COMPUTED_VALUE"""),"https://drive.google.com/file/d/1jWFV5HeX7zEMIqNr5jd2-PLoveTyWBCo/view?usp=drivesdk")</f>
        <v>https://drive.google.com/file/d/1jWFV5HeX7zEMIqNr5jd2-PLoveTyWBCo/view?usp=drivesdk</v>
      </c>
      <c r="C857" s="147" t="str">
        <f>IFERROR(__xludf.DUMMYFUNCTION("""COMPUTED_VALUE"""),"10.1007--BF00419703.pdf")</f>
        <v>10.1007--BF00419703.pdf</v>
      </c>
      <c r="D857" s="147" t="str">
        <f>IFERROR(__xludf.DUMMYFUNCTION("""COMPUTED_VALUE"""),"application/pdf")</f>
        <v>application/pdf</v>
      </c>
    </row>
    <row r="858">
      <c r="A858" s="147" t="str">
        <f>IFERROR(__xludf.DUMMYFUNCTION("""COMPUTED_VALUE"""),"10.1038/s41598-021-88139-1")</f>
        <v>10.1038/s41598-021-88139-1</v>
      </c>
      <c r="B858" s="453" t="str">
        <f>IFERROR(__xludf.DUMMYFUNCTION("""COMPUTED_VALUE"""),"https://drive.google.com/file/d/19dKp0Bt_y9wu5nwD0ND7qjkbddLPOjCy/view?usp=drivesdk")</f>
        <v>https://drive.google.com/file/d/19dKp0Bt_y9wu5nwD0ND7qjkbddLPOjCy/view?usp=drivesdk</v>
      </c>
      <c r="C858" s="147" t="str">
        <f>IFERROR(__xludf.DUMMYFUNCTION("""COMPUTED_VALUE"""),"10.1038--s41598-021-88139-1.pdf")</f>
        <v>10.1038--s41598-021-88139-1.pdf</v>
      </c>
      <c r="D858" s="147" t="str">
        <f>IFERROR(__xludf.DUMMYFUNCTION("""COMPUTED_VALUE"""),"application/pdf")</f>
        <v>application/pdf</v>
      </c>
    </row>
    <row r="859">
      <c r="A859" s="147" t="str">
        <f>IFERROR(__xludf.DUMMYFUNCTION("""COMPUTED_VALUE"""),"10.1038/s41562-018-0399-z")</f>
        <v>10.1038/s41562-018-0399-z</v>
      </c>
      <c r="B859" s="453" t="str">
        <f>IFERROR(__xludf.DUMMYFUNCTION("""COMPUTED_VALUE"""),"https://drive.google.com/file/d/1qJE0K3gDNeo5WCbf6KkP1a0pxT3faRns/view?usp=drivesdk")</f>
        <v>https://drive.google.com/file/d/1qJE0K3gDNeo5WCbf6KkP1a0pxT3faRns/view?usp=drivesdk</v>
      </c>
      <c r="C859" s="147" t="str">
        <f>IFERROR(__xludf.DUMMYFUNCTION("""COMPUTED_VALUE"""),"10.1038--s41562-018-0399-z.pdf")</f>
        <v>10.1038--s41562-018-0399-z.pdf</v>
      </c>
      <c r="D859" s="147" t="str">
        <f>IFERROR(__xludf.DUMMYFUNCTION("""COMPUTED_VALUE"""),"application/pdf")</f>
        <v>application/pdf</v>
      </c>
    </row>
    <row r="860">
      <c r="A860" s="147" t="str">
        <f>IFERROR(__xludf.DUMMYFUNCTION("""COMPUTED_VALUE"""),"10.1371/journal.pone.0137000")</f>
        <v>10.1371/journal.pone.0137000</v>
      </c>
      <c r="B860" s="453" t="str">
        <f>IFERROR(__xludf.DUMMYFUNCTION("""COMPUTED_VALUE"""),"https://drive.google.com/file/d/1IrVsmf4IOT-xeJS2Ek22hrWc6J-o834t/view?usp=drivesdk")</f>
        <v>https://drive.google.com/file/d/1IrVsmf4IOT-xeJS2Ek22hrWc6J-o834t/view?usp=drivesdk</v>
      </c>
      <c r="C860" s="147" t="str">
        <f>IFERROR(__xludf.DUMMYFUNCTION("""COMPUTED_VALUE"""),"10.1371--journal.pone.0137000.pdf")</f>
        <v>10.1371--journal.pone.0137000.pdf</v>
      </c>
      <c r="D860" s="147" t="str">
        <f>IFERROR(__xludf.DUMMYFUNCTION("""COMPUTED_VALUE"""),"application/pdf")</f>
        <v>application/pdf</v>
      </c>
    </row>
    <row r="861">
      <c r="A861" s="147" t="str">
        <f>IFERROR(__xludf.DUMMYFUNCTION("""COMPUTED_VALUE"""),"10.1111/1467-9280.00169")</f>
        <v>10.1111/1467-9280.00169</v>
      </c>
      <c r="B861" s="453" t="str">
        <f>IFERROR(__xludf.DUMMYFUNCTION("""COMPUTED_VALUE"""),"https://drive.google.com/file/d/1FFUJeJxHvYXNMK7wqAJYiQFmmbe1ofI3/view?usp=drivesdk")</f>
        <v>https://drive.google.com/file/d/1FFUJeJxHvYXNMK7wqAJYiQFmmbe1ofI3/view?usp=drivesdk</v>
      </c>
      <c r="C861" s="147" t="str">
        <f>IFERROR(__xludf.DUMMYFUNCTION("""COMPUTED_VALUE"""),"10.1111--1467-9280.00169.pdf")</f>
        <v>10.1111--1467-9280.00169.pdf</v>
      </c>
      <c r="D861" s="147" t="str">
        <f>IFERROR(__xludf.DUMMYFUNCTION("""COMPUTED_VALUE"""),"application/pdf")</f>
        <v>application/pdf</v>
      </c>
    </row>
    <row r="862">
      <c r="A862" s="147" t="str">
        <f>IFERROR(__xludf.DUMMYFUNCTION("""COMPUTED_VALUE"""),"10.2466/pms.1999.88.3.843")</f>
        <v>10.2466/pms.1999.88.3.843</v>
      </c>
      <c r="B862" s="453" t="str">
        <f>IFERROR(__xludf.DUMMYFUNCTION("""COMPUTED_VALUE"""),"https://drive.google.com/file/d/1JX_-a4N28fXIO7zfjPklo9WsE9pe3QjW/view?usp=drivesdk")</f>
        <v>https://drive.google.com/file/d/1JX_-a4N28fXIO7zfjPklo9WsE9pe3QjW/view?usp=drivesdk</v>
      </c>
      <c r="C862" s="147" t="str">
        <f>IFERROR(__xludf.DUMMYFUNCTION("""COMPUTED_VALUE"""),"10.2466--pms.1999.88.3.843.pdf")</f>
        <v>10.2466--pms.1999.88.3.843.pdf</v>
      </c>
      <c r="D862" s="147" t="str">
        <f>IFERROR(__xludf.DUMMYFUNCTION("""COMPUTED_VALUE"""),"application/pdf")</f>
        <v>application/pdf</v>
      </c>
    </row>
    <row r="863">
      <c r="A863" s="147" t="str">
        <f>IFERROR(__xludf.DUMMYFUNCTION("""COMPUTED_VALUE"""),"10.1002/ejsp.2748")</f>
        <v>10.1002/ejsp.2748</v>
      </c>
      <c r="B863" s="453" t="str">
        <f>IFERROR(__xludf.DUMMYFUNCTION("""COMPUTED_VALUE"""),"https://drive.google.com/file/d/1d6qI-QqNlpjQgx9Vwa0NjPkDpYx45iMg/view?usp=drivesdk")</f>
        <v>https://drive.google.com/file/d/1d6qI-QqNlpjQgx9Vwa0NjPkDpYx45iMg/view?usp=drivesdk</v>
      </c>
      <c r="C863" s="147" t="str">
        <f>IFERROR(__xludf.DUMMYFUNCTION("""COMPUTED_VALUE"""),"10.1002--ejsp.2748.pdf")</f>
        <v>10.1002--ejsp.2748.pdf</v>
      </c>
      <c r="D863" s="147" t="str">
        <f>IFERROR(__xludf.DUMMYFUNCTION("""COMPUTED_VALUE"""),"application/pdf")</f>
        <v>application/pdf</v>
      </c>
    </row>
    <row r="864">
      <c r="A864" s="147" t="str">
        <f>IFERROR(__xludf.DUMMYFUNCTION("""COMPUTED_VALUE"""),"10.1007/s11606-019-05364-1")</f>
        <v>10.1007/s11606-019-05364-1</v>
      </c>
      <c r="B864" s="453" t="str">
        <f>IFERROR(__xludf.DUMMYFUNCTION("""COMPUTED_VALUE"""),"https://drive.google.com/file/d/1wtALe5oh1RdoY1mXdjr4WvMritJP2N4w/view?usp=drivesdk")</f>
        <v>https://drive.google.com/file/d/1wtALe5oh1RdoY1mXdjr4WvMritJP2N4w/view?usp=drivesdk</v>
      </c>
      <c r="C864" s="147" t="str">
        <f>IFERROR(__xludf.DUMMYFUNCTION("""COMPUTED_VALUE"""),"10.1007--s11606-019-05364-1.pdf")</f>
        <v>10.1007--s11606-019-05364-1.pdf</v>
      </c>
      <c r="D864" s="147" t="str">
        <f>IFERROR(__xludf.DUMMYFUNCTION("""COMPUTED_VALUE"""),"application/pdf")</f>
        <v>application/pdf</v>
      </c>
    </row>
    <row r="865">
      <c r="A865" s="147" t="str">
        <f>IFERROR(__xludf.DUMMYFUNCTION("""COMPUTED_VALUE"""),"10.3389/fpsyg.2013.00041")</f>
        <v>10.3389/fpsyg.2013.00041</v>
      </c>
      <c r="B865" s="453" t="str">
        <f>IFERROR(__xludf.DUMMYFUNCTION("""COMPUTED_VALUE"""),"https://drive.google.com/file/d/1DGULVXUsTEU_9EPzOnZqFH3SYWy7WfkA/view?usp=drivesdk")</f>
        <v>https://drive.google.com/file/d/1DGULVXUsTEU_9EPzOnZqFH3SYWy7WfkA/view?usp=drivesdk</v>
      </c>
      <c r="C865" s="147" t="str">
        <f>IFERROR(__xludf.DUMMYFUNCTION("""COMPUTED_VALUE"""),"10.3389--fpsyg.2013.00041.pdf")</f>
        <v>10.3389--fpsyg.2013.00041.pdf</v>
      </c>
      <c r="D865" s="147" t="str">
        <f>IFERROR(__xludf.DUMMYFUNCTION("""COMPUTED_VALUE"""),"application/pdf")</f>
        <v>application/pdf</v>
      </c>
    </row>
    <row r="866">
      <c r="A866" s="147" t="str">
        <f>IFERROR(__xludf.DUMMYFUNCTION("""COMPUTED_VALUE"""),"10.1111/j.1559-1816.1999.tb00134.x")</f>
        <v>10.1111/j.1559-1816.1999.tb00134.x</v>
      </c>
      <c r="B866" s="453" t="str">
        <f>IFERROR(__xludf.DUMMYFUNCTION("""COMPUTED_VALUE"""),"https://drive.google.com/file/d/1angB6Ei-2ZlIhgs0AbXlGha3kvj3fUY0/view?usp=drivesdk")</f>
        <v>https://drive.google.com/file/d/1angB6Ei-2ZlIhgs0AbXlGha3kvj3fUY0/view?usp=drivesdk</v>
      </c>
      <c r="C866" s="147" t="str">
        <f>IFERROR(__xludf.DUMMYFUNCTION("""COMPUTED_VALUE"""),"10.1111--j.1559-1816.1999.tb00134.x.pdf")</f>
        <v>10.1111--j.1559-1816.1999.tb00134.x.pdf</v>
      </c>
      <c r="D866" s="147" t="str">
        <f>IFERROR(__xludf.DUMMYFUNCTION("""COMPUTED_VALUE"""),"application/pdf")</f>
        <v>application/pdf</v>
      </c>
    </row>
    <row r="867">
      <c r="A867" s="147" t="str">
        <f>IFERROR(__xludf.DUMMYFUNCTION("""COMPUTED_VALUE"""),"10.1177/1948550617693060")</f>
        <v>10.1177/1948550617693060</v>
      </c>
      <c r="B867" s="453" t="str">
        <f>IFERROR(__xludf.DUMMYFUNCTION("""COMPUTED_VALUE"""),"https://drive.google.com/file/d/1kS1z1V6AFLbZ9rpo8sFM3d0djf13VYDI/view?usp=drivesdk")</f>
        <v>https://drive.google.com/file/d/1kS1z1V6AFLbZ9rpo8sFM3d0djf13VYDI/view?usp=drivesdk</v>
      </c>
      <c r="C867" s="147" t="str">
        <f>IFERROR(__xludf.DUMMYFUNCTION("""COMPUTED_VALUE"""),"10.1177--1948550617693060.pdf")</f>
        <v>10.1177--1948550617693060.pdf</v>
      </c>
      <c r="D867" s="147" t="str">
        <f>IFERROR(__xludf.DUMMYFUNCTION("""COMPUTED_VALUE"""),"application/pdf")</f>
        <v>application/pdf</v>
      </c>
    </row>
    <row r="868">
      <c r="A868" s="147" t="str">
        <f>IFERROR(__xludf.DUMMYFUNCTION("""COMPUTED_VALUE"""),"10.1038/s41467-020-18152-x")</f>
        <v>10.1038/s41467-020-18152-x</v>
      </c>
      <c r="B868" s="453" t="str">
        <f>IFERROR(__xludf.DUMMYFUNCTION("""COMPUTED_VALUE"""),"https://drive.google.com/file/d/1wCmr4BBIDn9AuSRCj2rGSlI0GuQ47RVa/view?usp=drivesdk")</f>
        <v>https://drive.google.com/file/d/1wCmr4BBIDn9AuSRCj2rGSlI0GuQ47RVa/view?usp=drivesdk</v>
      </c>
      <c r="C868" s="147" t="str">
        <f>IFERROR(__xludf.DUMMYFUNCTION("""COMPUTED_VALUE"""),"10.1038--s41467-020-18152-x.pdf")</f>
        <v>10.1038--s41467-020-18152-x.pdf</v>
      </c>
      <c r="D868" s="147" t="str">
        <f>IFERROR(__xludf.DUMMYFUNCTION("""COMPUTED_VALUE"""),"application/pdf")</f>
        <v>application/pdf</v>
      </c>
    </row>
    <row r="869">
      <c r="A869" s="147" t="str">
        <f>IFERROR(__xludf.DUMMYFUNCTION("""COMPUTED_VALUE"""),"10.1007/s12115-013-9724-3")</f>
        <v>10.1007/s12115-013-9724-3</v>
      </c>
      <c r="B869" s="453" t="str">
        <f>IFERROR(__xludf.DUMMYFUNCTION("""COMPUTED_VALUE"""),"https://drive.google.com/file/d/13zl87LaDmgA5FAdpU1dA3yzTbFcw_L54/view?usp=drivesdk")</f>
        <v>https://drive.google.com/file/d/13zl87LaDmgA5FAdpU1dA3yzTbFcw_L54/view?usp=drivesdk</v>
      </c>
      <c r="C869" s="147" t="str">
        <f>IFERROR(__xludf.DUMMYFUNCTION("""COMPUTED_VALUE"""),"10.1007--s12115-013-9724-3.pdf")</f>
        <v>10.1007--s12115-013-9724-3.pdf</v>
      </c>
      <c r="D869" s="147" t="str">
        <f>IFERROR(__xludf.DUMMYFUNCTION("""COMPUTED_VALUE"""),"application/pdf")</f>
        <v>application/pdf</v>
      </c>
    </row>
    <row r="870">
      <c r="A870" s="147" t="str">
        <f>IFERROR(__xludf.DUMMYFUNCTION("""COMPUTED_VALUE"""),"10.1177/1948550610397632")</f>
        <v>10.1177/1948550610397632</v>
      </c>
      <c r="B870" s="453" t="str">
        <f>IFERROR(__xludf.DUMMYFUNCTION("""COMPUTED_VALUE"""),"https://drive.google.com/file/d/1aCpN9FQY-edL0KHCQ_dOeoW0p5GyALqJ/view?usp=drivesdk")</f>
        <v>https://drive.google.com/file/d/1aCpN9FQY-edL0KHCQ_dOeoW0p5GyALqJ/view?usp=drivesdk</v>
      </c>
      <c r="C870" s="147" t="str">
        <f>IFERROR(__xludf.DUMMYFUNCTION("""COMPUTED_VALUE"""),"10.1177--1948550610397632.pdf")</f>
        <v>10.1177--1948550610397632.pdf</v>
      </c>
      <c r="D870" s="147" t="str">
        <f>IFERROR(__xludf.DUMMYFUNCTION("""COMPUTED_VALUE"""),"application/pdf")</f>
        <v>application/pdf</v>
      </c>
    </row>
    <row r="871">
      <c r="A871" s="147" t="str">
        <f>IFERROR(__xludf.DUMMYFUNCTION("""COMPUTED_VALUE"""),"10.1080/00224545.1987.9713711")</f>
        <v>10.1080/00224545.1987.9713711</v>
      </c>
      <c r="B871" s="453" t="str">
        <f>IFERROR(__xludf.DUMMYFUNCTION("""COMPUTED_VALUE"""),"https://drive.google.com/file/d/1bHBfOwE2j2qM6DS2iVTktr5tscbohYq8/view?usp=drivesdk")</f>
        <v>https://drive.google.com/file/d/1bHBfOwE2j2qM6DS2iVTktr5tscbohYq8/view?usp=drivesdk</v>
      </c>
      <c r="C871" s="147" t="str">
        <f>IFERROR(__xludf.DUMMYFUNCTION("""COMPUTED_VALUE"""),"10.1080--00224545.1987.9713711.pdf")</f>
        <v>10.1080--00224545.1987.9713711.pdf</v>
      </c>
      <c r="D871" s="147" t="str">
        <f>IFERROR(__xludf.DUMMYFUNCTION("""COMPUTED_VALUE"""),"application/pdf")</f>
        <v>application/pdf</v>
      </c>
    </row>
    <row r="872">
      <c r="A872" s="147" t="str">
        <f>IFERROR(__xludf.DUMMYFUNCTION("""COMPUTED_VALUE"""),"10.1177/014616727600300119")</f>
        <v>10.1177/014616727600300119</v>
      </c>
      <c r="B872" s="453" t="str">
        <f>IFERROR(__xludf.DUMMYFUNCTION("""COMPUTED_VALUE"""),"https://drive.google.com/file/d/1jFrC1A_yeQPtrQ7firqJ7njA_VTcGSS6/view?usp=drivesdk")</f>
        <v>https://drive.google.com/file/d/1jFrC1A_yeQPtrQ7firqJ7njA_VTcGSS6/view?usp=drivesdk</v>
      </c>
      <c r="C872" s="147" t="str">
        <f>IFERROR(__xludf.DUMMYFUNCTION("""COMPUTED_VALUE"""),"10.1177--014616727600300119.pdf")</f>
        <v>10.1177--014616727600300119.pdf</v>
      </c>
      <c r="D872" s="147" t="str">
        <f>IFERROR(__xludf.DUMMYFUNCTION("""COMPUTED_VALUE"""),"application/pdf")</f>
        <v>application/pdf</v>
      </c>
    </row>
    <row r="873">
      <c r="A873" s="147" t="str">
        <f>IFERROR(__xludf.DUMMYFUNCTION("""COMPUTED_VALUE"""),"10.2307/3033588")</f>
        <v>10.2307/3033588</v>
      </c>
      <c r="B873" s="453" t="str">
        <f>IFERROR(__xludf.DUMMYFUNCTION("""COMPUTED_VALUE"""),"https://drive.google.com/file/d/1pUn5JuuBayLiPcfWrAzZVia5_iDKgrFE/view?usp=drivesdk")</f>
        <v>https://drive.google.com/file/d/1pUn5JuuBayLiPcfWrAzZVia5_iDKgrFE/view?usp=drivesdk</v>
      </c>
      <c r="C873" s="147" t="str">
        <f>IFERROR(__xludf.DUMMYFUNCTION("""COMPUTED_VALUE"""),"10.2307--3033588.pdf")</f>
        <v>10.2307--3033588.pdf</v>
      </c>
      <c r="D873" s="147" t="str">
        <f>IFERROR(__xludf.DUMMYFUNCTION("""COMPUTED_VALUE"""),"application/pdf")</f>
        <v>application/pdf</v>
      </c>
    </row>
    <row r="874">
      <c r="A874" s="147" t="str">
        <f>IFERROR(__xludf.DUMMYFUNCTION("""COMPUTED_VALUE"""),"10.1037/0022-3514.55.2.211")</f>
        <v>10.1037/0022-3514.55.2.211</v>
      </c>
      <c r="B874" s="453" t="str">
        <f>IFERROR(__xludf.DUMMYFUNCTION("""COMPUTED_VALUE"""),"https://drive.google.com/file/d/1Ki3S9vl6CBRB-iEHfPJFbBeBXS5c4yze/view?usp=drivesdk")</f>
        <v>https://drive.google.com/file/d/1Ki3S9vl6CBRB-iEHfPJFbBeBXS5c4yze/view?usp=drivesdk</v>
      </c>
      <c r="C874" s="147" t="str">
        <f>IFERROR(__xludf.DUMMYFUNCTION("""COMPUTED_VALUE"""),"10.1037--0022-3514.55.2.211.pdf")</f>
        <v>10.1037--0022-3514.55.2.211.pdf</v>
      </c>
      <c r="D874" s="147" t="str">
        <f>IFERROR(__xludf.DUMMYFUNCTION("""COMPUTED_VALUE"""),"application/pdf")</f>
        <v>application/pdf</v>
      </c>
    </row>
    <row r="875">
      <c r="A875" s="147" t="str">
        <f>IFERROR(__xludf.DUMMYFUNCTION("""COMPUTED_VALUE"""),"10.1037/0033-2909.106.2.265")</f>
        <v>10.1037/0033-2909.106.2.265</v>
      </c>
      <c r="B875" s="453" t="str">
        <f>IFERROR(__xludf.DUMMYFUNCTION("""COMPUTED_VALUE"""),"https://drive.google.com/file/d/1F_JGx_lWmWBMWGZrthYhmK7TvjE2Cywn/view?usp=drivesdk")</f>
        <v>https://drive.google.com/file/d/1F_JGx_lWmWBMWGZrthYhmK7TvjE2Cywn/view?usp=drivesdk</v>
      </c>
      <c r="C875" s="147" t="str">
        <f>IFERROR(__xludf.DUMMYFUNCTION("""COMPUTED_VALUE"""),"10.1037--0033-2909.106.2.265.pdf")</f>
        <v>10.1037--0033-2909.106.2.265.pdf</v>
      </c>
      <c r="D875" s="147" t="str">
        <f>IFERROR(__xludf.DUMMYFUNCTION("""COMPUTED_VALUE"""),"application/pdf")</f>
        <v>application/pdf</v>
      </c>
    </row>
    <row r="876">
      <c r="A876" s="147" t="str">
        <f>IFERROR(__xludf.DUMMYFUNCTION("""COMPUTED_VALUE"""),"10.1177/0093854818812918")</f>
        <v>10.1177/0093854818812918</v>
      </c>
      <c r="B876" s="453" t="str">
        <f>IFERROR(__xludf.DUMMYFUNCTION("""COMPUTED_VALUE"""),"https://drive.google.com/file/d/1Jq5At328FQy3ULsz05SxK1SrS_XRIVBv/view?usp=drivesdk")</f>
        <v>https://drive.google.com/file/d/1Jq5At328FQy3ULsz05SxK1SrS_XRIVBv/view?usp=drivesdk</v>
      </c>
      <c r="C876" s="147" t="str">
        <f>IFERROR(__xludf.DUMMYFUNCTION("""COMPUTED_VALUE"""),"10.1177--0093854818812918.pdf")</f>
        <v>10.1177--0093854818812918.pdf</v>
      </c>
      <c r="D876" s="147" t="str">
        <f>IFERROR(__xludf.DUMMYFUNCTION("""COMPUTED_VALUE"""),"application/pdf")</f>
        <v>application/pdf</v>
      </c>
    </row>
    <row r="877">
      <c r="A877" s="147" t="str">
        <f>IFERROR(__xludf.DUMMYFUNCTION("""COMPUTED_VALUE"""),"10.1177/1088868317725419")</f>
        <v>10.1177/1088868317725419</v>
      </c>
      <c r="B877" s="453" t="str">
        <f>IFERROR(__xludf.DUMMYFUNCTION("""COMPUTED_VALUE"""),"https://drive.google.com/file/d/1yg-L6F0I6F1fgxX2H53kNgHST9iZhuFT/view?usp=drivesdk")</f>
        <v>https://drive.google.com/file/d/1yg-L6F0I6F1fgxX2H53kNgHST9iZhuFT/view?usp=drivesdk</v>
      </c>
      <c r="C877" s="147" t="str">
        <f>IFERROR(__xludf.DUMMYFUNCTION("""COMPUTED_VALUE"""),"10.1177--1088868317725419.pdf")</f>
        <v>10.1177--1088868317725419.pdf</v>
      </c>
      <c r="D877" s="147" t="str">
        <f>IFERROR(__xludf.DUMMYFUNCTION("""COMPUTED_VALUE"""),"application/pdf")</f>
        <v>application/pdf</v>
      </c>
    </row>
    <row r="878">
      <c r="A878" s="147" t="str">
        <f>IFERROR(__xludf.DUMMYFUNCTION("""COMPUTED_VALUE"""),"10.1037/0022-3514.58.4.622")</f>
        <v>10.1037/0022-3514.58.4.622</v>
      </c>
      <c r="B878" s="453" t="str">
        <f>IFERROR(__xludf.DUMMYFUNCTION("""COMPUTED_VALUE"""),"https://drive.google.com/file/d/1_DJ98pFWCppO7kDmfNAIB717B-QdRU2a/view?usp=drivesdk")</f>
        <v>https://drive.google.com/file/d/1_DJ98pFWCppO7kDmfNAIB717B-QdRU2a/view?usp=drivesdk</v>
      </c>
      <c r="C878" s="147" t="str">
        <f>IFERROR(__xludf.DUMMYFUNCTION("""COMPUTED_VALUE"""),"10.1037--0022-3514.58.4.622.pdf")</f>
        <v>10.1037--0022-3514.58.4.622.pdf</v>
      </c>
      <c r="D878" s="147" t="str">
        <f>IFERROR(__xludf.DUMMYFUNCTION("""COMPUTED_VALUE"""),"application/pdf")</f>
        <v>application/pdf</v>
      </c>
    </row>
    <row r="879">
      <c r="A879" s="147" t="str">
        <f>IFERROR(__xludf.DUMMYFUNCTION("""COMPUTED_VALUE"""),"10.1037/xge0000058")</f>
        <v>10.1037/xge0000058</v>
      </c>
      <c r="B879" s="453" t="str">
        <f>IFERROR(__xludf.DUMMYFUNCTION("""COMPUTED_VALUE"""),"https://drive.google.com/file/d/1r4ZL_EEBhFH6RF5JDxP8TDFqXke3Dqcf/view?usp=drivesdk")</f>
        <v>https://drive.google.com/file/d/1r4ZL_EEBhFH6RF5JDxP8TDFqXke3Dqcf/view?usp=drivesdk</v>
      </c>
      <c r="C879" s="147" t="str">
        <f>IFERROR(__xludf.DUMMYFUNCTION("""COMPUTED_VALUE"""),"10.1037--xge0000058.pdf")</f>
        <v>10.1037--xge0000058.pdf</v>
      </c>
      <c r="D879" s="147" t="str">
        <f>IFERROR(__xludf.DUMMYFUNCTION("""COMPUTED_VALUE"""),"application/pdf")</f>
        <v>application/pdf</v>
      </c>
    </row>
    <row r="880">
      <c r="A880" s="147" t="str">
        <f>IFERROR(__xludf.DUMMYFUNCTION("""COMPUTED_VALUE"""),"10.1177/1948550613498516")</f>
        <v>10.1177/1948550613498516</v>
      </c>
      <c r="B880" s="453" t="str">
        <f>IFERROR(__xludf.DUMMYFUNCTION("""COMPUTED_VALUE"""),"https://drive.google.com/file/d/1gjwCxHVp1efxTgO9FpYCyl7tkrrSp2_Q/view?usp=drivesdk")</f>
        <v>https://drive.google.com/file/d/1gjwCxHVp1efxTgO9FpYCyl7tkrrSp2_Q/view?usp=drivesdk</v>
      </c>
      <c r="C880" s="147" t="str">
        <f>IFERROR(__xludf.DUMMYFUNCTION("""COMPUTED_VALUE"""),"10.1177--1948550613498516.pdf")</f>
        <v>10.1177--1948550613498516.pdf</v>
      </c>
      <c r="D880" s="147" t="str">
        <f>IFERROR(__xludf.DUMMYFUNCTION("""COMPUTED_VALUE"""),"application/pdf")</f>
        <v>application/pdf</v>
      </c>
    </row>
    <row r="881">
      <c r="A881" s="147" t="str">
        <f>IFERROR(__xludf.DUMMYFUNCTION("""COMPUTED_VALUE"""),"10.1037/xge0000090")</f>
        <v>10.1037/xge0000090</v>
      </c>
      <c r="B881" s="453" t="str">
        <f>IFERROR(__xludf.DUMMYFUNCTION("""COMPUTED_VALUE"""),"https://drive.google.com/file/d/1TOxKvkgLgldkEiOl4Cnst0AYk7w8IBCh/view?usp=drivesdk")</f>
        <v>https://drive.google.com/file/d/1TOxKvkgLgldkEiOl4Cnst0AYk7w8IBCh/view?usp=drivesdk</v>
      </c>
      <c r="C881" s="147" t="str">
        <f>IFERROR(__xludf.DUMMYFUNCTION("""COMPUTED_VALUE"""),"10.1037--xge0000090.pdf")</f>
        <v>10.1037--xge0000090.pdf</v>
      </c>
      <c r="D881" s="147" t="str">
        <f>IFERROR(__xludf.DUMMYFUNCTION("""COMPUTED_VALUE"""),"application/pdf")</f>
        <v>application/pdf</v>
      </c>
    </row>
    <row r="882">
      <c r="A882" s="147" t="str">
        <f>IFERROR(__xludf.DUMMYFUNCTION("""COMPUTED_VALUE"""),"10.3758/s13423-013-0549-2")</f>
        <v>10.3758/s13423-013-0549-2</v>
      </c>
      <c r="B882" s="453" t="str">
        <f>IFERROR(__xludf.DUMMYFUNCTION("""COMPUTED_VALUE"""),"https://drive.google.com/file/d/1x9sfN1Qyptlpks3NPyyD6PckLhoE6G6J/view?usp=drivesdk")</f>
        <v>https://drive.google.com/file/d/1x9sfN1Qyptlpks3NPyyD6PckLhoE6G6J/view?usp=drivesdk</v>
      </c>
      <c r="C882" s="147" t="str">
        <f>IFERROR(__xludf.DUMMYFUNCTION("""COMPUTED_VALUE"""),"10.3758--s13423-013-0549-2.pdf")</f>
        <v>10.3758--s13423-013-0549-2.pdf</v>
      </c>
      <c r="D882" s="147" t="str">
        <f>IFERROR(__xludf.DUMMYFUNCTION("""COMPUTED_VALUE"""),"application/pdf")</f>
        <v>application/pdf</v>
      </c>
    </row>
    <row r="883">
      <c r="A883" s="147" t="str">
        <f>IFERROR(__xludf.DUMMYFUNCTION("""COMPUTED_VALUE"""),"10.1037/a0036079.")</f>
        <v>10.1037/a0036079.</v>
      </c>
      <c r="B883" s="453" t="str">
        <f>IFERROR(__xludf.DUMMYFUNCTION("""COMPUTED_VALUE"""),"https://drive.google.com/file/d/1LPPcCkJMWMgAog-5XWwMTP5x4S9LFsG4/view?usp=drivesdk")</f>
        <v>https://drive.google.com/file/d/1LPPcCkJMWMgAog-5XWwMTP5x4S9LFsG4/view?usp=drivesdk</v>
      </c>
      <c r="C883" s="147" t="str">
        <f>IFERROR(__xludf.DUMMYFUNCTION("""COMPUTED_VALUE"""),"10.1037--a0036079..pdf")</f>
        <v>10.1037--a0036079..pdf</v>
      </c>
      <c r="D883" s="147" t="str">
        <f>IFERROR(__xludf.DUMMYFUNCTION("""COMPUTED_VALUE"""),"application/pdf")</f>
        <v>application/pdf</v>
      </c>
    </row>
    <row r="884">
      <c r="A884" s="147" t="str">
        <f>IFERROR(__xludf.DUMMYFUNCTION("""COMPUTED_VALUE"""),"10.1016/j.evolhumbehav.2015.04.002")</f>
        <v>10.1016/j.evolhumbehav.2015.04.002</v>
      </c>
      <c r="B884" s="453" t="str">
        <f>IFERROR(__xludf.DUMMYFUNCTION("""COMPUTED_VALUE"""),"https://drive.google.com/file/d/1hmrY9lsX4LBR0hPx0EBCXocgeL7ArKp6/view?usp=drivesdk")</f>
        <v>https://drive.google.com/file/d/1hmrY9lsX4LBR0hPx0EBCXocgeL7ArKp6/view?usp=drivesdk</v>
      </c>
      <c r="C884" s="147" t="str">
        <f>IFERROR(__xludf.DUMMYFUNCTION("""COMPUTED_VALUE"""),"10.1016--j.evolhumbehav.2015.04.002.pdf")</f>
        <v>10.1016--j.evolhumbehav.2015.04.002.pdf</v>
      </c>
      <c r="D884" s="147" t="str">
        <f>IFERROR(__xludf.DUMMYFUNCTION("""COMPUTED_VALUE"""),"application/pdf")</f>
        <v>application/pdf</v>
      </c>
    </row>
    <row r="885">
      <c r="A885" s="147" t="str">
        <f>IFERROR(__xludf.DUMMYFUNCTION("""COMPUTED_VALUE"""),"10.1177/1745691612463078")</f>
        <v>10.1177/1745691612463078</v>
      </c>
      <c r="B885" s="453" t="str">
        <f>IFERROR(__xludf.DUMMYFUNCTION("""COMPUTED_VALUE"""),"https://drive.google.com/file/d/1SA7ZP2ow52I8kFKx4p2nJ0nUspPn6as_/view?usp=drivesdk")</f>
        <v>https://drive.google.com/file/d/1SA7ZP2ow52I8kFKx4p2nJ0nUspPn6as_/view?usp=drivesdk</v>
      </c>
      <c r="C885" s="147" t="str">
        <f>IFERROR(__xludf.DUMMYFUNCTION("""COMPUTED_VALUE"""),"10.1177--1745691612463078.pdf")</f>
        <v>10.1177--1745691612463078.pdf</v>
      </c>
      <c r="D885" s="147" t="str">
        <f>IFERROR(__xludf.DUMMYFUNCTION("""COMPUTED_VALUE"""),"application/pdf")</f>
        <v>application/pdf</v>
      </c>
    </row>
    <row r="886">
      <c r="A886" s="147" t="str">
        <f>IFERROR(__xludf.DUMMYFUNCTION("""COMPUTED_VALUE"""),"10.1037/a0015329")</f>
        <v>10.1037/a0015329</v>
      </c>
      <c r="B886" s="453" t="str">
        <f>IFERROR(__xludf.DUMMYFUNCTION("""COMPUTED_VALUE"""),"https://drive.google.com/file/d/1WeBvmsASCT0Q2UPyJgrKX-SIIa5DtOUQ/view?usp=drivesdk")</f>
        <v>https://drive.google.com/file/d/1WeBvmsASCT0Q2UPyJgrKX-SIIa5DtOUQ/view?usp=drivesdk</v>
      </c>
      <c r="C886" s="147" t="str">
        <f>IFERROR(__xludf.DUMMYFUNCTION("""COMPUTED_VALUE"""),"10.1037--a0015329.pdf")</f>
        <v>10.1037--a0015329.pdf</v>
      </c>
      <c r="D886" s="147" t="str">
        <f>IFERROR(__xludf.DUMMYFUNCTION("""COMPUTED_VALUE"""),"application/pdf")</f>
        <v>application/pdf</v>
      </c>
    </row>
    <row r="887">
      <c r="A887" s="147" t="str">
        <f>IFERROR(__xludf.DUMMYFUNCTION("""COMPUTED_VALUE"""),"10.1371/journal.pone.0147770")</f>
        <v>10.1371/journal.pone.0147770</v>
      </c>
      <c r="B887" s="453" t="str">
        <f>IFERROR(__xludf.DUMMYFUNCTION("""COMPUTED_VALUE"""),"https://drive.google.com/file/d/1UXS2QTqJQUfE_Pyj2Qy0nOdEsfBcSrJD/view?usp=drivesdk")</f>
        <v>https://drive.google.com/file/d/1UXS2QTqJQUfE_Pyj2Qy0nOdEsfBcSrJD/view?usp=drivesdk</v>
      </c>
      <c r="C887" s="147" t="str">
        <f>IFERROR(__xludf.DUMMYFUNCTION("""COMPUTED_VALUE"""),"10.1371--journal.pone.0147770.pdf")</f>
        <v>10.1371--journal.pone.0147770.pdf</v>
      </c>
      <c r="D887" s="147" t="str">
        <f>IFERROR(__xludf.DUMMYFUNCTION("""COMPUTED_VALUE"""),"application/pdf")</f>
        <v>application/pdf</v>
      </c>
    </row>
    <row r="888">
      <c r="A888" s="147" t="str">
        <f>IFERROR(__xludf.DUMMYFUNCTION("""COMPUTED_VALUE"""),"10.1186/2050-7283-1-22")</f>
        <v>10.1186/2050-7283-1-22</v>
      </c>
      <c r="B888" s="453" t="str">
        <f>IFERROR(__xludf.DUMMYFUNCTION("""COMPUTED_VALUE"""),"https://drive.google.com/file/d/177P2xO1D22ODvu0Zcz9Ls-wtsZM0ck_y/view?usp=drivesdk")</f>
        <v>https://drive.google.com/file/d/177P2xO1D22ODvu0Zcz9Ls-wtsZM0ck_y/view?usp=drivesdk</v>
      </c>
      <c r="C888" s="147" t="str">
        <f>IFERROR(__xludf.DUMMYFUNCTION("""COMPUTED_VALUE"""),"10.1186--2050-7283-1-22.pdf")</f>
        <v>10.1186--2050-7283-1-22.pdf</v>
      </c>
      <c r="D888" s="147" t="str">
        <f>IFERROR(__xludf.DUMMYFUNCTION("""COMPUTED_VALUE"""),"application/pdf")</f>
        <v>application/pdf</v>
      </c>
    </row>
    <row r="889">
      <c r="A889" s="147" t="str">
        <f>IFERROR(__xludf.DUMMYFUNCTION("""COMPUTED_VALUE"""),"10.1037/a0024587")</f>
        <v>10.1037/a0024587</v>
      </c>
      <c r="B889" s="453" t="str">
        <f>IFERROR(__xludf.DUMMYFUNCTION("""COMPUTED_VALUE"""),"https://drive.google.com/file/d/1GYDJkUHLj_0GiFfIztass97sMyACxxL_/view?usp=drivesdk")</f>
        <v>https://drive.google.com/file/d/1GYDJkUHLj_0GiFfIztass97sMyACxxL_/view?usp=drivesdk</v>
      </c>
      <c r="C889" s="147" t="str">
        <f>IFERROR(__xludf.DUMMYFUNCTION("""COMPUTED_VALUE"""),"10.1037--a0024587.pdf")</f>
        <v>10.1037--a0024587.pdf</v>
      </c>
      <c r="D889" s="147" t="str">
        <f>IFERROR(__xludf.DUMMYFUNCTION("""COMPUTED_VALUE"""),"application/pdf")</f>
        <v>application/pdf</v>
      </c>
    </row>
    <row r="890">
      <c r="A890" s="147" t="str">
        <f>IFERROR(__xludf.DUMMYFUNCTION("""COMPUTED_VALUE"""),"10.1177/1474704916673841")</f>
        <v>10.1177/1474704916673841</v>
      </c>
      <c r="B890" s="453" t="str">
        <f>IFERROR(__xludf.DUMMYFUNCTION("""COMPUTED_VALUE"""),"https://drive.google.com/file/d/1su7Vb49cFI1HG8-kYcPPfFRtLhMmz3nx/view?usp=drivesdk")</f>
        <v>https://drive.google.com/file/d/1su7Vb49cFI1HG8-kYcPPfFRtLhMmz3nx/view?usp=drivesdk</v>
      </c>
      <c r="C890" s="147" t="str">
        <f>IFERROR(__xludf.DUMMYFUNCTION("""COMPUTED_VALUE"""),"10.1177--1474704916673841.pdf")</f>
        <v>10.1177--1474704916673841.pdf</v>
      </c>
      <c r="D890" s="147" t="str">
        <f>IFERROR(__xludf.DUMMYFUNCTION("""COMPUTED_VALUE"""),"application/pdf")</f>
        <v>application/pdf</v>
      </c>
    </row>
    <row r="891">
      <c r="A891" s="147" t="str">
        <f>IFERROR(__xludf.DUMMYFUNCTION("""COMPUTED_VALUE"""),"10.3758/s13423-014-0757-4")</f>
        <v>10.3758/s13423-014-0757-4</v>
      </c>
      <c r="B891" s="453" t="str">
        <f>IFERROR(__xludf.DUMMYFUNCTION("""COMPUTED_VALUE"""),"https://drive.google.com/file/d/1p5ydRsZ4brAO2FqzQtlUbRAhPkcmRVgm/view?usp=drivesdk")</f>
        <v>https://drive.google.com/file/d/1p5ydRsZ4brAO2FqzQtlUbRAhPkcmRVgm/view?usp=drivesdk</v>
      </c>
      <c r="C891" s="147" t="str">
        <f>IFERROR(__xludf.DUMMYFUNCTION("""COMPUTED_VALUE"""),"10.3758--s13423-014-0757-4.pdf")</f>
        <v>10.3758--s13423-014-0757-4.pdf</v>
      </c>
      <c r="D891" s="147" t="str">
        <f>IFERROR(__xludf.DUMMYFUNCTION("""COMPUTED_VALUE"""),"application/pdf")</f>
        <v>application/pdf</v>
      </c>
    </row>
    <row r="892">
      <c r="A892" s="147" t="str">
        <f>IFERROR(__xludf.DUMMYFUNCTION("""COMPUTED_VALUE"""),"10.1126/science.aac4716")</f>
        <v>10.1126/science.aac4716</v>
      </c>
      <c r="B892" s="453" t="str">
        <f>IFERROR(__xludf.DUMMYFUNCTION("""COMPUTED_VALUE"""),"https://drive.google.com/file/d/1UMAh9VGta6ExS2-Lb6GkDF4fmnI2EMeM/view?usp=drivesdk")</f>
        <v>https://drive.google.com/file/d/1UMAh9VGta6ExS2-Lb6GkDF4fmnI2EMeM/view?usp=drivesdk</v>
      </c>
      <c r="C892" s="147" t="str">
        <f>IFERROR(__xludf.DUMMYFUNCTION("""COMPUTED_VALUE"""),"10.1126--science.aac4716.pdf")</f>
        <v>10.1126--science.aac4716.pdf</v>
      </c>
      <c r="D892" s="147" t="str">
        <f>IFERROR(__xludf.DUMMYFUNCTION("""COMPUTED_VALUE"""),"application/pdf")</f>
        <v>application/pdf</v>
      </c>
    </row>
    <row r="893">
      <c r="A893" s="147" t="str">
        <f>IFERROR(__xludf.DUMMYFUNCTION("""COMPUTED_VALUE"""),"10.1016/j.appet.2013.12.020")</f>
        <v>10.1016/j.appet.2013.12.020</v>
      </c>
      <c r="B893" s="453" t="str">
        <f>IFERROR(__xludf.DUMMYFUNCTION("""COMPUTED_VALUE"""),"https://drive.google.com/file/d/1c8fXNnhmY13vK0FI3aMB_LAx3-JbSZd7/view?usp=drivesdk")</f>
        <v>https://drive.google.com/file/d/1c8fXNnhmY13vK0FI3aMB_LAx3-JbSZd7/view?usp=drivesdk</v>
      </c>
      <c r="C893" s="147" t="str">
        <f>IFERROR(__xludf.DUMMYFUNCTION("""COMPUTED_VALUE"""),"10.1016--j.appet.2013.12.020.pdf")</f>
        <v>10.1016--j.appet.2013.12.020.pdf</v>
      </c>
      <c r="D893" s="147" t="str">
        <f>IFERROR(__xludf.DUMMYFUNCTION("""COMPUTED_VALUE"""),"application/pdf")</f>
        <v>application/pdf</v>
      </c>
    </row>
    <row r="894">
      <c r="A894" s="147" t="str">
        <f>IFERROR(__xludf.DUMMYFUNCTION("""COMPUTED_VALUE"""),"10.1037/a0019486")</f>
        <v>10.1037/a0019486</v>
      </c>
      <c r="B894" s="453" t="str">
        <f>IFERROR(__xludf.DUMMYFUNCTION("""COMPUTED_VALUE"""),"https://drive.google.com/file/d/12SWYH_3yaJdBAJKrKFzEeTvzXOf_RPCI/view?usp=drivesdk")</f>
        <v>https://drive.google.com/file/d/12SWYH_3yaJdBAJKrKFzEeTvzXOf_RPCI/view?usp=drivesdk</v>
      </c>
      <c r="C894" s="147" t="str">
        <f>IFERROR(__xludf.DUMMYFUNCTION("""COMPUTED_VALUE"""),"10.1037--a0019486.pdf")</f>
        <v>10.1037--a0019486.pdf</v>
      </c>
      <c r="D894" s="147" t="str">
        <f>IFERROR(__xludf.DUMMYFUNCTION("""COMPUTED_VALUE"""),"application/pdf")</f>
        <v>application/pdf</v>
      </c>
    </row>
    <row r="895">
      <c r="A895" s="147" t="str">
        <f>IFERROR(__xludf.DUMMYFUNCTION("""COMPUTED_VALUE"""),"10.1016/j.jesp.2012.10.014")</f>
        <v>10.1016/j.jesp.2012.10.014</v>
      </c>
      <c r="B895" s="453" t="str">
        <f>IFERROR(__xludf.DUMMYFUNCTION("""COMPUTED_VALUE"""),"https://drive.google.com/file/d/1_rFVHDaWBDKF-ni6stLki1Wt7mspwAb2/view?usp=drivesdk")</f>
        <v>https://drive.google.com/file/d/1_rFVHDaWBDKF-ni6stLki1Wt7mspwAb2/view?usp=drivesdk</v>
      </c>
      <c r="C895" s="147" t="str">
        <f>IFERROR(__xludf.DUMMYFUNCTION("""COMPUTED_VALUE"""),"10.1016--j.jesp.2012.10.014.pdf")</f>
        <v>10.1016--j.jesp.2012.10.014.pdf</v>
      </c>
      <c r="D895" s="147" t="str">
        <f>IFERROR(__xludf.DUMMYFUNCTION("""COMPUTED_VALUE"""),"application/pdf")</f>
        <v>application/pdf</v>
      </c>
    </row>
    <row r="896">
      <c r="A896" s="147" t="str">
        <f>IFERROR(__xludf.DUMMYFUNCTION("""COMPUTED_VALUE"""),"10.1002/(sici)1099-0771(199912)12:4&lt;275::aid-bdm323&gt;3.0.co;2-m")</f>
        <v>10.1002/(sici)1099-0771(199912)12:4&lt;275::aid-bdm323&gt;3.0.co;2-m</v>
      </c>
      <c r="B896" s="453" t="str">
        <f>IFERROR(__xludf.DUMMYFUNCTION("""COMPUTED_VALUE"""),"https://drive.google.com/file/d/1W8pBtYP2f9U_-uIX5gCuIjH_0yXV7kTV/view?usp=drivesdk")</f>
        <v>https://drive.google.com/file/d/1W8pBtYP2f9U_-uIX5gCuIjH_0yXV7kTV/view?usp=drivesdk</v>
      </c>
      <c r="C896" s="147" t="str">
        <f>IFERROR(__xludf.DUMMYFUNCTION("""COMPUTED_VALUE"""),"10.1002--(SICI)1099-0771(199912)12:4&lt;275::AID-BDM323&gt;3.0.CO;2-M.pdf")</f>
        <v>10.1002--(SICI)1099-0771(199912)12:4&lt;275::AID-BDM323&gt;3.0.CO;2-M.pdf</v>
      </c>
      <c r="D896" s="147" t="str">
        <f>IFERROR(__xludf.DUMMYFUNCTION("""COMPUTED_VALUE"""),"application/pdf")</f>
        <v>application/pdf</v>
      </c>
    </row>
    <row r="897">
      <c r="A897" s="147" t="str">
        <f>IFERROR(__xludf.DUMMYFUNCTION("""COMPUTED_VALUE"""),"10.1177/1368430204046108")</f>
        <v>10.1177/1368430204046108</v>
      </c>
      <c r="B897" s="453" t="str">
        <f>IFERROR(__xludf.DUMMYFUNCTION("""COMPUTED_VALUE"""),"https://drive.google.com/file/d/1x5dReumzPkBHOlVCvRV6PIR2YzCKFDLg/view?usp=drivesdk")</f>
        <v>https://drive.google.com/file/d/1x5dReumzPkBHOlVCvRV6PIR2YzCKFDLg/view?usp=drivesdk</v>
      </c>
      <c r="C897" s="147" t="str">
        <f>IFERROR(__xludf.DUMMYFUNCTION("""COMPUTED_VALUE"""),"10.1177--1368430204046108.pdf")</f>
        <v>10.1177--1368430204046108.pdf</v>
      </c>
      <c r="D897" s="147" t="str">
        <f>IFERROR(__xludf.DUMMYFUNCTION("""COMPUTED_VALUE"""),"application/pdf")</f>
        <v>application/pdf</v>
      </c>
    </row>
    <row r="898">
      <c r="A898" s="147" t="str">
        <f>IFERROR(__xludf.DUMMYFUNCTION("""COMPUTED_VALUE"""),"10.1177/1745691616664694")</f>
        <v>10.1177/1745691616664694</v>
      </c>
      <c r="B898" s="453" t="str">
        <f>IFERROR(__xludf.DUMMYFUNCTION("""COMPUTED_VALUE"""),"https://drive.google.com/file/d/1sdcg8NT60W6Q1CUK8HlHIK6x_dR0WhCC/view?usp=drivesdk")</f>
        <v>https://drive.google.com/file/d/1sdcg8NT60W6Q1CUK8HlHIK6x_dR0WhCC/view?usp=drivesdk</v>
      </c>
      <c r="C898" s="147" t="str">
        <f>IFERROR(__xludf.DUMMYFUNCTION("""COMPUTED_VALUE"""),"10.1177--1745691616664694.pdf")</f>
        <v>10.1177--1745691616664694.pdf</v>
      </c>
      <c r="D898" s="147" t="str">
        <f>IFERROR(__xludf.DUMMYFUNCTION("""COMPUTED_VALUE"""),"application/pdf")</f>
        <v>application/pdf</v>
      </c>
    </row>
    <row r="899">
      <c r="A899" s="147" t="str">
        <f>IFERROR(__xludf.DUMMYFUNCTION("""COMPUTED_VALUE"""),"10.1371/journal.pone.0072467")</f>
        <v>10.1371/journal.pone.0072467</v>
      </c>
      <c r="B899" s="453" t="str">
        <f>IFERROR(__xludf.DUMMYFUNCTION("""COMPUTED_VALUE"""),"https://drive.google.com/file/d/1NxE1Ga7BUZXY3Xjkehb6oetRcD7yCVFb/view?usp=drivesdk")</f>
        <v>https://drive.google.com/file/d/1NxE1Ga7BUZXY3Xjkehb6oetRcD7yCVFb/view?usp=drivesdk</v>
      </c>
      <c r="C899" s="147" t="str">
        <f>IFERROR(__xludf.DUMMYFUNCTION("""COMPUTED_VALUE"""),"10.1371--journal.pone.0072467.pdf")</f>
        <v>10.1371--journal.pone.0072467.pdf</v>
      </c>
      <c r="D899" s="147" t="str">
        <f>IFERROR(__xludf.DUMMYFUNCTION("""COMPUTED_VALUE"""),"application/pdf")</f>
        <v>application/pdf</v>
      </c>
    </row>
    <row r="900">
      <c r="A900" s="147" t="str">
        <f>IFERROR(__xludf.DUMMYFUNCTION("""COMPUTED_VALUE"""),"10.1177/1745691618755704")</f>
        <v>10.1177/1745691618755704</v>
      </c>
      <c r="B900" s="453" t="str">
        <f>IFERROR(__xludf.DUMMYFUNCTION("""COMPUTED_VALUE"""),"https://drive.google.com/file/d/1C2Jup6rdXsZPGLRA0Q5G0yMD3cEEnxWq/view?usp=drivesdk")</f>
        <v>https://drive.google.com/file/d/1C2Jup6rdXsZPGLRA0Q5G0yMD3cEEnxWq/view?usp=drivesdk</v>
      </c>
      <c r="C900" s="147" t="str">
        <f>IFERROR(__xludf.DUMMYFUNCTION("""COMPUTED_VALUE"""),"10.1177--1745691618755704.pdf")</f>
        <v>10.1177--1745691618755704.pdf</v>
      </c>
      <c r="D900" s="147" t="str">
        <f>IFERROR(__xludf.DUMMYFUNCTION("""COMPUTED_VALUE"""),"application/pdf")</f>
        <v>application/pdf</v>
      </c>
    </row>
    <row r="901">
      <c r="A901" s="147" t="str">
        <f>IFERROR(__xludf.DUMMYFUNCTION("""COMPUTED_VALUE"""),"10.1371/journal.pone.0029081")</f>
        <v>10.1371/journal.pone.0029081</v>
      </c>
      <c r="B901" s="453" t="str">
        <f>IFERROR(__xludf.DUMMYFUNCTION("""COMPUTED_VALUE"""),"https://drive.google.com/file/d/13yA5wer3pEP6DzO7ZMN-jDmSL2aYTKUo/view?usp=drivesdk")</f>
        <v>https://drive.google.com/file/d/13yA5wer3pEP6DzO7ZMN-jDmSL2aYTKUo/view?usp=drivesdk</v>
      </c>
      <c r="C901" s="147" t="str">
        <f>IFERROR(__xludf.DUMMYFUNCTION("""COMPUTED_VALUE"""),"10.1371--journal.pone.0029081.pdf")</f>
        <v>10.1371--journal.pone.0029081.pdf</v>
      </c>
      <c r="D901" s="147" t="str">
        <f>IFERROR(__xludf.DUMMYFUNCTION("""COMPUTED_VALUE"""),"application/pdf")</f>
        <v>application/pdf</v>
      </c>
    </row>
    <row r="902">
      <c r="A902" s="147" t="str">
        <f>IFERROR(__xludf.DUMMYFUNCTION("""COMPUTED_VALUE"""),"10.1037/0022-3514.83.2.406")</f>
        <v>10.1037/0022-3514.83.2.406</v>
      </c>
      <c r="B902" s="453" t="str">
        <f>IFERROR(__xludf.DUMMYFUNCTION("""COMPUTED_VALUE"""),"https://drive.google.com/file/d/1OuxVCUkVnVBw7IH1mtlkV9HYUNX7kOe5/view?usp=drivesdk")</f>
        <v>https://drive.google.com/file/d/1OuxVCUkVnVBw7IH1mtlkV9HYUNX7kOe5/view?usp=drivesdk</v>
      </c>
      <c r="C902" s="147" t="str">
        <f>IFERROR(__xludf.DUMMYFUNCTION("""COMPUTED_VALUE"""),"10.1037--0022-3514.83.2.406.pdf")</f>
        <v>10.1037--0022-3514.83.2.406.pdf</v>
      </c>
      <c r="D902" s="147" t="str">
        <f>IFERROR(__xludf.DUMMYFUNCTION("""COMPUTED_VALUE"""),"application/pdf")</f>
        <v>application/pdf</v>
      </c>
    </row>
    <row r="903">
      <c r="A903" s="147" t="str">
        <f>IFERROR(__xludf.DUMMYFUNCTION("""COMPUTED_VALUE"""),"10.1177/1088868309352321")</f>
        <v>10.1177/1088868309352321</v>
      </c>
      <c r="B903" s="453" t="str">
        <f>IFERROR(__xludf.DUMMYFUNCTION("""COMPUTED_VALUE"""),"https://drive.google.com/file/d/14-ZL5A4czmJoVm6VnVZoXDjPvxpu_fIM/view?usp=drivesdk")</f>
        <v>https://drive.google.com/file/d/14-ZL5A4czmJoVm6VnVZoXDjPvxpu_fIM/view?usp=drivesdk</v>
      </c>
      <c r="C903" s="147" t="str">
        <f>IFERROR(__xludf.DUMMYFUNCTION("""COMPUTED_VALUE"""),"10.1177--1088868309352321.pdf")</f>
        <v>10.1177--1088868309352321.pdf</v>
      </c>
      <c r="D903" s="147" t="str">
        <f>IFERROR(__xludf.DUMMYFUNCTION("""COMPUTED_VALUE"""),"application/pdf")</f>
        <v>application/pdf</v>
      </c>
    </row>
    <row r="904">
      <c r="A904" s="147" t="str">
        <f>IFERROR(__xludf.DUMMYFUNCTION("""COMPUTED_VALUE"""),"10.1177/2515245918777487")</f>
        <v>10.1177/2515245918777487</v>
      </c>
      <c r="B904" s="453" t="str">
        <f>IFERROR(__xludf.DUMMYFUNCTION("""COMPUTED_VALUE"""),"https://drive.google.com/file/d/1-Y0tXk4wvWq7Lp_s5SZ5Mf957-oNEeur/view?usp=drivesdk")</f>
        <v>https://drive.google.com/file/d/1-Y0tXk4wvWq7Lp_s5SZ5Mf957-oNEeur/view?usp=drivesdk</v>
      </c>
      <c r="C904" s="147" t="str">
        <f>IFERROR(__xludf.DUMMYFUNCTION("""COMPUTED_VALUE"""),"10.1177--2515245918777487.pdf")</f>
        <v>10.1177--2515245918777487.pdf</v>
      </c>
      <c r="D904" s="147" t="str">
        <f>IFERROR(__xludf.DUMMYFUNCTION("""COMPUTED_VALUE"""),"application/pdf")</f>
        <v>application/pdf</v>
      </c>
    </row>
    <row r="905">
      <c r="A905" s="147" t="str">
        <f>IFERROR(__xludf.DUMMYFUNCTION("""COMPUTED_VALUE"""),"10.1016/j.jad.2021.07.052")</f>
        <v>10.1016/j.jad.2021.07.052</v>
      </c>
      <c r="B905" s="453" t="str">
        <f>IFERROR(__xludf.DUMMYFUNCTION("""COMPUTED_VALUE"""),"https://drive.google.com/file/d/13Nio-8dO7qZ49R3mjE9DmfkECTBbx1fU/view?usp=drivesdk")</f>
        <v>https://drive.google.com/file/d/13Nio-8dO7qZ49R3mjE9DmfkECTBbx1fU/view?usp=drivesdk</v>
      </c>
      <c r="C905" s="147" t="str">
        <f>IFERROR(__xludf.DUMMYFUNCTION("""COMPUTED_VALUE"""),"10.1016--j.jad.2021.07.052.pdf")</f>
        <v>10.1016--j.jad.2021.07.052.pdf</v>
      </c>
      <c r="D905" s="147" t="str">
        <f>IFERROR(__xludf.DUMMYFUNCTION("""COMPUTED_VALUE"""),"application/pdf")</f>
        <v>application/pdf</v>
      </c>
    </row>
    <row r="906">
      <c r="A906" s="147" t="str">
        <f>IFERROR(__xludf.DUMMYFUNCTION("""COMPUTED_VALUE"""),"10.1080/13576500802362869")</f>
        <v>10.1080/13576500802362869</v>
      </c>
      <c r="B906" s="453" t="str">
        <f>IFERROR(__xludf.DUMMYFUNCTION("""COMPUTED_VALUE"""),"https://drive.google.com/file/d/1RIdyQYV9nsqx6EZiSwAZ6zO42GlvWP1u/view?usp=drivesdk")</f>
        <v>https://drive.google.com/file/d/1RIdyQYV9nsqx6EZiSwAZ6zO42GlvWP1u/view?usp=drivesdk</v>
      </c>
      <c r="C906" s="147" t="str">
        <f>IFERROR(__xludf.DUMMYFUNCTION("""COMPUTED_VALUE"""),"10.1080--13576500802362869.pdf")</f>
        <v>10.1080--13576500802362869.pdf</v>
      </c>
      <c r="D906" s="147" t="str">
        <f>IFERROR(__xludf.DUMMYFUNCTION("""COMPUTED_VALUE"""),"application/pdf")</f>
        <v>application/pdf</v>
      </c>
    </row>
    <row r="907">
      <c r="A907" s="147" t="str">
        <f>IFERROR(__xludf.DUMMYFUNCTION("""COMPUTED_VALUE"""),"10.1016/s0278-2626(01)80048-8")</f>
        <v>10.1016/s0278-2626(01)80048-8</v>
      </c>
      <c r="B907" s="453" t="str">
        <f>IFERROR(__xludf.DUMMYFUNCTION("""COMPUTED_VALUE"""),"https://drive.google.com/file/d/1hlAefOA0L_mUhbFAEpVR-i1xbXqI-EKV/view?usp=drivesdk")</f>
        <v>https://drive.google.com/file/d/1hlAefOA0L_mUhbFAEpVR-i1xbXqI-EKV/view?usp=drivesdk</v>
      </c>
      <c r="C907" s="147" t="str">
        <f>IFERROR(__xludf.DUMMYFUNCTION("""COMPUTED_VALUE"""),"10.1016--S0278-2626(01)80048-8.pdf")</f>
        <v>10.1016--S0278-2626(01)80048-8.pdf</v>
      </c>
      <c r="D907" s="147" t="str">
        <f>IFERROR(__xludf.DUMMYFUNCTION("""COMPUTED_VALUE"""),"application/pdf")</f>
        <v>application/pdf</v>
      </c>
    </row>
    <row r="908">
      <c r="A908" s="147" t="str">
        <f>IFERROR(__xludf.DUMMYFUNCTION("""COMPUTED_VALUE"""),"10.1177/0956797618774253")</f>
        <v>10.1177/0956797618774253</v>
      </c>
      <c r="B908" s="453" t="str">
        <f>IFERROR(__xludf.DUMMYFUNCTION("""COMPUTED_VALUE"""),"https://drive.google.com/file/d/1pEYSpiW7cwndWEcUtM2w1XP85JNmvB9Y/view?usp=drivesdk")</f>
        <v>https://drive.google.com/file/d/1pEYSpiW7cwndWEcUtM2w1XP85JNmvB9Y/view?usp=drivesdk</v>
      </c>
      <c r="C908" s="147" t="str">
        <f>IFERROR(__xludf.DUMMYFUNCTION("""COMPUTED_VALUE"""),"10.1177--0956797618774253.pdf")</f>
        <v>10.1177--0956797618774253.pdf</v>
      </c>
      <c r="D908" s="147" t="str">
        <f>IFERROR(__xludf.DUMMYFUNCTION("""COMPUTED_VALUE"""),"application/pdf")</f>
        <v>application/pdf</v>
      </c>
    </row>
    <row r="909">
      <c r="A909" s="147" t="str">
        <f>IFERROR(__xludf.DUMMYFUNCTION("""COMPUTED_VALUE"""),"10.1016/j.jesp.2021.104222")</f>
        <v>10.1016/j.jesp.2021.104222</v>
      </c>
      <c r="B909" s="453" t="str">
        <f>IFERROR(__xludf.DUMMYFUNCTION("""COMPUTED_VALUE"""),"https://drive.google.com/file/d/1sJy0VbAO2JUZeEyRrrbhw8VkO2cWWHfk/view?usp=drivesdk")</f>
        <v>https://drive.google.com/file/d/1sJy0VbAO2JUZeEyRrrbhw8VkO2cWWHfk/view?usp=drivesdk</v>
      </c>
      <c r="C909" s="147" t="str">
        <f>IFERROR(__xludf.DUMMYFUNCTION("""COMPUTED_VALUE"""),"10.1016--j.jesp.2021.104222.pdf")</f>
        <v>10.1016--j.jesp.2021.104222.pdf</v>
      </c>
      <c r="D909" s="147" t="str">
        <f>IFERROR(__xludf.DUMMYFUNCTION("""COMPUTED_VALUE"""),"application/pdf")</f>
        <v>application/pdf</v>
      </c>
    </row>
    <row r="910">
      <c r="A910" s="147" t="str">
        <f>IFERROR(__xludf.DUMMYFUNCTION("""COMPUTED_VALUE"""),"10.1007/s10936-011-9169-z")</f>
        <v>10.1007/s10936-011-9169-z</v>
      </c>
      <c r="B910" s="453" t="str">
        <f>IFERROR(__xludf.DUMMYFUNCTION("""COMPUTED_VALUE"""),"https://drive.google.com/file/d/1eZUHCweVxeMdVb4zYCf9_w4tvePwSTns/view?usp=drivesdk")</f>
        <v>https://drive.google.com/file/d/1eZUHCweVxeMdVb4zYCf9_w4tvePwSTns/view?usp=drivesdk</v>
      </c>
      <c r="C910" s="147" t="str">
        <f>IFERROR(__xludf.DUMMYFUNCTION("""COMPUTED_VALUE"""),"10.1007--s10936-011-9169-z.pdf")</f>
        <v>10.1007--s10936-011-9169-z.pdf</v>
      </c>
      <c r="D910" s="147" t="str">
        <f>IFERROR(__xludf.DUMMYFUNCTION("""COMPUTED_VALUE"""),"application/pdf")</f>
        <v>application/pdf</v>
      </c>
    </row>
    <row r="911">
      <c r="A911" s="147" t="str">
        <f>IFERROR(__xludf.DUMMYFUNCTION("""COMPUTED_VALUE"""),"10.1177/0956797620904154")</f>
        <v>10.1177/0956797620904154</v>
      </c>
      <c r="B911" s="453" t="str">
        <f>IFERROR(__xludf.DUMMYFUNCTION("""COMPUTED_VALUE"""),"https://drive.google.com/file/d/1NKb0rKO1p03jltWPge7_eMofoR99zCY4/view?usp=drivesdk")</f>
        <v>https://drive.google.com/file/d/1NKb0rKO1p03jltWPge7_eMofoR99zCY4/view?usp=drivesdk</v>
      </c>
      <c r="C911" s="147" t="str">
        <f>IFERROR(__xludf.DUMMYFUNCTION("""COMPUTED_VALUE"""),"10.1177--0956797620904154.pdf")</f>
        <v>10.1177--0956797620904154.pdf</v>
      </c>
      <c r="D911" s="147" t="str">
        <f>IFERROR(__xludf.DUMMYFUNCTION("""COMPUTED_VALUE"""),"application/pdf")</f>
        <v>application/pdf</v>
      </c>
    </row>
    <row r="912">
      <c r="A912" s="147" t="str">
        <f>IFERROR(__xludf.DUMMYFUNCTION("""COMPUTED_VALUE"""),"10.1016/j.jml.2003.09.004")</f>
        <v>10.1016/j.jml.2003.09.004</v>
      </c>
      <c r="B912" s="453" t="str">
        <f>IFERROR(__xludf.DUMMYFUNCTION("""COMPUTED_VALUE"""),"https://drive.google.com/file/d/1_mASUuJkGSmG2GgCCSiVIjrljmT37fKD/view?usp=drivesdk")</f>
        <v>https://drive.google.com/file/d/1_mASUuJkGSmG2GgCCSiVIjrljmT37fKD/view?usp=drivesdk</v>
      </c>
      <c r="C912" s="147" t="str">
        <f>IFERROR(__xludf.DUMMYFUNCTION("""COMPUTED_VALUE"""),"10.1016--j.jml.2003.09.004.pdf")</f>
        <v>10.1016--j.jml.2003.09.004.pdf</v>
      </c>
      <c r="D912" s="147" t="str">
        <f>IFERROR(__xludf.DUMMYFUNCTION("""COMPUTED_VALUE"""),"application/pdf")</f>
        <v>application/pdf</v>
      </c>
    </row>
    <row r="913">
      <c r="A913" s="147" t="str">
        <f>IFERROR(__xludf.DUMMYFUNCTION("""COMPUTED_VALUE"""),"10.1037/a0033090")</f>
        <v>10.1037/a0033090</v>
      </c>
      <c r="B913" s="453" t="str">
        <f>IFERROR(__xludf.DUMMYFUNCTION("""COMPUTED_VALUE"""),"https://drive.google.com/file/d/1tYqyeoNprzV_qtrZGEB-4reEpABdkPw3/view?usp=drivesdk")</f>
        <v>https://drive.google.com/file/d/1tYqyeoNprzV_qtrZGEB-4reEpABdkPw3/view?usp=drivesdk</v>
      </c>
      <c r="C913" s="147" t="str">
        <f>IFERROR(__xludf.DUMMYFUNCTION("""COMPUTED_VALUE"""),"10.1037--a0033090.pdf")</f>
        <v>10.1037--a0033090.pdf</v>
      </c>
      <c r="D913" s="147" t="str">
        <f>IFERROR(__xludf.DUMMYFUNCTION("""COMPUTED_VALUE"""),"application/pdf")</f>
        <v>application/pdf</v>
      </c>
    </row>
    <row r="914">
      <c r="A914" s="147" t="str">
        <f>IFERROR(__xludf.DUMMYFUNCTION("""COMPUTED_VALUE"""),"10.1016/j.actpsy.2003.11.002")</f>
        <v>10.1016/j.actpsy.2003.11.002</v>
      </c>
      <c r="B914" s="453" t="str">
        <f>IFERROR(__xludf.DUMMYFUNCTION("""COMPUTED_VALUE"""),"https://drive.google.com/file/d/1N3Kdpl81yca1EtoDyekVJjSEXoEPFlfj/view?usp=drivesdk")</f>
        <v>https://drive.google.com/file/d/1N3Kdpl81yca1EtoDyekVJjSEXoEPFlfj/view?usp=drivesdk</v>
      </c>
      <c r="C914" s="147" t="str">
        <f>IFERROR(__xludf.DUMMYFUNCTION("""COMPUTED_VALUE"""),"10.1016--j.actpsy.2003.11.002.pdf")</f>
        <v>10.1016--j.actpsy.2003.11.002.pdf</v>
      </c>
      <c r="D914" s="147" t="str">
        <f>IFERROR(__xludf.DUMMYFUNCTION("""COMPUTED_VALUE"""),"application/pdf")</f>
        <v>application/pdf</v>
      </c>
    </row>
    <row r="915">
      <c r="A915" s="147" t="str">
        <f>IFERROR(__xludf.DUMMYFUNCTION("""COMPUTED_VALUE"""),"10.1080/23743603.2020.1756239")</f>
        <v>10.1080/23743603.2020.1756239</v>
      </c>
      <c r="B915" s="453" t="str">
        <f>IFERROR(__xludf.DUMMYFUNCTION("""COMPUTED_VALUE"""),"https://drive.google.com/file/d/1Y9TjJAW8ZKfogaBp1kGoi63qt-8wZ3_p/view?usp=drivesdk")</f>
        <v>https://drive.google.com/file/d/1Y9TjJAW8ZKfogaBp1kGoi63qt-8wZ3_p/view?usp=drivesdk</v>
      </c>
      <c r="C915" s="147" t="str">
        <f>IFERROR(__xludf.DUMMYFUNCTION("""COMPUTED_VALUE"""),"10.1080--23743603.2020.1756239.pdf")</f>
        <v>10.1080--23743603.2020.1756239.pdf</v>
      </c>
      <c r="D915" s="147" t="str">
        <f>IFERROR(__xludf.DUMMYFUNCTION("""COMPUTED_VALUE"""),"application/pdf")</f>
        <v>application/pdf</v>
      </c>
    </row>
    <row r="916">
      <c r="A916" s="147" t="str">
        <f>IFERROR(__xludf.DUMMYFUNCTION("""COMPUTED_VALUE"""),"10.1007/s10902-012-9342-6")</f>
        <v>10.1007/s10902-012-9342-6</v>
      </c>
      <c r="B916" s="453" t="str">
        <f>IFERROR(__xludf.DUMMYFUNCTION("""COMPUTED_VALUE"""),"https://drive.google.com/file/d/1O-k-Z5CgdBCl2iip47xIs6T7RVcmAbcf/view?usp=drivesdk")</f>
        <v>https://drive.google.com/file/d/1O-k-Z5CgdBCl2iip47xIs6T7RVcmAbcf/view?usp=drivesdk</v>
      </c>
      <c r="C916" s="147" t="str">
        <f>IFERROR(__xludf.DUMMYFUNCTION("""COMPUTED_VALUE"""),"10.1007--s10902-012-9342-6.pdf")</f>
        <v>10.1007--s10902-012-9342-6.pdf</v>
      </c>
      <c r="D916" s="147" t="str">
        <f>IFERROR(__xludf.DUMMYFUNCTION("""COMPUTED_VALUE"""),"application/pdf")</f>
        <v>application/pdf</v>
      </c>
    </row>
    <row r="917">
      <c r="A917" s="147" t="str">
        <f>IFERROR(__xludf.DUMMYFUNCTION("""COMPUTED_VALUE"""),"10.1016/j.paid.2015.11.011")</f>
        <v>10.1016/j.paid.2015.11.011</v>
      </c>
      <c r="B917" s="453" t="str">
        <f>IFERROR(__xludf.DUMMYFUNCTION("""COMPUTED_VALUE"""),"https://drive.google.com/file/d/1_a617egHPNmdr95a_vU1ME_nNXbxT2YN/view?usp=drivesdk")</f>
        <v>https://drive.google.com/file/d/1_a617egHPNmdr95a_vU1ME_nNXbxT2YN/view?usp=drivesdk</v>
      </c>
      <c r="C917" s="147" t="str">
        <f>IFERROR(__xludf.DUMMYFUNCTION("""COMPUTED_VALUE"""),"10.1016--j.paid.2015.11.011.pdf")</f>
        <v>10.1016--j.paid.2015.11.011.pdf</v>
      </c>
      <c r="D917" s="147" t="str">
        <f>IFERROR(__xludf.DUMMYFUNCTION("""COMPUTED_VALUE"""),"application/pdf")</f>
        <v>application/pdf</v>
      </c>
    </row>
    <row r="918">
      <c r="A918" s="147" t="str">
        <f>IFERROR(__xludf.DUMMYFUNCTION("""COMPUTED_VALUE"""),"10.1016/j.jtbi.2007.11.004")</f>
        <v>10.1016/j.jtbi.2007.11.004</v>
      </c>
      <c r="B918" s="453" t="str">
        <f>IFERROR(__xludf.DUMMYFUNCTION("""COMPUTED_VALUE"""),"https://drive.google.com/file/d/1XcuAMCb4SJKIgmPLDvhXazapejs_aDdJ/view?usp=drivesdk")</f>
        <v>https://drive.google.com/file/d/1XcuAMCb4SJKIgmPLDvhXazapejs_aDdJ/view?usp=drivesdk</v>
      </c>
      <c r="C918" s="147" t="str">
        <f>IFERROR(__xludf.DUMMYFUNCTION("""COMPUTED_VALUE"""),"10.1016--j.jtbi.2007.11.004.pdf")</f>
        <v>10.1016--j.jtbi.2007.11.004.pdf</v>
      </c>
      <c r="D918" s="147" t="str">
        <f>IFERROR(__xludf.DUMMYFUNCTION("""COMPUTED_VALUE"""),"application/pdf")</f>
        <v>application/pdf</v>
      </c>
    </row>
    <row r="919">
      <c r="A919" s="147" t="str">
        <f>IFERROR(__xludf.DUMMYFUNCTION("""COMPUTED_VALUE"""),"10.1037/arc0000007")</f>
        <v>10.1037/arc0000007</v>
      </c>
      <c r="B919" s="453" t="str">
        <f>IFERROR(__xludf.DUMMYFUNCTION("""COMPUTED_VALUE"""),"https://drive.google.com/file/d/1gyeq5B_qi3Jnlf4Z_IsX5vLD1Nya92z0/view?usp=drivesdk")</f>
        <v>https://drive.google.com/file/d/1gyeq5B_qi3Jnlf4Z_IsX5vLD1Nya92z0/view?usp=drivesdk</v>
      </c>
      <c r="C919" s="147" t="str">
        <f>IFERROR(__xludf.DUMMYFUNCTION("""COMPUTED_VALUE"""),"10.1037--arc0000007.pdf")</f>
        <v>10.1037--arc0000007.pdf</v>
      </c>
      <c r="D919" s="147" t="str">
        <f>IFERROR(__xludf.DUMMYFUNCTION("""COMPUTED_VALUE"""),"application/pdf")</f>
        <v>application/pdf</v>
      </c>
    </row>
    <row r="920">
      <c r="A920" s="147" t="str">
        <f>IFERROR(__xludf.DUMMYFUNCTION("""COMPUTED_VALUE"""),"10.1016/j.jesp.2015.08.005")</f>
        <v>10.1016/j.jesp.2015.08.005</v>
      </c>
      <c r="B920" s="453" t="str">
        <f>IFERROR(__xludf.DUMMYFUNCTION("""COMPUTED_VALUE"""),"https://drive.google.com/file/d/1-xurSGJuM3s6RBApJqwPJeMlgGlC3K_D/view?usp=drivesdk")</f>
        <v>https://drive.google.com/file/d/1-xurSGJuM3s6RBApJqwPJeMlgGlC3K_D/view?usp=drivesdk</v>
      </c>
      <c r="C920" s="147" t="str">
        <f>IFERROR(__xludf.DUMMYFUNCTION("""COMPUTED_VALUE"""),"10.1016--j.jesp.2015.08.005.pdf")</f>
        <v>10.1016--j.jesp.2015.08.005.pdf</v>
      </c>
      <c r="D920" s="147" t="str">
        <f>IFERROR(__xludf.DUMMYFUNCTION("""COMPUTED_VALUE"""),"application/pdf")</f>
        <v>application/pdf</v>
      </c>
    </row>
    <row r="921">
      <c r="A921" s="147" t="str">
        <f>IFERROR(__xludf.DUMMYFUNCTION("""COMPUTED_VALUE"""),"10.1016/j.jesp.2014.04.014.")</f>
        <v>10.1016/j.jesp.2014.04.014.</v>
      </c>
      <c r="B921" s="453" t="str">
        <f>IFERROR(__xludf.DUMMYFUNCTION("""COMPUTED_VALUE"""),"https://drive.google.com/file/d/1AXc9ELjFb-hXVUWMzlJZYPXvvlEhIDm6/view?usp=drivesdk")</f>
        <v>https://drive.google.com/file/d/1AXc9ELjFb-hXVUWMzlJZYPXvvlEhIDm6/view?usp=drivesdk</v>
      </c>
      <c r="C921" s="147" t="str">
        <f>IFERROR(__xludf.DUMMYFUNCTION("""COMPUTED_VALUE"""),"10.1016--j.jesp.2014.04.014..pdf")</f>
        <v>10.1016--j.jesp.2014.04.014..pdf</v>
      </c>
      <c r="D921" s="147" t="str">
        <f>IFERROR(__xludf.DUMMYFUNCTION("""COMPUTED_VALUE"""),"application/pdf")</f>
        <v>application/pdf</v>
      </c>
    </row>
    <row r="922">
      <c r="A922" s="147" t="str">
        <f>IFERROR(__xludf.DUMMYFUNCTION("""COMPUTED_VALUE"""),"10.1016/j.jesp.2020.104066")</f>
        <v>10.1016/j.jesp.2020.104066</v>
      </c>
      <c r="B922" s="453" t="str">
        <f>IFERROR(__xludf.DUMMYFUNCTION("""COMPUTED_VALUE"""),"https://drive.google.com/file/d/1Q7xa-u3DEssueb6fBYD39BjDPub6xcHR/view?usp=drivesdk")</f>
        <v>https://drive.google.com/file/d/1Q7xa-u3DEssueb6fBYD39BjDPub6xcHR/view?usp=drivesdk</v>
      </c>
      <c r="C922" s="147" t="str">
        <f>IFERROR(__xludf.DUMMYFUNCTION("""COMPUTED_VALUE"""),"10.1016--j.jesp.2020.104066.pdf")</f>
        <v>10.1016--j.jesp.2020.104066.pdf</v>
      </c>
      <c r="D922" s="147" t="str">
        <f>IFERROR(__xludf.DUMMYFUNCTION("""COMPUTED_VALUE"""),"application/pdf")</f>
        <v>application/pdf</v>
      </c>
    </row>
    <row r="923">
      <c r="A923" s="147" t="str">
        <f>IFERROR(__xludf.DUMMYFUNCTION("""COMPUTED_VALUE"""),"10.1016/j.jesp.2013.05.011")</f>
        <v>10.1016/j.jesp.2013.05.011</v>
      </c>
      <c r="B923" s="453" t="str">
        <f>IFERROR(__xludf.DUMMYFUNCTION("""COMPUTED_VALUE"""),"https://drive.google.com/file/d/1JdFF8pu65hv5yMW8kuJKZT-omhqW3568/view?usp=drivesdk")</f>
        <v>https://drive.google.com/file/d/1JdFF8pu65hv5yMW8kuJKZT-omhqW3568/view?usp=drivesdk</v>
      </c>
      <c r="C923" s="147" t="str">
        <f>IFERROR(__xludf.DUMMYFUNCTION("""COMPUTED_VALUE"""),"10.1016--j.jesp.2013.05.011.pdf")</f>
        <v>10.1016--j.jesp.2013.05.011.pdf</v>
      </c>
      <c r="D923" s="147" t="str">
        <f>IFERROR(__xludf.DUMMYFUNCTION("""COMPUTED_VALUE"""),"application/pdf")</f>
        <v>application/pdf</v>
      </c>
    </row>
    <row r="924">
      <c r="A924" s="147" t="str">
        <f>IFERROR(__xludf.DUMMYFUNCTION("""COMPUTED_VALUE"""),"10.1007/s10071-014-0772-x")</f>
        <v>10.1007/s10071-014-0772-x</v>
      </c>
      <c r="B924" s="453" t="str">
        <f>IFERROR(__xludf.DUMMYFUNCTION("""COMPUTED_VALUE"""),"https://drive.google.com/file/d/1aj8B0Xo2PNkknIhUbiwxlXmmWvp7ECaH/view?usp=drivesdk")</f>
        <v>https://drive.google.com/file/d/1aj8B0Xo2PNkknIhUbiwxlXmmWvp7ECaH/view?usp=drivesdk</v>
      </c>
      <c r="C924" s="147" t="str">
        <f>IFERROR(__xludf.DUMMYFUNCTION("""COMPUTED_VALUE"""),"10.1007--s10071-014-0772-x.pdf")</f>
        <v>10.1007--s10071-014-0772-x.pdf</v>
      </c>
      <c r="D924" s="147" t="str">
        <f>IFERROR(__xludf.DUMMYFUNCTION("""COMPUTED_VALUE"""),"application/pdf")</f>
        <v>application/pdf</v>
      </c>
    </row>
    <row r="925">
      <c r="A925" s="147" t="str">
        <f>IFERROR(__xludf.DUMMYFUNCTION("""COMPUTED_VALUE"""),"10.1007/s00213-019-05314-z")</f>
        <v>10.1007/s00213-019-05314-z</v>
      </c>
      <c r="B925" s="453" t="str">
        <f>IFERROR(__xludf.DUMMYFUNCTION("""COMPUTED_VALUE"""),"https://drive.google.com/file/d/1gdDOOMTIigM-6Ed3enxRZxDW_ycizIYq/view?usp=drivesdk")</f>
        <v>https://drive.google.com/file/d/1gdDOOMTIigM-6Ed3enxRZxDW_ycizIYq/view?usp=drivesdk</v>
      </c>
      <c r="C925" s="147" t="str">
        <f>IFERROR(__xludf.DUMMYFUNCTION("""COMPUTED_VALUE"""),"10.1007--s00213-019-05314-z.pdf")</f>
        <v>10.1007--s00213-019-05314-z.pdf</v>
      </c>
      <c r="D925" s="147" t="str">
        <f>IFERROR(__xludf.DUMMYFUNCTION("""COMPUTED_VALUE"""),"application/pdf")</f>
        <v>application/pdf</v>
      </c>
    </row>
    <row r="926">
      <c r="A926" s="147" t="str">
        <f>IFERROR(__xludf.DUMMYFUNCTION("""COMPUTED_VALUE"""),"10.1371/journal.pone.0140570")</f>
        <v>10.1371/journal.pone.0140570</v>
      </c>
      <c r="B926" s="453" t="str">
        <f>IFERROR(__xludf.DUMMYFUNCTION("""COMPUTED_VALUE"""),"https://drive.google.com/file/d/1gsOTvu8o9_agf4ZMRaXeuVc3OE2nLzap/view?usp=drivesdk")</f>
        <v>https://drive.google.com/file/d/1gsOTvu8o9_agf4ZMRaXeuVc3OE2nLzap/view?usp=drivesdk</v>
      </c>
      <c r="C926" s="147" t="str">
        <f>IFERROR(__xludf.DUMMYFUNCTION("""COMPUTED_VALUE"""),"10.1371--journal.pone.0140570.pdf")</f>
        <v>10.1371--journal.pone.0140570.pdf</v>
      </c>
      <c r="D926" s="147" t="str">
        <f>IFERROR(__xludf.DUMMYFUNCTION("""COMPUTED_VALUE"""),"application/pdf")</f>
        <v>application/pdf</v>
      </c>
    </row>
    <row r="927">
      <c r="A927" s="147" t="str">
        <f>IFERROR(__xludf.DUMMYFUNCTION("""COMPUTED_VALUE"""),"10.1023/a:1024790530822")</f>
        <v>10.1023/a:1024790530822</v>
      </c>
      <c r="B927" s="453" t="str">
        <f>IFERROR(__xludf.DUMMYFUNCTION("""COMPUTED_VALUE"""),"https://drive.google.com/file/d/14XksUpjrQJUMaz7MdAdSkyoKt9b8ulAg/view?usp=drivesdk")</f>
        <v>https://drive.google.com/file/d/14XksUpjrQJUMaz7MdAdSkyoKt9b8ulAg/view?usp=drivesdk</v>
      </c>
      <c r="C927" s="147" t="str">
        <f>IFERROR(__xludf.DUMMYFUNCTION("""COMPUTED_VALUE"""),"10.1023--A:1024790530822.pdf")</f>
        <v>10.1023--A:1024790530822.pdf</v>
      </c>
      <c r="D927" s="147" t="str">
        <f>IFERROR(__xludf.DUMMYFUNCTION("""COMPUTED_VALUE"""),"application/pdf")</f>
        <v>application/pdf</v>
      </c>
    </row>
    <row r="928">
      <c r="A928" s="147" t="str">
        <f>IFERROR(__xludf.DUMMYFUNCTION("""COMPUTED_VALUE"""),"10.1017/s1355617702860106")</f>
        <v>10.1017/s1355617702860106</v>
      </c>
      <c r="B928" s="453" t="str">
        <f>IFERROR(__xludf.DUMMYFUNCTION("""COMPUTED_VALUE"""),"https://drive.google.com/file/d/1IW0qjwuuON-KUlB9j-eiO4xg57xZsaBi/view?usp=drivesdk")</f>
        <v>https://drive.google.com/file/d/1IW0qjwuuON-KUlB9j-eiO4xg57xZsaBi/view?usp=drivesdk</v>
      </c>
      <c r="C928" s="147" t="str">
        <f>IFERROR(__xludf.DUMMYFUNCTION("""COMPUTED_VALUE"""),"10.1017--S1355617702860106.pdf")</f>
        <v>10.1017--S1355617702860106.pdf</v>
      </c>
      <c r="D928" s="147" t="str">
        <f>IFERROR(__xludf.DUMMYFUNCTION("""COMPUTED_VALUE"""),"application/pdf")</f>
        <v>application/pdf</v>
      </c>
    </row>
    <row r="929">
      <c r="A929" s="147" t="str">
        <f>IFERROR(__xludf.DUMMYFUNCTION("""COMPUTED_VALUE"""),"10.3758/bf03193224")</f>
        <v>10.3758/bf03193224</v>
      </c>
      <c r="B929" s="453" t="str">
        <f>IFERROR(__xludf.DUMMYFUNCTION("""COMPUTED_VALUE"""),"https://drive.google.com/file/d/1GlDT0ELzxcEvkjSSuOTPVqUBCygnsWCw/view?usp=drivesdk")</f>
        <v>https://drive.google.com/file/d/1GlDT0ELzxcEvkjSSuOTPVqUBCygnsWCw/view?usp=drivesdk</v>
      </c>
      <c r="C929" s="147" t="str">
        <f>IFERROR(__xludf.DUMMYFUNCTION("""COMPUTED_VALUE"""),"10.3758--BF03193224.pdf")</f>
        <v>10.3758--BF03193224.pdf</v>
      </c>
      <c r="D929" s="147" t="str">
        <f>IFERROR(__xludf.DUMMYFUNCTION("""COMPUTED_VALUE"""),"application/pdf")</f>
        <v>application/pdf</v>
      </c>
    </row>
    <row r="930">
      <c r="A930" s="147" t="str">
        <f>IFERROR(__xludf.DUMMYFUNCTION("""COMPUTED_VALUE"""),"10.1207/s15324826an0701_3")</f>
        <v>10.1207/s15324826an0701_3</v>
      </c>
      <c r="B930" s="453" t="str">
        <f>IFERROR(__xludf.DUMMYFUNCTION("""COMPUTED_VALUE"""),"https://drive.google.com/file/d/1fI9AvKCFXUbNqvCnE7F2C_aze9MnObud/view?usp=drivesdk")</f>
        <v>https://drive.google.com/file/d/1fI9AvKCFXUbNqvCnE7F2C_aze9MnObud/view?usp=drivesdk</v>
      </c>
      <c r="C930" s="147" t="str">
        <f>IFERROR(__xludf.DUMMYFUNCTION("""COMPUTED_VALUE"""),"10.1207--S15324826AN0701_3.pdf")</f>
        <v>10.1207--S15324826AN0701_3.pdf</v>
      </c>
      <c r="D930" s="147" t="str">
        <f>IFERROR(__xludf.DUMMYFUNCTION("""COMPUTED_VALUE"""),"application/pdf")</f>
        <v>application/pdf</v>
      </c>
    </row>
    <row r="931">
      <c r="A931" s="147" t="str">
        <f>IFERROR(__xludf.DUMMYFUNCTION("""COMPUTED_VALUE"""),"10.1037/0894-4105.16.4.562")</f>
        <v>10.1037/0894-4105.16.4.562</v>
      </c>
      <c r="B931" s="453" t="str">
        <f>IFERROR(__xludf.DUMMYFUNCTION("""COMPUTED_VALUE"""),"https://drive.google.com/file/d/1nyuFXPtZ3yl4xeiu7MA9Tx40lpG1Oe7D/view?usp=drivesdk")</f>
        <v>https://drive.google.com/file/d/1nyuFXPtZ3yl4xeiu7MA9Tx40lpG1Oe7D/view?usp=drivesdk</v>
      </c>
      <c r="C931" s="147" t="str">
        <f>IFERROR(__xludf.DUMMYFUNCTION("""COMPUTED_VALUE"""),"10.1037--0894-4105.16.4.562.pdf")</f>
        <v>10.1037--0894-4105.16.4.562.pdf</v>
      </c>
      <c r="D931" s="147" t="str">
        <f>IFERROR(__xludf.DUMMYFUNCTION("""COMPUTED_VALUE"""),"application/pdf")</f>
        <v>application/pdf</v>
      </c>
    </row>
    <row r="932">
      <c r="A932" s="147" t="str">
        <f>IFERROR(__xludf.DUMMYFUNCTION("""COMPUTED_VALUE"""),"10.1177/0956797619831612")</f>
        <v>10.1177/0956797619831612</v>
      </c>
      <c r="B932" s="453" t="str">
        <f>IFERROR(__xludf.DUMMYFUNCTION("""COMPUTED_VALUE"""),"https://drive.google.com/file/d/17mZvRs3ue7pXwqu8bmIDvgNdc95PGEcV/view?usp=drivesdk")</f>
        <v>https://drive.google.com/file/d/17mZvRs3ue7pXwqu8bmIDvgNdc95PGEcV/view?usp=drivesdk</v>
      </c>
      <c r="C932" s="147" t="str">
        <f>IFERROR(__xludf.DUMMYFUNCTION("""COMPUTED_VALUE"""),"10.1177--0956797619831612.pdf")</f>
        <v>10.1177--0956797619831612.pdf</v>
      </c>
      <c r="D932" s="147" t="str">
        <f>IFERROR(__xludf.DUMMYFUNCTION("""COMPUTED_VALUE"""),"application/pdf")</f>
        <v>application/pdf</v>
      </c>
    </row>
    <row r="933">
      <c r="A933" s="147" t="str">
        <f>IFERROR(__xludf.DUMMYFUNCTION("""COMPUTED_VALUE"""),"10.1177/1745691614545653")</f>
        <v>10.1177/1745691614545653</v>
      </c>
      <c r="B933" s="453" t="str">
        <f>IFERROR(__xludf.DUMMYFUNCTION("""COMPUTED_VALUE"""),"https://drive.google.com/file/d/1bUdOeN6otviUN-kBvT0eGX5V_WZjjau0/view?usp=drivesdk")</f>
        <v>https://drive.google.com/file/d/1bUdOeN6otviUN-kBvT0eGX5V_WZjjau0/view?usp=drivesdk</v>
      </c>
      <c r="C933" s="147" t="str">
        <f>IFERROR(__xludf.DUMMYFUNCTION("""COMPUTED_VALUE"""),"10.1177--1745691614545653.pdf")</f>
        <v>10.1177--1745691614545653.pdf</v>
      </c>
      <c r="D933" s="147" t="str">
        <f>IFERROR(__xludf.DUMMYFUNCTION("""COMPUTED_VALUE"""),"application/pdf")</f>
        <v>application/pdf</v>
      </c>
    </row>
    <row r="934">
      <c r="A934" s="147" t="str">
        <f>IFERROR(__xludf.DUMMYFUNCTION("""COMPUTED_VALUE"""),"10.1016/j.jesp.2015.10.012")</f>
        <v>10.1016/j.jesp.2015.10.012</v>
      </c>
      <c r="B934" s="453" t="str">
        <f>IFERROR(__xludf.DUMMYFUNCTION("""COMPUTED_VALUE"""),"https://drive.google.com/file/d/1xuc-fvipcLZQMaybgsFtBL29-3ClXZFF/view?usp=drivesdk")</f>
        <v>https://drive.google.com/file/d/1xuc-fvipcLZQMaybgsFtBL29-3ClXZFF/view?usp=drivesdk</v>
      </c>
      <c r="C934" s="147" t="str">
        <f>IFERROR(__xludf.DUMMYFUNCTION("""COMPUTED_VALUE"""),"10.1016--j.jesp.2015.10.012.pdf")</f>
        <v>10.1016--j.jesp.2015.10.012.pdf</v>
      </c>
      <c r="D934" s="147" t="str">
        <f>IFERROR(__xludf.DUMMYFUNCTION("""COMPUTED_VALUE"""),"application/pdf")</f>
        <v>application/pdf</v>
      </c>
    </row>
    <row r="935">
      <c r="A935" s="147" t="str">
        <f>IFERROR(__xludf.DUMMYFUNCTION("""COMPUTED_VALUE"""),"10.1371/journal.pone.0053827")</f>
        <v>10.1371/journal.pone.0053827</v>
      </c>
      <c r="B935" s="453" t="str">
        <f>IFERROR(__xludf.DUMMYFUNCTION("""COMPUTED_VALUE"""),"https://drive.google.com/file/d/1SW8YbHdY9LZLPUYEaeltGXqctWN3G72a/view?usp=drivesdk")</f>
        <v>https://drive.google.com/file/d/1SW8YbHdY9LZLPUYEaeltGXqctWN3G72a/view?usp=drivesdk</v>
      </c>
      <c r="C935" s="147" t="str">
        <f>IFERROR(__xludf.DUMMYFUNCTION("""COMPUTED_VALUE"""),"10.1371--journal.pone.0053827.pdf")</f>
        <v>10.1371--journal.pone.0053827.pdf</v>
      </c>
      <c r="D935" s="147" t="str">
        <f>IFERROR(__xludf.DUMMYFUNCTION("""COMPUTED_VALUE"""),"application/pdf")</f>
        <v>application/pdf</v>
      </c>
    </row>
    <row r="936">
      <c r="A936" s="147" t="str">
        <f>IFERROR(__xludf.DUMMYFUNCTION("""COMPUTED_VALUE"""),"10.1192/bjp.178.4.344")</f>
        <v>10.1192/bjp.178.4.344</v>
      </c>
      <c r="B936" s="453" t="str">
        <f>IFERROR(__xludf.DUMMYFUNCTION("""COMPUTED_VALUE"""),"https://drive.google.com/file/d/1oOmUlehVvRaM19jZUP5-KPUM6GoqwMcj/view?usp=drivesdk")</f>
        <v>https://drive.google.com/file/d/1oOmUlehVvRaM19jZUP5-KPUM6GoqwMcj/view?usp=drivesdk</v>
      </c>
      <c r="C936" s="147" t="str">
        <f>IFERROR(__xludf.DUMMYFUNCTION("""COMPUTED_VALUE"""),"10.1192--bjp.178.4.344.pdf")</f>
        <v>10.1192--bjp.178.4.344.pdf</v>
      </c>
      <c r="D936" s="147" t="str">
        <f>IFERROR(__xludf.DUMMYFUNCTION("""COMPUTED_VALUE"""),"application/pdf")</f>
        <v>application/pdf</v>
      </c>
    </row>
    <row r="937">
      <c r="A937" s="147" t="str">
        <f>IFERROR(__xludf.DUMMYFUNCTION("""COMPUTED_VALUE"""),"10.1186/2052-1847-5-11")</f>
        <v>10.1186/2052-1847-5-11</v>
      </c>
      <c r="B937" s="453" t="str">
        <f>IFERROR(__xludf.DUMMYFUNCTION("""COMPUTED_VALUE"""),"https://drive.google.com/file/d/1ClvVjze3jeh0pirugXpxbUyLaBbpCVR3/view?usp=drivesdk")</f>
        <v>https://drive.google.com/file/d/1ClvVjze3jeh0pirugXpxbUyLaBbpCVR3/view?usp=drivesdk</v>
      </c>
      <c r="C937" s="147" t="str">
        <f>IFERROR(__xludf.DUMMYFUNCTION("""COMPUTED_VALUE"""),"10.1186--2052-1847-5-11.pdf")</f>
        <v>10.1186--2052-1847-5-11.pdf</v>
      </c>
      <c r="D937" s="147" t="str">
        <f>IFERROR(__xludf.DUMMYFUNCTION("""COMPUTED_VALUE"""),"application/pdf")</f>
        <v>application/pdf</v>
      </c>
    </row>
    <row r="938">
      <c r="A938" s="147" t="str">
        <f>IFERROR(__xludf.DUMMYFUNCTION("""COMPUTED_VALUE"""),"10.1097/npt.0000000000000065")</f>
        <v>10.1097/npt.0000000000000065</v>
      </c>
      <c r="B938" s="453" t="str">
        <f>IFERROR(__xludf.DUMMYFUNCTION("""COMPUTED_VALUE"""),"https://drive.google.com/file/d/1XWxdKOQYQMtFuvL7EsEQn7RuH4ypMVP0/view?usp=drivesdk")</f>
        <v>https://drive.google.com/file/d/1XWxdKOQYQMtFuvL7EsEQn7RuH4ypMVP0/view?usp=drivesdk</v>
      </c>
      <c r="C938" s="147" t="str">
        <f>IFERROR(__xludf.DUMMYFUNCTION("""COMPUTED_VALUE"""),"10.1097--NPT.0000000000000065.pdf")</f>
        <v>10.1097--NPT.0000000000000065.pdf</v>
      </c>
      <c r="D938" s="147" t="str">
        <f>IFERROR(__xludf.DUMMYFUNCTION("""COMPUTED_VALUE"""),"application/pdf")</f>
        <v>application/pdf</v>
      </c>
    </row>
    <row r="939">
      <c r="A939" s="147" t="str">
        <f>IFERROR(__xludf.DUMMYFUNCTION("""COMPUTED_VALUE"""),"10.1007/s13164-018-0400-9")</f>
        <v>10.1007/s13164-018-0400-9</v>
      </c>
      <c r="B939" s="453" t="str">
        <f>IFERROR(__xludf.DUMMYFUNCTION("""COMPUTED_VALUE"""),"https://drive.google.com/file/d/1hjI3aqifdfXjWhQAlvKCKKtvjuncAn5M/view?usp=drivesdk")</f>
        <v>https://drive.google.com/file/d/1hjI3aqifdfXjWhQAlvKCKKtvjuncAn5M/view?usp=drivesdk</v>
      </c>
      <c r="C939" s="147" t="str">
        <f>IFERROR(__xludf.DUMMYFUNCTION("""COMPUTED_VALUE"""),"10.1007--s13164-018-0400-9.pdf")</f>
        <v>10.1007--s13164-018-0400-9.pdf</v>
      </c>
      <c r="D939" s="147" t="str">
        <f>IFERROR(__xludf.DUMMYFUNCTION("""COMPUTED_VALUE"""),"application/pdf")</f>
        <v>application/pdf</v>
      </c>
    </row>
    <row r="940">
      <c r="A940" s="147" t="str">
        <f>IFERROR(__xludf.DUMMYFUNCTION("""COMPUTED_VALUE"""),"10.1371/journal.pone.0067000")</f>
        <v>10.1371/journal.pone.0067000</v>
      </c>
      <c r="B940" s="453" t="str">
        <f>IFERROR(__xludf.DUMMYFUNCTION("""COMPUTED_VALUE"""),"https://drive.google.com/file/d/1UJeeNtcoE5K0xHfMfq_HMptmh6jzKexE/view?usp=drivesdk")</f>
        <v>https://drive.google.com/file/d/1UJeeNtcoE5K0xHfMfq_HMptmh6jzKexE/view?usp=drivesdk</v>
      </c>
      <c r="C940" s="147" t="str">
        <f>IFERROR(__xludf.DUMMYFUNCTION("""COMPUTED_VALUE"""),"10.1371--journal.pone.0067000.pdf")</f>
        <v>10.1371--journal.pone.0067000.pdf</v>
      </c>
      <c r="D940" s="147" t="str">
        <f>IFERROR(__xludf.DUMMYFUNCTION("""COMPUTED_VALUE"""),"application/pdf")</f>
        <v>application/pdf</v>
      </c>
    </row>
    <row r="941">
      <c r="A941" s="147" t="str">
        <f>IFERROR(__xludf.DUMMYFUNCTION("""COMPUTED_VALUE"""),"10.1037/a0031412")</f>
        <v>10.1037/a0031412</v>
      </c>
      <c r="B941" s="453" t="str">
        <f>IFERROR(__xludf.DUMMYFUNCTION("""COMPUTED_VALUE"""),"https://drive.google.com/file/d/1FSya0JU7NICgjPEONeTDvBXhzmz9u2rJ/view?usp=drivesdk")</f>
        <v>https://drive.google.com/file/d/1FSya0JU7NICgjPEONeTDvBXhzmz9u2rJ/view?usp=drivesdk</v>
      </c>
      <c r="C941" s="147" t="str">
        <f>IFERROR(__xludf.DUMMYFUNCTION("""COMPUTED_VALUE"""),"10.1037--a0031412.pdf")</f>
        <v>10.1037--a0031412.pdf</v>
      </c>
      <c r="D941" s="147" t="str">
        <f>IFERROR(__xludf.DUMMYFUNCTION("""COMPUTED_VALUE"""),"application/pdf")</f>
        <v>application/pdf</v>
      </c>
    </row>
    <row r="942">
      <c r="A942" s="147" t="str">
        <f>IFERROR(__xludf.DUMMYFUNCTION("""COMPUTED_VALUE"""),"10.1080/23743603.2018.1559647")</f>
        <v>10.1080/23743603.2018.1559647</v>
      </c>
      <c r="B942" s="453" t="str">
        <f>IFERROR(__xludf.DUMMYFUNCTION("""COMPUTED_VALUE"""),"https://drive.google.com/file/d/10cUPWzTrCYTVc1-DC9yUAuuAoC88IrXM/view?usp=drivesdk")</f>
        <v>https://drive.google.com/file/d/10cUPWzTrCYTVc1-DC9yUAuuAoC88IrXM/view?usp=drivesdk</v>
      </c>
      <c r="C942" s="147" t="str">
        <f>IFERROR(__xludf.DUMMYFUNCTION("""COMPUTED_VALUE"""),"10.1080--23743603.2018.1559647.pdf")</f>
        <v>10.1080--23743603.2018.1559647.pdf</v>
      </c>
      <c r="D942" s="147" t="str">
        <f>IFERROR(__xludf.DUMMYFUNCTION("""COMPUTED_VALUE"""),"application/pdf")</f>
        <v>application/pdf</v>
      </c>
    </row>
    <row r="943">
      <c r="A943" s="147" t="str">
        <f>IFERROR(__xludf.DUMMYFUNCTION("""COMPUTED_VALUE"""),"10.1016/j.jsp.2014.10.002")</f>
        <v>10.1016/j.jsp.2014.10.002</v>
      </c>
      <c r="B943" s="453" t="str">
        <f>IFERROR(__xludf.DUMMYFUNCTION("""COMPUTED_VALUE"""),"https://drive.google.com/file/d/16IM1TCo-RpeTMo2h0xGj8HEklUBvQyVO/view?usp=drivesdk")</f>
        <v>https://drive.google.com/file/d/16IM1TCo-RpeTMo2h0xGj8HEklUBvQyVO/view?usp=drivesdk</v>
      </c>
      <c r="C943" s="147" t="str">
        <f>IFERROR(__xludf.DUMMYFUNCTION("""COMPUTED_VALUE"""),"10.1016--j.jsp.2014.10.002.pdf")</f>
        <v>10.1016--j.jsp.2014.10.002.pdf</v>
      </c>
      <c r="D943" s="147" t="str">
        <f>IFERROR(__xludf.DUMMYFUNCTION("""COMPUTED_VALUE"""),"application/pdf")</f>
        <v>application/pdf</v>
      </c>
    </row>
    <row r="944">
      <c r="A944" s="147" t="str">
        <f>IFERROR(__xludf.DUMMYFUNCTION("""COMPUTED_VALUE"""),"10.1037/a0026617")</f>
        <v>10.1037/a0026617</v>
      </c>
      <c r="B944" s="453" t="str">
        <f>IFERROR(__xludf.DUMMYFUNCTION("""COMPUTED_VALUE"""),"https://drive.google.com/file/d/1RGF4nHfyd4Xw2vvzyfXfINcrZH6ZBDNt/view?usp=drivesdk")</f>
        <v>https://drive.google.com/file/d/1RGF4nHfyd4Xw2vvzyfXfINcrZH6ZBDNt/view?usp=drivesdk</v>
      </c>
      <c r="C944" s="147" t="str">
        <f>IFERROR(__xludf.DUMMYFUNCTION("""COMPUTED_VALUE"""),"10.1037--a0026617.pdf")</f>
        <v>10.1037--a0026617.pdf</v>
      </c>
      <c r="D944" s="147" t="str">
        <f>IFERROR(__xludf.DUMMYFUNCTION("""COMPUTED_VALUE"""),"application/pdf")</f>
        <v>application/pdf</v>
      </c>
    </row>
    <row r="945">
      <c r="A945" s="147" t="str">
        <f>IFERROR(__xludf.DUMMYFUNCTION("""COMPUTED_VALUE"""),"10.1080/17470210903380830")</f>
        <v>10.1080/17470210903380830</v>
      </c>
      <c r="B945" s="453" t="str">
        <f>IFERROR(__xludf.DUMMYFUNCTION("""COMPUTED_VALUE"""),"https://drive.google.com/file/d/13sVesCYGhtMJC02MFdowUs5znyM1Rpjm/view?usp=drivesdk")</f>
        <v>https://drive.google.com/file/d/13sVesCYGhtMJC02MFdowUs5znyM1Rpjm/view?usp=drivesdk</v>
      </c>
      <c r="C945" s="147" t="str">
        <f>IFERROR(__xludf.DUMMYFUNCTION("""COMPUTED_VALUE"""),"10.1080--17470210903380830.pdf")</f>
        <v>10.1080--17470210903380830.pdf</v>
      </c>
      <c r="D945" s="147" t="str">
        <f>IFERROR(__xludf.DUMMYFUNCTION("""COMPUTED_VALUE"""),"application/pdf")</f>
        <v>application/pdf</v>
      </c>
    </row>
    <row r="946">
      <c r="A946" s="147" t="str">
        <f>IFERROR(__xludf.DUMMYFUNCTION("""COMPUTED_VALUE"""),"10.1126/science.198.4312.75")</f>
        <v>10.1126/science.198.4312.75</v>
      </c>
      <c r="B946" s="453" t="str">
        <f>IFERROR(__xludf.DUMMYFUNCTION("""COMPUTED_VALUE"""),"https://drive.google.com/file/d/136J03Q_tpmziraTV-EDTDJeDVz5VTXQO/view?usp=drivesdk")</f>
        <v>https://drive.google.com/file/d/136J03Q_tpmziraTV-EDTDJeDVz5VTXQO/view?usp=drivesdk</v>
      </c>
      <c r="C946" s="147" t="str">
        <f>IFERROR(__xludf.DUMMYFUNCTION("""COMPUTED_VALUE"""),"10.1126--science.198.4312.75.pdf")</f>
        <v>10.1126--science.198.4312.75.pdf</v>
      </c>
      <c r="D946" s="147" t="str">
        <f>IFERROR(__xludf.DUMMYFUNCTION("""COMPUTED_VALUE"""),"application/pdf")</f>
        <v>application/pdf</v>
      </c>
    </row>
    <row r="947">
      <c r="A947" s="147" t="str">
        <f>IFERROR(__xludf.DUMMYFUNCTION("""COMPUTED_VALUE"""),"10.3758/pbr.15.1.70")</f>
        <v>10.3758/pbr.15.1.70</v>
      </c>
      <c r="B947" s="453" t="str">
        <f>IFERROR(__xludf.DUMMYFUNCTION("""COMPUTED_VALUE"""),"https://drive.google.com/file/d/1kVMhKSS5Wgzpq87XRYWG7AQGAB8MDFtr/view?usp=drivesdk")</f>
        <v>https://drive.google.com/file/d/1kVMhKSS5Wgzpq87XRYWG7AQGAB8MDFtr/view?usp=drivesdk</v>
      </c>
      <c r="C947" s="147" t="str">
        <f>IFERROR(__xludf.DUMMYFUNCTION("""COMPUTED_VALUE"""),"10.3758--PBR.15.1.70.pdf")</f>
        <v>10.3758--PBR.15.1.70.pdf</v>
      </c>
      <c r="D947" s="147" t="str">
        <f>IFERROR(__xludf.DUMMYFUNCTION("""COMPUTED_VALUE"""),"application/pdf")</f>
        <v>application/pdf</v>
      </c>
    </row>
    <row r="948">
      <c r="A948" s="147" t="str">
        <f>IFERROR(__xludf.DUMMYFUNCTION("""COMPUTED_VALUE"""),"10.2466/pr0.1966.19.1.115")</f>
        <v>10.2466/pr0.1966.19.1.115</v>
      </c>
      <c r="B948" s="453" t="str">
        <f>IFERROR(__xludf.DUMMYFUNCTION("""COMPUTED_VALUE"""),"https://drive.google.com/file/d/1Je8H1JlAsEozkTzxRNGwP-qfN9yYkb-V/view?usp=drivesdk")</f>
        <v>https://drive.google.com/file/d/1Je8H1JlAsEozkTzxRNGwP-qfN9yYkb-V/view?usp=drivesdk</v>
      </c>
      <c r="C948" s="147" t="str">
        <f>IFERROR(__xludf.DUMMYFUNCTION("""COMPUTED_VALUE"""),"10.2466--pr0.1966.19.1.115.pdf")</f>
        <v>10.2466--pr0.1966.19.1.115.pdf</v>
      </c>
      <c r="D948" s="147" t="str">
        <f>IFERROR(__xludf.DUMMYFUNCTION("""COMPUTED_VALUE"""),"application/pdf")</f>
        <v>application/pdf</v>
      </c>
    </row>
    <row r="949">
      <c r="A949" s="147" t="str">
        <f>IFERROR(__xludf.DUMMYFUNCTION("""COMPUTED_VALUE"""),"10.1523/jneurosci.5864-10.2011")</f>
        <v>10.1523/jneurosci.5864-10.2011</v>
      </c>
      <c r="B949" s="453" t="str">
        <f>IFERROR(__xludf.DUMMYFUNCTION("""COMPUTED_VALUE"""),"https://drive.google.com/file/d/151uG_JsRHEeT8ijTsmwLHuA1kOWhIBXJ/view?usp=drivesdk")</f>
        <v>https://drive.google.com/file/d/151uG_JsRHEeT8ijTsmwLHuA1kOWhIBXJ/view?usp=drivesdk</v>
      </c>
      <c r="C949" s="147" t="str">
        <f>IFERROR(__xludf.DUMMYFUNCTION("""COMPUTED_VALUE"""),"10.1523--JNEUROSCI.5864-10.2011.pdf")</f>
        <v>10.1523--JNEUROSCI.5864-10.2011.pdf</v>
      </c>
      <c r="D949" s="147" t="str">
        <f>IFERROR(__xludf.DUMMYFUNCTION("""COMPUTED_VALUE"""),"application/pdf")</f>
        <v>application/pdf</v>
      </c>
    </row>
    <row r="950">
      <c r="A950" s="147" t="str">
        <f>IFERROR(__xludf.DUMMYFUNCTION("""COMPUTED_VALUE"""),"10.1207/s15327965pli0604_1")</f>
        <v>10.1207/s15327965pli0604_1</v>
      </c>
      <c r="B950" s="453" t="str">
        <f>IFERROR(__xludf.DUMMYFUNCTION("""COMPUTED_VALUE"""),"https://drive.google.com/file/d/1T0finp-fLieAKLfLKKpQcVjKvVkUOmid/view?usp=drivesdk")</f>
        <v>https://drive.google.com/file/d/1T0finp-fLieAKLfLKKpQcVjKvVkUOmid/view?usp=drivesdk</v>
      </c>
      <c r="C950" s="147" t="str">
        <f>IFERROR(__xludf.DUMMYFUNCTION("""COMPUTED_VALUE"""),"10.1207--s15327965pli0604_1.pdf")</f>
        <v>10.1207--s15327965pli0604_1.pdf</v>
      </c>
      <c r="D950" s="147" t="str">
        <f>IFERROR(__xludf.DUMMYFUNCTION("""COMPUTED_VALUE"""),"application/pdf")</f>
        <v>application/pdf</v>
      </c>
    </row>
    <row r="951">
      <c r="A951" s="147" t="str">
        <f>IFERROR(__xludf.DUMMYFUNCTION("""COMPUTED_VALUE"""),"10.1177/2167702617723376")</f>
        <v>10.1177/2167702617723376</v>
      </c>
      <c r="B951" s="453" t="str">
        <f>IFERROR(__xludf.DUMMYFUNCTION("""COMPUTED_VALUE"""),"https://drive.google.com/file/d/1NEDv5DiVuDvFdSlKyMM6fNkxcdxMbR8R/view?usp=drivesdk")</f>
        <v>https://drive.google.com/file/d/1NEDv5DiVuDvFdSlKyMM6fNkxcdxMbR8R/view?usp=drivesdk</v>
      </c>
      <c r="C951" s="147" t="str">
        <f>IFERROR(__xludf.DUMMYFUNCTION("""COMPUTED_VALUE"""),"10.1177--2167702617723376.pdf")</f>
        <v>10.1177--2167702617723376.pdf</v>
      </c>
      <c r="D951" s="147" t="str">
        <f>IFERROR(__xludf.DUMMYFUNCTION("""COMPUTED_VALUE"""),"application/pdf")</f>
        <v>application/pdf</v>
      </c>
    </row>
    <row r="952">
      <c r="A952" s="147" t="str">
        <f>IFERROR(__xludf.DUMMYFUNCTION("""COMPUTED_VALUE"""),"10.1177/2167696812466548")</f>
        <v>10.1177/2167696812466548</v>
      </c>
      <c r="B952" s="453" t="str">
        <f>IFERROR(__xludf.DUMMYFUNCTION("""COMPUTED_VALUE"""),"https://drive.google.com/file/d/1Q0Sk01j5joMct9DIvSVMZHeqrGAM99wa/view?usp=drivesdk")</f>
        <v>https://drive.google.com/file/d/1Q0Sk01j5joMct9DIvSVMZHeqrGAM99wa/view?usp=drivesdk</v>
      </c>
      <c r="C952" s="147" t="str">
        <f>IFERROR(__xludf.DUMMYFUNCTION("""COMPUTED_VALUE"""),"10.1177--2167696812466548.pdf")</f>
        <v>10.1177--2167696812466548.pdf</v>
      </c>
      <c r="D952" s="147" t="str">
        <f>IFERROR(__xludf.DUMMYFUNCTION("""COMPUTED_VALUE"""),"application/pdf")</f>
        <v>application/pdf</v>
      </c>
    </row>
    <row r="953">
      <c r="A953" s="147" t="str">
        <f>IFERROR(__xludf.DUMMYFUNCTION("""COMPUTED_VALUE"""),"10.1177/1368430207081533")</f>
        <v>10.1177/1368430207081533</v>
      </c>
      <c r="B953" s="453" t="str">
        <f>IFERROR(__xludf.DUMMYFUNCTION("""COMPUTED_VALUE"""),"https://drive.google.com/file/d/1ex2b0drlj-55MtfmUfDq7yBbLLjSesxF/view?usp=drivesdk")</f>
        <v>https://drive.google.com/file/d/1ex2b0drlj-55MtfmUfDq7yBbLLjSesxF/view?usp=drivesdk</v>
      </c>
      <c r="C953" s="147" t="str">
        <f>IFERROR(__xludf.DUMMYFUNCTION("""COMPUTED_VALUE"""),"10.1177--1368430207081533.pdf")</f>
        <v>10.1177--1368430207081533.pdf</v>
      </c>
      <c r="D953" s="147" t="str">
        <f>IFERROR(__xludf.DUMMYFUNCTION("""COMPUTED_VALUE"""),"application/pdf")</f>
        <v>application/pdf</v>
      </c>
    </row>
    <row r="954">
      <c r="A954" s="147" t="str">
        <f>IFERROR(__xludf.DUMMYFUNCTION("""COMPUTED_VALUE"""),"10.1287/mnsc.1110.1328")</f>
        <v>10.1287/mnsc.1110.1328</v>
      </c>
      <c r="B954" s="453" t="str">
        <f>IFERROR(__xludf.DUMMYFUNCTION("""COMPUTED_VALUE"""),"https://drive.google.com/file/d/1DsscXTH-yRBwPVKxy3s7M6YtXCPoBPFC/view?usp=drivesdk")</f>
        <v>https://drive.google.com/file/d/1DsscXTH-yRBwPVKxy3s7M6YtXCPoBPFC/view?usp=drivesdk</v>
      </c>
      <c r="C954" s="147" t="str">
        <f>IFERROR(__xludf.DUMMYFUNCTION("""COMPUTED_VALUE"""),"10.1287--mnsc.1110.1328.pdf")</f>
        <v>10.1287--mnsc.1110.1328.pdf</v>
      </c>
      <c r="D954" s="147" t="str">
        <f>IFERROR(__xludf.DUMMYFUNCTION("""COMPUTED_VALUE"""),"application/pdf")</f>
        <v>application/pdf</v>
      </c>
    </row>
    <row r="955">
      <c r="A955" s="147" t="str">
        <f>IFERROR(__xludf.DUMMYFUNCTION("""COMPUTED_VALUE"""),"10.1257/mac.1.1.146")</f>
        <v>10.1257/mac.1.1.146</v>
      </c>
      <c r="B955" s="453" t="str">
        <f>IFERROR(__xludf.DUMMYFUNCTION("""COMPUTED_VALUE"""),"https://drive.google.com/file/d/18u8UZGmq2oMFWhXRxe2eL3wAp7RT1WdE/view?usp=drivesdk")</f>
        <v>https://drive.google.com/file/d/18u8UZGmq2oMFWhXRxe2eL3wAp7RT1WdE/view?usp=drivesdk</v>
      </c>
      <c r="C955" s="147" t="str">
        <f>IFERROR(__xludf.DUMMYFUNCTION("""COMPUTED_VALUE"""),"10.1257--mac.1.1.146.pdf")</f>
        <v>10.1257--mac.1.1.146.pdf</v>
      </c>
      <c r="D955" s="147" t="str">
        <f>IFERROR(__xludf.DUMMYFUNCTION("""COMPUTED_VALUE"""),"application/pdf")</f>
        <v>application/pdf</v>
      </c>
    </row>
    <row r="956">
      <c r="A956" s="147" t="str">
        <f>IFERROR(__xludf.DUMMYFUNCTION("""COMPUTED_VALUE"""),"10.1257/mac.20130176")</f>
        <v>10.1257/mac.20130176</v>
      </c>
      <c r="B956" s="453" t="str">
        <f>IFERROR(__xludf.DUMMYFUNCTION("""COMPUTED_VALUE"""),"https://drive.google.com/file/d/1UuuzoS4yQn13IfYEyBMumYOQfdcrosni/view?usp=drivesdk")</f>
        <v>https://drive.google.com/file/d/1UuuzoS4yQn13IfYEyBMumYOQfdcrosni/view?usp=drivesdk</v>
      </c>
      <c r="C956" s="147" t="str">
        <f>IFERROR(__xludf.DUMMYFUNCTION("""COMPUTED_VALUE"""),"10.1257--mac.20130176.pdf")</f>
        <v>10.1257--mac.20130176.pdf</v>
      </c>
      <c r="D956" s="147" t="str">
        <f>IFERROR(__xludf.DUMMYFUNCTION("""COMPUTED_VALUE"""),"application/pdf")</f>
        <v>application/pdf</v>
      </c>
    </row>
    <row r="957">
      <c r="A957" s="147" t="str">
        <f>IFERROR(__xludf.DUMMYFUNCTION("""COMPUTED_VALUE"""),"10.1257/aer.102.2.720")</f>
        <v>10.1257/aer.102.2.720</v>
      </c>
      <c r="B957" s="453" t="str">
        <f>IFERROR(__xludf.DUMMYFUNCTION("""COMPUTED_VALUE"""),"https://drive.google.com/file/d/1CGw2aFqdeWSzTPWBi4Jhk_HVOrooYuQO/view?usp=drivesdk")</f>
        <v>https://drive.google.com/file/d/1CGw2aFqdeWSzTPWBi4Jhk_HVOrooYuQO/view?usp=drivesdk</v>
      </c>
      <c r="C957" s="147" t="str">
        <f>IFERROR(__xludf.DUMMYFUNCTION("""COMPUTED_VALUE"""),"10.1257--aer.102.2.720.pdf")</f>
        <v>10.1257--aer.102.2.720.pdf</v>
      </c>
      <c r="D957" s="147" t="str">
        <f>IFERROR(__xludf.DUMMYFUNCTION("""COMPUTED_VALUE"""),"application/pdf")</f>
        <v>application/pdf</v>
      </c>
    </row>
    <row r="958">
      <c r="A958" s="147" t="str">
        <f>IFERROR(__xludf.DUMMYFUNCTION("""COMPUTED_VALUE"""),"10.1257/aer.101.7.3109")</f>
        <v>10.1257/aer.101.7.3109</v>
      </c>
      <c r="B958" s="453" t="str">
        <f>IFERROR(__xludf.DUMMYFUNCTION("""COMPUTED_VALUE"""),"https://drive.google.com/file/d/19J7SxgV3TKuAhMt2JaFPTLscquaGkcBh/view?usp=drivesdk")</f>
        <v>https://drive.google.com/file/d/19J7SxgV3TKuAhMt2JaFPTLscquaGkcBh/view?usp=drivesdk</v>
      </c>
      <c r="C958" s="147" t="str">
        <f>IFERROR(__xludf.DUMMYFUNCTION("""COMPUTED_VALUE"""),"10.1257--aer.101.7.3109.pdf")</f>
        <v>10.1257--aer.101.7.3109.pdf</v>
      </c>
      <c r="D958" s="147" t="str">
        <f>IFERROR(__xludf.DUMMYFUNCTION("""COMPUTED_VALUE"""),"application/pdf")</f>
        <v>application/pdf</v>
      </c>
    </row>
    <row r="959">
      <c r="A959" s="147" t="str">
        <f>IFERROR(__xludf.DUMMYFUNCTION("""COMPUTED_VALUE"""),"10.1257/aer.99.3.1053.")</f>
        <v>10.1257/aer.99.3.1053.</v>
      </c>
      <c r="B959" s="453" t="str">
        <f>IFERROR(__xludf.DUMMYFUNCTION("""COMPUTED_VALUE"""),"https://drive.google.com/file/d/1th0_H913x7dEbLmmzeTjrSGGbUC8A42e/view?usp=drivesdk")</f>
        <v>https://drive.google.com/file/d/1th0_H913x7dEbLmmzeTjrSGGbUC8A42e/view?usp=drivesdk</v>
      </c>
      <c r="C959" s="147" t="str">
        <f>IFERROR(__xludf.DUMMYFUNCTION("""COMPUTED_VALUE"""),"10.1257--aer.99.3.1053..pdf")</f>
        <v>10.1257--aer.99.3.1053..pdf</v>
      </c>
      <c r="D959" s="147" t="str">
        <f>IFERROR(__xludf.DUMMYFUNCTION("""COMPUTED_VALUE"""),"application/pdf")</f>
        <v>application/pdf</v>
      </c>
    </row>
    <row r="960">
      <c r="A960" s="147" t="str">
        <f>IFERROR(__xludf.DUMMYFUNCTION("""COMPUTED_VALUE"""),"10.1207/s15324834basp2504_5")</f>
        <v>10.1207/s15324834basp2504_5</v>
      </c>
      <c r="B960" s="453" t="str">
        <f>IFERROR(__xludf.DUMMYFUNCTION("""COMPUTED_VALUE"""),"https://drive.google.com/file/d/1V139ov37mLWb-5UKv49efitjO3JB718i/view?usp=drivesdk")</f>
        <v>https://drive.google.com/file/d/1V139ov37mLWb-5UKv49efitjO3JB718i/view?usp=drivesdk</v>
      </c>
      <c r="C960" s="147" t="str">
        <f>IFERROR(__xludf.DUMMYFUNCTION("""COMPUTED_VALUE"""),"10.1207--s15324834basp2504_5.pdf")</f>
        <v>10.1207--s15324834basp2504_5.pdf</v>
      </c>
      <c r="D960" s="147" t="str">
        <f>IFERROR(__xludf.DUMMYFUNCTION("""COMPUTED_VALUE"""),"application/pdf")</f>
        <v>application/pdf</v>
      </c>
    </row>
    <row r="961">
      <c r="A961" s="147" t="str">
        <f>IFERROR(__xludf.DUMMYFUNCTION("""COMPUTED_VALUE"""),"10.1207/s15516709cog2605_4")</f>
        <v>10.1207/s15516709cog2605_4</v>
      </c>
      <c r="B961" s="453" t="str">
        <f>IFERROR(__xludf.DUMMYFUNCTION("""COMPUTED_VALUE"""),"https://drive.google.com/file/d/1FheroBSk3eQOvE0506M6iwY63EZBRzLS/view?usp=drivesdk")</f>
        <v>https://drive.google.com/file/d/1FheroBSk3eQOvE0506M6iwY63EZBRzLS/view?usp=drivesdk</v>
      </c>
      <c r="C961" s="147" t="str">
        <f>IFERROR(__xludf.DUMMYFUNCTION("""COMPUTED_VALUE"""),"10.1207--s15516709cog2605_4.pdf")</f>
        <v>10.1207--s15516709cog2605_4.pdf</v>
      </c>
      <c r="D961" s="147" t="str">
        <f>IFERROR(__xludf.DUMMYFUNCTION("""COMPUTED_VALUE"""),"application/pdf")</f>
        <v>application/pdf</v>
      </c>
    </row>
    <row r="962">
      <c r="A962" s="147" t="str">
        <f>IFERROR(__xludf.DUMMYFUNCTION("""COMPUTED_VALUE"""),"10.1177/1948550617720269")</f>
        <v>10.1177/1948550617720269</v>
      </c>
      <c r="B962" s="453" t="str">
        <f>IFERROR(__xludf.DUMMYFUNCTION("""COMPUTED_VALUE"""),"https://drive.google.com/file/d/1a7fL1ZC2nNN1XTUlfjR6WqqGjTag798y/view?usp=drivesdk")</f>
        <v>https://drive.google.com/file/d/1a7fL1ZC2nNN1XTUlfjR6WqqGjTag798y/view?usp=drivesdk</v>
      </c>
      <c r="C962" s="147" t="str">
        <f>IFERROR(__xludf.DUMMYFUNCTION("""COMPUTED_VALUE"""),"10.1177--1948550617720269.pdf")</f>
        <v>10.1177--1948550617720269.pdf</v>
      </c>
      <c r="D962" s="147" t="str">
        <f>IFERROR(__xludf.DUMMYFUNCTION("""COMPUTED_VALUE"""),"application/pdf")</f>
        <v>application/pdf</v>
      </c>
    </row>
    <row r="963">
      <c r="A963" s="147" t="str">
        <f>IFERROR(__xludf.DUMMYFUNCTION("""COMPUTED_VALUE"""),"10.1177/1948550614555029")</f>
        <v>10.1177/1948550614555029</v>
      </c>
      <c r="B963" s="453" t="str">
        <f>IFERROR(__xludf.DUMMYFUNCTION("""COMPUTED_VALUE"""),"https://drive.google.com/file/d/1W1dK0xmhy-qDUDWQ2DKJ9Gvb-j4yqqlf/view?usp=drivesdk")</f>
        <v>https://drive.google.com/file/d/1W1dK0xmhy-qDUDWQ2DKJ9Gvb-j4yqqlf/view?usp=drivesdk</v>
      </c>
      <c r="C963" s="147" t="str">
        <f>IFERROR(__xludf.DUMMYFUNCTION("""COMPUTED_VALUE"""),"10.1177--1948550614555029.pdf")</f>
        <v>10.1177--1948550614555029.pdf</v>
      </c>
      <c r="D963" s="147" t="str">
        <f>IFERROR(__xludf.DUMMYFUNCTION("""COMPUTED_VALUE"""),"application/pdf")</f>
        <v>application/pdf</v>
      </c>
    </row>
    <row r="964">
      <c r="A964" s="147" t="str">
        <f>IFERROR(__xludf.DUMMYFUNCTION("""COMPUTED_VALUE"""),"10.1177/1948550612457688")</f>
        <v>10.1177/1948550612457688</v>
      </c>
      <c r="B964" s="453" t="str">
        <f>IFERROR(__xludf.DUMMYFUNCTION("""COMPUTED_VALUE"""),"https://drive.google.com/file/d/1Mvv6lSbYDT3w1CNkuj_yKZJZyGVo8_wu/view?usp=drivesdk")</f>
        <v>https://drive.google.com/file/d/1Mvv6lSbYDT3w1CNkuj_yKZJZyGVo8_wu/view?usp=drivesdk</v>
      </c>
      <c r="C964" s="147" t="str">
        <f>IFERROR(__xludf.DUMMYFUNCTION("""COMPUTED_VALUE"""),"10.1177--1948550612457688.pdf")</f>
        <v>10.1177--1948550612457688.pdf</v>
      </c>
      <c r="D964" s="147" t="str">
        <f>IFERROR(__xludf.DUMMYFUNCTION("""COMPUTED_VALUE"""),"application/pdf")</f>
        <v>application/pdf</v>
      </c>
    </row>
    <row r="965">
      <c r="A965" s="147" t="str">
        <f>IFERROR(__xludf.DUMMYFUNCTION("""COMPUTED_VALUE"""),"10.1177/1747021817744546")</f>
        <v>10.1177/1747021817744546</v>
      </c>
      <c r="B965" s="453" t="str">
        <f>IFERROR(__xludf.DUMMYFUNCTION("""COMPUTED_VALUE"""),"https://drive.google.com/file/d/12tiBV9g0PDIUv5jLNU3H9ESLvqe3_su6/view?usp=drivesdk")</f>
        <v>https://drive.google.com/file/d/12tiBV9g0PDIUv5jLNU3H9ESLvqe3_su6/view?usp=drivesdk</v>
      </c>
      <c r="C965" s="147" t="str">
        <f>IFERROR(__xludf.DUMMYFUNCTION("""COMPUTED_VALUE"""),"10.1177--1747021817744546.pdf")</f>
        <v>10.1177--1747021817744546.pdf</v>
      </c>
      <c r="D965" s="147" t="str">
        <f>IFERROR(__xludf.DUMMYFUNCTION("""COMPUTED_VALUE"""),"application/pdf")</f>
        <v>application/pdf</v>
      </c>
    </row>
    <row r="966">
      <c r="A966" s="147" t="str">
        <f>IFERROR(__xludf.DUMMYFUNCTION("""COMPUTED_VALUE"""),"10.1177/1745691612454303")</f>
        <v>10.1177/1745691612454303</v>
      </c>
      <c r="B966" s="453" t="str">
        <f>IFERROR(__xludf.DUMMYFUNCTION("""COMPUTED_VALUE"""),"https://drive.google.com/file/d/1r7kvTijUR6GbKZNulHgJsuNUmZB01Vqr/view?usp=drivesdk")</f>
        <v>https://drive.google.com/file/d/1r7kvTijUR6GbKZNulHgJsuNUmZB01Vqr/view?usp=drivesdk</v>
      </c>
      <c r="C966" s="147" t="str">
        <f>IFERROR(__xludf.DUMMYFUNCTION("""COMPUTED_VALUE"""),"10.1177--1745691612454303.pdf")</f>
        <v>10.1177--1745691612454303.pdf</v>
      </c>
      <c r="D966" s="147" t="str">
        <f>IFERROR(__xludf.DUMMYFUNCTION("""COMPUTED_VALUE"""),"application/pdf")</f>
        <v>application/pdf</v>
      </c>
    </row>
    <row r="967">
      <c r="A967" s="147" t="str">
        <f>IFERROR(__xludf.DUMMYFUNCTION("""COMPUTED_VALUE"""),"10.1177/15562646211020160")</f>
        <v>10.1177/15562646211020160</v>
      </c>
      <c r="B967" s="453" t="str">
        <f>IFERROR(__xludf.DUMMYFUNCTION("""COMPUTED_VALUE"""),"https://drive.google.com/file/d/1PSXxW5sDbq6DJDPgRuB0cHCWPVCyAVyA/view?usp=drivesdk")</f>
        <v>https://drive.google.com/file/d/1PSXxW5sDbq6DJDPgRuB0cHCWPVCyAVyA/view?usp=drivesdk</v>
      </c>
      <c r="C967" s="147" t="str">
        <f>IFERROR(__xludf.DUMMYFUNCTION("""COMPUTED_VALUE"""),"10.1177--15562646211020160.pdf")</f>
        <v>10.1177--15562646211020160.pdf</v>
      </c>
      <c r="D967" s="147" t="str">
        <f>IFERROR(__xludf.DUMMYFUNCTION("""COMPUTED_VALUE"""),"application/pdf")</f>
        <v>application/pdf</v>
      </c>
    </row>
    <row r="968">
      <c r="A968" s="147" t="str">
        <f>IFERROR(__xludf.DUMMYFUNCTION("""COMPUTED_VALUE"""),"10.1177/147470491100900206")</f>
        <v>10.1177/147470491100900206</v>
      </c>
      <c r="B968" s="453" t="str">
        <f>IFERROR(__xludf.DUMMYFUNCTION("""COMPUTED_VALUE"""),"https://drive.google.com/file/d/1VohCyZYrYeQ8wnGKTyDD2fOk8y16yZw3/view?usp=drivesdk")</f>
        <v>https://drive.google.com/file/d/1VohCyZYrYeQ8wnGKTyDD2fOk8y16yZw3/view?usp=drivesdk</v>
      </c>
      <c r="C968" s="147" t="str">
        <f>IFERROR(__xludf.DUMMYFUNCTION("""COMPUTED_VALUE"""),"10.1177--147470491100900206.pdf")</f>
        <v>10.1177--147470491100900206.pdf</v>
      </c>
      <c r="D968" s="147" t="str">
        <f>IFERROR(__xludf.DUMMYFUNCTION("""COMPUTED_VALUE"""),"application/pdf")</f>
        <v>application/pdf</v>
      </c>
    </row>
    <row r="969">
      <c r="A969" s="147" t="str">
        <f>IFERROR(__xludf.DUMMYFUNCTION("""COMPUTED_VALUE"""),"10.1177/1094428116639131")</f>
        <v>10.1177/1094428116639131</v>
      </c>
      <c r="B969" s="453" t="str">
        <f>IFERROR(__xludf.DUMMYFUNCTION("""COMPUTED_VALUE"""),"https://drive.google.com/file/d/1JsZgwHseixf6_MIunQS7nOHW4DEUBedH/view?usp=drivesdk")</f>
        <v>https://drive.google.com/file/d/1JsZgwHseixf6_MIunQS7nOHW4DEUBedH/view?usp=drivesdk</v>
      </c>
      <c r="C969" s="147" t="str">
        <f>IFERROR(__xludf.DUMMYFUNCTION("""COMPUTED_VALUE"""),"10.1177--1094428116639131.pdf")</f>
        <v>10.1177--1094428116639131.pdf</v>
      </c>
      <c r="D969" s="147" t="str">
        <f>IFERROR(__xludf.DUMMYFUNCTION("""COMPUTED_VALUE"""),"application/pdf")</f>
        <v>application/pdf</v>
      </c>
    </row>
    <row r="970">
      <c r="A970" s="147" t="str">
        <f>IFERROR(__xludf.DUMMYFUNCTION("""COMPUTED_VALUE"""),"10.1177/0956797620965541")</f>
        <v>10.1177/0956797620965541</v>
      </c>
      <c r="B970" s="453" t="str">
        <f>IFERROR(__xludf.DUMMYFUNCTION("""COMPUTED_VALUE"""),"https://drive.google.com/file/d/1P2ZRc1H4au4w3w2QAJxu34pqjtWGLDpL/view?usp=drivesdk")</f>
        <v>https://drive.google.com/file/d/1P2ZRc1H4au4w3w2QAJxu34pqjtWGLDpL/view?usp=drivesdk</v>
      </c>
      <c r="C970" s="147" t="str">
        <f>IFERROR(__xludf.DUMMYFUNCTION("""COMPUTED_VALUE"""),"10.1177--0956797620965541.pdf")</f>
        <v>10.1177--0956797620965541.pdf</v>
      </c>
      <c r="D970" s="147" t="str">
        <f>IFERROR(__xludf.DUMMYFUNCTION("""COMPUTED_VALUE"""),"application/pdf")</f>
        <v>application/pdf</v>
      </c>
    </row>
    <row r="971">
      <c r="A971" s="147" t="str">
        <f>IFERROR(__xludf.DUMMYFUNCTION("""COMPUTED_VALUE"""),"10.1177/0956797620939054")</f>
        <v>10.1177/0956797620939054</v>
      </c>
      <c r="B971" s="453" t="str">
        <f>IFERROR(__xludf.DUMMYFUNCTION("""COMPUTED_VALUE"""),"https://drive.google.com/file/d/1XS5wfGWzlv2PPriV2BVgHK4SFmjGbX42/view?usp=drivesdk")</f>
        <v>https://drive.google.com/file/d/1XS5wfGWzlv2PPriV2BVgHK4SFmjGbX42/view?usp=drivesdk</v>
      </c>
      <c r="C971" s="147" t="str">
        <f>IFERROR(__xludf.DUMMYFUNCTION("""COMPUTED_VALUE"""),"10.1177--0956797620939054.pdf")</f>
        <v>10.1177--0956797620939054.pdf</v>
      </c>
      <c r="D971" s="147" t="str">
        <f>IFERROR(__xludf.DUMMYFUNCTION("""COMPUTED_VALUE"""),"application/pdf")</f>
        <v>application/pdf</v>
      </c>
    </row>
    <row r="972">
      <c r="A972" s="147" t="str">
        <f>IFERROR(__xludf.DUMMYFUNCTION("""COMPUTED_VALUE"""),"10.1177/0956797620927967")</f>
        <v>10.1177/0956797620927967</v>
      </c>
      <c r="B972" s="453" t="str">
        <f>IFERROR(__xludf.DUMMYFUNCTION("""COMPUTED_VALUE"""),"https://drive.google.com/file/d/1dU1UjhKXuYwEUy9G1SAQvFWoiujBUM-l/view?usp=drivesdk")</f>
        <v>https://drive.google.com/file/d/1dU1UjhKXuYwEUy9G1SAQvFWoiujBUM-l/view?usp=drivesdk</v>
      </c>
      <c r="C972" s="147" t="str">
        <f>IFERROR(__xludf.DUMMYFUNCTION("""COMPUTED_VALUE"""),"10.1177--0956797620927967.pdf")</f>
        <v>10.1177--0956797620927967.pdf</v>
      </c>
      <c r="D972" s="147" t="str">
        <f>IFERROR(__xludf.DUMMYFUNCTION("""COMPUTED_VALUE"""),"application/pdf")</f>
        <v>application/pdf</v>
      </c>
    </row>
    <row r="973">
      <c r="A973" s="147" t="str">
        <f>IFERROR(__xludf.DUMMYFUNCTION("""COMPUTED_VALUE"""),"10.1177/0956797619879441")</f>
        <v>10.1177/0956797619879441</v>
      </c>
      <c r="B973" s="453" t="str">
        <f>IFERROR(__xludf.DUMMYFUNCTION("""COMPUTED_VALUE"""),"https://drive.google.com/file/d/1dyQ7iPpa5tauqQ87v1ICVpmTb96xwrHK/view?usp=drivesdk")</f>
        <v>https://drive.google.com/file/d/1dyQ7iPpa5tauqQ87v1ICVpmTb96xwrHK/view?usp=drivesdk</v>
      </c>
      <c r="C973" s="147" t="str">
        <f>IFERROR(__xludf.DUMMYFUNCTION("""COMPUTED_VALUE"""),"10.1177--0956797619879441.pdf")</f>
        <v>10.1177--0956797619879441.pdf</v>
      </c>
      <c r="D973" s="147" t="str">
        <f>IFERROR(__xludf.DUMMYFUNCTION("""COMPUTED_VALUE"""),"application/pdf")</f>
        <v>application/pdf</v>
      </c>
    </row>
    <row r="974">
      <c r="A974" s="147" t="str">
        <f>IFERROR(__xludf.DUMMYFUNCTION("""COMPUTED_VALUE"""),"10.1177/0956797619855382")</f>
        <v>10.1177/0956797619855382</v>
      </c>
      <c r="B974" s="453" t="str">
        <f>IFERROR(__xludf.DUMMYFUNCTION("""COMPUTED_VALUE"""),"https://drive.google.com/file/d/1ITD043otUXSzSXwJBI77ZEGc7YfO0lXl/view?usp=drivesdk")</f>
        <v>https://drive.google.com/file/d/1ITD043otUXSzSXwJBI77ZEGc7YfO0lXl/view?usp=drivesdk</v>
      </c>
      <c r="C974" s="147" t="str">
        <f>IFERROR(__xludf.DUMMYFUNCTION("""COMPUTED_VALUE"""),"10.1177--0956797619855382.pdf")</f>
        <v>10.1177--0956797619855382.pdf</v>
      </c>
      <c r="D974" s="147" t="str">
        <f>IFERROR(__xludf.DUMMYFUNCTION("""COMPUTED_VALUE"""),"application/pdf")</f>
        <v>application/pdf</v>
      </c>
    </row>
    <row r="975">
      <c r="A975" s="147" t="str">
        <f>IFERROR(__xludf.DUMMYFUNCTION("""COMPUTED_VALUE"""),"10.1177/0956797619856844")</f>
        <v>10.1177/0956797619856844</v>
      </c>
      <c r="B975" s="453" t="str">
        <f>IFERROR(__xludf.DUMMYFUNCTION("""COMPUTED_VALUE"""),"https://drive.google.com/file/d/1QWFGg5y_FwCsYU4iJVkw7s0HZoH7av3y/view?usp=drivesdk")</f>
        <v>https://drive.google.com/file/d/1QWFGg5y_FwCsYU4iJVkw7s0HZoH7av3y/view?usp=drivesdk</v>
      </c>
      <c r="C975" s="147" t="str">
        <f>IFERROR(__xludf.DUMMYFUNCTION("""COMPUTED_VALUE"""),"10.1177--0956797619856844.pdf")</f>
        <v>10.1177--0956797619856844.pdf</v>
      </c>
      <c r="D975" s="147" t="str">
        <f>IFERROR(__xludf.DUMMYFUNCTION("""COMPUTED_VALUE"""),"application/pdf")</f>
        <v>application/pdf</v>
      </c>
    </row>
    <row r="976">
      <c r="A976" s="147" t="str">
        <f>IFERROR(__xludf.DUMMYFUNCTION("""COMPUTED_VALUE"""),"10.1177/0956797619854706")</f>
        <v>10.1177/0956797619854706</v>
      </c>
      <c r="B976" s="453" t="str">
        <f>IFERROR(__xludf.DUMMYFUNCTION("""COMPUTED_VALUE"""),"https://drive.google.com/file/d/1a_-X1vjB6N4-IwfcVsM4fHxFavXCK8pH/view?usp=drivesdk")</f>
        <v>https://drive.google.com/file/d/1a_-X1vjB6N4-IwfcVsM4fHxFavXCK8pH/view?usp=drivesdk</v>
      </c>
      <c r="C976" s="147" t="str">
        <f>IFERROR(__xludf.DUMMYFUNCTION("""COMPUTED_VALUE"""),"10.1177--0956797619854706.pdf")</f>
        <v>10.1177--0956797619854706.pdf</v>
      </c>
      <c r="D976" s="147" t="str">
        <f>IFERROR(__xludf.DUMMYFUNCTION("""COMPUTED_VALUE"""),"application/pdf")</f>
        <v>application/pdf</v>
      </c>
    </row>
    <row r="977">
      <c r="A977" s="147" t="str">
        <f>IFERROR(__xludf.DUMMYFUNCTION("""COMPUTED_VALUE"""),"10.1177/0956797618818484")</f>
        <v>10.1177/0956797618818484</v>
      </c>
      <c r="B977" s="453" t="str">
        <f>IFERROR(__xludf.DUMMYFUNCTION("""COMPUTED_VALUE"""),"https://drive.google.com/file/d/1-BRDJtnfY2i7YBG-IeupwHTxHic0hQnP/view?usp=drivesdk")</f>
        <v>https://drive.google.com/file/d/1-BRDJtnfY2i7YBG-IeupwHTxHic0hQnP/view?usp=drivesdk</v>
      </c>
      <c r="C977" s="147" t="str">
        <f>IFERROR(__xludf.DUMMYFUNCTION("""COMPUTED_VALUE"""),"10.1177--0956797618818484.pdf")</f>
        <v>10.1177--0956797618818484.pdf</v>
      </c>
      <c r="D977" s="147" t="str">
        <f>IFERROR(__xludf.DUMMYFUNCTION("""COMPUTED_VALUE"""),"application/pdf")</f>
        <v>application/pdf</v>
      </c>
    </row>
    <row r="978">
      <c r="A978" s="147" t="str">
        <f>IFERROR(__xludf.DUMMYFUNCTION("""COMPUTED_VALUE"""),"10.1177/0956797618813092")</f>
        <v>10.1177/0956797618813092</v>
      </c>
      <c r="B978" s="453" t="str">
        <f>IFERROR(__xludf.DUMMYFUNCTION("""COMPUTED_VALUE"""),"https://drive.google.com/file/d/1Ql7nMbQXZeIyS5tduYv7gRTiVRXJB9Dk/view?usp=drivesdk")</f>
        <v>https://drive.google.com/file/d/1Ql7nMbQXZeIyS5tduYv7gRTiVRXJB9Dk/view?usp=drivesdk</v>
      </c>
      <c r="C978" s="147" t="str">
        <f>IFERROR(__xludf.DUMMYFUNCTION("""COMPUTED_VALUE"""),"10.1177--0956797618813092.pdf")</f>
        <v>10.1177--0956797618813092.pdf</v>
      </c>
      <c r="D978" s="147" t="str">
        <f>IFERROR(__xludf.DUMMYFUNCTION("""COMPUTED_VALUE"""),"application/pdf")</f>
        <v>application/pdf</v>
      </c>
    </row>
    <row r="979">
      <c r="A979" s="147" t="str">
        <f>IFERROR(__xludf.DUMMYFUNCTION("""COMPUTED_VALUE"""),"10.1177/0956797618806296")</f>
        <v>10.1177/0956797618806296</v>
      </c>
      <c r="B979" s="453" t="str">
        <f>IFERROR(__xludf.DUMMYFUNCTION("""COMPUTED_VALUE"""),"https://drive.google.com/file/d/1KanaZYJkrnwi0ABQ2gUtWRMUjQnhMt0r/view?usp=drivesdk")</f>
        <v>https://drive.google.com/file/d/1KanaZYJkrnwi0ABQ2gUtWRMUjQnhMt0r/view?usp=drivesdk</v>
      </c>
      <c r="C979" s="147" t="str">
        <f>IFERROR(__xludf.DUMMYFUNCTION("""COMPUTED_VALUE"""),"10.1177--0956797618806296.pdf")</f>
        <v>10.1177--0956797618806296.pdf</v>
      </c>
      <c r="D979" s="147" t="str">
        <f>IFERROR(__xludf.DUMMYFUNCTION("""COMPUTED_VALUE"""),"application/pdf")</f>
        <v>application/pdf</v>
      </c>
    </row>
    <row r="980">
      <c r="A980" s="147" t="str">
        <f>IFERROR(__xludf.DUMMYFUNCTION("""COMPUTED_VALUE"""),"10.1177/0956797618788882")</f>
        <v>10.1177/0956797618788882</v>
      </c>
      <c r="B980" s="453" t="str">
        <f>IFERROR(__xludf.DUMMYFUNCTION("""COMPUTED_VALUE"""),"https://drive.google.com/file/d/18ZlWgEtYOKx4ampRaantI27kYPgBvB4J/view?usp=drivesdk")</f>
        <v>https://drive.google.com/file/d/18ZlWgEtYOKx4ampRaantI27kYPgBvB4J/view?usp=drivesdk</v>
      </c>
      <c r="C980" s="147" t="str">
        <f>IFERROR(__xludf.DUMMYFUNCTION("""COMPUTED_VALUE"""),"10.1177--0956797618788882.pdf")</f>
        <v>10.1177--0956797618788882.pdf</v>
      </c>
      <c r="D980" s="147" t="str">
        <f>IFERROR(__xludf.DUMMYFUNCTION("""COMPUTED_VALUE"""),"application/pdf")</f>
        <v>application/pdf</v>
      </c>
    </row>
    <row r="981">
      <c r="A981" s="147" t="str">
        <f>IFERROR(__xludf.DUMMYFUNCTION("""COMPUTED_VALUE"""),"10.1177/0956797618780643")</f>
        <v>10.1177/0956797618780643</v>
      </c>
      <c r="B981" s="453" t="str">
        <f>IFERROR(__xludf.DUMMYFUNCTION("""COMPUTED_VALUE"""),"https://drive.google.com/file/d/13EC3dwbwBg7gIijxdeeANvWmpAfQ8_ke/view?usp=drivesdk")</f>
        <v>https://drive.google.com/file/d/13EC3dwbwBg7gIijxdeeANvWmpAfQ8_ke/view?usp=drivesdk</v>
      </c>
      <c r="C981" s="147" t="str">
        <f>IFERROR(__xludf.DUMMYFUNCTION("""COMPUTED_VALUE"""),"10.1177--0956797618780643.pdf")</f>
        <v>10.1177--0956797618780643.pdf</v>
      </c>
      <c r="D981" s="147" t="str">
        <f>IFERROR(__xludf.DUMMYFUNCTION("""COMPUTED_VALUE"""),"application/pdf")</f>
        <v>application/pdf</v>
      </c>
    </row>
    <row r="982">
      <c r="A982" s="147" t="str">
        <f>IFERROR(__xludf.DUMMYFUNCTION("""COMPUTED_VALUE"""),"10.1177/0956797618760784")</f>
        <v>10.1177/0956797618760784</v>
      </c>
      <c r="B982" s="453" t="str">
        <f>IFERROR(__xludf.DUMMYFUNCTION("""COMPUTED_VALUE"""),"https://drive.google.com/file/d/17x3I7jUwdIldQm5GP-fj0zgsKCgIUoRP/view?usp=drivesdk")</f>
        <v>https://drive.google.com/file/d/17x3I7jUwdIldQm5GP-fj0zgsKCgIUoRP/view?usp=drivesdk</v>
      </c>
      <c r="C982" s="147" t="str">
        <f>IFERROR(__xludf.DUMMYFUNCTION("""COMPUTED_VALUE"""),"10.1177--0956797618760784.pdf")</f>
        <v>10.1177--0956797618760784.pdf</v>
      </c>
      <c r="D982" s="147" t="str">
        <f>IFERROR(__xludf.DUMMYFUNCTION("""COMPUTED_VALUE"""),"application/pdf")</f>
        <v>application/pdf</v>
      </c>
    </row>
    <row r="983">
      <c r="A983" s="147" t="str">
        <f>IFERROR(__xludf.DUMMYFUNCTION("""COMPUTED_VALUE"""),"10.1177/0956797617728270")</f>
        <v>10.1177/0956797617728270</v>
      </c>
      <c r="B983" s="453" t="str">
        <f>IFERROR(__xludf.DUMMYFUNCTION("""COMPUTED_VALUE"""),"https://drive.google.com/file/d/1Oz7Zj6fZnvvCizj-IHEQF-K0o27fi6QN/view?usp=drivesdk")</f>
        <v>https://drive.google.com/file/d/1Oz7Zj6fZnvvCizj-IHEQF-K0o27fi6QN/view?usp=drivesdk</v>
      </c>
      <c r="C983" s="147" t="str">
        <f>IFERROR(__xludf.DUMMYFUNCTION("""COMPUTED_VALUE"""),"10.1177--0956797617728270.pdf")</f>
        <v>10.1177--0956797617728270.pdf</v>
      </c>
      <c r="D983" s="147" t="str">
        <f>IFERROR(__xludf.DUMMYFUNCTION("""COMPUTED_VALUE"""),"application/pdf")</f>
        <v>application/pdf</v>
      </c>
    </row>
    <row r="984">
      <c r="A984" s="147" t="str">
        <f>IFERROR(__xludf.DUMMYFUNCTION("""COMPUTED_VALUE"""),"10.1177/0956797617721270")</f>
        <v>10.1177/0956797617721270</v>
      </c>
      <c r="B984" s="453" t="str">
        <f>IFERROR(__xludf.DUMMYFUNCTION("""COMPUTED_VALUE"""),"https://drive.google.com/file/d/1Utyoxyv9ECefgrAbgSyFcs6rDsU9y5Il/view?usp=drivesdk")</f>
        <v>https://drive.google.com/file/d/1Utyoxyv9ECefgrAbgSyFcs6rDsU9y5Il/view?usp=drivesdk</v>
      </c>
      <c r="C984" s="147" t="str">
        <f>IFERROR(__xludf.DUMMYFUNCTION("""COMPUTED_VALUE"""),"10.1177--0956797617721270.pdf")</f>
        <v>10.1177--0956797617721270.pdf</v>
      </c>
      <c r="D984" s="147" t="str">
        <f>IFERROR(__xludf.DUMMYFUNCTION("""COMPUTED_VALUE"""),"application/pdf")</f>
        <v>application/pdf</v>
      </c>
    </row>
    <row r="985">
      <c r="A985" s="147" t="str">
        <f>IFERROR(__xludf.DUMMYFUNCTION("""COMPUTED_VALUE"""),"10.1177/0956797617706082")</f>
        <v>10.1177/0956797617706082</v>
      </c>
      <c r="B985" s="453" t="str">
        <f>IFERROR(__xludf.DUMMYFUNCTION("""COMPUTED_VALUE"""),"https://drive.google.com/file/d/104J0KhnQN8hx7uBldyQ1evQEW8N7petE/view?usp=drivesdk")</f>
        <v>https://drive.google.com/file/d/104J0KhnQN8hx7uBldyQ1evQEW8N7petE/view?usp=drivesdk</v>
      </c>
      <c r="C985" s="147" t="str">
        <f>IFERROR(__xludf.DUMMYFUNCTION("""COMPUTED_VALUE"""),"10.1177--0956797617706082.pdf")</f>
        <v>10.1177--0956797617706082.pdf</v>
      </c>
      <c r="D985" s="147" t="str">
        <f>IFERROR(__xludf.DUMMYFUNCTION("""COMPUTED_VALUE"""),"application/pdf")</f>
        <v>application/pdf</v>
      </c>
    </row>
    <row r="986">
      <c r="A986" s="147" t="str">
        <f>IFERROR(__xludf.DUMMYFUNCTION("""COMPUTED_VALUE"""),"10.1177/0956797617705399")</f>
        <v>10.1177/0956797617705399</v>
      </c>
      <c r="B986" s="453" t="str">
        <f>IFERROR(__xludf.DUMMYFUNCTION("""COMPUTED_VALUE"""),"https://drive.google.com/file/d/1yCifhK2ZQwpUZAjclr5TAmGCQqTbBrUa/view?usp=drivesdk")</f>
        <v>https://drive.google.com/file/d/1yCifhK2ZQwpUZAjclr5TAmGCQqTbBrUa/view?usp=drivesdk</v>
      </c>
      <c r="C986" s="147" t="str">
        <f>IFERROR(__xludf.DUMMYFUNCTION("""COMPUTED_VALUE"""),"10.1177--0956797617705399.pdf")</f>
        <v>10.1177--0956797617705399.pdf</v>
      </c>
      <c r="D986" s="147" t="str">
        <f>IFERROR(__xludf.DUMMYFUNCTION("""COMPUTED_VALUE"""),"application/pdf")</f>
        <v>application/pdf</v>
      </c>
    </row>
    <row r="987">
      <c r="A987" s="147" t="str">
        <f>IFERROR(__xludf.DUMMYFUNCTION("""COMPUTED_VALUE"""),"10.1177/0956797616685771")</f>
        <v>10.1177/0956797616685771</v>
      </c>
      <c r="B987" s="453" t="str">
        <f>IFERROR(__xludf.DUMMYFUNCTION("""COMPUTED_VALUE"""),"https://drive.google.com/file/d/14l2Iyllp2BRKK4GUgjOnaxtE-5V5_oxZ/view?usp=drivesdk")</f>
        <v>https://drive.google.com/file/d/14l2Iyllp2BRKK4GUgjOnaxtE-5V5_oxZ/view?usp=drivesdk</v>
      </c>
      <c r="C987" s="147" t="str">
        <f>IFERROR(__xludf.DUMMYFUNCTION("""COMPUTED_VALUE"""),"10.1177--0956797616685771.pdf")</f>
        <v>10.1177--0956797616685771.pdf</v>
      </c>
      <c r="D987" s="147" t="str">
        <f>IFERROR(__xludf.DUMMYFUNCTION("""COMPUTED_VALUE"""),"application/pdf")</f>
        <v>application/pdf</v>
      </c>
    </row>
    <row r="988">
      <c r="A988" s="147" t="str">
        <f>IFERROR(__xludf.DUMMYFUNCTION("""COMPUTED_VALUE"""),"10.1177/0956797616674999")</f>
        <v>10.1177/0956797616674999</v>
      </c>
      <c r="B988" s="453" t="str">
        <f>IFERROR(__xludf.DUMMYFUNCTION("""COMPUTED_VALUE"""),"https://drive.google.com/file/d/1wVhOcOsRL9M-ypPdSaPRTLv-PLlAWOf1/view?usp=drivesdk")</f>
        <v>https://drive.google.com/file/d/1wVhOcOsRL9M-ypPdSaPRTLv-PLlAWOf1/view?usp=drivesdk</v>
      </c>
      <c r="C988" s="147" t="str">
        <f>IFERROR(__xludf.DUMMYFUNCTION("""COMPUTED_VALUE"""),"10.1177--0956797616674999.pdf")</f>
        <v>10.1177--0956797616674999.pdf</v>
      </c>
      <c r="D988" s="147" t="str">
        <f>IFERROR(__xludf.DUMMYFUNCTION("""COMPUTED_VALUE"""),"application/pdf")</f>
        <v>application/pdf</v>
      </c>
    </row>
    <row r="989">
      <c r="A989" s="147" t="str">
        <f>IFERROR(__xludf.DUMMYFUNCTION("""COMPUTED_VALUE"""),"10.1177/0956797616669947")</f>
        <v>10.1177/0956797616669947</v>
      </c>
      <c r="B989" s="453" t="str">
        <f>IFERROR(__xludf.DUMMYFUNCTION("""COMPUTED_VALUE"""),"https://drive.google.com/file/d/12p5OEsz_Kqdr2WrmlHbpY-_JFlSEkooC/view?usp=drivesdk")</f>
        <v>https://drive.google.com/file/d/12p5OEsz_Kqdr2WrmlHbpY-_JFlSEkooC/view?usp=drivesdk</v>
      </c>
      <c r="C989" s="147" t="str">
        <f>IFERROR(__xludf.DUMMYFUNCTION("""COMPUTED_VALUE"""),"10.1177--0956797616669947.pdf")</f>
        <v>10.1177--0956797616669947.pdf</v>
      </c>
      <c r="D989" s="147" t="str">
        <f>IFERROR(__xludf.DUMMYFUNCTION("""COMPUTED_VALUE"""),"application/pdf")</f>
        <v>application/pdf</v>
      </c>
    </row>
    <row r="990">
      <c r="A990" s="147" t="str">
        <f>IFERROR(__xludf.DUMMYFUNCTION("""COMPUTED_VALUE"""),"10.1177/0956797616667459")</f>
        <v>10.1177/0956797616667459</v>
      </c>
      <c r="B990" s="453" t="str">
        <f>IFERROR(__xludf.DUMMYFUNCTION("""COMPUTED_VALUE"""),"https://drive.google.com/file/d/1xo-D0d5xWZy_-HQc9CNuFVE8l1hYTkzr/view?usp=drivesdk")</f>
        <v>https://drive.google.com/file/d/1xo-D0d5xWZy_-HQc9CNuFVE8l1hYTkzr/view?usp=drivesdk</v>
      </c>
      <c r="C990" s="147" t="str">
        <f>IFERROR(__xludf.DUMMYFUNCTION("""COMPUTED_VALUE"""),"10.1177--0956797616667459.pdf")</f>
        <v>10.1177--0956797616667459.pdf</v>
      </c>
      <c r="D990" s="147" t="str">
        <f>IFERROR(__xludf.DUMMYFUNCTION("""COMPUTED_VALUE"""),"application/pdf")</f>
        <v>application/pdf</v>
      </c>
    </row>
    <row r="991">
      <c r="A991" s="147" t="str">
        <f>IFERROR(__xludf.DUMMYFUNCTION("""COMPUTED_VALUE"""),"10.1177/0956797616662271")</f>
        <v>10.1177/0956797616662271</v>
      </c>
      <c r="B991" s="453" t="str">
        <f>IFERROR(__xludf.DUMMYFUNCTION("""COMPUTED_VALUE"""),"https://drive.google.com/file/d/144ul3eCkiKHuL75LCKm6YabVN-pgBX8u/view?usp=drivesdk")</f>
        <v>https://drive.google.com/file/d/144ul3eCkiKHuL75LCKm6YabVN-pgBX8u/view?usp=drivesdk</v>
      </c>
      <c r="C991" s="147" t="str">
        <f>IFERROR(__xludf.DUMMYFUNCTION("""COMPUTED_VALUE"""),"10.1177--0956797616662271.pdf")</f>
        <v>10.1177--0956797616662271.pdf</v>
      </c>
      <c r="D991" s="147" t="str">
        <f>IFERROR(__xludf.DUMMYFUNCTION("""COMPUTED_VALUE"""),"application/pdf")</f>
        <v>application/pdf</v>
      </c>
    </row>
    <row r="992">
      <c r="A992" s="147" t="str">
        <f>IFERROR(__xludf.DUMMYFUNCTION("""COMPUTED_VALUE"""),"10.1177/0956797616651973")</f>
        <v>10.1177/0956797616651973</v>
      </c>
      <c r="B992" s="453" t="str">
        <f>IFERROR(__xludf.DUMMYFUNCTION("""COMPUTED_VALUE"""),"https://drive.google.com/file/d/1jx9eMAYbx0cHukSi87PadaXFTzz1n_mq/view?usp=drivesdk")</f>
        <v>https://drive.google.com/file/d/1jx9eMAYbx0cHukSi87PadaXFTzz1n_mq/view?usp=drivesdk</v>
      </c>
      <c r="C992" s="147" t="str">
        <f>IFERROR(__xludf.DUMMYFUNCTION("""COMPUTED_VALUE"""),"10.1177--0956797616651973.pdf")</f>
        <v>10.1177--0956797616651973.pdf</v>
      </c>
      <c r="D992" s="147" t="str">
        <f>IFERROR(__xludf.DUMMYFUNCTION("""COMPUTED_VALUE"""),"application/pdf")</f>
        <v>application/pdf</v>
      </c>
    </row>
    <row r="993">
      <c r="A993" s="147" t="str">
        <f>IFERROR(__xludf.DUMMYFUNCTION("""COMPUTED_VALUE"""),"10.1177/0956797616650875")</f>
        <v>10.1177/0956797616650875</v>
      </c>
      <c r="B993" s="453" t="str">
        <f>IFERROR(__xludf.DUMMYFUNCTION("""COMPUTED_VALUE"""),"https://drive.google.com/file/d/1OIEvCCJvM-_IxEbcHAL2vNkKmVoEHa3G/view?usp=drivesdk")</f>
        <v>https://drive.google.com/file/d/1OIEvCCJvM-_IxEbcHAL2vNkKmVoEHa3G/view?usp=drivesdk</v>
      </c>
      <c r="C993" s="147" t="str">
        <f>IFERROR(__xludf.DUMMYFUNCTION("""COMPUTED_VALUE"""),"10.1177--0956797616650875.pdf")</f>
        <v>10.1177--0956797616650875.pdf</v>
      </c>
      <c r="D993" s="147" t="str">
        <f>IFERROR(__xludf.DUMMYFUNCTION("""COMPUTED_VALUE"""),"application/pdf")</f>
        <v>application/pdf</v>
      </c>
    </row>
    <row r="994">
      <c r="A994" s="147" t="str">
        <f>IFERROR(__xludf.DUMMYFUNCTION("""COMPUTED_VALUE"""),"10.1177/0956797616634654")</f>
        <v>10.1177/0956797616634654</v>
      </c>
      <c r="B994" s="453" t="str">
        <f>IFERROR(__xludf.DUMMYFUNCTION("""COMPUTED_VALUE"""),"https://drive.google.com/file/d/16TKGD5uIhjmxtnz9GYQUl5frMKkhZ7vE/view?usp=drivesdk")</f>
        <v>https://drive.google.com/file/d/16TKGD5uIhjmxtnz9GYQUl5frMKkhZ7vE/view?usp=drivesdk</v>
      </c>
      <c r="C994" s="147" t="str">
        <f>IFERROR(__xludf.DUMMYFUNCTION("""COMPUTED_VALUE"""),"10.1177--0956797616634654.pdf")</f>
        <v>10.1177--0956797616634654.pdf</v>
      </c>
      <c r="D994" s="147" t="str">
        <f>IFERROR(__xludf.DUMMYFUNCTION("""COMPUTED_VALUE"""),"application/pdf")</f>
        <v>application/pdf</v>
      </c>
    </row>
    <row r="995">
      <c r="A995" s="147" t="str">
        <f>IFERROR(__xludf.DUMMYFUNCTION("""COMPUTED_VALUE"""),"10.1177/0956797616640705")</f>
        <v>10.1177/0956797616640705</v>
      </c>
      <c r="B995" s="453" t="str">
        <f>IFERROR(__xludf.DUMMYFUNCTION("""COMPUTED_VALUE"""),"https://drive.google.com/file/d/1lHQosDuo6gaE1kApTnMYX-PdVa7g5c2f/view?usp=drivesdk")</f>
        <v>https://drive.google.com/file/d/1lHQosDuo6gaE1kApTnMYX-PdVa7g5c2f/view?usp=drivesdk</v>
      </c>
      <c r="C995" s="147" t="str">
        <f>IFERROR(__xludf.DUMMYFUNCTION("""COMPUTED_VALUE"""),"10.1177--0956797616640705.pdf")</f>
        <v>10.1177--0956797616640705.pdf</v>
      </c>
      <c r="D995" s="147" t="str">
        <f>IFERROR(__xludf.DUMMYFUNCTION("""COMPUTED_VALUE"""),"application/pdf")</f>
        <v>application/pdf</v>
      </c>
    </row>
    <row r="996">
      <c r="A996" s="147" t="str">
        <f>IFERROR(__xludf.DUMMYFUNCTION("""COMPUTED_VALUE"""),"10.1177/0956797616630964")</f>
        <v>10.1177/0956797616630964</v>
      </c>
      <c r="B996" s="453" t="str">
        <f>IFERROR(__xludf.DUMMYFUNCTION("""COMPUTED_VALUE"""),"https://drive.google.com/file/d/149vWpYz3xUBwjR-0Vi63Qa-y5jEghDmg/view?usp=drivesdk")</f>
        <v>https://drive.google.com/file/d/149vWpYz3xUBwjR-0Vi63Qa-y5jEghDmg/view?usp=drivesdk</v>
      </c>
      <c r="C996" s="147" t="str">
        <f>IFERROR(__xludf.DUMMYFUNCTION("""COMPUTED_VALUE"""),"10.1177--0956797616630964.pdf")</f>
        <v>10.1177--0956797616630964.pdf</v>
      </c>
      <c r="D996" s="147" t="str">
        <f>IFERROR(__xludf.DUMMYFUNCTION("""COMPUTED_VALUE"""),"application/pdf")</f>
        <v>application/pdf</v>
      </c>
    </row>
    <row r="997">
      <c r="A997" s="147" t="str">
        <f>IFERROR(__xludf.DUMMYFUNCTION("""COMPUTED_VALUE"""),"10.1177/0956797615625640")</f>
        <v>10.1177/0956797615625640</v>
      </c>
      <c r="B997" s="453" t="str">
        <f>IFERROR(__xludf.DUMMYFUNCTION("""COMPUTED_VALUE"""),"https://drive.google.com/file/d/1ufFlEetCWZtYqMqTTptc07s2XdkD4E4c/view?usp=drivesdk")</f>
        <v>https://drive.google.com/file/d/1ufFlEetCWZtYqMqTTptc07s2XdkD4E4c/view?usp=drivesdk</v>
      </c>
      <c r="C997" s="147" t="str">
        <f>IFERROR(__xludf.DUMMYFUNCTION("""COMPUTED_VALUE"""),"10.1177--0956797615625640.pdf")</f>
        <v>10.1177--0956797615625640.pdf</v>
      </c>
      <c r="D997" s="147" t="str">
        <f>IFERROR(__xludf.DUMMYFUNCTION("""COMPUTED_VALUE"""),"application/pdf")</f>
        <v>application/pdf</v>
      </c>
    </row>
    <row r="998">
      <c r="A998" s="147" t="str">
        <f>IFERROR(__xludf.DUMMYFUNCTION("""COMPUTED_VALUE"""),"10.1177/0956797615624492")</f>
        <v>10.1177/0956797615624492</v>
      </c>
      <c r="B998" s="453" t="str">
        <f>IFERROR(__xludf.DUMMYFUNCTION("""COMPUTED_VALUE"""),"https://drive.google.com/file/d/1MpP2-43GqkWDRpuwJ-apCbzIk2GwSMn_/view?usp=drivesdk")</f>
        <v>https://drive.google.com/file/d/1MpP2-43GqkWDRpuwJ-apCbzIk2GwSMn_/view?usp=drivesdk</v>
      </c>
      <c r="C998" s="147" t="str">
        <f>IFERROR(__xludf.DUMMYFUNCTION("""COMPUTED_VALUE"""),"10.1177--0956797615624492.pdf")</f>
        <v>10.1177--0956797615624492.pdf</v>
      </c>
      <c r="D998" s="147" t="str">
        <f>IFERROR(__xludf.DUMMYFUNCTION("""COMPUTED_VALUE"""),"application/pdf")</f>
        <v>application/pdf</v>
      </c>
    </row>
    <row r="999">
      <c r="A999" s="147" t="str">
        <f>IFERROR(__xludf.DUMMYFUNCTION("""COMPUTED_VALUE"""),"10.1177/0956797615617779")</f>
        <v>10.1177/0956797615617779</v>
      </c>
      <c r="B999" s="453" t="str">
        <f>IFERROR(__xludf.DUMMYFUNCTION("""COMPUTED_VALUE"""),"https://drive.google.com/file/d/1X5Fe2As7h--ByO5qoa79Jna-iqMIag53/view?usp=drivesdk")</f>
        <v>https://drive.google.com/file/d/1X5Fe2As7h--ByO5qoa79Jna-iqMIag53/view?usp=drivesdk</v>
      </c>
      <c r="C999" s="147" t="str">
        <f>IFERROR(__xludf.DUMMYFUNCTION("""COMPUTED_VALUE"""),"10.1177--0956797615617779.pdf")</f>
        <v>10.1177--0956797615617779.pdf</v>
      </c>
      <c r="D999" s="147" t="str">
        <f>IFERROR(__xludf.DUMMYFUNCTION("""COMPUTED_VALUE"""),"application/pdf")</f>
        <v>application/pdf</v>
      </c>
    </row>
    <row r="1000">
      <c r="A1000" s="147" t="str">
        <f>IFERROR(__xludf.DUMMYFUNCTION("""COMPUTED_VALUE"""),"10.1177/0956797615612202")</f>
        <v>10.1177/0956797615612202</v>
      </c>
      <c r="B1000" s="453" t="str">
        <f>IFERROR(__xludf.DUMMYFUNCTION("""COMPUTED_VALUE"""),"https://drive.google.com/file/d/1d70WNl03Y6R-FQ2zFUG_7JzLtb7KIhMn/view?usp=drivesdk")</f>
        <v>https://drive.google.com/file/d/1d70WNl03Y6R-FQ2zFUG_7JzLtb7KIhMn/view?usp=drivesdk</v>
      </c>
      <c r="C1000" s="147" t="str">
        <f>IFERROR(__xludf.DUMMYFUNCTION("""COMPUTED_VALUE"""),"10.1177--0956797615612202.pdf")</f>
        <v>10.1177--0956797615612202.pdf</v>
      </c>
      <c r="D1000" s="147" t="str">
        <f>IFERROR(__xludf.DUMMYFUNCTION("""COMPUTED_VALUE"""),"application/pdf")</f>
        <v>application/pdf</v>
      </c>
    </row>
    <row r="1001">
      <c r="A1001" s="147" t="str">
        <f>IFERROR(__xludf.DUMMYFUNCTION("""COMPUTED_VALUE"""),"10.1177/0956797615608267")</f>
        <v>10.1177/0956797615608267</v>
      </c>
      <c r="B1001" s="453" t="str">
        <f>IFERROR(__xludf.DUMMYFUNCTION("""COMPUTED_VALUE"""),"https://drive.google.com/file/d/1ZJao6drmlp_5iFzVLwLBVxZ7mZzQpGwX/view?usp=drivesdk")</f>
        <v>https://drive.google.com/file/d/1ZJao6drmlp_5iFzVLwLBVxZ7mZzQpGwX/view?usp=drivesdk</v>
      </c>
      <c r="C1001" s="147" t="str">
        <f>IFERROR(__xludf.DUMMYFUNCTION("""COMPUTED_VALUE"""),"10.1177--0956797615608267.pdf")</f>
        <v>10.1177--0956797615608267.pdf</v>
      </c>
      <c r="D1001" s="147" t="str">
        <f>IFERROR(__xludf.DUMMYFUNCTION("""COMPUTED_VALUE"""),"application/pdf")</f>
        <v>application/pdf</v>
      </c>
    </row>
    <row r="1002">
      <c r="A1002" s="147" t="str">
        <f>IFERROR(__xludf.DUMMYFUNCTION("""COMPUTED_VALUE"""),"10.1177/0956797615598739")</f>
        <v>10.1177/0956797615598739</v>
      </c>
      <c r="B1002" s="453" t="str">
        <f>IFERROR(__xludf.DUMMYFUNCTION("""COMPUTED_VALUE"""),"https://drive.google.com/file/d/1pCInedMgb6ub4Ncim1wJ4bHJ2ouwc85m/view?usp=drivesdk")</f>
        <v>https://drive.google.com/file/d/1pCInedMgb6ub4Ncim1wJ4bHJ2ouwc85m/view?usp=drivesdk</v>
      </c>
      <c r="C1002" s="147" t="str">
        <f>IFERROR(__xludf.DUMMYFUNCTION("""COMPUTED_VALUE"""),"10.1177--0956797615598739.pdf")</f>
        <v>10.1177--0956797615598739.pdf</v>
      </c>
      <c r="D1002" s="147" t="str">
        <f>IFERROR(__xludf.DUMMYFUNCTION("""COMPUTED_VALUE"""),"application/pdf")</f>
        <v>application/pdf</v>
      </c>
    </row>
    <row r="1003">
      <c r="A1003" s="147" t="str">
        <f>IFERROR(__xludf.DUMMYFUNCTION("""COMPUTED_VALUE"""),"10.1177/0956797615588195")</f>
        <v>10.1177/0956797615588195</v>
      </c>
      <c r="B1003" s="453" t="str">
        <f>IFERROR(__xludf.DUMMYFUNCTION("""COMPUTED_VALUE"""),"https://drive.google.com/file/d/1tE6_KVQyfFVpIfIuz7dnWR1i8_me3TIT/view?usp=drivesdk")</f>
        <v>https://drive.google.com/file/d/1tE6_KVQyfFVpIfIuz7dnWR1i8_me3TIT/view?usp=drivesdk</v>
      </c>
      <c r="C1003" s="147" t="str">
        <f>IFERROR(__xludf.DUMMYFUNCTION("""COMPUTED_VALUE"""),"10.1177--0956797615588195.pdf")</f>
        <v>10.1177--0956797615588195.pdf</v>
      </c>
      <c r="D1003" s="147" t="str">
        <f>IFERROR(__xludf.DUMMYFUNCTION("""COMPUTED_VALUE"""),"application/pdf")</f>
        <v>application/pdf</v>
      </c>
    </row>
    <row r="1004">
      <c r="A1004" s="147" t="str">
        <f>IFERROR(__xludf.DUMMYFUNCTION("""COMPUTED_VALUE"""),"10.1177/0956797615585002")</f>
        <v>10.1177/0956797615585002</v>
      </c>
      <c r="B1004" s="453" t="str">
        <f>IFERROR(__xludf.DUMMYFUNCTION("""COMPUTED_VALUE"""),"https://drive.google.com/file/d/1hlj_PiSmruASavYOS4OPpCrR4tKfol15/view?usp=drivesdk")</f>
        <v>https://drive.google.com/file/d/1hlj_PiSmruASavYOS4OPpCrR4tKfol15/view?usp=drivesdk</v>
      </c>
      <c r="C1004" s="147" t="str">
        <f>IFERROR(__xludf.DUMMYFUNCTION("""COMPUTED_VALUE"""),"10.1177--0956797615585002.pdf")</f>
        <v>10.1177--0956797615585002.pdf</v>
      </c>
      <c r="D1004" s="147" t="str">
        <f>IFERROR(__xludf.DUMMYFUNCTION("""COMPUTED_VALUE"""),"application/pdf")</f>
        <v>application/pdf</v>
      </c>
    </row>
    <row r="1005">
      <c r="A1005" s="147" t="str">
        <f>IFERROR(__xludf.DUMMYFUNCTION("""COMPUTED_VALUE"""),"10.1177/0956797615573516")</f>
        <v>10.1177/0956797615573516</v>
      </c>
      <c r="B1005" s="453" t="str">
        <f>IFERROR(__xludf.DUMMYFUNCTION("""COMPUTED_VALUE"""),"https://drive.google.com/file/d/1JoVItYnEA8vA70xzVLnQEC3dgxMW-0on/view?usp=drivesdk")</f>
        <v>https://drive.google.com/file/d/1JoVItYnEA8vA70xzVLnQEC3dgxMW-0on/view?usp=drivesdk</v>
      </c>
      <c r="C1005" s="147" t="str">
        <f>IFERROR(__xludf.DUMMYFUNCTION("""COMPUTED_VALUE"""),"10.1177--0956797615573516.pdf")</f>
        <v>10.1177--0956797615573516.pdf</v>
      </c>
      <c r="D1005" s="147" t="str">
        <f>IFERROR(__xludf.DUMMYFUNCTION("""COMPUTED_VALUE"""),"application/pdf")</f>
        <v>application/pdf</v>
      </c>
    </row>
    <row r="1006">
      <c r="A1006" s="147" t="str">
        <f>IFERROR(__xludf.DUMMYFUNCTION("""COMPUTED_VALUE"""),"10.1177/0956797615569889")</f>
        <v>10.1177/0956797615569889</v>
      </c>
      <c r="B1006" s="453" t="str">
        <f>IFERROR(__xludf.DUMMYFUNCTION("""COMPUTED_VALUE"""),"https://drive.google.com/file/d/15btD8-1-iJ6kKY4YOnmEB99Ty5jn30uV/view?usp=drivesdk")</f>
        <v>https://drive.google.com/file/d/15btD8-1-iJ6kKY4YOnmEB99Ty5jn30uV/view?usp=drivesdk</v>
      </c>
      <c r="C1006" s="147" t="str">
        <f>IFERROR(__xludf.DUMMYFUNCTION("""COMPUTED_VALUE"""),"10.1177--0956797615569889.pdf")</f>
        <v>10.1177--0956797615569889.pdf</v>
      </c>
      <c r="D1006" s="147" t="str">
        <f>IFERROR(__xludf.DUMMYFUNCTION("""COMPUTED_VALUE"""),"application/pdf")</f>
        <v>application/pdf</v>
      </c>
    </row>
    <row r="1007">
      <c r="A1007" s="147" t="str">
        <f>IFERROR(__xludf.DUMMYFUNCTION("""COMPUTED_VALUE"""),"10.1177/0956797615572231")</f>
        <v>10.1177/0956797615572231</v>
      </c>
      <c r="B1007" s="453" t="str">
        <f>IFERROR(__xludf.DUMMYFUNCTION("""COMPUTED_VALUE"""),"https://drive.google.com/file/d/1nhF9YyHcpfCFAHZNSHYOdrHjNY6W4OdA/view?usp=drivesdk")</f>
        <v>https://drive.google.com/file/d/1nhF9YyHcpfCFAHZNSHYOdrHjNY6W4OdA/view?usp=drivesdk</v>
      </c>
      <c r="C1007" s="147" t="str">
        <f>IFERROR(__xludf.DUMMYFUNCTION("""COMPUTED_VALUE"""),"10.1177--0956797615572231.pdf")</f>
        <v>10.1177--0956797615572231.pdf</v>
      </c>
      <c r="D1007" s="147" t="str">
        <f>IFERROR(__xludf.DUMMYFUNCTION("""COMPUTED_VALUE"""),"application/pdf")</f>
        <v>application/pdf</v>
      </c>
    </row>
    <row r="1008">
      <c r="A1008" s="147" t="str">
        <f>IFERROR(__xludf.DUMMYFUNCTION("""COMPUTED_VALUE"""),"10.1177/0956797614563958")</f>
        <v>10.1177/0956797614563958</v>
      </c>
      <c r="B1008" s="453" t="str">
        <f>IFERROR(__xludf.DUMMYFUNCTION("""COMPUTED_VALUE"""),"https://drive.google.com/file/d/1ATJxg7zUvA3Wg_XCJFG6phaq9LgMmPHW/view?usp=drivesdk")</f>
        <v>https://drive.google.com/file/d/1ATJxg7zUvA3Wg_XCJFG6phaq9LgMmPHW/view?usp=drivesdk</v>
      </c>
      <c r="C1008" s="147" t="str">
        <f>IFERROR(__xludf.DUMMYFUNCTION("""COMPUTED_VALUE"""),"10.1177--0956797614563958.pdf")</f>
        <v>10.1177--0956797614563958.pdf</v>
      </c>
      <c r="D1008" s="147" t="str">
        <f>IFERROR(__xludf.DUMMYFUNCTION("""COMPUTED_VALUE"""),"application/pdf")</f>
        <v>application/pdf</v>
      </c>
    </row>
    <row r="1009">
      <c r="A1009" s="147" t="str">
        <f>IFERROR(__xludf.DUMMYFUNCTION("""COMPUTED_VALUE"""),"10.1177/0956797614563108")</f>
        <v>10.1177/0956797614563108</v>
      </c>
      <c r="B1009" s="453" t="str">
        <f>IFERROR(__xludf.DUMMYFUNCTION("""COMPUTED_VALUE"""),"https://drive.google.com/file/d/1CNUuCil5aZVO_tdA1GgelrRiq8I7q6J4/view?usp=drivesdk")</f>
        <v>https://drive.google.com/file/d/1CNUuCil5aZVO_tdA1GgelrRiq8I7q6J4/view?usp=drivesdk</v>
      </c>
      <c r="C1009" s="147" t="str">
        <f>IFERROR(__xludf.DUMMYFUNCTION("""COMPUTED_VALUE"""),"10.1177--0956797614563108.pdf")</f>
        <v>10.1177--0956797614563108.pdf</v>
      </c>
      <c r="D1009" s="147" t="str">
        <f>IFERROR(__xludf.DUMMYFUNCTION("""COMPUTED_VALUE"""),"application/pdf")</f>
        <v>application/pdf</v>
      </c>
    </row>
    <row r="1010">
      <c r="A1010" s="147" t="str">
        <f>IFERROR(__xludf.DUMMYFUNCTION("""COMPUTED_VALUE"""),"10.1177/0956797614561266")</f>
        <v>10.1177/0956797614561266</v>
      </c>
      <c r="B1010" s="453" t="str">
        <f>IFERROR(__xludf.DUMMYFUNCTION("""COMPUTED_VALUE"""),"https://drive.google.com/file/d/1J0gXacFjwTY8lqoRS7-Ly_0MayhAFMtY/view?usp=drivesdk")</f>
        <v>https://drive.google.com/file/d/1J0gXacFjwTY8lqoRS7-Ly_0MayhAFMtY/view?usp=drivesdk</v>
      </c>
      <c r="C1010" s="147" t="str">
        <f>IFERROR(__xludf.DUMMYFUNCTION("""COMPUTED_VALUE"""),"10.1177--0956797614561266.pdf")</f>
        <v>10.1177--0956797614561266.pdf</v>
      </c>
      <c r="D1010" s="147" t="str">
        <f>IFERROR(__xludf.DUMMYFUNCTION("""COMPUTED_VALUE"""),"application/pdf")</f>
        <v>application/pdf</v>
      </c>
    </row>
    <row r="1011">
      <c r="A1011" s="147" t="str">
        <f>IFERROR(__xludf.DUMMYFUNCTION("""COMPUTED_VALUE"""),"10.1177/0956797614559285")</f>
        <v>10.1177/0956797614559285</v>
      </c>
      <c r="B1011" s="453" t="str">
        <f>IFERROR(__xludf.DUMMYFUNCTION("""COMPUTED_VALUE"""),"https://drive.google.com/file/d/1hgaLy7Pk7l8_uT0qzsdgGRA4OH5u_0hL/view?usp=drivesdk")</f>
        <v>https://drive.google.com/file/d/1hgaLy7Pk7l8_uT0qzsdgGRA4OH5u_0hL/view?usp=drivesdk</v>
      </c>
      <c r="C1011" s="147" t="str">
        <f>IFERROR(__xludf.DUMMYFUNCTION("""COMPUTED_VALUE"""),"10.1177--0956797614559285.pdf")</f>
        <v>10.1177--0956797614559285.pdf</v>
      </c>
      <c r="D1011" s="147" t="str">
        <f>IFERROR(__xludf.DUMMYFUNCTION("""COMPUTED_VALUE"""),"application/pdf")</f>
        <v>application/pdf</v>
      </c>
    </row>
    <row r="1012">
      <c r="A1012" s="147" t="str">
        <f>IFERROR(__xludf.DUMMYFUNCTION("""COMPUTED_VALUE"""),"10.1177/0956797614558718")</f>
        <v>10.1177/0956797614558718</v>
      </c>
      <c r="B1012" s="453" t="str">
        <f>IFERROR(__xludf.DUMMYFUNCTION("""COMPUTED_VALUE"""),"https://drive.google.com/file/d/1VCKoEhCkZgWeNPsAklTrHzvyEtDe0UpM/view?usp=drivesdk")</f>
        <v>https://drive.google.com/file/d/1VCKoEhCkZgWeNPsAklTrHzvyEtDe0UpM/view?usp=drivesdk</v>
      </c>
      <c r="C1012" s="147" t="str">
        <f>IFERROR(__xludf.DUMMYFUNCTION("""COMPUTED_VALUE"""),"10.1177--0956797614558718.pdf")</f>
        <v>10.1177--0956797614558718.pdf</v>
      </c>
      <c r="D1012" s="147" t="str">
        <f>IFERROR(__xludf.DUMMYFUNCTION("""COMPUTED_VALUE"""),"application/pdf")</f>
        <v>application/pdf</v>
      </c>
    </row>
    <row r="1013">
      <c r="A1013" s="147" t="str">
        <f>IFERROR(__xludf.DUMMYFUNCTION("""COMPUTED_VALUE"""),"10.1177/0956797614554955")</f>
        <v>10.1177/0956797614554955</v>
      </c>
      <c r="B1013" s="453" t="str">
        <f>IFERROR(__xludf.DUMMYFUNCTION("""COMPUTED_VALUE"""),"https://drive.google.com/file/d/1epyBwvNQIzhoIzncHzNCghI35bEcM7FS/view?usp=drivesdk")</f>
        <v>https://drive.google.com/file/d/1epyBwvNQIzhoIzncHzNCghI35bEcM7FS/view?usp=drivesdk</v>
      </c>
      <c r="C1013" s="147" t="str">
        <f>IFERROR(__xludf.DUMMYFUNCTION("""COMPUTED_VALUE"""),"10.1177--0956797614554955.pdf")</f>
        <v>10.1177--0956797614554955.pdf</v>
      </c>
      <c r="D1013" s="147" t="str">
        <f>IFERROR(__xludf.DUMMYFUNCTION("""COMPUTED_VALUE"""),"application/pdf")</f>
        <v>application/pdf</v>
      </c>
    </row>
    <row r="1014">
      <c r="A1014" s="147" t="str">
        <f>IFERROR(__xludf.DUMMYFUNCTION("""COMPUTED_VALUE"""),"10.1177/0956797614553945")</f>
        <v>10.1177/0956797614553945</v>
      </c>
      <c r="B1014" s="453" t="str">
        <f>IFERROR(__xludf.DUMMYFUNCTION("""COMPUTED_VALUE"""),"https://drive.google.com/file/d/1P9xYCgkA2aZzeFeWwFu2vsHTC7Pzw-Oa/view?usp=drivesdk")</f>
        <v>https://drive.google.com/file/d/1P9xYCgkA2aZzeFeWwFu2vsHTC7Pzw-Oa/view?usp=drivesdk</v>
      </c>
      <c r="C1014" s="147" t="str">
        <f>IFERROR(__xludf.DUMMYFUNCTION("""COMPUTED_VALUE"""),"10.1177--0956797614553945.pdf")</f>
        <v>10.1177--0956797614553945.pdf</v>
      </c>
      <c r="D1014" s="147" t="str">
        <f>IFERROR(__xludf.DUMMYFUNCTION("""COMPUTED_VALUE"""),"application/pdf")</f>
        <v>application/pdf</v>
      </c>
    </row>
    <row r="1015">
      <c r="A1015" s="147" t="str">
        <f>IFERROR(__xludf.DUMMYFUNCTION("""COMPUTED_VALUE"""),"10.1177/0956797614553009")</f>
        <v>10.1177/0956797614553009</v>
      </c>
      <c r="B1015" s="453" t="str">
        <f>IFERROR(__xludf.DUMMYFUNCTION("""COMPUTED_VALUE"""),"https://drive.google.com/file/d/1ZRJcq-rd4pEQb0DmJ1HQenA2-OH5dbEb/view?usp=drivesdk")</f>
        <v>https://drive.google.com/file/d/1ZRJcq-rd4pEQb0DmJ1HQenA2-OH5dbEb/view?usp=drivesdk</v>
      </c>
      <c r="C1015" s="147" t="str">
        <f>IFERROR(__xludf.DUMMYFUNCTION("""COMPUTED_VALUE"""),"10.1177--0956797614553009.pdf")</f>
        <v>10.1177--0956797614553009.pdf</v>
      </c>
      <c r="D1015" s="147" t="str">
        <f>IFERROR(__xludf.DUMMYFUNCTION("""COMPUTED_VALUE"""),"application/pdf")</f>
        <v>application/pdf</v>
      </c>
    </row>
    <row r="1016">
      <c r="A1016" s="147" t="str">
        <f>IFERROR(__xludf.DUMMYFUNCTION("""COMPUTED_VALUE"""),"10.1177/0956797614536739")</f>
        <v>10.1177/0956797614536739</v>
      </c>
      <c r="B1016" s="453" t="str">
        <f>IFERROR(__xludf.DUMMYFUNCTION("""COMPUTED_VALUE"""),"https://drive.google.com/file/d/1c-T-gBsf13rctIADi3rUqpv_LDEac7l1/view?usp=drivesdk")</f>
        <v>https://drive.google.com/file/d/1c-T-gBsf13rctIADi3rUqpv_LDEac7l1/view?usp=drivesdk</v>
      </c>
      <c r="C1016" s="147" t="str">
        <f>IFERROR(__xludf.DUMMYFUNCTION("""COMPUTED_VALUE"""),"10.1177--0956797614536739.pdf")</f>
        <v>10.1177--0956797614536739.pdf</v>
      </c>
      <c r="D1016" s="147" t="str">
        <f>IFERROR(__xludf.DUMMYFUNCTION("""COMPUTED_VALUE"""),"application/pdf")</f>
        <v>application/pdf</v>
      </c>
    </row>
    <row r="1017">
      <c r="A1017" s="147" t="str">
        <f>IFERROR(__xludf.DUMMYFUNCTION("""COMPUTED_VALUE"""),"10.1177/0956797614547705")</f>
        <v>10.1177/0956797614547705</v>
      </c>
      <c r="B1017" s="453" t="str">
        <f>IFERROR(__xludf.DUMMYFUNCTION("""COMPUTED_VALUE"""),"https://drive.google.com/file/d/1hMU234raFGJtbZQ16uhu9mUFuosskYBK/view?usp=drivesdk")</f>
        <v>https://drive.google.com/file/d/1hMU234raFGJtbZQ16uhu9mUFuosskYBK/view?usp=drivesdk</v>
      </c>
      <c r="C1017" s="147" t="str">
        <f>IFERROR(__xludf.DUMMYFUNCTION("""COMPUTED_VALUE"""),"10.1177--0956797614547705.pdf")</f>
        <v>10.1177--0956797614547705.pdf</v>
      </c>
      <c r="D1017" s="147" t="str">
        <f>IFERROR(__xludf.DUMMYFUNCTION("""COMPUTED_VALUE"""),"application/pdf")</f>
        <v>application/pdf</v>
      </c>
    </row>
    <row r="1018">
      <c r="A1018" s="147" t="str">
        <f>IFERROR(__xludf.DUMMYFUNCTION("""COMPUTED_VALUE"""),"10.1177/0956797614534693")</f>
        <v>10.1177/0956797614534693</v>
      </c>
      <c r="B1018" s="453" t="str">
        <f>IFERROR(__xludf.DUMMYFUNCTION("""COMPUTED_VALUE"""),"https://drive.google.com/file/d/1dcM9NQdz9QH53PQ7hkiNVOhT5nBAY9Vn/view?usp=drivesdk")</f>
        <v>https://drive.google.com/file/d/1dcM9NQdz9QH53PQ7hkiNVOhT5nBAY9Vn/view?usp=drivesdk</v>
      </c>
      <c r="C1018" s="147" t="str">
        <f>IFERROR(__xludf.DUMMYFUNCTION("""COMPUTED_VALUE"""),"10.1177--0956797614534693.pdf")</f>
        <v>10.1177--0956797614534693.pdf</v>
      </c>
      <c r="D1018" s="147" t="str">
        <f>IFERROR(__xludf.DUMMYFUNCTION("""COMPUTED_VALUE"""),"application/pdf")</f>
        <v>application/pdf</v>
      </c>
    </row>
    <row r="1019">
      <c r="A1019" s="147" t="str">
        <f>IFERROR(__xludf.DUMMYFUNCTION("""COMPUTED_VALUE"""),"10.1177/0956797614527113")</f>
        <v>10.1177/0956797614527113</v>
      </c>
      <c r="B1019" s="453" t="str">
        <f>IFERROR(__xludf.DUMMYFUNCTION("""COMPUTED_VALUE"""),"https://drive.google.com/file/d/1eY8ustezkGTBEFCvn47T4iFMNEc9SoCR/view?usp=drivesdk")</f>
        <v>https://drive.google.com/file/d/1eY8ustezkGTBEFCvn47T4iFMNEc9SoCR/view?usp=drivesdk</v>
      </c>
      <c r="C1019" s="147" t="str">
        <f>IFERROR(__xludf.DUMMYFUNCTION("""COMPUTED_VALUE"""),"10.1177--0956797614527113.pdf")</f>
        <v>10.1177--0956797614527113.pdf</v>
      </c>
      <c r="D1019" s="147" t="str">
        <f>IFERROR(__xludf.DUMMYFUNCTION("""COMPUTED_VALUE"""),"application/pdf")</f>
        <v>application/pdf</v>
      </c>
    </row>
    <row r="1020">
      <c r="A1020" s="147" t="str">
        <f>IFERROR(__xludf.DUMMYFUNCTION("""COMPUTED_VALUE"""),"10.1177/0956797614526415")</f>
        <v>10.1177/0956797614526415</v>
      </c>
      <c r="B1020" s="453" t="str">
        <f>IFERROR(__xludf.DUMMYFUNCTION("""COMPUTED_VALUE"""),"https://drive.google.com/file/d/16mzj15ffaodG7p7OkXeRFIl06zUe0OUG/view?usp=drivesdk")</f>
        <v>https://drive.google.com/file/d/16mzj15ffaodG7p7OkXeRFIl06zUe0OUG/view?usp=drivesdk</v>
      </c>
      <c r="C1020" s="147" t="str">
        <f>IFERROR(__xludf.DUMMYFUNCTION("""COMPUTED_VALUE"""),"10.1177--0956797614526415.pdf")</f>
        <v>10.1177--0956797614526415.pdf</v>
      </c>
      <c r="D1020" s="147" t="str">
        <f>IFERROR(__xludf.DUMMYFUNCTION("""COMPUTED_VALUE"""),"application/pdf")</f>
        <v>application/pdf</v>
      </c>
    </row>
    <row r="1021">
      <c r="A1021" s="147" t="str">
        <f>IFERROR(__xludf.DUMMYFUNCTION("""COMPUTED_VALUE"""),"10.1177/0956797613508412")</f>
        <v>10.1177/0956797613508412</v>
      </c>
      <c r="B1021" s="453" t="str">
        <f>IFERROR(__xludf.DUMMYFUNCTION("""COMPUTED_VALUE"""),"https://drive.google.com/file/d/1VYqvNkQuJmP378cGj71lJ4JV-clMH0Yv/view?usp=drivesdk")</f>
        <v>https://drive.google.com/file/d/1VYqvNkQuJmP378cGj71lJ4JV-clMH0Yv/view?usp=drivesdk</v>
      </c>
      <c r="C1021" s="147" t="str">
        <f>IFERROR(__xludf.DUMMYFUNCTION("""COMPUTED_VALUE"""),"10.1177--0956797613508412.pdf")</f>
        <v>10.1177--0956797613508412.pdf</v>
      </c>
      <c r="D1021" s="147" t="str">
        <f>IFERROR(__xludf.DUMMYFUNCTION("""COMPUTED_VALUE"""),"application/pdf")</f>
        <v>application/pdf</v>
      </c>
    </row>
    <row r="1022">
      <c r="A1022" s="147" t="str">
        <f>IFERROR(__xludf.DUMMYFUNCTION("""COMPUTED_VALUE"""),"10.1177/0956797613502732")</f>
        <v>10.1177/0956797613502732</v>
      </c>
      <c r="B1022" s="453" t="str">
        <f>IFERROR(__xludf.DUMMYFUNCTION("""COMPUTED_VALUE"""),"https://drive.google.com/file/d/1oYbk_RfphQEQTiM6p882mmwIrb7aGJDY/view?usp=drivesdk")</f>
        <v>https://drive.google.com/file/d/1oYbk_RfphQEQTiM6p882mmwIrb7aGJDY/view?usp=drivesdk</v>
      </c>
      <c r="C1022" s="147" t="str">
        <f>IFERROR(__xludf.DUMMYFUNCTION("""COMPUTED_VALUE"""),"10.1177--0956797613502732.pdf")</f>
        <v>10.1177--0956797613502732.pdf</v>
      </c>
      <c r="D1022" s="147" t="str">
        <f>IFERROR(__xludf.DUMMYFUNCTION("""COMPUTED_VALUE"""),"application/pdf")</f>
        <v>application/pdf</v>
      </c>
    </row>
    <row r="1023">
      <c r="A1023" s="147" t="str">
        <f>IFERROR(__xludf.DUMMYFUNCTION("""COMPUTED_VALUE"""),"10.1177/0956797613486983")</f>
        <v>10.1177/0956797613486983</v>
      </c>
      <c r="B1023" s="453" t="str">
        <f>IFERROR(__xludf.DUMMYFUNCTION("""COMPUTED_VALUE"""),"https://drive.google.com/file/d/1GB5oPjHVuDXBTZ2__Had-zRIf9ZK4G7S/view?usp=drivesdk")</f>
        <v>https://drive.google.com/file/d/1GB5oPjHVuDXBTZ2__Had-zRIf9ZK4G7S/view?usp=drivesdk</v>
      </c>
      <c r="C1023" s="147" t="str">
        <f>IFERROR(__xludf.DUMMYFUNCTION("""COMPUTED_VALUE"""),"10.1177--0956797613486983.pdf")</f>
        <v>10.1177--0956797613486983.pdf</v>
      </c>
      <c r="D1023" s="147" t="str">
        <f>IFERROR(__xludf.DUMMYFUNCTION("""COMPUTED_VALUE"""),"application/pdf")</f>
        <v>application/pdf</v>
      </c>
    </row>
    <row r="1024">
      <c r="A1024" s="147" t="str">
        <f>IFERROR(__xludf.DUMMYFUNCTION("""COMPUTED_VALUE"""),"10.1177/0956797613494853")</f>
        <v>10.1177/0956797613494853</v>
      </c>
      <c r="B1024" s="453" t="str">
        <f>IFERROR(__xludf.DUMMYFUNCTION("""COMPUTED_VALUE"""),"https://drive.google.com/file/d/1W2aCwE3Z8jN-Xdqb3awaTWO-3SquFMRh/view?usp=drivesdk")</f>
        <v>https://drive.google.com/file/d/1W2aCwE3Z8jN-Xdqb3awaTWO-3SquFMRh/view?usp=drivesdk</v>
      </c>
      <c r="C1024" s="147" t="str">
        <f>IFERROR(__xludf.DUMMYFUNCTION("""COMPUTED_VALUE"""),"10.1177--0956797613494853.pdf")</f>
        <v>10.1177--0956797613494853.pdf</v>
      </c>
      <c r="D1024" s="147" t="str">
        <f>IFERROR(__xludf.DUMMYFUNCTION("""COMPUTED_VALUE"""),"application/pdf")</f>
        <v>application/pdf</v>
      </c>
    </row>
    <row r="1025">
      <c r="A1025" s="147" t="str">
        <f>IFERROR(__xludf.DUMMYFUNCTION("""COMPUTED_VALUE"""),"10.1177/0956797612449177")</f>
        <v>10.1177/0956797612449177</v>
      </c>
      <c r="B1025" s="453" t="str">
        <f>IFERROR(__xludf.DUMMYFUNCTION("""COMPUTED_VALUE"""),"https://drive.google.com/file/d/1v5J8Cnv26X6sTt4VLBH9e2mvCWSnQGm4/view?usp=drivesdk")</f>
        <v>https://drive.google.com/file/d/1v5J8Cnv26X6sTt4VLBH9e2mvCWSnQGm4/view?usp=drivesdk</v>
      </c>
      <c r="C1025" s="147" t="str">
        <f>IFERROR(__xludf.DUMMYFUNCTION("""COMPUTED_VALUE"""),"10.1177--0956797612449177.pdf")</f>
        <v>10.1177--0956797612449177.pdf</v>
      </c>
      <c r="D1025" s="147" t="str">
        <f>IFERROR(__xludf.DUMMYFUNCTION("""COMPUTED_VALUE"""),"application/pdf")</f>
        <v>application/pdf</v>
      </c>
    </row>
    <row r="1026">
      <c r="A1026" s="147" t="str">
        <f>IFERROR(__xludf.DUMMYFUNCTION("""COMPUTED_VALUE"""),"10.1177/0956797612445318")</f>
        <v>10.1177/0956797612445318</v>
      </c>
      <c r="B1026" s="453" t="str">
        <f>IFERROR(__xludf.DUMMYFUNCTION("""COMPUTED_VALUE"""),"https://drive.google.com/file/d/1a3fJ6JRdrPHSo50DdCUrYLisEZcHfG31/view?usp=drivesdk")</f>
        <v>https://drive.google.com/file/d/1a3fJ6JRdrPHSo50DdCUrYLisEZcHfG31/view?usp=drivesdk</v>
      </c>
      <c r="C1026" s="147" t="str">
        <f>IFERROR(__xludf.DUMMYFUNCTION("""COMPUTED_VALUE"""),"10.1177--0956797612445318.pdf")</f>
        <v>10.1177--0956797612445318.pdf</v>
      </c>
      <c r="D1026" s="147" t="str">
        <f>IFERROR(__xludf.DUMMYFUNCTION("""COMPUTED_VALUE"""),"application/pdf")</f>
        <v>application/pdf</v>
      </c>
    </row>
    <row r="1027">
      <c r="A1027" s="147" t="str">
        <f>IFERROR(__xludf.DUMMYFUNCTION("""COMPUTED_VALUE"""),"10.1177/0956797612444613")</f>
        <v>10.1177/0956797612444613</v>
      </c>
      <c r="B1027" s="453" t="str">
        <f>IFERROR(__xludf.DUMMYFUNCTION("""COMPUTED_VALUE"""),"https://drive.google.com/file/d/1YxSLKvJhCAZvjLwh2Dxi3CO9YKNSkWkP/view?usp=drivesdk")</f>
        <v>https://drive.google.com/file/d/1YxSLKvJhCAZvjLwh2Dxi3CO9YKNSkWkP/view?usp=drivesdk</v>
      </c>
      <c r="C1027" s="147" t="str">
        <f>IFERROR(__xludf.DUMMYFUNCTION("""COMPUTED_VALUE"""),"10.1177--0956797612444613.pdf")</f>
        <v>10.1177--0956797612444613.pdf</v>
      </c>
      <c r="D1027" s="147" t="str">
        <f>IFERROR(__xludf.DUMMYFUNCTION("""COMPUTED_VALUE"""),"application/pdf")</f>
        <v>application/pdf</v>
      </c>
    </row>
    <row r="1028">
      <c r="A1028" s="147" t="str">
        <f>IFERROR(__xludf.DUMMYFUNCTION("""COMPUTED_VALUE"""),"10.1177/0956797612443838")</f>
        <v>10.1177/0956797612443838</v>
      </c>
      <c r="B1028" s="453" t="str">
        <f>IFERROR(__xludf.DUMMYFUNCTION("""COMPUTED_VALUE"""),"https://drive.google.com/file/d/13GWPRI4Xmytw-ass-yZ5q0c9b-PXmtD4/view?usp=drivesdk")</f>
        <v>https://drive.google.com/file/d/13GWPRI4Xmytw-ass-yZ5q0c9b-PXmtD4/view?usp=drivesdk</v>
      </c>
      <c r="C1028" s="147" t="str">
        <f>IFERROR(__xludf.DUMMYFUNCTION("""COMPUTED_VALUE"""),"10.1177--0956797612443838.pdf")</f>
        <v>10.1177--0956797612443838.pdf</v>
      </c>
      <c r="D1028" s="147" t="str">
        <f>IFERROR(__xludf.DUMMYFUNCTION("""COMPUTED_VALUE"""),"application/pdf")</f>
        <v>application/pdf</v>
      </c>
    </row>
    <row r="1029">
      <c r="A1029" s="147" t="str">
        <f>IFERROR(__xludf.DUMMYFUNCTION("""COMPUTED_VALUE"""),"10.1177/0956797611434540")</f>
        <v>10.1177/0956797611434540</v>
      </c>
      <c r="B1029" s="453" t="str">
        <f>IFERROR(__xludf.DUMMYFUNCTION("""COMPUTED_VALUE"""),"https://drive.google.com/file/d/1e8g4jGrxeuAKV2niPFAdDVB88LKnVgdm/view?usp=drivesdk")</f>
        <v>https://drive.google.com/file/d/1e8g4jGrxeuAKV2niPFAdDVB88LKnVgdm/view?usp=drivesdk</v>
      </c>
      <c r="C1029" s="147" t="str">
        <f>IFERROR(__xludf.DUMMYFUNCTION("""COMPUTED_VALUE"""),"10.1177--0956797611434540.pdf")</f>
        <v>10.1177--0956797611434540.pdf</v>
      </c>
      <c r="D1029" s="147" t="str">
        <f>IFERROR(__xludf.DUMMYFUNCTION("""COMPUTED_VALUE"""),"application/pdf")</f>
        <v>application/pdf</v>
      </c>
    </row>
    <row r="1030">
      <c r="A1030" s="147" t="str">
        <f>IFERROR(__xludf.DUMMYFUNCTION("""COMPUTED_VALUE"""),"10.1177/0956797611434537")</f>
        <v>10.1177/0956797611434537</v>
      </c>
      <c r="B1030" s="453" t="str">
        <f>IFERROR(__xludf.DUMMYFUNCTION("""COMPUTED_VALUE"""),"https://drive.google.com/file/d/15LBKsey4dgrPQTiibNv2Qi9TOTbc3lk1/view?usp=drivesdk")</f>
        <v>https://drive.google.com/file/d/15LBKsey4dgrPQTiibNv2Qi9TOTbc3lk1/view?usp=drivesdk</v>
      </c>
      <c r="C1030" s="147" t="str">
        <f>IFERROR(__xludf.DUMMYFUNCTION("""COMPUTED_VALUE"""),"10.1177--0956797611434537.pdf")</f>
        <v>10.1177--0956797611434537.pdf</v>
      </c>
      <c r="D1030" s="147" t="str">
        <f>IFERROR(__xludf.DUMMYFUNCTION("""COMPUTED_VALUE"""),"application/pdf")</f>
        <v>application/pdf</v>
      </c>
    </row>
    <row r="1031">
      <c r="A1031" s="147" t="str">
        <f>IFERROR(__xludf.DUMMYFUNCTION("""COMPUTED_VALUE"""),"10.1177/0956797611429579")</f>
        <v>10.1177/0956797611429579</v>
      </c>
      <c r="B1031" s="453" t="str">
        <f>IFERROR(__xludf.DUMMYFUNCTION("""COMPUTED_VALUE"""),"https://drive.google.com/file/d/1qh6jn8CXzXmvxEifk6kq4pZRCYHNO1mu/view?usp=drivesdk")</f>
        <v>https://drive.google.com/file/d/1qh6jn8CXzXmvxEifk6kq4pZRCYHNO1mu/view?usp=drivesdk</v>
      </c>
      <c r="C1031" s="147" t="str">
        <f>IFERROR(__xludf.DUMMYFUNCTION("""COMPUTED_VALUE"""),"10.1177--0956797611429579.pdf")</f>
        <v>10.1177--0956797611429579.pdf</v>
      </c>
      <c r="D1031" s="147" t="str">
        <f>IFERROR(__xludf.DUMMYFUNCTION("""COMPUTED_VALUE"""),"application/pdf")</f>
        <v>application/pdf</v>
      </c>
    </row>
    <row r="1032">
      <c r="A1032" s="147" t="str">
        <f>IFERROR(__xludf.DUMMYFUNCTION("""COMPUTED_VALUE"""),"10.1177/0956797611428079")</f>
        <v>10.1177/0956797611428079</v>
      </c>
      <c r="B1032" s="453" t="str">
        <f>IFERROR(__xludf.DUMMYFUNCTION("""COMPUTED_VALUE"""),"https://drive.google.com/file/d/18dLuHsJaHfEuFpmJ9coLBrlcbxYHVgpG/view?usp=drivesdk")</f>
        <v>https://drive.google.com/file/d/18dLuHsJaHfEuFpmJ9coLBrlcbxYHVgpG/view?usp=drivesdk</v>
      </c>
      <c r="C1032" s="147" t="str">
        <f>IFERROR(__xludf.DUMMYFUNCTION("""COMPUTED_VALUE"""),"10.1177--0956797611428079.pdf")</f>
        <v>10.1177--0956797611428079.pdf</v>
      </c>
      <c r="D1032" s="147" t="str">
        <f>IFERROR(__xludf.DUMMYFUNCTION("""COMPUTED_VALUE"""),"application/pdf")</f>
        <v>application/pdf</v>
      </c>
    </row>
    <row r="1033">
      <c r="A1033" s="147" t="str">
        <f>IFERROR(__xludf.DUMMYFUNCTION("""COMPUTED_VALUE"""),"10.1177/0956797611419168")</f>
        <v>10.1177/0956797611419168</v>
      </c>
      <c r="B1033" s="453" t="str">
        <f>IFERROR(__xludf.DUMMYFUNCTION("""COMPUTED_VALUE"""),"https://drive.google.com/file/d/1nanNymgjGLBTTIftwQHD0CPkPgFLXjko/view?usp=drivesdk")</f>
        <v>https://drive.google.com/file/d/1nanNymgjGLBTTIftwQHD0CPkPgFLXjko/view?usp=drivesdk</v>
      </c>
      <c r="C1033" s="147" t="str">
        <f>IFERROR(__xludf.DUMMYFUNCTION("""COMPUTED_VALUE"""),"10.1177--0956797611419168.pdf")</f>
        <v>10.1177--0956797611419168.pdf</v>
      </c>
      <c r="D1033" s="147" t="str">
        <f>IFERROR(__xludf.DUMMYFUNCTION("""COMPUTED_VALUE"""),"application/pdf")</f>
        <v>application/pdf</v>
      </c>
    </row>
    <row r="1034">
      <c r="A1034" s="147" t="str">
        <f>IFERROR(__xludf.DUMMYFUNCTION("""COMPUTED_VALUE"""),"10.1177/0956797611418350")</f>
        <v>10.1177/0956797611418350</v>
      </c>
      <c r="B1034" s="453" t="str">
        <f>IFERROR(__xludf.DUMMYFUNCTION("""COMPUTED_VALUE"""),"https://drive.google.com/file/d/1b6PUvKuNu674etG4K94ZBLDQXEuYuOgp/view?usp=drivesdk")</f>
        <v>https://drive.google.com/file/d/1b6PUvKuNu674etG4K94ZBLDQXEuYuOgp/view?usp=drivesdk</v>
      </c>
      <c r="C1034" s="147" t="str">
        <f>IFERROR(__xludf.DUMMYFUNCTION("""COMPUTED_VALUE"""),"10.1177--0956797611418350.pdf")</f>
        <v>10.1177--0956797611418350.pdf</v>
      </c>
      <c r="D1034" s="147" t="str">
        <f>IFERROR(__xludf.DUMMYFUNCTION("""COMPUTED_VALUE"""),"application/pdf")</f>
        <v>application/pdf</v>
      </c>
    </row>
    <row r="1035">
      <c r="A1035" s="147" t="str">
        <f>IFERROR(__xludf.DUMMYFUNCTION("""COMPUTED_VALUE"""),"10.1177/0956797611414726")</f>
        <v>10.1177/0956797611414726</v>
      </c>
      <c r="B1035" s="453" t="str">
        <f>IFERROR(__xludf.DUMMYFUNCTION("""COMPUTED_VALUE"""),"https://drive.google.com/file/d/1M2bQUYW3MLXQBgi-vbBlJhTa0bUosI7r/view?usp=drivesdk")</f>
        <v>https://drive.google.com/file/d/1M2bQUYW3MLXQBgi-vbBlJhTa0bUosI7r/view?usp=drivesdk</v>
      </c>
      <c r="C1035" s="147" t="str">
        <f>IFERROR(__xludf.DUMMYFUNCTION("""COMPUTED_VALUE"""),"10.1177--0956797611414726.pdf")</f>
        <v>10.1177--0956797611414726.pdf</v>
      </c>
      <c r="D1035" s="147" t="str">
        <f>IFERROR(__xludf.DUMMYFUNCTION("""COMPUTED_VALUE"""),"application/pdf")</f>
        <v>application/pdf</v>
      </c>
    </row>
    <row r="1036">
      <c r="A1036" s="147" t="str">
        <f>IFERROR(__xludf.DUMMYFUNCTION("""COMPUTED_VALUE"""),"10.1177/0956797611398497")</f>
        <v>10.1177/0956797611398497</v>
      </c>
      <c r="B1036" s="453" t="str">
        <f>IFERROR(__xludf.DUMMYFUNCTION("""COMPUTED_VALUE"""),"https://drive.google.com/file/d/1Q4Hoav-REKO6sqw8lr1uJnRm7Q_FXUIN/view?usp=drivesdk")</f>
        <v>https://drive.google.com/file/d/1Q4Hoav-REKO6sqw8lr1uJnRm7Q_FXUIN/view?usp=drivesdk</v>
      </c>
      <c r="C1036" s="147" t="str">
        <f>IFERROR(__xludf.DUMMYFUNCTION("""COMPUTED_VALUE"""),"10.1177--0956797611398497.pdf")</f>
        <v>10.1177--0956797611398497.pdf</v>
      </c>
      <c r="D1036" s="147" t="str">
        <f>IFERROR(__xludf.DUMMYFUNCTION("""COMPUTED_VALUE"""),"application/pdf")</f>
        <v>application/pdf</v>
      </c>
    </row>
    <row r="1037">
      <c r="A1037" s="147" t="str">
        <f>IFERROR(__xludf.DUMMYFUNCTION("""COMPUTED_VALUE"""),"10.1177/0956797610397956")</f>
        <v>10.1177/0956797610397956</v>
      </c>
      <c r="B1037" s="453" t="str">
        <f>IFERROR(__xludf.DUMMYFUNCTION("""COMPUTED_VALUE"""),"https://drive.google.com/file/d/10j2TatiM7HXzQ8gGJAAToPEOpY8k8IgA/view?usp=drivesdk")</f>
        <v>https://drive.google.com/file/d/10j2TatiM7HXzQ8gGJAAToPEOpY8k8IgA/view?usp=drivesdk</v>
      </c>
      <c r="C1037" s="147" t="str">
        <f>IFERROR(__xludf.DUMMYFUNCTION("""COMPUTED_VALUE"""),"10.1177--0956797610397956.pdf")</f>
        <v>10.1177--0956797610397956.pdf</v>
      </c>
      <c r="D1037" s="147" t="str">
        <f>IFERROR(__xludf.DUMMYFUNCTION("""COMPUTED_VALUE"""),"application/pdf")</f>
        <v>application/pdf</v>
      </c>
    </row>
    <row r="1038">
      <c r="A1038" s="147" t="str">
        <f>IFERROR(__xludf.DUMMYFUNCTION("""COMPUTED_VALUE"""),"10.1177/0956797610395393")</f>
        <v>10.1177/0956797610395393</v>
      </c>
      <c r="B1038" s="453" t="str">
        <f>IFERROR(__xludf.DUMMYFUNCTION("""COMPUTED_VALUE"""),"https://drive.google.com/file/d/114EidPR7T0rdM2v9diqArcO-SjszUvCV/view?usp=drivesdk")</f>
        <v>https://drive.google.com/file/d/114EidPR7T0rdM2v9diqArcO-SjszUvCV/view?usp=drivesdk</v>
      </c>
      <c r="C1038" s="147" t="str">
        <f>IFERROR(__xludf.DUMMYFUNCTION("""COMPUTED_VALUE"""),"10.1177--0956797610395393.pdf")</f>
        <v>10.1177--0956797610395393.pdf</v>
      </c>
      <c r="D1038" s="147" t="str">
        <f>IFERROR(__xludf.DUMMYFUNCTION("""COMPUTED_VALUE"""),"application/pdf")</f>
        <v>application/pdf</v>
      </c>
    </row>
    <row r="1039">
      <c r="A1039" s="147" t="str">
        <f>IFERROR(__xludf.DUMMYFUNCTION("""COMPUTED_VALUE"""),"10.1177/0956797610384746")</f>
        <v>10.1177/0956797610384746</v>
      </c>
      <c r="B1039" s="453" t="str">
        <f>IFERROR(__xludf.DUMMYFUNCTION("""COMPUTED_VALUE"""),"https://drive.google.com/file/d/1QvCfNwfC2L6h4poQe8Nd8CTgttfsWFTm/view?usp=drivesdk")</f>
        <v>https://drive.google.com/file/d/1QvCfNwfC2L6h4poQe8Nd8CTgttfsWFTm/view?usp=drivesdk</v>
      </c>
      <c r="C1039" s="147" t="str">
        <f>IFERROR(__xludf.DUMMYFUNCTION("""COMPUTED_VALUE"""),"10.1177--0956797610384746.pdf")</f>
        <v>10.1177--0956797610384746.pdf</v>
      </c>
      <c r="D1039" s="147" t="str">
        <f>IFERROR(__xludf.DUMMYFUNCTION("""COMPUTED_VALUE"""),"application/pdf")</f>
        <v>application/pdf</v>
      </c>
    </row>
    <row r="1040">
      <c r="A1040" s="147" t="str">
        <f>IFERROR(__xludf.DUMMYFUNCTION("""COMPUTED_VALUE"""),"10.1177/0956797610383437")</f>
        <v>10.1177/0956797610383437</v>
      </c>
      <c r="B1040" s="453" t="str">
        <f>IFERROR(__xludf.DUMMYFUNCTION("""COMPUTED_VALUE"""),"https://drive.google.com/file/d/1qeprGIAy7AN_pByPqzOUMvJ-k5SpkEYf/view?usp=drivesdk")</f>
        <v>https://drive.google.com/file/d/1qeprGIAy7AN_pByPqzOUMvJ-k5SpkEYf/view?usp=drivesdk</v>
      </c>
      <c r="C1040" s="147" t="str">
        <f>IFERROR(__xludf.DUMMYFUNCTION("""COMPUTED_VALUE"""),"10.1177--0956797610383437.pdf")</f>
        <v>10.1177--0956797610383437.pdf</v>
      </c>
      <c r="D1040" s="147" t="str">
        <f>IFERROR(__xludf.DUMMYFUNCTION("""COMPUTED_VALUE"""),"application/pdf")</f>
        <v>application/pdf</v>
      </c>
    </row>
    <row r="1041">
      <c r="A1041" s="147" t="str">
        <f>IFERROR(__xludf.DUMMYFUNCTION("""COMPUTED_VALUE"""),"10.1177/0956797610363775")</f>
        <v>10.1177/0956797610363775</v>
      </c>
      <c r="B1041" s="453" t="str">
        <f>IFERROR(__xludf.DUMMYFUNCTION("""COMPUTED_VALUE"""),"https://drive.google.com/file/d/1EwNygj4VffnCLPK-P7EFlmo0-tV2NKRN/view?usp=drivesdk")</f>
        <v>https://drive.google.com/file/d/1EwNygj4VffnCLPK-P7EFlmo0-tV2NKRN/view?usp=drivesdk</v>
      </c>
      <c r="C1041" s="147" t="str">
        <f>IFERROR(__xludf.DUMMYFUNCTION("""COMPUTED_VALUE"""),"10.1177--0956797610363775.pdf")</f>
        <v>10.1177--0956797610363775.pdf</v>
      </c>
      <c r="D1041" s="147" t="str">
        <f>IFERROR(__xludf.DUMMYFUNCTION("""COMPUTED_VALUE"""),"application/pdf")</f>
        <v>application/pdf</v>
      </c>
    </row>
    <row r="1042">
      <c r="A1042" s="147" t="str">
        <f>IFERROR(__xludf.DUMMYFUNCTION("""COMPUTED_VALUE"""),"10.1177/0956797610372631")</f>
        <v>10.1177/0956797610372631</v>
      </c>
      <c r="B1042" s="453" t="str">
        <f>IFERROR(__xludf.DUMMYFUNCTION("""COMPUTED_VALUE"""),"https://drive.google.com/file/d/1fTRsNjUSigNQXhqc1pXcjQ_2Nx-X6BFV/view?usp=drivesdk")</f>
        <v>https://drive.google.com/file/d/1fTRsNjUSigNQXhqc1pXcjQ_2Nx-X6BFV/view?usp=drivesdk</v>
      </c>
      <c r="C1042" s="147" t="str">
        <f>IFERROR(__xludf.DUMMYFUNCTION("""COMPUTED_VALUE"""),"10.1177--0956797610372631.pdf")</f>
        <v>10.1177--0956797610372631.pdf</v>
      </c>
      <c r="D1042" s="147" t="str">
        <f>IFERROR(__xludf.DUMMYFUNCTION("""COMPUTED_VALUE"""),"application/pdf")</f>
        <v>application/pdf</v>
      </c>
    </row>
    <row r="1043">
      <c r="A1043" s="147" t="str">
        <f>IFERROR(__xludf.DUMMYFUNCTION("""COMPUTED_VALUE"""),"10.1177/0956797609358096")</f>
        <v>10.1177/0956797609358096</v>
      </c>
      <c r="B1043" s="453" t="str">
        <f>IFERROR(__xludf.DUMMYFUNCTION("""COMPUTED_VALUE"""),"https://drive.google.com/file/d/1u2KiampcOcT7G124TEOiIzae-KDknBmd/view?usp=drivesdk")</f>
        <v>https://drive.google.com/file/d/1u2KiampcOcT7G124TEOiIzae-KDknBmd/view?usp=drivesdk</v>
      </c>
      <c r="C1043" s="147" t="str">
        <f>IFERROR(__xludf.DUMMYFUNCTION("""COMPUTED_VALUE"""),"10.1177--0956797609358096.pdf")</f>
        <v>10.1177--0956797609358096.pdf</v>
      </c>
      <c r="D1043" s="147" t="str">
        <f>IFERROR(__xludf.DUMMYFUNCTION("""COMPUTED_VALUE"""),"application/pdf")</f>
        <v>application/pdf</v>
      </c>
    </row>
    <row r="1044">
      <c r="A1044" s="147" t="str">
        <f>IFERROR(__xludf.DUMMYFUNCTION("""COMPUTED_VALUE"""),"10.1177/030631293023002004")</f>
        <v>10.1177/030631293023002004</v>
      </c>
      <c r="B1044" s="453" t="str">
        <f>IFERROR(__xludf.DUMMYFUNCTION("""COMPUTED_VALUE"""),"https://drive.google.com/file/d/1XZ_zxm3xyVj2TD9ZkpEejEYcPp9nIzht/view?usp=drivesdk")</f>
        <v>https://drive.google.com/file/d/1XZ_zxm3xyVj2TD9ZkpEejEYcPp9nIzht/view?usp=drivesdk</v>
      </c>
      <c r="C1044" s="147" t="str">
        <f>IFERROR(__xludf.DUMMYFUNCTION("""COMPUTED_VALUE"""),"10.1177--030631293023002004.pdf")</f>
        <v>10.1177--030631293023002004.pdf</v>
      </c>
      <c r="D1044" s="147" t="str">
        <f>IFERROR(__xludf.DUMMYFUNCTION("""COMPUTED_VALUE"""),"application/pdf")</f>
        <v>application/pdf</v>
      </c>
    </row>
    <row r="1045">
      <c r="A1045" s="147" t="str">
        <f>IFERROR(__xludf.DUMMYFUNCTION("""COMPUTED_VALUE"""),"10.1177/0261927x01020004004")</f>
        <v>10.1177/0261927x01020004004</v>
      </c>
      <c r="B1045" s="453" t="str">
        <f>IFERROR(__xludf.DUMMYFUNCTION("""COMPUTED_VALUE"""),"https://drive.google.com/file/d/1sjdW_JBf7Xvavc-j0ZYGAQkqF_EQI8iP/view?usp=drivesdk")</f>
        <v>https://drive.google.com/file/d/1sjdW_JBf7Xvavc-j0ZYGAQkqF_EQI8iP/view?usp=drivesdk</v>
      </c>
      <c r="C1045" s="147" t="str">
        <f>IFERROR(__xludf.DUMMYFUNCTION("""COMPUTED_VALUE"""),"10.1177--0261927X01020004004.pdf")</f>
        <v>10.1177--0261927X01020004004.pdf</v>
      </c>
      <c r="D1045" s="147" t="str">
        <f>IFERROR(__xludf.DUMMYFUNCTION("""COMPUTED_VALUE"""),"application/pdf")</f>
        <v>application/pdf</v>
      </c>
    </row>
    <row r="1046">
      <c r="A1046" s="147" t="str">
        <f>IFERROR(__xludf.DUMMYFUNCTION("""COMPUTED_VALUE"""),"10.1177/01461672952111004")</f>
        <v>10.1177/01461672952111004</v>
      </c>
      <c r="B1046" s="453" t="str">
        <f>IFERROR(__xludf.DUMMYFUNCTION("""COMPUTED_VALUE"""),"https://drive.google.com/file/d/1DouZu51tYUlHCJt3ED5926-nk58IBtuY/view?usp=drivesdk")</f>
        <v>https://drive.google.com/file/d/1DouZu51tYUlHCJt3ED5926-nk58IBtuY/view?usp=drivesdk</v>
      </c>
      <c r="C1046" s="147" t="str">
        <f>IFERROR(__xludf.DUMMYFUNCTION("""COMPUTED_VALUE"""),"10.1177--01461672952111004.pdf")</f>
        <v>10.1177--01461672952111004.pdf</v>
      </c>
      <c r="D1046" s="147" t="str">
        <f>IFERROR(__xludf.DUMMYFUNCTION("""COMPUTED_VALUE"""),"application/pdf")</f>
        <v>application/pdf</v>
      </c>
    </row>
    <row r="1047">
      <c r="A1047" s="147" t="str">
        <f>IFERROR(__xludf.DUMMYFUNCTION("""COMPUTED_VALUE"""),"10.1177/0146167216684132")</f>
        <v>10.1177/0146167216684132</v>
      </c>
      <c r="B1047" s="453" t="str">
        <f>IFERROR(__xludf.DUMMYFUNCTION("""COMPUTED_VALUE"""),"https://drive.google.com/file/d/1OxFDVNyZI1frRjeq-YzZQaUFqgYur5QQ/view?usp=drivesdk")</f>
        <v>https://drive.google.com/file/d/1OxFDVNyZI1frRjeq-YzZQaUFqgYur5QQ/view?usp=drivesdk</v>
      </c>
      <c r="C1047" s="147" t="str">
        <f>IFERROR(__xludf.DUMMYFUNCTION("""COMPUTED_VALUE"""),"10.1177--0146167216684132.pdf")</f>
        <v>10.1177--0146167216684132.pdf</v>
      </c>
      <c r="D1047" s="147" t="str">
        <f>IFERROR(__xludf.DUMMYFUNCTION("""COMPUTED_VALUE"""),"application/pdf")</f>
        <v>application/pdf</v>
      </c>
    </row>
    <row r="1048">
      <c r="A1048" s="147" t="str">
        <f>IFERROR(__xludf.DUMMYFUNCTION("""COMPUTED_VALUE"""),"10.1177/0146167215610520")</f>
        <v>10.1177/0146167215610520</v>
      </c>
      <c r="B1048" s="453" t="str">
        <f>IFERROR(__xludf.DUMMYFUNCTION("""COMPUTED_VALUE"""),"https://drive.google.com/file/d/1xUlRe3MC-gZV8Zhd6NQNLSAYxUKd-bXT/view?usp=drivesdk")</f>
        <v>https://drive.google.com/file/d/1xUlRe3MC-gZV8Zhd6NQNLSAYxUKd-bXT/view?usp=drivesdk</v>
      </c>
      <c r="C1048" s="147" t="str">
        <f>IFERROR(__xludf.DUMMYFUNCTION("""COMPUTED_VALUE"""),"10.1177--0146167215610520.pdf")</f>
        <v>10.1177--0146167215610520.pdf</v>
      </c>
      <c r="D1048" s="147" t="str">
        <f>IFERROR(__xludf.DUMMYFUNCTION("""COMPUTED_VALUE"""),"application/pdf")</f>
        <v>application/pdf</v>
      </c>
    </row>
    <row r="1049">
      <c r="A1049" s="147" t="str">
        <f>IFERROR(__xludf.DUMMYFUNCTION("""COMPUTED_VALUE"""),"10.1177/0146167215580776")</f>
        <v>10.1177/0146167215580776</v>
      </c>
      <c r="B1049" s="453" t="str">
        <f>IFERROR(__xludf.DUMMYFUNCTION("""COMPUTED_VALUE"""),"https://drive.google.com/file/d/1sQ8SgRlBMbqW6PR-9YQps9sVh-rL9tXw/view?usp=drivesdk")</f>
        <v>https://drive.google.com/file/d/1sQ8SgRlBMbqW6PR-9YQps9sVh-rL9tXw/view?usp=drivesdk</v>
      </c>
      <c r="C1049" s="147" t="str">
        <f>IFERROR(__xludf.DUMMYFUNCTION("""COMPUTED_VALUE"""),"10.1177--0146167215580776.pdf")</f>
        <v>10.1177--0146167215580776.pdf</v>
      </c>
      <c r="D1049" s="147" t="str">
        <f>IFERROR(__xludf.DUMMYFUNCTION("""COMPUTED_VALUE"""),"application/pdf")</f>
        <v>application/pdf</v>
      </c>
    </row>
    <row r="1050">
      <c r="A1050" s="147" t="str">
        <f>IFERROR(__xludf.DUMMYFUNCTION("""COMPUTED_VALUE"""),"10.1177/0146167215572134")</f>
        <v>10.1177/0146167215572134</v>
      </c>
      <c r="B1050" s="453" t="str">
        <f>IFERROR(__xludf.DUMMYFUNCTION("""COMPUTED_VALUE"""),"https://drive.google.com/file/d/1vagLpfu0yJBLs-8Gatz7OEVqAcsptNyV/view?usp=drivesdk")</f>
        <v>https://drive.google.com/file/d/1vagLpfu0yJBLs-8Gatz7OEVqAcsptNyV/view?usp=drivesdk</v>
      </c>
      <c r="C1050" s="147" t="str">
        <f>IFERROR(__xludf.DUMMYFUNCTION("""COMPUTED_VALUE"""),"10.1177--0146167215572134.pdf")</f>
        <v>10.1177--0146167215572134.pdf</v>
      </c>
      <c r="D1050" s="147" t="str">
        <f>IFERROR(__xludf.DUMMYFUNCTION("""COMPUTED_VALUE"""),"application/pdf")</f>
        <v>application/pdf</v>
      </c>
    </row>
    <row r="1051">
      <c r="A1051" s="147" t="str">
        <f>IFERROR(__xludf.DUMMYFUNCTION("""COMPUTED_VALUE"""),"10.1177/0146167214524992")</f>
        <v>10.1177/0146167214524992</v>
      </c>
      <c r="B1051" s="453" t="str">
        <f>IFERROR(__xludf.DUMMYFUNCTION("""COMPUTED_VALUE"""),"https://drive.google.com/file/d/1oAjR8vSHaozIl7e-9ozgY9hFTpEChKb7/view?usp=drivesdk")</f>
        <v>https://drive.google.com/file/d/1oAjR8vSHaozIl7e-9ozgY9hFTpEChKb7/view?usp=drivesdk</v>
      </c>
      <c r="C1051" s="147" t="str">
        <f>IFERROR(__xludf.DUMMYFUNCTION("""COMPUTED_VALUE"""),"10.1177--0146167214524992.pdf")</f>
        <v>10.1177--0146167214524992.pdf</v>
      </c>
      <c r="D1051" s="147" t="str">
        <f>IFERROR(__xludf.DUMMYFUNCTION("""COMPUTED_VALUE"""),"application/pdf")</f>
        <v>application/pdf</v>
      </c>
    </row>
    <row r="1052">
      <c r="A1052" s="147" t="str">
        <f>IFERROR(__xludf.DUMMYFUNCTION("""COMPUTED_VALUE"""),"10.1177/0146167212475225")</f>
        <v>10.1177/0146167212475225</v>
      </c>
      <c r="B1052" s="453" t="str">
        <f>IFERROR(__xludf.DUMMYFUNCTION("""COMPUTED_VALUE"""),"https://drive.google.com/file/d/1xWbz_w1r9P1BGfJ_vctcFlsqK4cuVLq_/view?usp=drivesdk")</f>
        <v>https://drive.google.com/file/d/1xWbz_w1r9P1BGfJ_vctcFlsqK4cuVLq_/view?usp=drivesdk</v>
      </c>
      <c r="C1052" s="147" t="str">
        <f>IFERROR(__xludf.DUMMYFUNCTION("""COMPUTED_VALUE"""),"10.1177--0146167212475225.pdf")</f>
        <v>10.1177--0146167212475225.pdf</v>
      </c>
      <c r="D1052" s="147" t="str">
        <f>IFERROR(__xludf.DUMMYFUNCTION("""COMPUTED_VALUE"""),"application/pdf")</f>
        <v>application/pdf</v>
      </c>
    </row>
    <row r="1053">
      <c r="A1053" s="147" t="str">
        <f>IFERROR(__xludf.DUMMYFUNCTION("""COMPUTED_VALUE"""),"10.1177/0146167210386238")</f>
        <v>10.1177/0146167210386238</v>
      </c>
      <c r="B1053" s="453" t="str">
        <f>IFERROR(__xludf.DUMMYFUNCTION("""COMPUTED_VALUE"""),"https://drive.google.com/file/d/1Np9c8r6_VQUD2BcEZk8o5Cy0BoXVy2Li/view?usp=drivesdk")</f>
        <v>https://drive.google.com/file/d/1Np9c8r6_VQUD2BcEZk8o5Cy0BoXVy2Li/view?usp=drivesdk</v>
      </c>
      <c r="C1053" s="147" t="str">
        <f>IFERROR(__xludf.DUMMYFUNCTION("""COMPUTED_VALUE"""),"10.1177--0146167210386238.pdf")</f>
        <v>10.1177--0146167210386238.pdf</v>
      </c>
      <c r="D1053" s="147" t="str">
        <f>IFERROR(__xludf.DUMMYFUNCTION("""COMPUTED_VALUE"""),"application/pdf")</f>
        <v>application/pdf</v>
      </c>
    </row>
    <row r="1054">
      <c r="A1054" s="147" t="str">
        <f>IFERROR(__xludf.DUMMYFUNCTION("""COMPUTED_VALUE"""),"10.1177/0146167207309195")</f>
        <v>10.1177/0146167207309195</v>
      </c>
      <c r="B1054" s="453" t="str">
        <f>IFERROR(__xludf.DUMMYFUNCTION("""COMPUTED_VALUE"""),"https://drive.google.com/file/d/1Pb_juPmIU_Q7VY9NrSeQKbDclKBuO2i4/view?usp=drivesdk")</f>
        <v>https://drive.google.com/file/d/1Pb_juPmIU_Q7VY9NrSeQKbDclKBuO2i4/view?usp=drivesdk</v>
      </c>
      <c r="C1054" s="147" t="str">
        <f>IFERROR(__xludf.DUMMYFUNCTION("""COMPUTED_VALUE"""),"10.1177--0146167207309195.pdf")</f>
        <v>10.1177--0146167207309195.pdf</v>
      </c>
      <c r="D1054" s="147" t="str">
        <f>IFERROR(__xludf.DUMMYFUNCTION("""COMPUTED_VALUE"""),"application/pdf")</f>
        <v>application/pdf</v>
      </c>
    </row>
    <row r="1055">
      <c r="A1055" s="147" t="str">
        <f>IFERROR(__xludf.DUMMYFUNCTION("""COMPUTED_VALUE"""),"10.1177/0146167202286008")</f>
        <v>10.1177/0146167202286008</v>
      </c>
      <c r="B1055" s="453" t="str">
        <f>IFERROR(__xludf.DUMMYFUNCTION("""COMPUTED_VALUE"""),"https://drive.google.com/file/d/1QqlfpnVgorDgEGsd9xjg9VdSz9ecCVY2/view?usp=drivesdk")</f>
        <v>https://drive.google.com/file/d/1QqlfpnVgorDgEGsd9xjg9VdSz9ecCVY2/view?usp=drivesdk</v>
      </c>
      <c r="C1055" s="147" t="str">
        <f>IFERROR(__xludf.DUMMYFUNCTION("""COMPUTED_VALUE"""),"10.1177--0146167202286008.pdf")</f>
        <v>10.1177--0146167202286008.pdf</v>
      </c>
      <c r="D1055" s="147" t="str">
        <f>IFERROR(__xludf.DUMMYFUNCTION("""COMPUTED_VALUE"""),"application/pdf")</f>
        <v>application/pdf</v>
      </c>
    </row>
    <row r="1056">
      <c r="A1056" s="147" t="str">
        <f>IFERROR(__xludf.DUMMYFUNCTION("""COMPUTED_VALUE"""),"10.1177/0098628315603065")</f>
        <v>10.1177/0098628315603065</v>
      </c>
      <c r="B1056" s="453" t="str">
        <f>IFERROR(__xludf.DUMMYFUNCTION("""COMPUTED_VALUE"""),"https://drive.google.com/file/d/10yaA-7vTch8W8oJSHYpgVkbEg8z8BPSk/view?usp=drivesdk")</f>
        <v>https://drive.google.com/file/d/10yaA-7vTch8W8oJSHYpgVkbEg8z8BPSk/view?usp=drivesdk</v>
      </c>
      <c r="C1056" s="147" t="str">
        <f>IFERROR(__xludf.DUMMYFUNCTION("""COMPUTED_VALUE"""),"10.1177--0098628315603065.pdf")</f>
        <v>10.1177--0098628315603065.pdf</v>
      </c>
      <c r="D1056" s="147" t="str">
        <f>IFERROR(__xludf.DUMMYFUNCTION("""COMPUTED_VALUE"""),"application/pdf")</f>
        <v>application/pdf</v>
      </c>
    </row>
    <row r="1057">
      <c r="A1057" s="147" t="str">
        <f>IFERROR(__xludf.DUMMYFUNCTION("""COMPUTED_VALUE"""),"10.1080/23273798.2020.1849749")</f>
        <v>10.1080/23273798.2020.1849749</v>
      </c>
      <c r="B1057" s="453" t="str">
        <f>IFERROR(__xludf.DUMMYFUNCTION("""COMPUTED_VALUE"""),"https://drive.google.com/file/d/1fMzA4P_bUgXzmkzRN_fCqo-PtYtnqv2j/view?usp=drivesdk")</f>
        <v>https://drive.google.com/file/d/1fMzA4P_bUgXzmkzRN_fCqo-PtYtnqv2j/view?usp=drivesdk</v>
      </c>
      <c r="C1057" s="147" t="str">
        <f>IFERROR(__xludf.DUMMYFUNCTION("""COMPUTED_VALUE"""),"10.1080--23273798.2020.1849749.pdf")</f>
        <v>10.1080--23273798.2020.1849749.pdf</v>
      </c>
      <c r="D1057" s="147" t="str">
        <f>IFERROR(__xludf.DUMMYFUNCTION("""COMPUTED_VALUE"""),"application/pdf")</f>
        <v>application/pdf</v>
      </c>
    </row>
    <row r="1058">
      <c r="A1058" s="147" t="str">
        <f>IFERROR(__xludf.DUMMYFUNCTION("""COMPUTED_VALUE"""),"10.1080/23273798.2018.1431397")</f>
        <v>10.1080/23273798.2018.1431397</v>
      </c>
      <c r="B1058" s="453" t="str">
        <f>IFERROR(__xludf.DUMMYFUNCTION("""COMPUTED_VALUE"""),"https://drive.google.com/file/d/1quS4MAYvEPtehwNPw-pIZVscM1NFoUOj/view?usp=drivesdk")</f>
        <v>https://drive.google.com/file/d/1quS4MAYvEPtehwNPw-pIZVscM1NFoUOj/view?usp=drivesdk</v>
      </c>
      <c r="C1058" s="147" t="str">
        <f>IFERROR(__xludf.DUMMYFUNCTION("""COMPUTED_VALUE"""),"10.1080--23273798.2018.1431397.pdf")</f>
        <v>10.1080--23273798.2018.1431397.pdf</v>
      </c>
      <c r="D1058" s="147" t="str">
        <f>IFERROR(__xludf.DUMMYFUNCTION("""COMPUTED_VALUE"""),"application/pdf")</f>
        <v>application/pdf</v>
      </c>
    </row>
    <row r="1059">
      <c r="A1059" s="147" t="str">
        <f>IFERROR(__xludf.DUMMYFUNCTION("""COMPUTED_VALUE"""),"10.1080/17470215908416289")</f>
        <v>10.1080/17470215908416289</v>
      </c>
      <c r="B1059" s="453" t="str">
        <f>IFERROR(__xludf.DUMMYFUNCTION("""COMPUTED_VALUE"""),"https://drive.google.com/file/d/1-2z3-hJuh_EWL-Ayget2LVe3OiM0cWJb/view?usp=drivesdk")</f>
        <v>https://drive.google.com/file/d/1-2z3-hJuh_EWL-Ayget2LVe3OiM0cWJb/view?usp=drivesdk</v>
      </c>
      <c r="C1059" s="147" t="str">
        <f>IFERROR(__xludf.DUMMYFUNCTION("""COMPUTED_VALUE"""),"10.1080--17470215908416289.pdf")</f>
        <v>10.1080--17470215908416289.pdf</v>
      </c>
      <c r="D1059" s="147" t="str">
        <f>IFERROR(__xludf.DUMMYFUNCTION("""COMPUTED_VALUE"""),"application/pdf")</f>
        <v>application/pdf</v>
      </c>
    </row>
    <row r="1060">
      <c r="A1060" s="147" t="str">
        <f>IFERROR(__xludf.DUMMYFUNCTION("""COMPUTED_VALUE"""),"10.1080/15298868.2019.1609574")</f>
        <v>10.1080/15298868.2019.1609574</v>
      </c>
      <c r="B1060" s="453" t="str">
        <f>IFERROR(__xludf.DUMMYFUNCTION("""COMPUTED_VALUE"""),"https://drive.google.com/file/d/1OhDDQNwvw1HPW_6EQklkNmTPpV2B15Ud/view?usp=drivesdk")</f>
        <v>https://drive.google.com/file/d/1OhDDQNwvw1HPW_6EQklkNmTPpV2B15Ud/view?usp=drivesdk</v>
      </c>
      <c r="C1060" s="147" t="str">
        <f>IFERROR(__xludf.DUMMYFUNCTION("""COMPUTED_VALUE"""),"10.1080--15298868.2019.1609574.pdf")</f>
        <v>10.1080--15298868.2019.1609574.pdf</v>
      </c>
      <c r="D1060" s="147" t="str">
        <f>IFERROR(__xludf.DUMMYFUNCTION("""COMPUTED_VALUE"""),"application/pdf")</f>
        <v>application/pdf</v>
      </c>
    </row>
    <row r="1061">
      <c r="A1061" s="147" t="str">
        <f>IFERROR(__xludf.DUMMYFUNCTION("""COMPUTED_VALUE"""),"10.1080/15298860500338534")</f>
        <v>10.1080/15298860500338534</v>
      </c>
      <c r="B1061" s="453" t="str">
        <f>IFERROR(__xludf.DUMMYFUNCTION("""COMPUTED_VALUE"""),"https://drive.google.com/file/d/1WyB_fPDsqRLw_BnSdCM6uoyFG1SH2iMA/view?usp=drivesdk")</f>
        <v>https://drive.google.com/file/d/1WyB_fPDsqRLw_BnSdCM6uoyFG1SH2iMA/view?usp=drivesdk</v>
      </c>
      <c r="C1061" s="147" t="str">
        <f>IFERROR(__xludf.DUMMYFUNCTION("""COMPUTED_VALUE"""),"10.1080--15298860500338534.pdf")</f>
        <v>10.1080--15298860500338534.pdf</v>
      </c>
      <c r="D1061" s="147" t="str">
        <f>IFERROR(__xludf.DUMMYFUNCTION("""COMPUTED_VALUE"""),"application/pdf")</f>
        <v>application/pdf</v>
      </c>
    </row>
    <row r="1062">
      <c r="A1062" s="147" t="str">
        <f>IFERROR(__xludf.DUMMYFUNCTION("""COMPUTED_VALUE"""),"10.1080/13869790600641905")</f>
        <v>10.1080/13869790600641905</v>
      </c>
      <c r="B1062" s="453" t="str">
        <f>IFERROR(__xludf.DUMMYFUNCTION("""COMPUTED_VALUE"""),"https://drive.google.com/file/d/1Y8W4Pu0XmqnQ5lA-X7ANKZNlSBzl4UGP/view?usp=drivesdk")</f>
        <v>https://drive.google.com/file/d/1Y8W4Pu0XmqnQ5lA-X7ANKZNlSBzl4UGP/view?usp=drivesdk</v>
      </c>
      <c r="C1062" s="147" t="str">
        <f>IFERROR(__xludf.DUMMYFUNCTION("""COMPUTED_VALUE"""),"10.1080--13869790600641905.pdf")</f>
        <v>10.1080--13869790600641905.pdf</v>
      </c>
      <c r="D1062" s="147" t="str">
        <f>IFERROR(__xludf.DUMMYFUNCTION("""COMPUTED_VALUE"""),"application/pdf")</f>
        <v>application/pdf</v>
      </c>
    </row>
    <row r="1063">
      <c r="A1063" s="147" t="str">
        <f>IFERROR(__xludf.DUMMYFUNCTION("""COMPUTED_VALUE"""),"10.1080/13576500500513565")</f>
        <v>10.1080/13576500500513565</v>
      </c>
      <c r="B1063" s="453" t="str">
        <f>IFERROR(__xludf.DUMMYFUNCTION("""COMPUTED_VALUE"""),"https://drive.google.com/file/d/1fLF2Mzhldev10C0y_NhzgQRy11WYOzxV/view?usp=drivesdk")</f>
        <v>https://drive.google.com/file/d/1fLF2Mzhldev10C0y_NhzgQRy11WYOzxV/view?usp=drivesdk</v>
      </c>
      <c r="C1063" s="147" t="str">
        <f>IFERROR(__xludf.DUMMYFUNCTION("""COMPUTED_VALUE"""),"10.1080--13576500500513565.pdf")</f>
        <v>10.1080--13576500500513565.pdf</v>
      </c>
      <c r="D1063" s="147" t="str">
        <f>IFERROR(__xludf.DUMMYFUNCTION("""COMPUTED_VALUE"""),"application/pdf")</f>
        <v>application/pdf</v>
      </c>
    </row>
    <row r="1064">
      <c r="A1064" s="147" t="str">
        <f>IFERROR(__xludf.DUMMYFUNCTION("""COMPUTED_VALUE"""),"10.1080/13506280544000110")</f>
        <v>10.1080/13506280544000110</v>
      </c>
      <c r="B1064" s="453" t="str">
        <f>IFERROR(__xludf.DUMMYFUNCTION("""COMPUTED_VALUE"""),"https://drive.google.com/file/d/16TMWmx3oUBzr8RckTX2nq_oNoNlOcVY5/view?usp=drivesdk")</f>
        <v>https://drive.google.com/file/d/16TMWmx3oUBzr8RckTX2nq_oNoNlOcVY5/view?usp=drivesdk</v>
      </c>
      <c r="C1064" s="147" t="str">
        <f>IFERROR(__xludf.DUMMYFUNCTION("""COMPUTED_VALUE"""),"10.1080--13506280544000110.pdf")</f>
        <v>10.1080--13506280544000110.pdf</v>
      </c>
      <c r="D1064" s="147" t="str">
        <f>IFERROR(__xludf.DUMMYFUNCTION("""COMPUTED_VALUE"""),"application/pdf")</f>
        <v>application/pdf</v>
      </c>
    </row>
    <row r="1065">
      <c r="A1065" s="147" t="str">
        <f>IFERROR(__xludf.DUMMYFUNCTION("""COMPUTED_VALUE"""),"10.1080/13523260.2020.1868836")</f>
        <v>10.1080/13523260.2020.1868836</v>
      </c>
      <c r="B1065" s="453" t="str">
        <f>IFERROR(__xludf.DUMMYFUNCTION("""COMPUTED_VALUE"""),"https://drive.google.com/file/d/1KC4plXYkIWysGPnao4Tklulvzel2Da4l/view?usp=drivesdk")</f>
        <v>https://drive.google.com/file/d/1KC4plXYkIWysGPnao4Tklulvzel2Da4l/view?usp=drivesdk</v>
      </c>
      <c r="C1065" s="147" t="str">
        <f>IFERROR(__xludf.DUMMYFUNCTION("""COMPUTED_VALUE"""),"10.1080--13523260.2020.1868836.pdf")</f>
        <v>10.1080--13523260.2020.1868836.pdf</v>
      </c>
      <c r="D1065" s="147" t="str">
        <f>IFERROR(__xludf.DUMMYFUNCTION("""COMPUTED_VALUE"""),"application/pdf")</f>
        <v>application/pdf</v>
      </c>
    </row>
    <row r="1066">
      <c r="A1066" s="147" t="str">
        <f>IFERROR(__xludf.DUMMYFUNCTION("""COMPUTED_VALUE"""),"10.1080/10503307.2020.1871524")</f>
        <v>10.1080/10503307.2020.1871524</v>
      </c>
      <c r="B1066" s="453" t="str">
        <f>IFERROR(__xludf.DUMMYFUNCTION("""COMPUTED_VALUE"""),"https://drive.google.com/file/d/18x2vGr9C5TmbBPxVJPLb9glWPl6R3fRW/view?usp=drivesdk")</f>
        <v>https://drive.google.com/file/d/18x2vGr9C5TmbBPxVJPLb9glWPl6R3fRW/view?usp=drivesdk</v>
      </c>
      <c r="C1066" s="147" t="str">
        <f>IFERROR(__xludf.DUMMYFUNCTION("""COMPUTED_VALUE"""),"10.1080--10503307.2020.1871524.pdf")</f>
        <v>10.1080--10503307.2020.1871524.pdf</v>
      </c>
      <c r="D1066" s="147" t="str">
        <f>IFERROR(__xludf.DUMMYFUNCTION("""COMPUTED_VALUE"""),"application/pdf")</f>
        <v>application/pdf</v>
      </c>
    </row>
    <row r="1067">
      <c r="A1067" s="147" t="str">
        <f>IFERROR(__xludf.DUMMYFUNCTION("""COMPUTED_VALUE"""),"10.1080/09515089.2014.894431")</f>
        <v>10.1080/09515089.2014.894431</v>
      </c>
      <c r="B1067" s="453" t="str">
        <f>IFERROR(__xludf.DUMMYFUNCTION("""COMPUTED_VALUE"""),"https://drive.google.com/file/d/1zG4Fc_IEv6joOTyPj0JeBdLMNt-6vqsC/view?usp=drivesdk")</f>
        <v>https://drive.google.com/file/d/1zG4Fc_IEv6joOTyPj0JeBdLMNt-6vqsC/view?usp=drivesdk</v>
      </c>
      <c r="C1067" s="147" t="str">
        <f>IFERROR(__xludf.DUMMYFUNCTION("""COMPUTED_VALUE"""),"10.1080--09515089.2014.894431.pdf")</f>
        <v>10.1080--09515089.2014.894431.pdf</v>
      </c>
      <c r="D1067" s="147" t="str">
        <f>IFERROR(__xludf.DUMMYFUNCTION("""COMPUTED_VALUE"""),"application/pdf")</f>
        <v>application/pdf</v>
      </c>
    </row>
    <row r="1068">
      <c r="A1068" s="147" t="str">
        <f>IFERROR(__xludf.DUMMYFUNCTION("""COMPUTED_VALUE"""),"10.1080/09515080903532290")</f>
        <v>10.1080/09515080903532290</v>
      </c>
      <c r="B1068" s="453" t="str">
        <f>IFERROR(__xludf.DUMMYFUNCTION("""COMPUTED_VALUE"""),"https://drive.google.com/file/d/1V4dif0GlZHpTSBPr0wrGGqKPzj36JjUm/view?usp=drivesdk")</f>
        <v>https://drive.google.com/file/d/1V4dif0GlZHpTSBPr0wrGGqKPzj36JjUm/view?usp=drivesdk</v>
      </c>
      <c r="C1068" s="147" t="str">
        <f>IFERROR(__xludf.DUMMYFUNCTION("""COMPUTED_VALUE"""),"10.1080--09515080903532290.pdf")</f>
        <v>10.1080--09515080903532290.pdf</v>
      </c>
      <c r="D1068" s="147" t="str">
        <f>IFERROR(__xludf.DUMMYFUNCTION("""COMPUTED_VALUE"""),"application/pdf")</f>
        <v>application/pdf</v>
      </c>
    </row>
    <row r="1069">
      <c r="A1069" s="147" t="str">
        <f>IFERROR(__xludf.DUMMYFUNCTION("""COMPUTED_VALUE"""),"10.1080/09515080902802769")</f>
        <v>10.1080/09515080902802769</v>
      </c>
      <c r="B1069" s="453" t="str">
        <f>IFERROR(__xludf.DUMMYFUNCTION("""COMPUTED_VALUE"""),"https://drive.google.com/file/d/1FBVDq-txued5VjX89SxjAxiqVp_WzRYr/view?usp=drivesdk")</f>
        <v>https://drive.google.com/file/d/1FBVDq-txued5VjX89SxjAxiqVp_WzRYr/view?usp=drivesdk</v>
      </c>
      <c r="C1069" s="147" t="str">
        <f>IFERROR(__xludf.DUMMYFUNCTION("""COMPUTED_VALUE"""),"10.1080--09515080902802769.pdf")</f>
        <v>10.1080--09515080902802769.pdf</v>
      </c>
      <c r="D1069" s="147" t="str">
        <f>IFERROR(__xludf.DUMMYFUNCTION("""COMPUTED_VALUE"""),"application/pdf")</f>
        <v>application/pdf</v>
      </c>
    </row>
    <row r="1070">
      <c r="A1070" s="147" t="str">
        <f>IFERROR(__xludf.DUMMYFUNCTION("""COMPUTED_VALUE"""),"10.1080/09515080801978777")</f>
        <v>10.1080/09515080801978777</v>
      </c>
      <c r="B1070" s="453" t="str">
        <f>IFERROR(__xludf.DUMMYFUNCTION("""COMPUTED_VALUE"""),"https://drive.google.com/file/d/1G4gv0ySakjef__T9l4MU6vM4mSqIKpQf/view?usp=drivesdk")</f>
        <v>https://drive.google.com/file/d/1G4gv0ySakjef__T9l4MU6vM4mSqIKpQf/view?usp=drivesdk</v>
      </c>
      <c r="C1070" s="147" t="str">
        <f>IFERROR(__xludf.DUMMYFUNCTION("""COMPUTED_VALUE"""),"10.1080--09515080801978777.pdf")</f>
        <v>10.1080--09515080801978777.pdf</v>
      </c>
      <c r="D1070" s="147" t="str">
        <f>IFERROR(__xludf.DUMMYFUNCTION("""COMPUTED_VALUE"""),"application/pdf")</f>
        <v>application/pdf</v>
      </c>
    </row>
    <row r="1071">
      <c r="A1071" s="147" t="str">
        <f>IFERROR(__xludf.DUMMYFUNCTION("""COMPUTED_VALUE"""),"10.1080/09515080500355236")</f>
        <v>10.1080/09515080500355236</v>
      </c>
      <c r="B1071" s="453" t="str">
        <f>IFERROR(__xludf.DUMMYFUNCTION("""COMPUTED_VALUE"""),"https://drive.google.com/file/d/1Dc0I6mdR5VNlZdfy9Q6SxLCujdERpq1s/view?usp=drivesdk")</f>
        <v>https://drive.google.com/file/d/1Dc0I6mdR5VNlZdfy9Q6SxLCujdERpq1s/view?usp=drivesdk</v>
      </c>
      <c r="C1071" s="147" t="str">
        <f>IFERROR(__xludf.DUMMYFUNCTION("""COMPUTED_VALUE"""),"10.1080--09515080500355236.pdf")</f>
        <v>10.1080--09515080500355236.pdf</v>
      </c>
      <c r="D1071" s="147" t="str">
        <f>IFERROR(__xludf.DUMMYFUNCTION("""COMPUTED_VALUE"""),"application/pdf")</f>
        <v>application/pdf</v>
      </c>
    </row>
    <row r="1072">
      <c r="A1072" s="147" t="str">
        <f>IFERROR(__xludf.DUMMYFUNCTION("""COMPUTED_VALUE"""),"10.1080/09515080500264180")</f>
        <v>10.1080/09515080500264180</v>
      </c>
      <c r="B1072" s="453" t="str">
        <f>IFERROR(__xludf.DUMMYFUNCTION("""COMPUTED_VALUE"""),"https://drive.google.com/file/d/1yWq9VA17bviusA1-gmEWYWL7w6FHKyMI/view?usp=drivesdk")</f>
        <v>https://drive.google.com/file/d/1yWq9VA17bviusA1-gmEWYWL7w6FHKyMI/view?usp=drivesdk</v>
      </c>
      <c r="C1072" s="147" t="str">
        <f>IFERROR(__xludf.DUMMYFUNCTION("""COMPUTED_VALUE"""),"10.1080--09515080500264180.pdf")</f>
        <v>10.1080--09515080500264180.pdf</v>
      </c>
      <c r="D1072" s="147" t="str">
        <f>IFERROR(__xludf.DUMMYFUNCTION("""COMPUTED_VALUE"""),"application/pdf")</f>
        <v>application/pdf</v>
      </c>
    </row>
    <row r="1073">
      <c r="A1073" s="147" t="str">
        <f>IFERROR(__xludf.DUMMYFUNCTION("""COMPUTED_VALUE"""),"10.1080/0951508042000202354")</f>
        <v>10.1080/0951508042000202354</v>
      </c>
      <c r="B1073" s="453" t="str">
        <f>IFERROR(__xludf.DUMMYFUNCTION("""COMPUTED_VALUE"""),"https://drive.google.com/file/d/1kCe7dne_GNfNSHLYlAzOzBcQn9yFuOr2/view?usp=drivesdk")</f>
        <v>https://drive.google.com/file/d/1kCe7dne_GNfNSHLYlAzOzBcQn9yFuOr2/view?usp=drivesdk</v>
      </c>
      <c r="C1073" s="147" t="str">
        <f>IFERROR(__xludf.DUMMYFUNCTION("""COMPUTED_VALUE"""),"10.1080--0951508042000202354.pdf")</f>
        <v>10.1080--0951508042000202354.pdf</v>
      </c>
      <c r="D1073" s="147" t="str">
        <f>IFERROR(__xludf.DUMMYFUNCTION("""COMPUTED_VALUE"""),"application/pdf")</f>
        <v>application/pdf</v>
      </c>
    </row>
    <row r="1074">
      <c r="A1074" s="147" t="str">
        <f>IFERROR(__xludf.DUMMYFUNCTION("""COMPUTED_VALUE"""),"10.1080/09515080500177309")</f>
        <v>10.1080/09515080500177309</v>
      </c>
      <c r="B1074" s="453" t="str">
        <f>IFERROR(__xludf.DUMMYFUNCTION("""COMPUTED_VALUE"""),"https://drive.google.com/file/d/1wEFZG_VXnD2cJrOMtVKNCAqucbV5WQV9/view?usp=drivesdk")</f>
        <v>https://drive.google.com/file/d/1wEFZG_VXnD2cJrOMtVKNCAqucbV5WQV9/view?usp=drivesdk</v>
      </c>
      <c r="C1074" s="147" t="str">
        <f>IFERROR(__xludf.DUMMYFUNCTION("""COMPUTED_VALUE"""),"10.1080--09515080500177309.pdf")</f>
        <v>10.1080--09515080500177309.pdf</v>
      </c>
      <c r="D1074" s="147" t="str">
        <f>IFERROR(__xludf.DUMMYFUNCTION("""COMPUTED_VALUE"""),"application/pdf")</f>
        <v>application/pdf</v>
      </c>
    </row>
    <row r="1075">
      <c r="A1075" s="147" t="str">
        <f>IFERROR(__xludf.DUMMYFUNCTION("""COMPUTED_VALUE"""),"10.1080/09515080307771")</f>
        <v>10.1080/09515080307771</v>
      </c>
      <c r="B1075" s="453" t="str">
        <f>IFERROR(__xludf.DUMMYFUNCTION("""COMPUTED_VALUE"""),"https://drive.google.com/file/d/1NZ8v6491Ny_LbUh8osKtj88hF7RAiobW/view?usp=drivesdk")</f>
        <v>https://drive.google.com/file/d/1NZ8v6491Ny_LbUh8osKtj88hF7RAiobW/view?usp=drivesdk</v>
      </c>
      <c r="C1075" s="147" t="str">
        <f>IFERROR(__xludf.DUMMYFUNCTION("""COMPUTED_VALUE"""),"10.1080--09515080307771.pdf")</f>
        <v>10.1080--09515080307771.pdf</v>
      </c>
      <c r="D1075" s="147" t="str">
        <f>IFERROR(__xludf.DUMMYFUNCTION("""COMPUTED_VALUE"""),"application/pdf")</f>
        <v>application/pdf</v>
      </c>
    </row>
    <row r="1076">
      <c r="A1076" s="147" t="str">
        <f>IFERROR(__xludf.DUMMYFUNCTION("""COMPUTED_VALUE"""),"10.1080/08824096.2018.1525347")</f>
        <v>10.1080/08824096.2018.1525347</v>
      </c>
      <c r="B1076" s="453" t="str">
        <f>IFERROR(__xludf.DUMMYFUNCTION("""COMPUTED_VALUE"""),"https://drive.google.com/file/d/1bo9aASmCjIsAeU5__CNxEyKU60JbH_Oz/view?usp=drivesdk")</f>
        <v>https://drive.google.com/file/d/1bo9aASmCjIsAeU5__CNxEyKU60JbH_Oz/view?usp=drivesdk</v>
      </c>
      <c r="C1076" s="147" t="str">
        <f>IFERROR(__xludf.DUMMYFUNCTION("""COMPUTED_VALUE"""),"10.1080--08824096.2018.1525347.pdf")</f>
        <v>10.1080--08824096.2018.1525347.pdf</v>
      </c>
      <c r="D1076" s="147" t="str">
        <f>IFERROR(__xludf.DUMMYFUNCTION("""COMPUTED_VALUE"""),"application/pdf")</f>
        <v>application/pdf</v>
      </c>
    </row>
    <row r="1077">
      <c r="A1077" s="147" t="str">
        <f>IFERROR(__xludf.DUMMYFUNCTION("""COMPUTED_VALUE"""),"10.1080/08911762.2012.744123")</f>
        <v>10.1080/08911762.2012.744123</v>
      </c>
      <c r="B1077" s="453" t="str">
        <f>IFERROR(__xludf.DUMMYFUNCTION("""COMPUTED_VALUE"""),"https://drive.google.com/file/d/1l_wx_FSiuvPt3DtbfXQuVLlkNpKxxEUQ/view?usp=drivesdk")</f>
        <v>https://drive.google.com/file/d/1l_wx_FSiuvPt3DtbfXQuVLlkNpKxxEUQ/view?usp=drivesdk</v>
      </c>
      <c r="C1077" s="147" t="str">
        <f>IFERROR(__xludf.DUMMYFUNCTION("""COMPUTED_VALUE"""),"10.1080--08911762.2012.744123.pdf")</f>
        <v>10.1080--08911762.2012.744123.pdf</v>
      </c>
      <c r="D1077" s="147" t="str">
        <f>IFERROR(__xludf.DUMMYFUNCTION("""COMPUTED_VALUE"""),"application/pdf")</f>
        <v>application/pdf</v>
      </c>
    </row>
    <row r="1078">
      <c r="A1078" s="147" t="str">
        <f>IFERROR(__xludf.DUMMYFUNCTION("""COMPUTED_VALUE"""),"10.1080/00224545.2016.1270892")</f>
        <v>10.1080/00224545.2016.1270892</v>
      </c>
      <c r="B1078" s="453" t="str">
        <f>IFERROR(__xludf.DUMMYFUNCTION("""COMPUTED_VALUE"""),"https://drive.google.com/file/d/1UZf-WWxr567_733TRlppgx3RgvA55ffu/view?usp=drivesdk")</f>
        <v>https://drive.google.com/file/d/1UZf-WWxr567_733TRlppgx3RgvA55ffu/view?usp=drivesdk</v>
      </c>
      <c r="C1078" s="147" t="str">
        <f>IFERROR(__xludf.DUMMYFUNCTION("""COMPUTED_VALUE"""),"10.1080--00224545.2016.1270892.pdf")</f>
        <v>10.1080--00224545.2016.1270892.pdf</v>
      </c>
      <c r="D1078" s="147" t="str">
        <f>IFERROR(__xludf.DUMMYFUNCTION("""COMPUTED_VALUE"""),"application/pdf")</f>
        <v>application/pdf</v>
      </c>
    </row>
    <row r="1079">
      <c r="A1079" s="147" t="str">
        <f>IFERROR(__xludf.DUMMYFUNCTION("""COMPUTED_VALUE"""),"10.1080/00224545.1936.9919891")</f>
        <v>10.1080/00224545.1936.9919891</v>
      </c>
      <c r="B1079" s="453" t="str">
        <f>IFERROR(__xludf.DUMMYFUNCTION("""COMPUTED_VALUE"""),"https://drive.google.com/file/d/1kSBFgzp6OROkewjCtlxP2vg6PFLhL9xO/view?usp=drivesdk")</f>
        <v>https://drive.google.com/file/d/1kSBFgzp6OROkewjCtlxP2vg6PFLhL9xO/view?usp=drivesdk</v>
      </c>
      <c r="C1079" s="147" t="str">
        <f>IFERROR(__xludf.DUMMYFUNCTION("""COMPUTED_VALUE"""),"10.1080--00224545.1936.9919891.pdf")</f>
        <v>10.1080--00224545.1936.9919891.pdf</v>
      </c>
      <c r="D1079" s="147" t="str">
        <f>IFERROR(__xludf.DUMMYFUNCTION("""COMPUTED_VALUE"""),"application/pdf")</f>
        <v>application/pdf</v>
      </c>
    </row>
    <row r="1080">
      <c r="A1080" s="147" t="str">
        <f>IFERROR(__xludf.DUMMYFUNCTION("""COMPUTED_VALUE"""),"10.1080/00223891.2018.1489258")</f>
        <v>10.1080/00223891.2018.1489258</v>
      </c>
      <c r="B1080" s="453" t="str">
        <f>IFERROR(__xludf.DUMMYFUNCTION("""COMPUTED_VALUE"""),"https://drive.google.com/file/d/1fUG2ettSKcRAWZvEYcWP5AQXnj7UBOUs/view?usp=drivesdk")</f>
        <v>https://drive.google.com/file/d/1fUG2ettSKcRAWZvEYcWP5AQXnj7UBOUs/view?usp=drivesdk</v>
      </c>
      <c r="C1080" s="147" t="str">
        <f>IFERROR(__xludf.DUMMYFUNCTION("""COMPUTED_VALUE"""),"10.1080--00223891.2018.1489258.pdf")</f>
        <v>10.1080--00223891.2018.1489258.pdf</v>
      </c>
      <c r="D1080" s="147" t="str">
        <f>IFERROR(__xludf.DUMMYFUNCTION("""COMPUTED_VALUE"""),"application/pdf")</f>
        <v>application/pdf</v>
      </c>
    </row>
    <row r="1081">
      <c r="A1081" s="147" t="str">
        <f>IFERROR(__xludf.DUMMYFUNCTION("""COMPUTED_VALUE"""),"10.1080/00140136308930679")</f>
        <v>10.1080/00140136308930679</v>
      </c>
      <c r="B1081" s="453" t="str">
        <f>IFERROR(__xludf.DUMMYFUNCTION("""COMPUTED_VALUE"""),"https://drive.google.com/file/d/14_zGf2VGJvPhKygjEvbM1ARE5XCCkEub/view?usp=drivesdk")</f>
        <v>https://drive.google.com/file/d/14_zGf2VGJvPhKygjEvbM1ARE5XCCkEub/view?usp=drivesdk</v>
      </c>
      <c r="C1081" s="147" t="str">
        <f>IFERROR(__xludf.DUMMYFUNCTION("""COMPUTED_VALUE"""),"10.1080--00140136308930679.pdf")</f>
        <v>10.1080--00140136308930679.pdf</v>
      </c>
      <c r="D1081" s="147" t="str">
        <f>IFERROR(__xludf.DUMMYFUNCTION("""COMPUTED_VALUE"""),"application/pdf")</f>
        <v>application/pdf</v>
      </c>
    </row>
    <row r="1082">
      <c r="A1082" s="147" t="str">
        <f>IFERROR(__xludf.DUMMYFUNCTION("""COMPUTED_VALUE"""),"10.1073/pnas.2014505117")</f>
        <v>10.1073/pnas.2014505117</v>
      </c>
      <c r="B1082" s="453" t="str">
        <f>IFERROR(__xludf.DUMMYFUNCTION("""COMPUTED_VALUE"""),"https://drive.google.com/file/d/1OSEYoq50TRvyqkjozHLp1CtvXHG-6rLL/view?usp=drivesdk")</f>
        <v>https://drive.google.com/file/d/1OSEYoq50TRvyqkjozHLp1CtvXHG-6rLL/view?usp=drivesdk</v>
      </c>
      <c r="C1082" s="147" t="str">
        <f>IFERROR(__xludf.DUMMYFUNCTION("""COMPUTED_VALUE"""),"10.1073--pnas.2014505117.pdf")</f>
        <v>10.1073--pnas.2014505117.pdf</v>
      </c>
      <c r="D1082" s="147" t="str">
        <f>IFERROR(__xludf.DUMMYFUNCTION("""COMPUTED_VALUE"""),"application/pdf")</f>
        <v>application/pdf</v>
      </c>
    </row>
    <row r="1083">
      <c r="A1083" s="147" t="str">
        <f>IFERROR(__xludf.DUMMYFUNCTION("""COMPUTED_VALUE"""),"10.1073/pnas.2009030117")</f>
        <v>10.1073/pnas.2009030117</v>
      </c>
      <c r="B1083" s="453" t="str">
        <f>IFERROR(__xludf.DUMMYFUNCTION("""COMPUTED_VALUE"""),"https://drive.google.com/file/d/133wAd9ADUXthw033LGhcEhvxSj0cXryx/view?usp=drivesdk")</f>
        <v>https://drive.google.com/file/d/133wAd9ADUXthw033LGhcEhvxSj0cXryx/view?usp=drivesdk</v>
      </c>
      <c r="C1083" s="147" t="str">
        <f>IFERROR(__xludf.DUMMYFUNCTION("""COMPUTED_VALUE"""),"10.1073--pnas.2009030117.pdf")</f>
        <v>10.1073--pnas.2009030117.pdf</v>
      </c>
      <c r="D1083" s="147" t="str">
        <f>IFERROR(__xludf.DUMMYFUNCTION("""COMPUTED_VALUE"""),"application/pdf")</f>
        <v>application/pdf</v>
      </c>
    </row>
    <row r="1084">
      <c r="A1084" s="147" t="str">
        <f>IFERROR(__xludf.DUMMYFUNCTION("""COMPUTED_VALUE"""),"10.1073/pnas.1601135113")</f>
        <v>10.1073/pnas.1601135113</v>
      </c>
      <c r="B1084" s="453" t="str">
        <f>IFERROR(__xludf.DUMMYFUNCTION("""COMPUTED_VALUE"""),"https://drive.google.com/file/d/1wMURwXZnZSgj-yjJ9sraJzrfcHDhvQ8j/view?usp=drivesdk")</f>
        <v>https://drive.google.com/file/d/1wMURwXZnZSgj-yjJ9sraJzrfcHDhvQ8j/view?usp=drivesdk</v>
      </c>
      <c r="C1084" s="147" t="str">
        <f>IFERROR(__xludf.DUMMYFUNCTION("""COMPUTED_VALUE"""),"10.1073--pnas.1601135113.pdf")</f>
        <v>10.1073--pnas.1601135113.pdf</v>
      </c>
      <c r="D1084" s="147" t="str">
        <f>IFERROR(__xludf.DUMMYFUNCTION("""COMPUTED_VALUE"""),"application/pdf")</f>
        <v>application/pdf</v>
      </c>
    </row>
    <row r="1085">
      <c r="A1085" s="147" t="str">
        <f>IFERROR(__xludf.DUMMYFUNCTION("""COMPUTED_VALUE"""),"10.1073/pnas.1511269112")</f>
        <v>10.1073/pnas.1511269112</v>
      </c>
      <c r="B1085" s="453" t="str">
        <f>IFERROR(__xludf.DUMMYFUNCTION("""COMPUTED_VALUE"""),"https://drive.google.com/file/d/1IgwbpOWDDLlv9t0P-r2yZY_l_ViqGTuz/view?usp=drivesdk")</f>
        <v>https://drive.google.com/file/d/1IgwbpOWDDLlv9t0P-r2yZY_l_ViqGTuz/view?usp=drivesdk</v>
      </c>
      <c r="C1085" s="147" t="str">
        <f>IFERROR(__xludf.DUMMYFUNCTION("""COMPUTED_VALUE"""),"10.1073--pnas.1511269112.pdf")</f>
        <v>10.1073--pnas.1511269112.pdf</v>
      </c>
      <c r="D1085" s="147" t="str">
        <f>IFERROR(__xludf.DUMMYFUNCTION("""COMPUTED_VALUE"""),"application/pdf")</f>
        <v>application/pdf</v>
      </c>
    </row>
    <row r="1086">
      <c r="A1086" s="147" t="str">
        <f>IFERROR(__xludf.DUMMYFUNCTION("""COMPUTED_VALUE"""),"10.1073/pnas.1523698113")</f>
        <v>10.1073/pnas.1523698113</v>
      </c>
      <c r="B1086" s="453" t="str">
        <f>IFERROR(__xludf.DUMMYFUNCTION("""COMPUTED_VALUE"""),"https://drive.google.com/file/d/1zRO2wTJdLmK-BV5hxThrZO8prUdJXbH2/view?usp=drivesdk")</f>
        <v>https://drive.google.com/file/d/1zRO2wTJdLmK-BV5hxThrZO8prUdJXbH2/view?usp=drivesdk</v>
      </c>
      <c r="C1086" s="147" t="str">
        <f>IFERROR(__xludf.DUMMYFUNCTION("""COMPUTED_VALUE"""),"10.1073--pnas.1523698113.pdf")</f>
        <v>10.1073--pnas.1523698113.pdf</v>
      </c>
      <c r="D1086" s="147" t="str">
        <f>IFERROR(__xludf.DUMMYFUNCTION("""COMPUTED_VALUE"""),"application/pdf")</f>
        <v>application/pdf</v>
      </c>
    </row>
    <row r="1087">
      <c r="A1087" s="147" t="str">
        <f>IFERROR(__xludf.DUMMYFUNCTION("""COMPUTED_VALUE"""),"10.1073/pnas.1410910111")</f>
        <v>10.1073/pnas.1410910111</v>
      </c>
      <c r="B1087" s="453" t="str">
        <f>IFERROR(__xludf.DUMMYFUNCTION("""COMPUTED_VALUE"""),"https://drive.google.com/file/d/10OETr0_zUz7Gqw39YL9lnq--3C3qavy8/view?usp=drivesdk")</f>
        <v>https://drive.google.com/file/d/10OETr0_zUz7Gqw39YL9lnq--3C3qavy8/view?usp=drivesdk</v>
      </c>
      <c r="C1087" s="147" t="str">
        <f>IFERROR(__xludf.DUMMYFUNCTION("""COMPUTED_VALUE"""),"10.1073--pnas.1410910111.pdf")</f>
        <v>10.1073--pnas.1410910111.pdf</v>
      </c>
      <c r="D1087" s="147" t="str">
        <f>IFERROR(__xludf.DUMMYFUNCTION("""COMPUTED_VALUE"""),"application/pdf")</f>
        <v>application/pdf</v>
      </c>
    </row>
    <row r="1088">
      <c r="A1088" s="147" t="str">
        <f>IFERROR(__xludf.DUMMYFUNCTION("""COMPUTED_VALUE"""),"10.1073/pnas.1216438110")</f>
        <v>10.1073/pnas.1216438110</v>
      </c>
      <c r="B1088" s="453" t="str">
        <f>IFERROR(__xludf.DUMMYFUNCTION("""COMPUTED_VALUE"""),"https://drive.google.com/file/d/1UjvynnYEPZHicucFMnLs5zd6tciLP1ET/view?usp=drivesdk")</f>
        <v>https://drive.google.com/file/d/1UjvynnYEPZHicucFMnLs5zd6tciLP1ET/view?usp=drivesdk</v>
      </c>
      <c r="C1088" s="147" t="str">
        <f>IFERROR(__xludf.DUMMYFUNCTION("""COMPUTED_VALUE"""),"10.1073--pnas.1216438110.pdf")</f>
        <v>10.1073--pnas.1216438110.pdf</v>
      </c>
      <c r="D1088" s="147" t="str">
        <f>IFERROR(__xludf.DUMMYFUNCTION("""COMPUTED_VALUE"""),"application/pdf")</f>
        <v>application/pdf</v>
      </c>
    </row>
    <row r="1089">
      <c r="A1089" s="147" t="str">
        <f>IFERROR(__xludf.DUMMYFUNCTION("""COMPUTED_VALUE"""),"10.1073/pnas.1202129109")</f>
        <v>10.1073/pnas.1202129109</v>
      </c>
      <c r="B1089" s="453" t="str">
        <f>IFERROR(__xludf.DUMMYFUNCTION("""COMPUTED_VALUE"""),"https://drive.google.com/file/d/11Av49SlCGKMhtLvS_jk4226riFKcyhNh/view?usp=drivesdk")</f>
        <v>https://drive.google.com/file/d/11Av49SlCGKMhtLvS_jk4226riFKcyhNh/view?usp=drivesdk</v>
      </c>
      <c r="C1089" s="147" t="str">
        <f>IFERROR(__xludf.DUMMYFUNCTION("""COMPUTED_VALUE"""),"10.1073--pnas.1202129109.pdf")</f>
        <v>10.1073--pnas.1202129109.pdf</v>
      </c>
      <c r="D1089" s="147" t="str">
        <f>IFERROR(__xludf.DUMMYFUNCTION("""COMPUTED_VALUE"""),"application/pdf")</f>
        <v>application/pdf</v>
      </c>
    </row>
    <row r="1090">
      <c r="A1090" s="147" t="str">
        <f>IFERROR(__xludf.DUMMYFUNCTION("""COMPUTED_VALUE"""),"10.1073/pnas.1209746109")</f>
        <v>10.1073/pnas.1209746109</v>
      </c>
      <c r="B1090" s="453" t="str">
        <f>IFERROR(__xludf.DUMMYFUNCTION("""COMPUTED_VALUE"""),"https://drive.google.com/file/d/1ME3HHgt9JawJ4TVDM4mgrdiRZZn5ZkQD/view?usp=drivesdk")</f>
        <v>https://drive.google.com/file/d/1ME3HHgt9JawJ4TVDM4mgrdiRZZn5ZkQD/view?usp=drivesdk</v>
      </c>
      <c r="C1090" s="147" t="str">
        <f>IFERROR(__xludf.DUMMYFUNCTION("""COMPUTED_VALUE"""),"10.1073--pnas.1209746109.pdf")</f>
        <v>10.1073--pnas.1209746109.pdf</v>
      </c>
      <c r="D1090" s="147" t="str">
        <f>IFERROR(__xludf.DUMMYFUNCTION("""COMPUTED_VALUE"""),"application/pdf")</f>
        <v>application/pdf</v>
      </c>
    </row>
    <row r="1091">
      <c r="A1091" s="147" t="str">
        <f>IFERROR(__xludf.DUMMYFUNCTION("""COMPUTED_VALUE"""),"10.1073/pnas.1118373109")</f>
        <v>10.1073/pnas.1118373109</v>
      </c>
      <c r="B1091" s="453" t="str">
        <f>IFERROR(__xludf.DUMMYFUNCTION("""COMPUTED_VALUE"""),"https://drive.google.com/file/d/1Q984rmQXqbwrrnMY-wB5jcpYKEpb-2Qg/view?usp=drivesdk")</f>
        <v>https://drive.google.com/file/d/1Q984rmQXqbwrrnMY-wB5jcpYKEpb-2Qg/view?usp=drivesdk</v>
      </c>
      <c r="C1091" s="147" t="str">
        <f>IFERROR(__xludf.DUMMYFUNCTION("""COMPUTED_VALUE"""),"10.1073--pnas.1118373109.pdf")</f>
        <v>10.1073--pnas.1118373109.pdf</v>
      </c>
      <c r="D1091" s="147" t="str">
        <f>IFERROR(__xludf.DUMMYFUNCTION("""COMPUTED_VALUE"""),"application/pdf")</f>
        <v>application/pdf</v>
      </c>
    </row>
    <row r="1092">
      <c r="A1092" s="147" t="str">
        <f>IFERROR(__xludf.DUMMYFUNCTION("""COMPUTED_VALUE"""),"10.1073/pnas.1004932107")</f>
        <v>10.1073/pnas.1004932107</v>
      </c>
      <c r="B1092" s="453" t="str">
        <f>IFERROR(__xludf.DUMMYFUNCTION("""COMPUTED_VALUE"""),"https://drive.google.com/file/d/1J8w4F7K8nMU3UgmMPI03K3U93q1EwCEJ/view?usp=drivesdk")</f>
        <v>https://drive.google.com/file/d/1J8w4F7K8nMU3UgmMPI03K3U93q1EwCEJ/view?usp=drivesdk</v>
      </c>
      <c r="C1092" s="147" t="str">
        <f>IFERROR(__xludf.DUMMYFUNCTION("""COMPUTED_VALUE"""),"10.1073--pnas.1004932107.pdf")</f>
        <v>10.1073--pnas.1004932107.pdf</v>
      </c>
      <c r="D1092" s="147" t="str">
        <f>IFERROR(__xludf.DUMMYFUNCTION("""COMPUTED_VALUE"""),"application/pdf")</f>
        <v>application/pdf</v>
      </c>
    </row>
    <row r="1093">
      <c r="A1093" s="147" t="str">
        <f>IFERROR(__xludf.DUMMYFUNCTION("""COMPUTED_VALUE"""),"10.1073/pnas.0908963106")</f>
        <v>10.1073/pnas.0908963106</v>
      </c>
      <c r="B1093" s="453" t="str">
        <f>IFERROR(__xludf.DUMMYFUNCTION("""COMPUTED_VALUE"""),"https://drive.google.com/file/d/1rj178it8sQtHMyNzyb90GXfEk1Hk5YnN/view?usp=drivesdk")</f>
        <v>https://drive.google.com/file/d/1rj178it8sQtHMyNzyb90GXfEk1Hk5YnN/view?usp=drivesdk</v>
      </c>
      <c r="C1093" s="147" t="str">
        <f>IFERROR(__xludf.DUMMYFUNCTION("""COMPUTED_VALUE"""),"10.1073--pnas.0908963106.pdf")</f>
        <v>10.1073--pnas.0908963106.pdf</v>
      </c>
      <c r="D1093" s="147" t="str">
        <f>IFERROR(__xludf.DUMMYFUNCTION("""COMPUTED_VALUE"""),"application/pdf")</f>
        <v>application/pdf</v>
      </c>
    </row>
    <row r="1094">
      <c r="A1094" s="147" t="str">
        <f>IFERROR(__xludf.DUMMYFUNCTION("""COMPUTED_VALUE"""),"10.1038/scientificamerican0182-160")</f>
        <v>10.1038/scientificamerican0182-160</v>
      </c>
      <c r="B1094" s="453" t="str">
        <f>IFERROR(__xludf.DUMMYFUNCTION("""COMPUTED_VALUE"""),"https://drive.google.com/file/d/1m8vBfiQkH8P0FaPXXK5PHkJH8yYhq1Sh/view?usp=drivesdk")</f>
        <v>https://drive.google.com/file/d/1m8vBfiQkH8P0FaPXXK5PHkJH8yYhq1Sh/view?usp=drivesdk</v>
      </c>
      <c r="C1094" s="147" t="str">
        <f>IFERROR(__xludf.DUMMYFUNCTION("""COMPUTED_VALUE"""),"10.1038--scientificamerican0182-160.pdf")</f>
        <v>10.1038--scientificamerican0182-160.pdf</v>
      </c>
      <c r="D1094" s="147" t="str">
        <f>IFERROR(__xludf.DUMMYFUNCTION("""COMPUTED_VALUE"""),"application/pdf")</f>
        <v>application/pdf</v>
      </c>
    </row>
    <row r="1095">
      <c r="A1095" s="147" t="str">
        <f>IFERROR(__xludf.DUMMYFUNCTION("""COMPUTED_VALUE"""),"10.1038/s41598-017-10669-4")</f>
        <v>10.1038/s41598-017-10669-4</v>
      </c>
      <c r="B1095" s="453" t="str">
        <f>IFERROR(__xludf.DUMMYFUNCTION("""COMPUTED_VALUE"""),"https://drive.google.com/file/d/1EZllPY8-yvLte77cCpv9UnSzrQEaA1l4/view?usp=drivesdk")</f>
        <v>https://drive.google.com/file/d/1EZllPY8-yvLte77cCpv9UnSzrQEaA1l4/view?usp=drivesdk</v>
      </c>
      <c r="C1095" s="147" t="str">
        <f>IFERROR(__xludf.DUMMYFUNCTION("""COMPUTED_VALUE"""),"10.1038--s41598-017-10669-4.pdf")</f>
        <v>10.1038--s41598-017-10669-4.pdf</v>
      </c>
      <c r="D1095" s="147" t="str">
        <f>IFERROR(__xludf.DUMMYFUNCTION("""COMPUTED_VALUE"""),"application/pdf")</f>
        <v>application/pdf</v>
      </c>
    </row>
    <row r="1096">
      <c r="A1096" s="147" t="str">
        <f>IFERROR(__xludf.DUMMYFUNCTION("""COMPUTED_VALUE"""),"10.1038/s41598-018-31129-7")</f>
        <v>10.1038/s41598-018-31129-7</v>
      </c>
      <c r="B1096" s="453" t="str">
        <f>IFERROR(__xludf.DUMMYFUNCTION("""COMPUTED_VALUE"""),"https://drive.google.com/file/d/1alE-Lyhg2bHvUxXiUtoX7uwWzuZe9O2i/view?usp=drivesdk")</f>
        <v>https://drive.google.com/file/d/1alE-Lyhg2bHvUxXiUtoX7uwWzuZe9O2i/view?usp=drivesdk</v>
      </c>
      <c r="C1096" s="147" t="str">
        <f>IFERROR(__xludf.DUMMYFUNCTION("""COMPUTED_VALUE"""),"10.1038--s41598-018-31129-7.pdf")</f>
        <v>10.1038--s41598-018-31129-7.pdf</v>
      </c>
      <c r="D1096" s="147" t="str">
        <f>IFERROR(__xludf.DUMMYFUNCTION("""COMPUTED_VALUE"""),"application/pdf")</f>
        <v>application/pdf</v>
      </c>
    </row>
    <row r="1097">
      <c r="A1097" s="147" t="str">
        <f>IFERROR(__xludf.DUMMYFUNCTION("""COMPUTED_VALUE"""),"10.1038/s41586-021-03380-y")</f>
        <v>10.1038/s41586-021-03380-y</v>
      </c>
      <c r="B1097" s="453" t="str">
        <f>IFERROR(__xludf.DUMMYFUNCTION("""COMPUTED_VALUE"""),"https://drive.google.com/file/d/127v43WE4PklOsQFV7vglYwM9pxelKmVE/view?usp=drivesdk")</f>
        <v>https://drive.google.com/file/d/127v43WE4PklOsQFV7vglYwM9pxelKmVE/view?usp=drivesdk</v>
      </c>
      <c r="C1097" s="147" t="str">
        <f>IFERROR(__xludf.DUMMYFUNCTION("""COMPUTED_VALUE"""),"10.1038--s41586-021-03380-y.pdf")</f>
        <v>10.1038--s41586-021-03380-y.pdf</v>
      </c>
      <c r="D1097" s="147" t="str">
        <f>IFERROR(__xludf.DUMMYFUNCTION("""COMPUTED_VALUE"""),"application/pdf")</f>
        <v>application/pdf</v>
      </c>
    </row>
    <row r="1098">
      <c r="A1098" s="147" t="str">
        <f>IFERROR(__xludf.DUMMYFUNCTION("""COMPUTED_VALUE"""),"10.1038/oby.2005.12")</f>
        <v>10.1038/oby.2005.12</v>
      </c>
      <c r="B1098" s="453" t="str">
        <f>IFERROR(__xludf.DUMMYFUNCTION("""COMPUTED_VALUE"""),"https://drive.google.com/file/d/1aYbxZ4QpjA2HcnqHYKr1JxrRo6gAK21q/view?usp=drivesdk")</f>
        <v>https://drive.google.com/file/d/1aYbxZ4QpjA2HcnqHYKr1JxrRo6gAK21q/view?usp=drivesdk</v>
      </c>
      <c r="C1098" s="147" t="str">
        <f>IFERROR(__xludf.DUMMYFUNCTION("""COMPUTED_VALUE"""),"10.1038--oby.2005.12.pdf")</f>
        <v>10.1038--oby.2005.12.pdf</v>
      </c>
      <c r="D1098" s="147" t="str">
        <f>IFERROR(__xludf.DUMMYFUNCTION("""COMPUTED_VALUE"""),"application/pdf")</f>
        <v>application/pdf</v>
      </c>
    </row>
    <row r="1099">
      <c r="A1099" s="147" t="str">
        <f>IFERROR(__xludf.DUMMYFUNCTION("""COMPUTED_VALUE"""),"10.1038/nclimate2093")</f>
        <v>10.1038/nclimate2093</v>
      </c>
      <c r="B1099" s="453" t="str">
        <f>IFERROR(__xludf.DUMMYFUNCTION("""COMPUTED_VALUE"""),"https://drive.google.com/file/d/17HYZXEqbs5qMTOba8cEHhBhSIrnkFKeu/view?usp=drivesdk")</f>
        <v>https://drive.google.com/file/d/17HYZXEqbs5qMTOba8cEHhBhSIrnkFKeu/view?usp=drivesdk</v>
      </c>
      <c r="C1099" s="147" t="str">
        <f>IFERROR(__xludf.DUMMYFUNCTION("""COMPUTED_VALUE"""),"10.1038--nclimate2093.pdf")</f>
        <v>10.1038--nclimate2093.pdf</v>
      </c>
      <c r="D1099" s="147" t="str">
        <f>IFERROR(__xludf.DUMMYFUNCTION("""COMPUTED_VALUE"""),"application/pdf")</f>
        <v>application/pdf</v>
      </c>
    </row>
    <row r="1100">
      <c r="A1100" s="147" t="str">
        <f>IFERROR(__xludf.DUMMYFUNCTION("""COMPUTED_VALUE"""),"10.1038/nature15392")</f>
        <v>10.1038/nature15392</v>
      </c>
      <c r="B1100" s="453" t="str">
        <f>IFERROR(__xludf.DUMMYFUNCTION("""COMPUTED_VALUE"""),"https://drive.google.com/file/d/1yPKBulDUT2sA_EL4XHrVvgND1nEVQNHI/view?usp=drivesdk")</f>
        <v>https://drive.google.com/file/d/1yPKBulDUT2sA_EL4XHrVvgND1nEVQNHI/view?usp=drivesdk</v>
      </c>
      <c r="C1100" s="147" t="str">
        <f>IFERROR(__xludf.DUMMYFUNCTION("""COMPUTED_VALUE"""),"10.1038--nature15392.pdf")</f>
        <v>10.1038--nature15392.pdf</v>
      </c>
      <c r="D1100" s="147" t="str">
        <f>IFERROR(__xludf.DUMMYFUNCTION("""COMPUTED_VALUE"""),"application/pdf")</f>
        <v>application/pdf</v>
      </c>
    </row>
    <row r="1101">
      <c r="A1101" s="147" t="str">
        <f>IFERROR(__xludf.DUMMYFUNCTION("""COMPUTED_VALUE"""),"10.1038/nature13530")</f>
        <v>10.1038/nature13530</v>
      </c>
      <c r="B1101" s="453" t="str">
        <f>IFERROR(__xludf.DUMMYFUNCTION("""COMPUTED_VALUE"""),"https://drive.google.com/file/d/1-E1dAlVOdBXhL1-Ucgrt44k9SzyhPTJ-/view?usp=drivesdk")</f>
        <v>https://drive.google.com/file/d/1-E1dAlVOdBXhL1-Ucgrt44k9SzyhPTJ-/view?usp=drivesdk</v>
      </c>
      <c r="C1101" s="147" t="str">
        <f>IFERROR(__xludf.DUMMYFUNCTION("""COMPUTED_VALUE"""),"10.1038--nature13530.pdf")</f>
        <v>10.1038--nature13530.pdf</v>
      </c>
      <c r="D1101" s="147" t="str">
        <f>IFERROR(__xludf.DUMMYFUNCTION("""COMPUTED_VALUE"""),"application/pdf")</f>
        <v>application/pdf</v>
      </c>
    </row>
    <row r="1102">
      <c r="A1102" s="147" t="str">
        <f>IFERROR(__xludf.DUMMYFUNCTION("""COMPUTED_VALUE"""),"10.1038/nature11467")</f>
        <v>10.1038/nature11467</v>
      </c>
      <c r="B1102" s="453" t="str">
        <f>IFERROR(__xludf.DUMMYFUNCTION("""COMPUTED_VALUE"""),"https://drive.google.com/file/d/1FElRRlWoVi2usxTFNme1Bwz9RgmJPLKp/view?usp=drivesdk")</f>
        <v>https://drive.google.com/file/d/1FElRRlWoVi2usxTFNme1Bwz9RgmJPLKp/view?usp=drivesdk</v>
      </c>
      <c r="C1102" s="147" t="str">
        <f>IFERROR(__xludf.DUMMYFUNCTION("""COMPUTED_VALUE"""),"10.1038--nature11467.pdf")</f>
        <v>10.1038--nature11467.pdf</v>
      </c>
      <c r="D1102" s="147" t="str">
        <f>IFERROR(__xludf.DUMMYFUNCTION("""COMPUTED_VALUE"""),"application/pdf")</f>
        <v>application/pdf</v>
      </c>
    </row>
    <row r="1103">
      <c r="A1103" s="147" t="str">
        <f>IFERROR(__xludf.DUMMYFUNCTION("""COMPUTED_VALUE"""),"10.1038/nature12774")</f>
        <v>10.1038/nature12774</v>
      </c>
      <c r="B1103" s="453" t="str">
        <f>IFERROR(__xludf.DUMMYFUNCTION("""COMPUTED_VALUE"""),"https://drive.google.com/file/d/1J8NYov-XHHaVlQCOR0yx9UGTvAN_EjiG/view?usp=drivesdk")</f>
        <v>https://drive.google.com/file/d/1J8NYov-XHHaVlQCOR0yx9UGTvAN_EjiG/view?usp=drivesdk</v>
      </c>
      <c r="C1103" s="147" t="str">
        <f>IFERROR(__xludf.DUMMYFUNCTION("""COMPUTED_VALUE"""),"10.1038--nature12774.pdf")</f>
        <v>10.1038--nature12774.pdf</v>
      </c>
      <c r="D1103" s="147" t="str">
        <f>IFERROR(__xludf.DUMMYFUNCTION("""COMPUTED_VALUE"""),"application/pdf")</f>
        <v>application/pdf</v>
      </c>
    </row>
    <row r="1104">
      <c r="A1104" s="147" t="str">
        <f>IFERROR(__xludf.DUMMYFUNCTION("""COMPUTED_VALUE"""),"10.1038/nature03701")</f>
        <v>10.1038/nature03701</v>
      </c>
      <c r="B1104" s="453" t="str">
        <f>IFERROR(__xludf.DUMMYFUNCTION("""COMPUTED_VALUE"""),"https://drive.google.com/file/d/1nYYa0gLLgCvS_g2hsEjrlxwNp7S-dCCR/view?usp=drivesdk")</f>
        <v>https://drive.google.com/file/d/1nYYa0gLLgCvS_g2hsEjrlxwNp7S-dCCR/view?usp=drivesdk</v>
      </c>
      <c r="C1104" s="147" t="str">
        <f>IFERROR(__xludf.DUMMYFUNCTION("""COMPUTED_VALUE"""),"10.1038--nature03701.pdf")</f>
        <v>10.1038--nature03701.pdf</v>
      </c>
      <c r="D1104" s="147" t="str">
        <f>IFERROR(__xludf.DUMMYFUNCTION("""COMPUTED_VALUE"""),"application/pdf")</f>
        <v>application/pdf</v>
      </c>
    </row>
    <row r="1105">
      <c r="A1105" s="147" t="str">
        <f>IFERROR(__xludf.DUMMYFUNCTION("""COMPUTED_VALUE"""),"10.1038/365611a0")</f>
        <v>10.1038/365611a0</v>
      </c>
      <c r="B1105" s="453" t="str">
        <f>IFERROR(__xludf.DUMMYFUNCTION("""COMPUTED_VALUE"""),"https://drive.google.com/file/d/1URDsP-yMIFXhkBo8wS57RwLmccsk4Lvy/view?usp=drivesdk")</f>
        <v>https://drive.google.com/file/d/1URDsP-yMIFXhkBo8wS57RwLmccsk4Lvy/view?usp=drivesdk</v>
      </c>
      <c r="C1105" s="147" t="str">
        <f>IFERROR(__xludf.DUMMYFUNCTION("""COMPUTED_VALUE"""),"10.1038--365611a0.pdf")</f>
        <v>10.1038--365611a0.pdf</v>
      </c>
      <c r="D1105" s="147" t="str">
        <f>IFERROR(__xludf.DUMMYFUNCTION("""COMPUTED_VALUE"""),"application/pdf")</f>
        <v>application/pdf</v>
      </c>
    </row>
    <row r="1106">
      <c r="A1106" s="147" t="str">
        <f>IFERROR(__xludf.DUMMYFUNCTION("""COMPUTED_VALUE"""),"10.1037/h0091247")</f>
        <v>10.1037/h0091247</v>
      </c>
      <c r="B1106" s="453" t="str">
        <f>IFERROR(__xludf.DUMMYFUNCTION("""COMPUTED_VALUE"""),"https://drive.google.com/file/d/1awPCjIHvs8ahIhOincmP_HaNxC6Wg3ei/view?usp=drivesdk")</f>
        <v>https://drive.google.com/file/d/1awPCjIHvs8ahIhOincmP_HaNxC6Wg3ei/view?usp=drivesdk</v>
      </c>
      <c r="C1106" s="147" t="str">
        <f>IFERROR(__xludf.DUMMYFUNCTION("""COMPUTED_VALUE"""),"10.1037--h0091247.pdf")</f>
        <v>10.1037--h0091247.pdf</v>
      </c>
      <c r="D1106" s="147" t="str">
        <f>IFERROR(__xludf.DUMMYFUNCTION("""COMPUTED_VALUE"""),"application/pdf")</f>
        <v>application/pdf</v>
      </c>
    </row>
    <row r="1107">
      <c r="A1107" s="147" t="str">
        <f>IFERROR(__xludf.DUMMYFUNCTION("""COMPUTED_VALUE"""),"10.1037/h0086006")</f>
        <v>10.1037/h0086006</v>
      </c>
      <c r="B1107" s="453" t="str">
        <f>IFERROR(__xludf.DUMMYFUNCTION("""COMPUTED_VALUE"""),"https://drive.google.com/file/d/198F72VlE367b6ZajKTHUUDOA3GEGqCqo/view?usp=drivesdk")</f>
        <v>https://drive.google.com/file/d/198F72VlE367b6ZajKTHUUDOA3GEGqCqo/view?usp=drivesdk</v>
      </c>
      <c r="C1107" s="147" t="str">
        <f>IFERROR(__xludf.DUMMYFUNCTION("""COMPUTED_VALUE"""),"10.1037--h0086006.pdf")</f>
        <v>10.1037--h0086006.pdf</v>
      </c>
      <c r="D1107" s="147" t="str">
        <f>IFERROR(__xludf.DUMMYFUNCTION("""COMPUTED_VALUE"""),"application/pdf")</f>
        <v>application/pdf</v>
      </c>
    </row>
    <row r="1108">
      <c r="A1108" s="147" t="str">
        <f>IFERROR(__xludf.DUMMYFUNCTION("""COMPUTED_VALUE"""),"10.1037/h0076284")</f>
        <v>10.1037/h0076284</v>
      </c>
      <c r="B1108" s="453" t="str">
        <f>IFERROR(__xludf.DUMMYFUNCTION("""COMPUTED_VALUE"""),"https://drive.google.com/file/d/1em7ODa60WMQRn6m4evBrT4Y8ooQ_qlB3/view?usp=drivesdk")</f>
        <v>https://drive.google.com/file/d/1em7ODa60WMQRn6m4evBrT4Y8ooQ_qlB3/view?usp=drivesdk</v>
      </c>
      <c r="C1108" s="147" t="str">
        <f>IFERROR(__xludf.DUMMYFUNCTION("""COMPUTED_VALUE"""),"10.1037--h0076284.pdf")</f>
        <v>10.1037--h0076284.pdf</v>
      </c>
      <c r="D1108" s="147" t="str">
        <f>IFERROR(__xludf.DUMMYFUNCTION("""COMPUTED_VALUE"""),"application/pdf")</f>
        <v>application/pdf</v>
      </c>
    </row>
    <row r="1109">
      <c r="A1109" s="147" t="str">
        <f>IFERROR(__xludf.DUMMYFUNCTION("""COMPUTED_VALUE"""),"10.1037/h0062326")</f>
        <v>10.1037/h0062326</v>
      </c>
      <c r="B1109" s="453" t="str">
        <f>IFERROR(__xludf.DUMMYFUNCTION("""COMPUTED_VALUE"""),"https://drive.google.com/file/d/1GD-j6BWPkB_b2ijNsy35CR0wHNMjHGjd/view?usp=drivesdk")</f>
        <v>https://drive.google.com/file/d/1GD-j6BWPkB_b2ijNsy35CR0wHNMjHGjd/view?usp=drivesdk</v>
      </c>
      <c r="C1109" s="147" t="str">
        <f>IFERROR(__xludf.DUMMYFUNCTION("""COMPUTED_VALUE"""),"10.1037--h0062326.pdf")</f>
        <v>10.1037--h0062326.pdf</v>
      </c>
      <c r="D1109" s="147" t="str">
        <f>IFERROR(__xludf.DUMMYFUNCTION("""COMPUTED_VALUE"""),"application/pdf")</f>
        <v>application/pdf</v>
      </c>
    </row>
    <row r="1110">
      <c r="A1110" s="147" t="str">
        <f>IFERROR(__xludf.DUMMYFUNCTION("""COMPUTED_VALUE"""),"10.1037/h0054651")</f>
        <v>10.1037/h0054651</v>
      </c>
      <c r="B1110" s="453" t="str">
        <f>IFERROR(__xludf.DUMMYFUNCTION("""COMPUTED_VALUE"""),"https://drive.google.com/file/d/16SOoUfTCSMe7mtchsl8axpkAxtRIR28i/view?usp=drivesdk")</f>
        <v>https://drive.google.com/file/d/16SOoUfTCSMe7mtchsl8axpkAxtRIR28i/view?usp=drivesdk</v>
      </c>
      <c r="C1110" s="147" t="str">
        <f>IFERROR(__xludf.DUMMYFUNCTION("""COMPUTED_VALUE"""),"10.1037--h0054651.pdf")</f>
        <v>10.1037--h0054651.pdf</v>
      </c>
      <c r="D1110" s="147" t="str">
        <f>IFERROR(__xludf.DUMMYFUNCTION("""COMPUTED_VALUE"""),"application/pdf")</f>
        <v>application/pdf</v>
      </c>
    </row>
    <row r="1111">
      <c r="A1111" s="147" t="str">
        <f>IFERROR(__xludf.DUMMYFUNCTION("""COMPUTED_VALUE"""),"10.1037/h0055756")</f>
        <v>10.1037/h0055756</v>
      </c>
      <c r="B1111" s="453" t="str">
        <f>IFERROR(__xludf.DUMMYFUNCTION("""COMPUTED_VALUE"""),"https://drive.google.com/file/d/1RL5VVGCl7-geMqjebtJXb9Jl5WDZ_RPf/view?usp=drivesdk")</f>
        <v>https://drive.google.com/file/d/1RL5VVGCl7-geMqjebtJXb9Jl5WDZ_RPf/view?usp=drivesdk</v>
      </c>
      <c r="C1111" s="147" t="str">
        <f>IFERROR(__xludf.DUMMYFUNCTION("""COMPUTED_VALUE"""),"10.1037--h0055756.pdf")</f>
        <v>10.1037--h0055756.pdf</v>
      </c>
      <c r="D1111" s="147" t="str">
        <f>IFERROR(__xludf.DUMMYFUNCTION("""COMPUTED_VALUE"""),"application/pdf")</f>
        <v>application/pdf</v>
      </c>
    </row>
    <row r="1112">
      <c r="A1112" s="147" t="str">
        <f>IFERROR(__xludf.DUMMYFUNCTION("""COMPUTED_VALUE"""),"10.1037/h0033373")</f>
        <v>10.1037/h0033373</v>
      </c>
      <c r="B1112" s="453" t="str">
        <f>IFERROR(__xludf.DUMMYFUNCTION("""COMPUTED_VALUE"""),"https://drive.google.com/file/d/1uYsHOUBngS-ZXgqB8qnnVPTbdmiJOAye/view?usp=drivesdk")</f>
        <v>https://drive.google.com/file/d/1uYsHOUBngS-ZXgqB8qnnVPTbdmiJOAye/view?usp=drivesdk</v>
      </c>
      <c r="C1112" s="147" t="str">
        <f>IFERROR(__xludf.DUMMYFUNCTION("""COMPUTED_VALUE"""),"10.1037--h0033373.pdf")</f>
        <v>10.1037--h0033373.pdf</v>
      </c>
      <c r="D1112" s="147" t="str">
        <f>IFERROR(__xludf.DUMMYFUNCTION("""COMPUTED_VALUE"""),"application/pdf")</f>
        <v>application/pdf</v>
      </c>
    </row>
    <row r="1113">
      <c r="A1113" s="147" t="str">
        <f>IFERROR(__xludf.DUMMYFUNCTION("""COMPUTED_VALUE"""),"10.1037/h0041006")</f>
        <v>10.1037/h0041006</v>
      </c>
      <c r="B1113" s="453" t="str">
        <f>IFERROR(__xludf.DUMMYFUNCTION("""COMPUTED_VALUE"""),"https://drive.google.com/file/d/1wDSdOj_hBlu6qxccU3OnehZB5-gYnYts/view?usp=drivesdk")</f>
        <v>https://drive.google.com/file/d/1wDSdOj_hBlu6qxccU3OnehZB5-gYnYts/view?usp=drivesdk</v>
      </c>
      <c r="C1113" s="147" t="str">
        <f>IFERROR(__xludf.DUMMYFUNCTION("""COMPUTED_VALUE"""),"10.1037--h0041006.pdf")</f>
        <v>10.1037--h0041006.pdf</v>
      </c>
      <c r="D1113" s="147" t="str">
        <f>IFERROR(__xludf.DUMMYFUNCTION("""COMPUTED_VALUE"""),"application/pdf")</f>
        <v>application/pdf</v>
      </c>
    </row>
    <row r="1114">
      <c r="A1114" s="147" t="str">
        <f>IFERROR(__xludf.DUMMYFUNCTION("""COMPUTED_VALUE"""),"10.1037/h0032317")</f>
        <v>10.1037/h0032317</v>
      </c>
      <c r="B1114" s="453" t="str">
        <f>IFERROR(__xludf.DUMMYFUNCTION("""COMPUTED_VALUE"""),"https://drive.google.com/file/d/1PPc0RGpI6FyC2CFU35uCyQf2KFIp33Mf/view?usp=drivesdk")</f>
        <v>https://drive.google.com/file/d/1PPc0RGpI6FyC2CFU35uCyQf2KFIp33Mf/view?usp=drivesdk</v>
      </c>
      <c r="C1114" s="147" t="str">
        <f>IFERROR(__xludf.DUMMYFUNCTION("""COMPUTED_VALUE"""),"10.1037--h0032317.pdf")</f>
        <v>10.1037--h0032317.pdf</v>
      </c>
      <c r="D1114" s="147" t="str">
        <f>IFERROR(__xludf.DUMMYFUNCTION("""COMPUTED_VALUE"""),"application/pdf")</f>
        <v>application/pdf</v>
      </c>
    </row>
    <row r="1115">
      <c r="A1115" s="147" t="str">
        <f>IFERROR(__xludf.DUMMYFUNCTION("""COMPUTED_VALUE"""),"10.1037/h0028434")</f>
        <v>10.1037/h0028434</v>
      </c>
      <c r="B1115" s="453" t="str">
        <f>IFERROR(__xludf.DUMMYFUNCTION("""COMPUTED_VALUE"""),"https://drive.google.com/file/d/1d3YiqgyBpR1vBwJxhNgYZttfp2h97WzB/view?usp=drivesdk")</f>
        <v>https://drive.google.com/file/d/1d3YiqgyBpR1vBwJxhNgYZttfp2h97WzB/view?usp=drivesdk</v>
      </c>
      <c r="C1115" s="147" t="str">
        <f>IFERROR(__xludf.DUMMYFUNCTION("""COMPUTED_VALUE"""),"10.1037--h0028434.pdf")</f>
        <v>10.1037--h0028434.pdf</v>
      </c>
      <c r="D1115" s="147" t="str">
        <f>IFERROR(__xludf.DUMMYFUNCTION("""COMPUTED_VALUE"""),"application/pdf")</f>
        <v>application/pdf</v>
      </c>
    </row>
    <row r="1116">
      <c r="A1116" s="147" t="str">
        <f>IFERROR(__xludf.DUMMYFUNCTION("""COMPUTED_VALUE"""),"10.1037/h0025848")</f>
        <v>10.1037/h0025848</v>
      </c>
      <c r="B1116" s="453" t="str">
        <f>IFERROR(__xludf.DUMMYFUNCTION("""COMPUTED_VALUE"""),"https://drive.google.com/file/d/1BkIrUKawTYC3ZJd8Gdg3L-qgFqtjoWcy/view?usp=drivesdk")</f>
        <v>https://drive.google.com/file/d/1BkIrUKawTYC3ZJd8Gdg3L-qgFqtjoWcy/view?usp=drivesdk</v>
      </c>
      <c r="C1116" s="147" t="str">
        <f>IFERROR(__xludf.DUMMYFUNCTION("""COMPUTED_VALUE"""),"10.1037--h0025848.pdf")</f>
        <v>10.1037--h0025848.pdf</v>
      </c>
      <c r="D1116" s="147" t="str">
        <f>IFERROR(__xludf.DUMMYFUNCTION("""COMPUTED_VALUE"""),"application/pdf")</f>
        <v>application/pdf</v>
      </c>
    </row>
    <row r="1117">
      <c r="A1117" s="147" t="str">
        <f>IFERROR(__xludf.DUMMYFUNCTION("""COMPUTED_VALUE"""),"10.1037/h0023552")</f>
        <v>10.1037/h0023552</v>
      </c>
      <c r="B1117" s="453" t="str">
        <f>IFERROR(__xludf.DUMMYFUNCTION("""COMPUTED_VALUE"""),"https://drive.google.com/file/d/1KepKPpAIiCTU53-R7iv3bibeeDT2e4uc/view?usp=drivesdk")</f>
        <v>https://drive.google.com/file/d/1KepKPpAIiCTU53-R7iv3bibeeDT2e4uc/view?usp=drivesdk</v>
      </c>
      <c r="C1117" s="147" t="str">
        <f>IFERROR(__xludf.DUMMYFUNCTION("""COMPUTED_VALUE"""),"10.1037--h0023552.pdf")</f>
        <v>10.1037--h0023552.pdf</v>
      </c>
      <c r="D1117" s="147" t="str">
        <f>IFERROR(__xludf.DUMMYFUNCTION("""COMPUTED_VALUE"""),"application/pdf")</f>
        <v>application/pdf</v>
      </c>
    </row>
    <row r="1118">
      <c r="A1118" s="147" t="str">
        <f>IFERROR(__xludf.DUMMYFUNCTION("""COMPUTED_VALUE"""),"10.1037/a0034755")</f>
        <v>10.1037/a0034755</v>
      </c>
      <c r="B1118" s="453" t="str">
        <f>IFERROR(__xludf.DUMMYFUNCTION("""COMPUTED_VALUE"""),"https://drive.google.com/file/d/1V3ckTOj3ZkkNHIEaAqeL1uAXi4vMNsml/view?usp=drivesdk")</f>
        <v>https://drive.google.com/file/d/1V3ckTOj3ZkkNHIEaAqeL1uAXi4vMNsml/view?usp=drivesdk</v>
      </c>
      <c r="C1118" s="147" t="str">
        <f>IFERROR(__xludf.DUMMYFUNCTION("""COMPUTED_VALUE"""),"10.1037--a0034755.pdf")</f>
        <v>10.1037--a0034755.pdf</v>
      </c>
      <c r="D1118" s="147" t="str">
        <f>IFERROR(__xludf.DUMMYFUNCTION("""COMPUTED_VALUE"""),"application/pdf")</f>
        <v>application/pdf</v>
      </c>
    </row>
    <row r="1119">
      <c r="A1119" s="147" t="str">
        <f>IFERROR(__xludf.DUMMYFUNCTION("""COMPUTED_VALUE"""),"10.1037/a0034462")</f>
        <v>10.1037/a0034462</v>
      </c>
      <c r="B1119" s="453" t="str">
        <f>IFERROR(__xludf.DUMMYFUNCTION("""COMPUTED_VALUE"""),"https://drive.google.com/file/d/1VIF6kuqnOCJkukqkxuMzonIlfG0vD2p3/view?usp=drivesdk")</f>
        <v>https://drive.google.com/file/d/1VIF6kuqnOCJkukqkxuMzonIlfG0vD2p3/view?usp=drivesdk</v>
      </c>
      <c r="C1119" s="147" t="str">
        <f>IFERROR(__xludf.DUMMYFUNCTION("""COMPUTED_VALUE"""),"10.1037--a0034462.pdf")</f>
        <v>10.1037--a0034462.pdf</v>
      </c>
      <c r="D1119" s="147" t="str">
        <f>IFERROR(__xludf.DUMMYFUNCTION("""COMPUTED_VALUE"""),"application/pdf")</f>
        <v>application/pdf</v>
      </c>
    </row>
    <row r="1120">
      <c r="A1120" s="147" t="str">
        <f>IFERROR(__xludf.DUMMYFUNCTION("""COMPUTED_VALUE"""),"10.1037/a0029649")</f>
        <v>10.1037/a0029649</v>
      </c>
      <c r="B1120" s="453" t="str">
        <f>IFERROR(__xludf.DUMMYFUNCTION("""COMPUTED_VALUE"""),"https://drive.google.com/file/d/1HOf675tEXfG2bMnJOIiHzWGLlDbzEY3d/view?usp=drivesdk")</f>
        <v>https://drive.google.com/file/d/1HOf675tEXfG2bMnJOIiHzWGLlDbzEY3d/view?usp=drivesdk</v>
      </c>
      <c r="C1120" s="147" t="str">
        <f>IFERROR(__xludf.DUMMYFUNCTION("""COMPUTED_VALUE"""),"10.1037--a0029649.pdf")</f>
        <v>10.1037--a0029649.pdf</v>
      </c>
      <c r="D1120" s="147" t="str">
        <f>IFERROR(__xludf.DUMMYFUNCTION("""COMPUTED_VALUE"""),"application/pdf")</f>
        <v>application/pdf</v>
      </c>
    </row>
    <row r="1121">
      <c r="A1121" s="147" t="str">
        <f>IFERROR(__xludf.DUMMYFUNCTION("""COMPUTED_VALUE"""),"10.1037/a0029288")</f>
        <v>10.1037/a0029288</v>
      </c>
      <c r="B1121" s="453" t="str">
        <f>IFERROR(__xludf.DUMMYFUNCTION("""COMPUTED_VALUE"""),"https://drive.google.com/file/d/1vcCVkrjNwZHH8glmh9tGMygAb5DPf3dE/view?usp=drivesdk")</f>
        <v>https://drive.google.com/file/d/1vcCVkrjNwZHH8glmh9tGMygAb5DPf3dE/view?usp=drivesdk</v>
      </c>
      <c r="C1121" s="147" t="str">
        <f>IFERROR(__xludf.DUMMYFUNCTION("""COMPUTED_VALUE"""),"10.1037--a0029288.pdf")</f>
        <v>10.1037--a0029288.pdf</v>
      </c>
      <c r="D1121" s="147" t="str">
        <f>IFERROR(__xludf.DUMMYFUNCTION("""COMPUTED_VALUE"""),"application/pdf")</f>
        <v>application/pdf</v>
      </c>
    </row>
    <row r="1122">
      <c r="A1122" s="147" t="str">
        <f>IFERROR(__xludf.DUMMYFUNCTION("""COMPUTED_VALUE"""),"10.1037/a0027598")</f>
        <v>10.1037/a0027598</v>
      </c>
      <c r="B1122" s="453" t="str">
        <f>IFERROR(__xludf.DUMMYFUNCTION("""COMPUTED_VALUE"""),"https://drive.google.com/file/d/1-8hoTcDzN7GjN92fqlhu7SLhxRSQTUrd/view?usp=drivesdk")</f>
        <v>https://drive.google.com/file/d/1-8hoTcDzN7GjN92fqlhu7SLhxRSQTUrd/view?usp=drivesdk</v>
      </c>
      <c r="C1122" s="147" t="str">
        <f>IFERROR(__xludf.DUMMYFUNCTION("""COMPUTED_VALUE"""),"10.1037--a0027598.pdf")</f>
        <v>10.1037--a0027598.pdf</v>
      </c>
      <c r="D1122" s="147" t="str">
        <f>IFERROR(__xludf.DUMMYFUNCTION("""COMPUTED_VALUE"""),"application/pdf")</f>
        <v>application/pdf</v>
      </c>
    </row>
    <row r="1123">
      <c r="A1123" s="147" t="str">
        <f>IFERROR(__xludf.DUMMYFUNCTION("""COMPUTED_VALUE"""),"10.1037/a0027407")</f>
        <v>10.1037/a0027407</v>
      </c>
      <c r="B1123" s="453" t="str">
        <f>IFERROR(__xludf.DUMMYFUNCTION("""COMPUTED_VALUE"""),"https://drive.google.com/file/d/1DS4JtkHMjs9zr71-ezWtK-niMJQwvASc/view?usp=drivesdk")</f>
        <v>https://drive.google.com/file/d/1DS4JtkHMjs9zr71-ezWtK-niMJQwvASc/view?usp=drivesdk</v>
      </c>
      <c r="C1123" s="147" t="str">
        <f>IFERROR(__xludf.DUMMYFUNCTION("""COMPUTED_VALUE"""),"10.1037--a0027407.pdf")</f>
        <v>10.1037--a0027407.pdf</v>
      </c>
      <c r="D1123" s="147" t="str">
        <f>IFERROR(__xludf.DUMMYFUNCTION("""COMPUTED_VALUE"""),"application/pdf")</f>
        <v>application/pdf</v>
      </c>
    </row>
    <row r="1124">
      <c r="A1124" s="147" t="str">
        <f>IFERROR(__xludf.DUMMYFUNCTION("""COMPUTED_VALUE"""),"10.1037/a0025883")</f>
        <v>10.1037/a0025883</v>
      </c>
      <c r="B1124" s="453" t="str">
        <f>IFERROR(__xludf.DUMMYFUNCTION("""COMPUTED_VALUE"""),"https://drive.google.com/file/d/1bRLs3S0AT2q1kxpgqs8O2vQssNN1LQOi/view?usp=drivesdk")</f>
        <v>https://drive.google.com/file/d/1bRLs3S0AT2q1kxpgqs8O2vQssNN1LQOi/view?usp=drivesdk</v>
      </c>
      <c r="C1124" s="147" t="str">
        <f>IFERROR(__xludf.DUMMYFUNCTION("""COMPUTED_VALUE"""),"10.1037--a0025883.pdf")</f>
        <v>10.1037--a0025883.pdf</v>
      </c>
      <c r="D1124" s="147" t="str">
        <f>IFERROR(__xludf.DUMMYFUNCTION("""COMPUTED_VALUE"""),"application/pdf")</f>
        <v>application/pdf</v>
      </c>
    </row>
    <row r="1125">
      <c r="A1125" s="147" t="str">
        <f>IFERROR(__xludf.DUMMYFUNCTION("""COMPUTED_VALUE"""),"10.1037/a0023527")</f>
        <v>10.1037/a0023527</v>
      </c>
      <c r="B1125" s="453" t="str">
        <f>IFERROR(__xludf.DUMMYFUNCTION("""COMPUTED_VALUE"""),"https://drive.google.com/file/d/1QDNRrzD1VCOwR4bsx3QJgYLm2e6VV-no/view?usp=drivesdk")</f>
        <v>https://drive.google.com/file/d/1QDNRrzD1VCOwR4bsx3QJgYLm2e6VV-no/view?usp=drivesdk</v>
      </c>
      <c r="C1125" s="147" t="str">
        <f>IFERROR(__xludf.DUMMYFUNCTION("""COMPUTED_VALUE"""),"10.1037--a0023527.pdf")</f>
        <v>10.1037--a0023527.pdf</v>
      </c>
      <c r="D1125" s="147" t="str">
        <f>IFERROR(__xludf.DUMMYFUNCTION("""COMPUTED_VALUE"""),"application/pdf")</f>
        <v>application/pdf</v>
      </c>
    </row>
    <row r="1126">
      <c r="A1126" s="147" t="str">
        <f>IFERROR(__xludf.DUMMYFUNCTION("""COMPUTED_VALUE"""),"10.1037/a0021524")</f>
        <v>10.1037/a0021524</v>
      </c>
      <c r="B1126" s="453" t="str">
        <f>IFERROR(__xludf.DUMMYFUNCTION("""COMPUTED_VALUE"""),"https://drive.google.com/file/d/1Sg7pV5-MRMEfG7acPaIDjV0AQ3yqElU4/view?usp=drivesdk")</f>
        <v>https://drive.google.com/file/d/1Sg7pV5-MRMEfG7acPaIDjV0AQ3yqElU4/view?usp=drivesdk</v>
      </c>
      <c r="C1126" s="147" t="str">
        <f>IFERROR(__xludf.DUMMYFUNCTION("""COMPUTED_VALUE"""),"10.1037--a0021524.pdf")</f>
        <v>10.1037--a0021524.pdf</v>
      </c>
      <c r="D1126" s="147" t="str">
        <f>IFERROR(__xludf.DUMMYFUNCTION("""COMPUTED_VALUE"""),"application/pdf")</f>
        <v>application/pdf</v>
      </c>
    </row>
    <row r="1127">
      <c r="A1127" s="147" t="str">
        <f>IFERROR(__xludf.DUMMYFUNCTION("""COMPUTED_VALUE"""),"10.1037/a0020757")</f>
        <v>10.1037/a0020757</v>
      </c>
      <c r="B1127" s="453" t="str">
        <f>IFERROR(__xludf.DUMMYFUNCTION("""COMPUTED_VALUE"""),"https://drive.google.com/file/d/1bVACFlgExLyf1CCoBeLzElMk1QbAZYSW/view?usp=drivesdk")</f>
        <v>https://drive.google.com/file/d/1bVACFlgExLyf1CCoBeLzElMk1QbAZYSW/view?usp=drivesdk</v>
      </c>
      <c r="C1127" s="147" t="str">
        <f>IFERROR(__xludf.DUMMYFUNCTION("""COMPUTED_VALUE"""),"10.1037--a0020757.pdf")</f>
        <v>10.1037--a0020757.pdf</v>
      </c>
      <c r="D1127" s="147" t="str">
        <f>IFERROR(__xludf.DUMMYFUNCTION("""COMPUTED_VALUE"""),"application/pdf")</f>
        <v>application/pdf</v>
      </c>
    </row>
    <row r="1128">
      <c r="A1128" s="147" t="str">
        <f>IFERROR(__xludf.DUMMYFUNCTION("""COMPUTED_VALUE"""),"10.1037/a0019689")</f>
        <v>10.1037/a0019689</v>
      </c>
      <c r="B1128" s="453" t="str">
        <f>IFERROR(__xludf.DUMMYFUNCTION("""COMPUTED_VALUE"""),"https://drive.google.com/file/d/1_IO4PdoMe7l8Q03W9hLBkKiHGidC5w-t/view?usp=drivesdk")</f>
        <v>https://drive.google.com/file/d/1_IO4PdoMe7l8Q03W9hLBkKiHGidC5w-t/view?usp=drivesdk</v>
      </c>
      <c r="C1128" s="147" t="str">
        <f>IFERROR(__xludf.DUMMYFUNCTION("""COMPUTED_VALUE"""),"10.1037--a0019689.pdf")</f>
        <v>10.1037--a0019689.pdf</v>
      </c>
      <c r="D1128" s="147" t="str">
        <f>IFERROR(__xludf.DUMMYFUNCTION("""COMPUTED_VALUE"""),"application/pdf")</f>
        <v>application/pdf</v>
      </c>
    </row>
    <row r="1129">
      <c r="A1129" s="147" t="str">
        <f>IFERROR(__xludf.DUMMYFUNCTION("""COMPUTED_VALUE"""),"10.1037/a0015141")</f>
        <v>10.1037/a0015141</v>
      </c>
      <c r="B1129" s="453" t="str">
        <f>IFERROR(__xludf.DUMMYFUNCTION("""COMPUTED_VALUE"""),"https://drive.google.com/file/d/1hVohJjrePDnbP3YuG-OoIFpV1SI20xvZ/view?usp=drivesdk")</f>
        <v>https://drive.google.com/file/d/1hVohJjrePDnbP3YuG-OoIFpV1SI20xvZ/view?usp=drivesdk</v>
      </c>
      <c r="C1129" s="147" t="str">
        <f>IFERROR(__xludf.DUMMYFUNCTION("""COMPUTED_VALUE"""),"10.1037--a0015141.pdf")</f>
        <v>10.1037--a0015141.pdf</v>
      </c>
      <c r="D1129" s="147" t="str">
        <f>IFERROR(__xludf.DUMMYFUNCTION("""COMPUTED_VALUE"""),"application/pdf")</f>
        <v>application/pdf</v>
      </c>
    </row>
    <row r="1130">
      <c r="A1130" s="147" t="str">
        <f>IFERROR(__xludf.DUMMYFUNCTION("""COMPUTED_VALUE"""),"10.1037/a0015960")</f>
        <v>10.1037/a0015960</v>
      </c>
      <c r="B1130" s="453" t="str">
        <f>IFERROR(__xludf.DUMMYFUNCTION("""COMPUTED_VALUE"""),"https://drive.google.com/file/d/1hz1780nNZDOTtNpiczqkkXabV668BcRE/view?usp=drivesdk")</f>
        <v>https://drive.google.com/file/d/1hz1780nNZDOTtNpiczqkkXabV668BcRE/view?usp=drivesdk</v>
      </c>
      <c r="C1130" s="147" t="str">
        <f>IFERROR(__xludf.DUMMYFUNCTION("""COMPUTED_VALUE"""),"10.1037--a0015960.pdf")</f>
        <v>10.1037--a0015960.pdf</v>
      </c>
      <c r="D1130" s="147" t="str">
        <f>IFERROR(__xludf.DUMMYFUNCTION("""COMPUTED_VALUE"""),"application/pdf")</f>
        <v>application/pdf</v>
      </c>
    </row>
    <row r="1131">
      <c r="A1131" s="147" t="str">
        <f>IFERROR(__xludf.DUMMYFUNCTION("""COMPUTED_VALUE"""),"10.1037/a0013748")</f>
        <v>10.1037/a0013748</v>
      </c>
      <c r="B1131" s="453" t="str">
        <f>IFERROR(__xludf.DUMMYFUNCTION("""COMPUTED_VALUE"""),"https://drive.google.com/file/d/13LERMC05_TVKu6xv7g91wRtXxu0ET1Tj/view?usp=drivesdk")</f>
        <v>https://drive.google.com/file/d/13LERMC05_TVKu6xv7g91wRtXxu0ET1Tj/view?usp=drivesdk</v>
      </c>
      <c r="C1131" s="147" t="str">
        <f>IFERROR(__xludf.DUMMYFUNCTION("""COMPUTED_VALUE"""),"10.1037--a0013748.pdf")</f>
        <v>10.1037--a0013748.pdf</v>
      </c>
      <c r="D1131" s="147" t="str">
        <f>IFERROR(__xludf.DUMMYFUNCTION("""COMPUTED_VALUE"""),"application/pdf")</f>
        <v>application/pdf</v>
      </c>
    </row>
    <row r="1132">
      <c r="A1132" s="147" t="str">
        <f>IFERROR(__xludf.DUMMYFUNCTION("""COMPUTED_VALUE"""),"10.1037/a0012833")</f>
        <v>10.1037/a0012833</v>
      </c>
      <c r="B1132" s="453" t="str">
        <f>IFERROR(__xludf.DUMMYFUNCTION("""COMPUTED_VALUE"""),"https://drive.google.com/file/d/1HpcHlK2DyzZieaRbX6Fr0ov7Mf_R671v/view?usp=drivesdk")</f>
        <v>https://drive.google.com/file/d/1HpcHlK2DyzZieaRbX6Fr0ov7Mf_R671v/view?usp=drivesdk</v>
      </c>
      <c r="C1132" s="147" t="str">
        <f>IFERROR(__xludf.DUMMYFUNCTION("""COMPUTED_VALUE"""),"10.1037--a0012833.pdf")</f>
        <v>10.1037--a0012833.pdf</v>
      </c>
      <c r="D1132" s="147" t="str">
        <f>IFERROR(__xludf.DUMMYFUNCTION("""COMPUTED_VALUE"""),"application/pdf")</f>
        <v>application/pdf</v>
      </c>
    </row>
    <row r="1133">
      <c r="A1133" s="147" t="str">
        <f>IFERROR(__xludf.DUMMYFUNCTION("""COMPUTED_VALUE"""),"10.1037/a0012518")</f>
        <v>10.1037/a0012518</v>
      </c>
      <c r="B1133" s="453" t="str">
        <f>IFERROR(__xludf.DUMMYFUNCTION("""COMPUTED_VALUE"""),"https://drive.google.com/file/d/1EyYPChGeuUzTKHlHU2xIK7B3AxTGwtfO/view?usp=drivesdk")</f>
        <v>https://drive.google.com/file/d/1EyYPChGeuUzTKHlHU2xIK7B3AxTGwtfO/view?usp=drivesdk</v>
      </c>
      <c r="C1133" s="147" t="str">
        <f>IFERROR(__xludf.DUMMYFUNCTION("""COMPUTED_VALUE"""),"10.1037--a0012518.pdf")</f>
        <v>10.1037--a0012518.pdf</v>
      </c>
      <c r="D1133" s="147" t="str">
        <f>IFERROR(__xludf.DUMMYFUNCTION("""COMPUTED_VALUE"""),"application/pdf")</f>
        <v>application/pdf</v>
      </c>
    </row>
    <row r="1134">
      <c r="A1134" s="147" t="str">
        <f>IFERROR(__xludf.DUMMYFUNCTION("""COMPUTED_VALUE"""),"10.1037/1089-2699.6.1.101")</f>
        <v>10.1037/1089-2699.6.1.101</v>
      </c>
      <c r="B1134" s="453" t="str">
        <f>IFERROR(__xludf.DUMMYFUNCTION("""COMPUTED_VALUE"""),"https://drive.google.com/file/d/120bw0itAYyHMiW9T7e3mTuddlQMPW3x8/view?usp=drivesdk")</f>
        <v>https://drive.google.com/file/d/120bw0itAYyHMiW9T7e3mTuddlQMPW3x8/view?usp=drivesdk</v>
      </c>
      <c r="C1134" s="147" t="str">
        <f>IFERROR(__xludf.DUMMYFUNCTION("""COMPUTED_VALUE"""),"10.1037--1089-2699.6.1.101.pdf")</f>
        <v>10.1037--1089-2699.6.1.101.pdf</v>
      </c>
      <c r="D1134" s="147" t="str">
        <f>IFERROR(__xludf.DUMMYFUNCTION("""COMPUTED_VALUE"""),"application/pdf")</f>
        <v>application/pdf</v>
      </c>
    </row>
    <row r="1135">
      <c r="A1135" s="147" t="str">
        <f>IFERROR(__xludf.DUMMYFUNCTION("""COMPUTED_VALUE"""),"10.1037/0893-3200.17.4.460")</f>
        <v>10.1037/0893-3200.17.4.460</v>
      </c>
      <c r="B1135" s="453" t="str">
        <f>IFERROR(__xludf.DUMMYFUNCTION("""COMPUTED_VALUE"""),"https://drive.google.com/file/d/15-xZoziBIfRM1RNSkhWBwkJIkhndLjdq/view?usp=drivesdk")</f>
        <v>https://drive.google.com/file/d/15-xZoziBIfRM1RNSkhWBwkJIkhndLjdq/view?usp=drivesdk</v>
      </c>
      <c r="C1135" s="147" t="str">
        <f>IFERROR(__xludf.DUMMYFUNCTION("""COMPUTED_VALUE"""),"10.1037--0893-3200.17.4.460.pdf")</f>
        <v>10.1037--0893-3200.17.4.460.pdf</v>
      </c>
      <c r="D1135" s="147" t="str">
        <f>IFERROR(__xludf.DUMMYFUNCTION("""COMPUTED_VALUE"""),"application/pdf")</f>
        <v>application/pdf</v>
      </c>
    </row>
    <row r="1136">
      <c r="A1136" s="147" t="str">
        <f>IFERROR(__xludf.DUMMYFUNCTION("""COMPUTED_VALUE"""),"10.1037/0278-7393.34.3.546")</f>
        <v>10.1037/0278-7393.34.3.546</v>
      </c>
      <c r="B1136" s="453" t="str">
        <f>IFERROR(__xludf.DUMMYFUNCTION("""COMPUTED_VALUE"""),"https://drive.google.com/file/d/1DqdONyqsLP1eg0rgW71wKdPbcflRStOn/view?usp=drivesdk")</f>
        <v>https://drive.google.com/file/d/1DqdONyqsLP1eg0rgW71wKdPbcflRStOn/view?usp=drivesdk</v>
      </c>
      <c r="C1136" s="147" t="str">
        <f>IFERROR(__xludf.DUMMYFUNCTION("""COMPUTED_VALUE"""),"10.1037--0278-7393.34.3.546.pdf")</f>
        <v>10.1037--0278-7393.34.3.546.pdf</v>
      </c>
      <c r="D1136" s="147" t="str">
        <f>IFERROR(__xludf.DUMMYFUNCTION("""COMPUTED_VALUE"""),"application/pdf")</f>
        <v>application/pdf</v>
      </c>
    </row>
    <row r="1137">
      <c r="A1137" s="147" t="str">
        <f>IFERROR(__xludf.DUMMYFUNCTION("""COMPUTED_VALUE"""),"10.1037/0278-7393.34.3.533")</f>
        <v>10.1037/0278-7393.34.3.533</v>
      </c>
      <c r="B1137" s="453" t="str">
        <f>IFERROR(__xludf.DUMMYFUNCTION("""COMPUTED_VALUE"""),"https://drive.google.com/file/d/1xLqo3pcQbvof4dFTirs6WvJ7tevRvXKz/view?usp=drivesdk")</f>
        <v>https://drive.google.com/file/d/1xLqo3pcQbvof4dFTirs6WvJ7tevRvXKz/view?usp=drivesdk</v>
      </c>
      <c r="C1137" s="147" t="str">
        <f>IFERROR(__xludf.DUMMYFUNCTION("""COMPUTED_VALUE"""),"10.1037--0278-7393.34.3.533.pdf")</f>
        <v>10.1037--0278-7393.34.3.533.pdf</v>
      </c>
      <c r="D1137" s="147" t="str">
        <f>IFERROR(__xludf.DUMMYFUNCTION("""COMPUTED_VALUE"""),"application/pdf")</f>
        <v>application/pdf</v>
      </c>
    </row>
    <row r="1138">
      <c r="A1138" s="147" t="str">
        <f>IFERROR(__xludf.DUMMYFUNCTION("""COMPUTED_VALUE"""),"10.1037/0278-7393.34.3.514")</f>
        <v>10.1037/0278-7393.34.3.514</v>
      </c>
      <c r="B1138" s="453" t="str">
        <f>IFERROR(__xludf.DUMMYFUNCTION("""COMPUTED_VALUE"""),"https://drive.google.com/file/d/19iYi-koeR6fi39K_iI9D0SdOP6whI2f7/view?usp=drivesdk")</f>
        <v>https://drive.google.com/file/d/19iYi-koeR6fi39K_iI9D0SdOP6whI2f7/view?usp=drivesdk</v>
      </c>
      <c r="C1138" s="147" t="str">
        <f>IFERROR(__xludf.DUMMYFUNCTION("""COMPUTED_VALUE"""),"10.1037--0278-7393.34.3.514.pdf")</f>
        <v>10.1037--0278-7393.34.3.514.pdf</v>
      </c>
      <c r="D1138" s="147" t="str">
        <f>IFERROR(__xludf.DUMMYFUNCTION("""COMPUTED_VALUE"""),"application/pdf")</f>
        <v>application/pdf</v>
      </c>
    </row>
    <row r="1139">
      <c r="A1139" s="147" t="str">
        <f>IFERROR(__xludf.DUMMYFUNCTION("""COMPUTED_VALUE"""),"10.1037/0278-7393.34.3.524")</f>
        <v>10.1037/0278-7393.34.3.524</v>
      </c>
      <c r="B1139" s="453" t="str">
        <f>IFERROR(__xludf.DUMMYFUNCTION("""COMPUTED_VALUE"""),"https://drive.google.com/file/d/1EbrmM7VFUrWNPY8NxA_ziNU_qOGIUYVa/view?usp=drivesdk")</f>
        <v>https://drive.google.com/file/d/1EbrmM7VFUrWNPY8NxA_ziNU_qOGIUYVa/view?usp=drivesdk</v>
      </c>
      <c r="C1139" s="147" t="str">
        <f>IFERROR(__xludf.DUMMYFUNCTION("""COMPUTED_VALUE"""),"10.1037--0278-7393.34.3.524.pdf")</f>
        <v>10.1037--0278-7393.34.3.524.pdf</v>
      </c>
      <c r="D1139" s="147" t="str">
        <f>IFERROR(__xludf.DUMMYFUNCTION("""COMPUTED_VALUE"""),"application/pdf")</f>
        <v>application/pdf</v>
      </c>
    </row>
    <row r="1140">
      <c r="A1140" s="147" t="str">
        <f>IFERROR(__xludf.DUMMYFUNCTION("""COMPUTED_VALUE"""),"10.1037/0278-7393.34.3.495")</f>
        <v>10.1037/0278-7393.34.3.495</v>
      </c>
      <c r="B1140" s="453" t="str">
        <f>IFERROR(__xludf.DUMMYFUNCTION("""COMPUTED_VALUE"""),"https://drive.google.com/file/d/1ycY8rorKC9FDqVeTFdgVQQrTEuktcPox/view?usp=drivesdk")</f>
        <v>https://drive.google.com/file/d/1ycY8rorKC9FDqVeTFdgVQQrTEuktcPox/view?usp=drivesdk</v>
      </c>
      <c r="C1140" s="147" t="str">
        <f>IFERROR(__xludf.DUMMYFUNCTION("""COMPUTED_VALUE"""),"10.1037--0278-7393.34.3.495.pdf")</f>
        <v>10.1037--0278-7393.34.3.495.pdf</v>
      </c>
      <c r="D1140" s="147" t="str">
        <f>IFERROR(__xludf.DUMMYFUNCTION("""COMPUTED_VALUE"""),"application/pdf")</f>
        <v>application/pdf</v>
      </c>
    </row>
    <row r="1141">
      <c r="A1141" s="147" t="str">
        <f>IFERROR(__xludf.DUMMYFUNCTION("""COMPUTED_VALUE"""),"10.1037/0278-7393.34.3.478")</f>
        <v>10.1037/0278-7393.34.3.478</v>
      </c>
      <c r="B1141" s="453" t="str">
        <f>IFERROR(__xludf.DUMMYFUNCTION("""COMPUTED_VALUE"""),"https://drive.google.com/file/d/1NiPCpcI4sxnM3OTJQdqenG265Dkr8hRb/view?usp=drivesdk")</f>
        <v>https://drive.google.com/file/d/1NiPCpcI4sxnM3OTJQdqenG265Dkr8hRb/view?usp=drivesdk</v>
      </c>
      <c r="C1141" s="147" t="str">
        <f>IFERROR(__xludf.DUMMYFUNCTION("""COMPUTED_VALUE"""),"10.1037--0278-7393.34.3.478.pdf")</f>
        <v>10.1037--0278-7393.34.3.478.pdf</v>
      </c>
      <c r="D1141" s="147" t="str">
        <f>IFERROR(__xludf.DUMMYFUNCTION("""COMPUTED_VALUE"""),"application/pdf")</f>
        <v>application/pdf</v>
      </c>
    </row>
    <row r="1142">
      <c r="A1142" s="147" t="str">
        <f>IFERROR(__xludf.DUMMYFUNCTION("""COMPUTED_VALUE"""),"10.1037/0278-7393.34.3.439")</f>
        <v>10.1037/0278-7393.34.3.439</v>
      </c>
      <c r="B1142" s="453" t="str">
        <f>IFERROR(__xludf.DUMMYFUNCTION("""COMPUTED_VALUE"""),"https://drive.google.com/file/d/128D_xuWagaOC3zKfGWUi8CFf7zReyViC/view?usp=drivesdk")</f>
        <v>https://drive.google.com/file/d/128D_xuWagaOC3zKfGWUi8CFf7zReyViC/view?usp=drivesdk</v>
      </c>
      <c r="C1142" s="147" t="str">
        <f>IFERROR(__xludf.DUMMYFUNCTION("""COMPUTED_VALUE"""),"10.1037--0278-7393.34.3.439.pdf")</f>
        <v>10.1037--0278-7393.34.3.439.pdf</v>
      </c>
      <c r="D1142" s="147" t="str">
        <f>IFERROR(__xludf.DUMMYFUNCTION("""COMPUTED_VALUE"""),"application/pdf")</f>
        <v>application/pdf</v>
      </c>
    </row>
    <row r="1143">
      <c r="A1143" s="147" t="str">
        <f>IFERROR(__xludf.DUMMYFUNCTION("""COMPUTED_VALUE"""),"10.1037/0278-7393.34.3.460")</f>
        <v>10.1037/0278-7393.34.3.460</v>
      </c>
      <c r="B1143" s="453" t="str">
        <f>IFERROR(__xludf.DUMMYFUNCTION("""COMPUTED_VALUE"""),"https://drive.google.com/file/d/12RwvQLmV6wPAqPP_X6JgA8Qo27g_8SJK/view?usp=drivesdk")</f>
        <v>https://drive.google.com/file/d/12RwvQLmV6wPAqPP_X6JgA8Qo27g_8SJK/view?usp=drivesdk</v>
      </c>
      <c r="C1143" s="147" t="str">
        <f>IFERROR(__xludf.DUMMYFUNCTION("""COMPUTED_VALUE"""),"10.1037--0278-7393.34.3.460.pdf")</f>
        <v>10.1037--0278-7393.34.3.460.pdf</v>
      </c>
      <c r="D1143" s="147" t="str">
        <f>IFERROR(__xludf.DUMMYFUNCTION("""COMPUTED_VALUE"""),"application/pdf")</f>
        <v>application/pdf</v>
      </c>
    </row>
    <row r="1144">
      <c r="A1144" s="147" t="str">
        <f>IFERROR(__xludf.DUMMYFUNCTION("""COMPUTED_VALUE"""),"10.1037/0278-7393.34.2.422")</f>
        <v>10.1037/0278-7393.34.2.422</v>
      </c>
      <c r="B1144" s="453" t="str">
        <f>IFERROR(__xludf.DUMMYFUNCTION("""COMPUTED_VALUE"""),"https://drive.google.com/file/d/1P8Hm5KaZpuFw07NdNh7BSk7XVf85qUvU/view?usp=drivesdk")</f>
        <v>https://drive.google.com/file/d/1P8Hm5KaZpuFw07NdNh7BSk7XVf85qUvU/view?usp=drivesdk</v>
      </c>
      <c r="C1144" s="147" t="str">
        <f>IFERROR(__xludf.DUMMYFUNCTION("""COMPUTED_VALUE"""),"10.1037--0278-7393.34.2.422.pdf")</f>
        <v>10.1037--0278-7393.34.2.422.pdf</v>
      </c>
      <c r="D1144" s="147" t="str">
        <f>IFERROR(__xludf.DUMMYFUNCTION("""COMPUTED_VALUE"""),"application/pdf")</f>
        <v>application/pdf</v>
      </c>
    </row>
    <row r="1145">
      <c r="A1145" s="147" t="str">
        <f>IFERROR(__xludf.DUMMYFUNCTION("""COMPUTED_VALUE"""),"10.1037/0278-7393.34.2.430")</f>
        <v>10.1037/0278-7393.34.2.430</v>
      </c>
      <c r="B1145" s="453" t="str">
        <f>IFERROR(__xludf.DUMMYFUNCTION("""COMPUTED_VALUE"""),"https://drive.google.com/file/d/1dnoOFsITQ-OlW3SSnEP3gasruwHVCneM/view?usp=drivesdk")</f>
        <v>https://drive.google.com/file/d/1dnoOFsITQ-OlW3SSnEP3gasruwHVCneM/view?usp=drivesdk</v>
      </c>
      <c r="C1145" s="147" t="str">
        <f>IFERROR(__xludf.DUMMYFUNCTION("""COMPUTED_VALUE"""),"10.1037--0278-7393.34.2.430.pdf")</f>
        <v>10.1037--0278-7393.34.2.430.pdf</v>
      </c>
      <c r="D1145" s="147" t="str">
        <f>IFERROR(__xludf.DUMMYFUNCTION("""COMPUTED_VALUE"""),"application/pdf")</f>
        <v>application/pdf</v>
      </c>
    </row>
    <row r="1146">
      <c r="A1146" s="147" t="str">
        <f>IFERROR(__xludf.DUMMYFUNCTION("""COMPUTED_VALUE"""),"10.1037/0278-7393.34.2.415")</f>
        <v>10.1037/0278-7393.34.2.415</v>
      </c>
      <c r="B1146" s="453" t="str">
        <f>IFERROR(__xludf.DUMMYFUNCTION("""COMPUTED_VALUE"""),"https://drive.google.com/file/d/1jZMmibrF0qP1C-7eRJEcXJL4O_ztSG2B/view?usp=drivesdk")</f>
        <v>https://drive.google.com/file/d/1jZMmibrF0qP1C-7eRJEcXJL4O_ztSG2B/view?usp=drivesdk</v>
      </c>
      <c r="C1146" s="147" t="str">
        <f>IFERROR(__xludf.DUMMYFUNCTION("""COMPUTED_VALUE"""),"10.1037--0278-7393.34.2.415.pdf")</f>
        <v>10.1037--0278-7393.34.2.415.pdf</v>
      </c>
      <c r="D1146" s="147" t="str">
        <f>IFERROR(__xludf.DUMMYFUNCTION("""COMPUTED_VALUE"""),"application/pdf")</f>
        <v>application/pdf</v>
      </c>
    </row>
    <row r="1147">
      <c r="A1147" s="147" t="str">
        <f>IFERROR(__xludf.DUMMYFUNCTION("""COMPUTED_VALUE"""),"10.1037/0278-7393.34.2.408")</f>
        <v>10.1037/0278-7393.34.2.408</v>
      </c>
      <c r="B1147" s="453" t="str">
        <f>IFERROR(__xludf.DUMMYFUNCTION("""COMPUTED_VALUE"""),"https://drive.google.com/file/d/1jBszlwOALWIwLYvif4D3xVGXucPXKUwU/view?usp=drivesdk")</f>
        <v>https://drive.google.com/file/d/1jBszlwOALWIwLYvif4D3xVGXucPXKUwU/view?usp=drivesdk</v>
      </c>
      <c r="C1147" s="147" t="str">
        <f>IFERROR(__xludf.DUMMYFUNCTION("""COMPUTED_VALUE"""),"10.1037--0278-7393.34.2.408.pdf")</f>
        <v>10.1037--0278-7393.34.2.408.pdf</v>
      </c>
      <c r="D1147" s="147" t="str">
        <f>IFERROR(__xludf.DUMMYFUNCTION("""COMPUTED_VALUE"""),"application/pdf")</f>
        <v>application/pdf</v>
      </c>
    </row>
    <row r="1148">
      <c r="A1148" s="147" t="str">
        <f>IFERROR(__xludf.DUMMYFUNCTION("""COMPUTED_VALUE"""),"10.1037/0278-7393.34.2.381")</f>
        <v>10.1037/0278-7393.34.2.381</v>
      </c>
      <c r="B1148" s="453" t="str">
        <f>IFERROR(__xludf.DUMMYFUNCTION("""COMPUTED_VALUE"""),"https://drive.google.com/file/d/1lWEjtXsosG3uPn1h67AzaUXydMvmlJWW/view?usp=drivesdk")</f>
        <v>https://drive.google.com/file/d/1lWEjtXsosG3uPn1h67AzaUXydMvmlJWW/view?usp=drivesdk</v>
      </c>
      <c r="C1148" s="147" t="str">
        <f>IFERROR(__xludf.DUMMYFUNCTION("""COMPUTED_VALUE"""),"10.1037--0278-7393.34.2.381.pdf")</f>
        <v>10.1037--0278-7393.34.2.381.pdf</v>
      </c>
      <c r="D1148" s="147" t="str">
        <f>IFERROR(__xludf.DUMMYFUNCTION("""COMPUTED_VALUE"""),"application/pdf")</f>
        <v>application/pdf</v>
      </c>
    </row>
    <row r="1149">
      <c r="A1149" s="147" t="str">
        <f>IFERROR(__xludf.DUMMYFUNCTION("""COMPUTED_VALUE"""),"10.1037/0278-7393.34.2.399")</f>
        <v>10.1037/0278-7393.34.2.399</v>
      </c>
      <c r="B1149" s="453" t="str">
        <f>IFERROR(__xludf.DUMMYFUNCTION("""COMPUTED_VALUE"""),"https://drive.google.com/file/d/1y0oKhgHFMs_nXH4ufYi5ZaxDoesUnD71/view?usp=drivesdk")</f>
        <v>https://drive.google.com/file/d/1y0oKhgHFMs_nXH4ufYi5ZaxDoesUnD71/view?usp=drivesdk</v>
      </c>
      <c r="C1149" s="147" t="str">
        <f>IFERROR(__xludf.DUMMYFUNCTION("""COMPUTED_VALUE"""),"10.1037--0278-7393.34.2.399.pdf")</f>
        <v>10.1037--0278-7393.34.2.399.pdf</v>
      </c>
      <c r="D1149" s="147" t="str">
        <f>IFERROR(__xludf.DUMMYFUNCTION("""COMPUTED_VALUE"""),"application/pdf")</f>
        <v>application/pdf</v>
      </c>
    </row>
    <row r="1150">
      <c r="A1150" s="147" t="str">
        <f>IFERROR(__xludf.DUMMYFUNCTION("""COMPUTED_VALUE"""),"10.1037/0278-7393.34.2.369")</f>
        <v>10.1037/0278-7393.34.2.369</v>
      </c>
      <c r="B1150" s="453" t="str">
        <f>IFERROR(__xludf.DUMMYFUNCTION("""COMPUTED_VALUE"""),"https://drive.google.com/file/d/15LyeMLPtv2yK2REXBqDLC63QQhUXXDVm/view?usp=drivesdk")</f>
        <v>https://drive.google.com/file/d/15LyeMLPtv2yK2REXBqDLC63QQhUXXDVm/view?usp=drivesdk</v>
      </c>
      <c r="C1150" s="147" t="str">
        <f>IFERROR(__xludf.DUMMYFUNCTION("""COMPUTED_VALUE"""),"10.1037--0278-7393.34.2.369.pdf")</f>
        <v>10.1037--0278-7393.34.2.369.pdf</v>
      </c>
      <c r="D1150" s="147" t="str">
        <f>IFERROR(__xludf.DUMMYFUNCTION("""COMPUTED_VALUE"""),"application/pdf")</f>
        <v>application/pdf</v>
      </c>
    </row>
    <row r="1151">
      <c r="A1151" s="147" t="str">
        <f>IFERROR(__xludf.DUMMYFUNCTION("""COMPUTED_VALUE"""),"10.1037/0278-7393.34.2.353")</f>
        <v>10.1037/0278-7393.34.2.353</v>
      </c>
      <c r="B1151" s="453" t="str">
        <f>IFERROR(__xludf.DUMMYFUNCTION("""COMPUTED_VALUE"""),"https://drive.google.com/file/d/10N0LzNT1GTgGgvA6UUZUXzIdwFBBm26w/view?usp=drivesdk")</f>
        <v>https://drive.google.com/file/d/10N0LzNT1GTgGgvA6UUZUXzIdwFBBm26w/view?usp=drivesdk</v>
      </c>
      <c r="C1151" s="147" t="str">
        <f>IFERROR(__xludf.DUMMYFUNCTION("""COMPUTED_VALUE"""),"10.1037--0278-7393.34.2.353.pdf")</f>
        <v>10.1037--0278-7393.34.2.353.pdf</v>
      </c>
      <c r="D1151" s="147" t="str">
        <f>IFERROR(__xludf.DUMMYFUNCTION("""COMPUTED_VALUE"""),"application/pdf")</f>
        <v>application/pdf</v>
      </c>
    </row>
    <row r="1152">
      <c r="A1152" s="147" t="str">
        <f>IFERROR(__xludf.DUMMYFUNCTION("""COMPUTED_VALUE"""),"10.1037/0278-7393.34.2.343")</f>
        <v>10.1037/0278-7393.34.2.343</v>
      </c>
      <c r="B1152" s="453" t="str">
        <f>IFERROR(__xludf.DUMMYFUNCTION("""COMPUTED_VALUE"""),"https://drive.google.com/file/d/1btjIxPMyuU5I6jNMm9c2DuyFxN8Pze7t/view?usp=drivesdk")</f>
        <v>https://drive.google.com/file/d/1btjIxPMyuU5I6jNMm9c2DuyFxN8Pze7t/view?usp=drivesdk</v>
      </c>
      <c r="C1152" s="147" t="str">
        <f>IFERROR(__xludf.DUMMYFUNCTION("""COMPUTED_VALUE"""),"10.1037--0278-7393.34.2.343.pdf")</f>
        <v>10.1037--0278-7393.34.2.343.pdf</v>
      </c>
      <c r="D1152" s="147" t="str">
        <f>IFERROR(__xludf.DUMMYFUNCTION("""COMPUTED_VALUE"""),"application/pdf")</f>
        <v>application/pdf</v>
      </c>
    </row>
    <row r="1153">
      <c r="A1153" s="147" t="str">
        <f>IFERROR(__xludf.DUMMYFUNCTION("""COMPUTED_VALUE"""),"10.1037/0278-7393.34.2.328")</f>
        <v>10.1037/0278-7393.34.2.328</v>
      </c>
      <c r="B1153" s="453" t="str">
        <f>IFERROR(__xludf.DUMMYFUNCTION("""COMPUTED_VALUE"""),"https://drive.google.com/file/d/1xWBya8BVfE1sTB6yhxybNTqOYxEnPWZU/view?usp=drivesdk")</f>
        <v>https://drive.google.com/file/d/1xWBya8BVfE1sTB6yhxybNTqOYxEnPWZU/view?usp=drivesdk</v>
      </c>
      <c r="C1153" s="147" t="str">
        <f>IFERROR(__xludf.DUMMYFUNCTION("""COMPUTED_VALUE"""),"10.1037--0278-7393.34.2.328.pdf")</f>
        <v>10.1037--0278-7393.34.2.328.pdf</v>
      </c>
      <c r="D1153" s="147" t="str">
        <f>IFERROR(__xludf.DUMMYFUNCTION("""COMPUTED_VALUE"""),"application/pdf")</f>
        <v>application/pdf</v>
      </c>
    </row>
    <row r="1154">
      <c r="A1154" s="147" t="str">
        <f>IFERROR(__xludf.DUMMYFUNCTION("""COMPUTED_VALUE"""),"10.1037/0278-7393.34.2.313")</f>
        <v>10.1037/0278-7393.34.2.313</v>
      </c>
      <c r="B1154" s="453" t="str">
        <f>IFERROR(__xludf.DUMMYFUNCTION("""COMPUTED_VALUE"""),"https://drive.google.com/file/d/14Sp-rGYXqQVyuRmTeLQtmwZJYE3030vb/view?usp=drivesdk")</f>
        <v>https://drive.google.com/file/d/14Sp-rGYXqQVyuRmTeLQtmwZJYE3030vb/view?usp=drivesdk</v>
      </c>
      <c r="C1154" s="147" t="str">
        <f>IFERROR(__xludf.DUMMYFUNCTION("""COMPUTED_VALUE"""),"10.1037--0278-7393.34.2.313.pdf")</f>
        <v>10.1037--0278-7393.34.2.313.pdf</v>
      </c>
      <c r="D1154" s="147" t="str">
        <f>IFERROR(__xludf.DUMMYFUNCTION("""COMPUTED_VALUE"""),"application/pdf")</f>
        <v>application/pdf</v>
      </c>
    </row>
    <row r="1155">
      <c r="A1155" s="147" t="str">
        <f>IFERROR(__xludf.DUMMYFUNCTION("""COMPUTED_VALUE"""),"10.1037/0278-7393.34.2.302")</f>
        <v>10.1037/0278-7393.34.2.302</v>
      </c>
      <c r="B1155" s="453" t="str">
        <f>IFERROR(__xludf.DUMMYFUNCTION("""COMPUTED_VALUE"""),"https://drive.google.com/file/d/13XRIYgF2yNC1qLHSQBITGa6oU0w9njVk/view?usp=drivesdk")</f>
        <v>https://drive.google.com/file/d/13XRIYgF2yNC1qLHSQBITGa6oU0w9njVk/view?usp=drivesdk</v>
      </c>
      <c r="C1155" s="147" t="str">
        <f>IFERROR(__xludf.DUMMYFUNCTION("""COMPUTED_VALUE"""),"10.1037--0278-7393.34.2.302.pdf")</f>
        <v>10.1037--0278-7393.34.2.302.pdf</v>
      </c>
      <c r="D1155" s="147" t="str">
        <f>IFERROR(__xludf.DUMMYFUNCTION("""COMPUTED_VALUE"""),"application/pdf")</f>
        <v>application/pdf</v>
      </c>
    </row>
    <row r="1156">
      <c r="A1156" s="147" t="str">
        <f>IFERROR(__xludf.DUMMYFUNCTION("""COMPUTED_VALUE"""),"10.1037/0278-7393.34.2.257")</f>
        <v>10.1037/0278-7393.34.2.257</v>
      </c>
      <c r="B1156" s="453" t="str">
        <f>IFERROR(__xludf.DUMMYFUNCTION("""COMPUTED_VALUE"""),"https://drive.google.com/file/d/1ILNp7MaC4OusbPANu-7wOS3KK98RWdcz/view?usp=drivesdk")</f>
        <v>https://drive.google.com/file/d/1ILNp7MaC4OusbPANu-7wOS3KK98RWdcz/view?usp=drivesdk</v>
      </c>
      <c r="C1156" s="147" t="str">
        <f>IFERROR(__xludf.DUMMYFUNCTION("""COMPUTED_VALUE"""),"10.1037--0278-7393.34.2.257.pdf")</f>
        <v>10.1037--0278-7393.34.2.257.pdf</v>
      </c>
      <c r="D1156" s="147" t="str">
        <f>IFERROR(__xludf.DUMMYFUNCTION("""COMPUTED_VALUE"""),"application/pdf")</f>
        <v>application/pdf</v>
      </c>
    </row>
    <row r="1157">
      <c r="A1157" s="147" t="str">
        <f>IFERROR(__xludf.DUMMYFUNCTION("""COMPUTED_VALUE"""),"10.1037/0278-7393.34.2.282")</f>
        <v>10.1037/0278-7393.34.2.282</v>
      </c>
      <c r="B1157" s="453" t="str">
        <f>IFERROR(__xludf.DUMMYFUNCTION("""COMPUTED_VALUE"""),"https://drive.google.com/file/d/1gGhVdcAfMLypZb8lB75H44xX4er1HFm3/view?usp=drivesdk")</f>
        <v>https://drive.google.com/file/d/1gGhVdcAfMLypZb8lB75H44xX4er1HFm3/view?usp=drivesdk</v>
      </c>
      <c r="C1157" s="147" t="str">
        <f>IFERROR(__xludf.DUMMYFUNCTION("""COMPUTED_VALUE"""),"10.1037--0278-7393.34.2.282.pdf")</f>
        <v>10.1037--0278-7393.34.2.282.pdf</v>
      </c>
      <c r="D1157" s="147" t="str">
        <f>IFERROR(__xludf.DUMMYFUNCTION("""COMPUTED_VALUE"""),"application/pdf")</f>
        <v>application/pdf</v>
      </c>
    </row>
    <row r="1158">
      <c r="A1158" s="147" t="str">
        <f>IFERROR(__xludf.DUMMYFUNCTION("""COMPUTED_VALUE"""),"10.1037/0278-7393.34.1.97")</f>
        <v>10.1037/0278-7393.34.1.97</v>
      </c>
      <c r="B1158" s="453" t="str">
        <f>IFERROR(__xludf.DUMMYFUNCTION("""COMPUTED_VALUE"""),"https://drive.google.com/file/d/16CJXCd6Rzqik5rD_iyUPgxYh8MalzPm4/view?usp=drivesdk")</f>
        <v>https://drive.google.com/file/d/16CJXCd6Rzqik5rD_iyUPgxYh8MalzPm4/view?usp=drivesdk</v>
      </c>
      <c r="C1158" s="147" t="str">
        <f>IFERROR(__xludf.DUMMYFUNCTION("""COMPUTED_VALUE"""),"10.1037--0278-7393.34.1.97.pdf")</f>
        <v>10.1037--0278-7393.34.1.97.pdf</v>
      </c>
      <c r="D1158" s="147" t="str">
        <f>IFERROR(__xludf.DUMMYFUNCTION("""COMPUTED_VALUE"""),"application/pdf")</f>
        <v>application/pdf</v>
      </c>
    </row>
    <row r="1159">
      <c r="A1159" s="147" t="str">
        <f>IFERROR(__xludf.DUMMYFUNCTION("""COMPUTED_VALUE"""),"10.1037/0278-7393.34.1.80")</f>
        <v>10.1037/0278-7393.34.1.80</v>
      </c>
      <c r="B1159" s="453" t="str">
        <f>IFERROR(__xludf.DUMMYFUNCTION("""COMPUTED_VALUE"""),"https://drive.google.com/file/d/16eIzUB6LjNl3GMULG3vB5p7EO1iC0SJ3/view?usp=drivesdk")</f>
        <v>https://drive.google.com/file/d/16eIzUB6LjNl3GMULG3vB5p7EO1iC0SJ3/view?usp=drivesdk</v>
      </c>
      <c r="C1159" s="147" t="str">
        <f>IFERROR(__xludf.DUMMYFUNCTION("""COMPUTED_VALUE"""),"10.1037--0278-7393.34.1.80.pdf")</f>
        <v>10.1037--0278-7393.34.1.80.pdf</v>
      </c>
      <c r="D1159" s="147" t="str">
        <f>IFERROR(__xludf.DUMMYFUNCTION("""COMPUTED_VALUE"""),"application/pdf")</f>
        <v>application/pdf</v>
      </c>
    </row>
    <row r="1160">
      <c r="A1160" s="147" t="str">
        <f>IFERROR(__xludf.DUMMYFUNCTION("""COMPUTED_VALUE"""),"10.1037/0278-7393.34.1.65")</f>
        <v>10.1037/0278-7393.34.1.65</v>
      </c>
      <c r="B1160" s="453" t="str">
        <f>IFERROR(__xludf.DUMMYFUNCTION("""COMPUTED_VALUE"""),"https://drive.google.com/file/d/15z0y7asIfplDps5d3R71GhEJxQWqBU9w/view?usp=drivesdk")</f>
        <v>https://drive.google.com/file/d/15z0y7asIfplDps5d3R71GhEJxQWqBU9w/view?usp=drivesdk</v>
      </c>
      <c r="C1160" s="147" t="str">
        <f>IFERROR(__xludf.DUMMYFUNCTION("""COMPUTED_VALUE"""),"10.1037--0278-7393.34.1.65.pdf")</f>
        <v>10.1037--0278-7393.34.1.65.pdf</v>
      </c>
      <c r="D1160" s="147" t="str">
        <f>IFERROR(__xludf.DUMMYFUNCTION("""COMPUTED_VALUE"""),"application/pdf")</f>
        <v>application/pdf</v>
      </c>
    </row>
    <row r="1161">
      <c r="A1161" s="147" t="str">
        <f>IFERROR(__xludf.DUMMYFUNCTION("""COMPUTED_VALUE"""),"10.1037/0278-7393.34.1.50")</f>
        <v>10.1037/0278-7393.34.1.50</v>
      </c>
      <c r="B1161" s="453" t="str">
        <f>IFERROR(__xludf.DUMMYFUNCTION("""COMPUTED_VALUE"""),"https://drive.google.com/file/d/12OzFlZKms2M0ZvYy4yTBRvGof4FqM1Ud/view?usp=drivesdk")</f>
        <v>https://drive.google.com/file/d/12OzFlZKms2M0ZvYy4yTBRvGof4FqM1Ud/view?usp=drivesdk</v>
      </c>
      <c r="C1161" s="147" t="str">
        <f>IFERROR(__xludf.DUMMYFUNCTION("""COMPUTED_VALUE"""),"10.1037--0278-7393.34.1.50.pdf")</f>
        <v>10.1037--0278-7393.34.1.50.pdf</v>
      </c>
      <c r="D1161" s="147" t="str">
        <f>IFERROR(__xludf.DUMMYFUNCTION("""COMPUTED_VALUE"""),"application/pdf")</f>
        <v>application/pdf</v>
      </c>
    </row>
    <row r="1162">
      <c r="A1162" s="147" t="str">
        <f>IFERROR(__xludf.DUMMYFUNCTION("""COMPUTED_VALUE"""),"10.1037/0278-7393.34.1.32")</f>
        <v>10.1037/0278-7393.34.1.32</v>
      </c>
      <c r="B1162" s="453" t="str">
        <f>IFERROR(__xludf.DUMMYFUNCTION("""COMPUTED_VALUE"""),"https://drive.google.com/file/d/1NhDFPwAmpyjx9HSRtLTUixh6ZZLCECKn/view?usp=drivesdk")</f>
        <v>https://drive.google.com/file/d/1NhDFPwAmpyjx9HSRtLTUixh6ZZLCECKn/view?usp=drivesdk</v>
      </c>
      <c r="C1162" s="147" t="str">
        <f>IFERROR(__xludf.DUMMYFUNCTION("""COMPUTED_VALUE"""),"10.1037--0278-7393.34.1.32.pdf")</f>
        <v>10.1037--0278-7393.34.1.32.pdf</v>
      </c>
      <c r="D1162" s="147" t="str">
        <f>IFERROR(__xludf.DUMMYFUNCTION("""COMPUTED_VALUE"""),"application/pdf")</f>
        <v>application/pdf</v>
      </c>
    </row>
    <row r="1163">
      <c r="A1163" s="147" t="str">
        <f>IFERROR(__xludf.DUMMYFUNCTION("""COMPUTED_VALUE"""),"10.1037/0278-7393.34.1.249")</f>
        <v>10.1037/0278-7393.34.1.249</v>
      </c>
      <c r="B1163" s="453" t="str">
        <f>IFERROR(__xludf.DUMMYFUNCTION("""COMPUTED_VALUE"""),"https://drive.google.com/file/d/1G9_olsUh3tpfcqhh1KX72VpE0keeAnj7/view?usp=drivesdk")</f>
        <v>https://drive.google.com/file/d/1G9_olsUh3tpfcqhh1KX72VpE0keeAnj7/view?usp=drivesdk</v>
      </c>
      <c r="C1163" s="147" t="str">
        <f>IFERROR(__xludf.DUMMYFUNCTION("""COMPUTED_VALUE"""),"10.1037--0278-7393.34.1.249.pdf")</f>
        <v>10.1037--0278-7393.34.1.249.pdf</v>
      </c>
      <c r="D1163" s="147" t="str">
        <f>IFERROR(__xludf.DUMMYFUNCTION("""COMPUTED_VALUE"""),"application/pdf")</f>
        <v>application/pdf</v>
      </c>
    </row>
    <row r="1164">
      <c r="A1164" s="147" t="str">
        <f>IFERROR(__xludf.DUMMYFUNCTION("""COMPUTED_VALUE"""),"10.1037/0278-7393.34.1.243")</f>
        <v>10.1037/0278-7393.34.1.243</v>
      </c>
      <c r="B1164" s="453" t="str">
        <f>IFERROR(__xludf.DUMMYFUNCTION("""COMPUTED_VALUE"""),"https://drive.google.com/file/d/12tOopuzKbG82LEOynQuHYZ8im59EjTth/view?usp=drivesdk")</f>
        <v>https://drive.google.com/file/d/12tOopuzKbG82LEOynQuHYZ8im59EjTth/view?usp=drivesdk</v>
      </c>
      <c r="C1164" s="147" t="str">
        <f>IFERROR(__xludf.DUMMYFUNCTION("""COMPUTED_VALUE"""),"10.1037--0278-7393.34.1.243.pdf")</f>
        <v>10.1037--0278-7393.34.1.243.pdf</v>
      </c>
      <c r="D1164" s="147" t="str">
        <f>IFERROR(__xludf.DUMMYFUNCTION("""COMPUTED_VALUE"""),"application/pdf")</f>
        <v>application/pdf</v>
      </c>
    </row>
    <row r="1165">
      <c r="A1165" s="147" t="str">
        <f>IFERROR(__xludf.DUMMYFUNCTION("""COMPUTED_VALUE"""),"10.1037/0278-7393.34.1.237")</f>
        <v>10.1037/0278-7393.34.1.237</v>
      </c>
      <c r="B1165" s="453" t="str">
        <f>IFERROR(__xludf.DUMMYFUNCTION("""COMPUTED_VALUE"""),"https://drive.google.com/file/d/1YjgU1oCfPf7_yAtASpZhwJS4TVj_g8CU/view?usp=drivesdk")</f>
        <v>https://drive.google.com/file/d/1YjgU1oCfPf7_yAtASpZhwJS4TVj_g8CU/view?usp=drivesdk</v>
      </c>
      <c r="C1165" s="147" t="str">
        <f>IFERROR(__xludf.DUMMYFUNCTION("""COMPUTED_VALUE"""),"10.1037--0278-7393.34.1.237.pdf")</f>
        <v>10.1037--0278-7393.34.1.237.pdf</v>
      </c>
      <c r="D1165" s="147" t="str">
        <f>IFERROR(__xludf.DUMMYFUNCTION("""COMPUTED_VALUE"""),"application/pdf")</f>
        <v>application/pdf</v>
      </c>
    </row>
    <row r="1166">
      <c r="A1166" s="147" t="str">
        <f>IFERROR(__xludf.DUMMYFUNCTION("""COMPUTED_VALUE"""),"10.1037/0278-7393.34.1.230")</f>
        <v>10.1037/0278-7393.34.1.230</v>
      </c>
      <c r="B1166" s="453" t="str">
        <f>IFERROR(__xludf.DUMMYFUNCTION("""COMPUTED_VALUE"""),"https://drive.google.com/file/d/1iTGkXjtQ0EE8-v45xZZ-Yv9zhQVAt2Pn/view?usp=drivesdk")</f>
        <v>https://drive.google.com/file/d/1iTGkXjtQ0EE8-v45xZZ-Yv9zhQVAt2Pn/view?usp=drivesdk</v>
      </c>
      <c r="C1166" s="147" t="str">
        <f>IFERROR(__xludf.DUMMYFUNCTION("""COMPUTED_VALUE"""),"10.1037--0278-7393.34.1.230.pdf")</f>
        <v>10.1037--0278-7393.34.1.230.pdf</v>
      </c>
      <c r="D1166" s="147" t="str">
        <f>IFERROR(__xludf.DUMMYFUNCTION("""COMPUTED_VALUE"""),"application/pdf")</f>
        <v>application/pdf</v>
      </c>
    </row>
    <row r="1167">
      <c r="A1167" s="147" t="str">
        <f>IFERROR(__xludf.DUMMYFUNCTION("""COMPUTED_VALUE"""),"10.1037/0278-7393.34.1.219")</f>
        <v>10.1037/0278-7393.34.1.219</v>
      </c>
      <c r="B1167" s="453" t="str">
        <f>IFERROR(__xludf.DUMMYFUNCTION("""COMPUTED_VALUE"""),"https://drive.google.com/file/d/11evBHOPkYEq9tia_AUJzn9cHtIQOUcWa/view?usp=drivesdk")</f>
        <v>https://drive.google.com/file/d/11evBHOPkYEq9tia_AUJzn9cHtIQOUcWa/view?usp=drivesdk</v>
      </c>
      <c r="C1167" s="147" t="str">
        <f>IFERROR(__xludf.DUMMYFUNCTION("""COMPUTED_VALUE"""),"10.1037--0278-7393.34.1.219.pdf")</f>
        <v>10.1037--0278-7393.34.1.219.pdf</v>
      </c>
      <c r="D1167" s="147" t="str">
        <f>IFERROR(__xludf.DUMMYFUNCTION("""COMPUTED_VALUE"""),"application/pdf")</f>
        <v>application/pdf</v>
      </c>
    </row>
    <row r="1168">
      <c r="A1168" s="147" t="str">
        <f>IFERROR(__xludf.DUMMYFUNCTION("""COMPUTED_VALUE"""),"10.1037/0278-7393.34.1.204")</f>
        <v>10.1037/0278-7393.34.1.204</v>
      </c>
      <c r="B1168" s="453" t="str">
        <f>IFERROR(__xludf.DUMMYFUNCTION("""COMPUTED_VALUE"""),"https://drive.google.com/file/d/1VkkAzt4eeAeZtV2ewwPlwMagejOBaOcs/view?usp=drivesdk")</f>
        <v>https://drive.google.com/file/d/1VkkAzt4eeAeZtV2ewwPlwMagejOBaOcs/view?usp=drivesdk</v>
      </c>
      <c r="C1168" s="147" t="str">
        <f>IFERROR(__xludf.DUMMYFUNCTION("""COMPUTED_VALUE"""),"10.1037--0278-7393.34.1.204.pdf")</f>
        <v>10.1037--0278-7393.34.1.204.pdf</v>
      </c>
      <c r="D1168" s="147" t="str">
        <f>IFERROR(__xludf.DUMMYFUNCTION("""COMPUTED_VALUE"""),"application/pdf")</f>
        <v>application/pdf</v>
      </c>
    </row>
    <row r="1169">
      <c r="A1169" s="147" t="str">
        <f>IFERROR(__xludf.DUMMYFUNCTION("""COMPUTED_VALUE"""),"10.1037/0278-7393.34.1.186")</f>
        <v>10.1037/0278-7393.34.1.186</v>
      </c>
      <c r="B1169" s="453" t="str">
        <f>IFERROR(__xludf.DUMMYFUNCTION("""COMPUTED_VALUE"""),"https://drive.google.com/file/d/1cOFI1sWmcyfR3tFVOvV90FUY4g-TwC4Z/view?usp=drivesdk")</f>
        <v>https://drive.google.com/file/d/1cOFI1sWmcyfR3tFVOvV90FUY4g-TwC4Z/view?usp=drivesdk</v>
      </c>
      <c r="C1169" s="147" t="str">
        <f>IFERROR(__xludf.DUMMYFUNCTION("""COMPUTED_VALUE"""),"10.1037--0278-7393.34.1.186.pdf")</f>
        <v>10.1037--0278-7393.34.1.186.pdf</v>
      </c>
      <c r="D1169" s="147" t="str">
        <f>IFERROR(__xludf.DUMMYFUNCTION("""COMPUTED_VALUE"""),"application/pdf")</f>
        <v>application/pdf</v>
      </c>
    </row>
    <row r="1170">
      <c r="A1170" s="147" t="str">
        <f>IFERROR(__xludf.DUMMYFUNCTION("""COMPUTED_VALUE"""),"10.1037/0278-7393.34.1.167")</f>
        <v>10.1037/0278-7393.34.1.167</v>
      </c>
      <c r="B1170" s="453" t="str">
        <f>IFERROR(__xludf.DUMMYFUNCTION("""COMPUTED_VALUE"""),"https://drive.google.com/file/d/1fP-Dr1DLCnPl-2Ya6EGtFK2aCF6SWr93/view?usp=drivesdk")</f>
        <v>https://drive.google.com/file/d/1fP-Dr1DLCnPl-2Ya6EGtFK2aCF6SWr93/view?usp=drivesdk</v>
      </c>
      <c r="C1170" s="147" t="str">
        <f>IFERROR(__xludf.DUMMYFUNCTION("""COMPUTED_VALUE"""),"10.1037--0278-7393.34.1.167.pdf")</f>
        <v>10.1037--0278-7393.34.1.167.pdf</v>
      </c>
      <c r="D1170" s="147" t="str">
        <f>IFERROR(__xludf.DUMMYFUNCTION("""COMPUTED_VALUE"""),"application/pdf")</f>
        <v>application/pdf</v>
      </c>
    </row>
    <row r="1171">
      <c r="A1171" s="147" t="str">
        <f>IFERROR(__xludf.DUMMYFUNCTION("""COMPUTED_VALUE"""),"10.1037/0278-7393.34.1.128")</f>
        <v>10.1037/0278-7393.34.1.128</v>
      </c>
      <c r="B1171" s="453" t="str">
        <f>IFERROR(__xludf.DUMMYFUNCTION("""COMPUTED_VALUE"""),"https://drive.google.com/file/d/1Lf2mJhcl4k2IlhscpNWAcWIYn_DN1RLo/view?usp=drivesdk")</f>
        <v>https://drive.google.com/file/d/1Lf2mJhcl4k2IlhscpNWAcWIYn_DN1RLo/view?usp=drivesdk</v>
      </c>
      <c r="C1171" s="147" t="str">
        <f>IFERROR(__xludf.DUMMYFUNCTION("""COMPUTED_VALUE"""),"10.1037--0278-7393.34.1.128.pdf")</f>
        <v>10.1037--0278-7393.34.1.128.pdf</v>
      </c>
      <c r="D1171" s="147" t="str">
        <f>IFERROR(__xludf.DUMMYFUNCTION("""COMPUTED_VALUE"""),"application/pdf")</f>
        <v>application/pdf</v>
      </c>
    </row>
    <row r="1172">
      <c r="A1172" s="147" t="str">
        <f>IFERROR(__xludf.DUMMYFUNCTION("""COMPUTED_VALUE"""),"10.1037/0278-7393.34.1.146")</f>
        <v>10.1037/0278-7393.34.1.146</v>
      </c>
      <c r="B1172" s="453" t="str">
        <f>IFERROR(__xludf.DUMMYFUNCTION("""COMPUTED_VALUE"""),"https://drive.google.com/file/d/1qNTfBnw7SpCi3blakzyKQFcGYOfOx3la/view?usp=drivesdk")</f>
        <v>https://drive.google.com/file/d/1qNTfBnw7SpCi3blakzyKQFcGYOfOx3la/view?usp=drivesdk</v>
      </c>
      <c r="C1172" s="147" t="str">
        <f>IFERROR(__xludf.DUMMYFUNCTION("""COMPUTED_VALUE"""),"10.1037--0278-7393.34.1.146.pdf")</f>
        <v>10.1037--0278-7393.34.1.146.pdf</v>
      </c>
      <c r="D1172" s="147" t="str">
        <f>IFERROR(__xludf.DUMMYFUNCTION("""COMPUTED_VALUE"""),"application/pdf")</f>
        <v>application/pdf</v>
      </c>
    </row>
    <row r="1173">
      <c r="A1173" s="147" t="str">
        <f>IFERROR(__xludf.DUMMYFUNCTION("""COMPUTED_VALUE"""),"10.1037/0278-7393.34.1.12")</f>
        <v>10.1037/0278-7393.34.1.12</v>
      </c>
      <c r="B1173" s="453" t="str">
        <f>IFERROR(__xludf.DUMMYFUNCTION("""COMPUTED_VALUE"""),"https://drive.google.com/file/d/17v8g1wcUyLHNKL7MUfmkzczqLvXbAEct/view?usp=drivesdk")</f>
        <v>https://drive.google.com/file/d/17v8g1wcUyLHNKL7MUfmkzczqLvXbAEct/view?usp=drivesdk</v>
      </c>
      <c r="C1173" s="147" t="str">
        <f>IFERROR(__xludf.DUMMYFUNCTION("""COMPUTED_VALUE"""),"10.1037--0278-7393.34.1.12.pdf")</f>
        <v>10.1037--0278-7393.34.1.12.pdf</v>
      </c>
      <c r="D1173" s="147" t="str">
        <f>IFERROR(__xludf.DUMMYFUNCTION("""COMPUTED_VALUE"""),"application/pdf")</f>
        <v>application/pdf</v>
      </c>
    </row>
    <row r="1174">
      <c r="A1174" s="147" t="str">
        <f>IFERROR(__xludf.DUMMYFUNCTION("""COMPUTED_VALUE"""),"10.1037/0278-7393.34.1.1")</f>
        <v>10.1037/0278-7393.34.1.1</v>
      </c>
      <c r="B1174" s="453" t="str">
        <f>IFERROR(__xludf.DUMMYFUNCTION("""COMPUTED_VALUE"""),"https://drive.google.com/file/d/1GA6K1X3KAFArsjYWATJH54boYgR6VA-P/view?usp=drivesdk")</f>
        <v>https://drive.google.com/file/d/1GA6K1X3KAFArsjYWATJH54boYgR6VA-P/view?usp=drivesdk</v>
      </c>
      <c r="C1174" s="147" t="str">
        <f>IFERROR(__xludf.DUMMYFUNCTION("""COMPUTED_VALUE"""),"10.1037--0278-7393.34.1.1.pdf")</f>
        <v>10.1037--0278-7393.34.1.1.pdf</v>
      </c>
      <c r="D1174" s="147" t="str">
        <f>IFERROR(__xludf.DUMMYFUNCTION("""COMPUTED_VALUE"""),"application/pdf")</f>
        <v>application/pdf</v>
      </c>
    </row>
    <row r="1175">
      <c r="A1175" s="147" t="str">
        <f>IFERROR(__xludf.DUMMYFUNCTION("""COMPUTED_VALUE"""),"10.1037/0278-7393.10.4.680")</f>
        <v>10.1037/0278-7393.10.4.680</v>
      </c>
      <c r="B1175" s="453" t="str">
        <f>IFERROR(__xludf.DUMMYFUNCTION("""COMPUTED_VALUE"""),"https://drive.google.com/file/d/1lYrGMauz-wnZsd5nVrZcVjopHb7ZXL_b/view?usp=drivesdk")</f>
        <v>https://drive.google.com/file/d/1lYrGMauz-wnZsd5nVrZcVjopHb7ZXL_b/view?usp=drivesdk</v>
      </c>
      <c r="C1175" s="147" t="str">
        <f>IFERROR(__xludf.DUMMYFUNCTION("""COMPUTED_VALUE"""),"10.1037--0278-7393.10.4.680.pdf")</f>
        <v>10.1037--0278-7393.10.4.680.pdf</v>
      </c>
      <c r="D1175" s="147" t="str">
        <f>IFERROR(__xludf.DUMMYFUNCTION("""COMPUTED_VALUE"""),"application/pdf")</f>
        <v>application/pdf</v>
      </c>
    </row>
    <row r="1176">
      <c r="A1176" s="147" t="str">
        <f>IFERROR(__xludf.DUMMYFUNCTION("""COMPUTED_VALUE"""),"10.1037/0278-6133.3.5.431")</f>
        <v>10.1037/0278-6133.3.5.431</v>
      </c>
      <c r="B1176" s="453" t="str">
        <f>IFERROR(__xludf.DUMMYFUNCTION("""COMPUTED_VALUE"""),"https://drive.google.com/file/d/1amMXrWCKMyX4hTevBnA1bXdVDqOZKFxe/view?usp=drivesdk")</f>
        <v>https://drive.google.com/file/d/1amMXrWCKMyX4hTevBnA1bXdVDqOZKFxe/view?usp=drivesdk</v>
      </c>
      <c r="C1176" s="147" t="str">
        <f>IFERROR(__xludf.DUMMYFUNCTION("""COMPUTED_VALUE"""),"10.1037--0278-6133.3.5.431.pdf")</f>
        <v>10.1037--0278-6133.3.5.431.pdf</v>
      </c>
      <c r="D1176" s="147" t="str">
        <f>IFERROR(__xludf.DUMMYFUNCTION("""COMPUTED_VALUE"""),"application/pdf")</f>
        <v>application/pdf</v>
      </c>
    </row>
    <row r="1177">
      <c r="A1177" s="147" t="str">
        <f>IFERROR(__xludf.DUMMYFUNCTION("""COMPUTED_VALUE"""),"10.1037/0096-3445.136.2.241")</f>
        <v>10.1037/0096-3445.136.2.241</v>
      </c>
      <c r="B1177" s="453" t="str">
        <f>IFERROR(__xludf.DUMMYFUNCTION("""COMPUTED_VALUE"""),"https://drive.google.com/file/d/1D8E42YuXrxlGwF61UWB4V8lYywAWr8dY/view?usp=drivesdk")</f>
        <v>https://drive.google.com/file/d/1D8E42YuXrxlGwF61UWB4V8lYywAWr8dY/view?usp=drivesdk</v>
      </c>
      <c r="C1177" s="147" t="str">
        <f>IFERROR(__xludf.DUMMYFUNCTION("""COMPUTED_VALUE"""),"10.1037--0096-3445.136.2.241.pdf")</f>
        <v>10.1037--0096-3445.136.2.241.pdf</v>
      </c>
      <c r="D1177" s="147" t="str">
        <f>IFERROR(__xludf.DUMMYFUNCTION("""COMPUTED_VALUE"""),"application/pdf")</f>
        <v>application/pdf</v>
      </c>
    </row>
    <row r="1178">
      <c r="A1178" s="147" t="str">
        <f>IFERROR(__xludf.DUMMYFUNCTION("""COMPUTED_VALUE"""),"10.1037/0096-3445.136.1.154")</f>
        <v>10.1037/0096-3445.136.1.154</v>
      </c>
      <c r="B1178" s="453" t="str">
        <f>IFERROR(__xludf.DUMMYFUNCTION("""COMPUTED_VALUE"""),"https://drive.google.com/file/d/1d5i_2GjvV2L2wbB2j58EhA4WqJKFf7M5/view?usp=drivesdk")</f>
        <v>https://drive.google.com/file/d/1d5i_2GjvV2L2wbB2j58EhA4WqJKFf7M5/view?usp=drivesdk</v>
      </c>
      <c r="C1178" s="147" t="str">
        <f>IFERROR(__xludf.DUMMYFUNCTION("""COMPUTED_VALUE"""),"10.1037--0096-3445.136.1.154.pdf")</f>
        <v>10.1037--0096-3445.136.1.154.pdf</v>
      </c>
      <c r="D1178" s="147" t="str">
        <f>IFERROR(__xludf.DUMMYFUNCTION("""COMPUTED_VALUE"""),"application/pdf")</f>
        <v>application/pdf</v>
      </c>
    </row>
    <row r="1179">
      <c r="A1179" s="147" t="str">
        <f>IFERROR(__xludf.DUMMYFUNCTION("""COMPUTED_VALUE"""),"10.1037/0096-3445.133.1.23")</f>
        <v>10.1037/0096-3445.133.1.23</v>
      </c>
      <c r="B1179" s="453" t="str">
        <f>IFERROR(__xludf.DUMMYFUNCTION("""COMPUTED_VALUE"""),"https://drive.google.com/file/d/1WsTuZGTgbwDDjKv_3fgqvOMon49y_wo7/view?usp=drivesdk")</f>
        <v>https://drive.google.com/file/d/1WsTuZGTgbwDDjKv_3fgqvOMon49y_wo7/view?usp=drivesdk</v>
      </c>
      <c r="C1179" s="147" t="str">
        <f>IFERROR(__xludf.DUMMYFUNCTION("""COMPUTED_VALUE"""),"10.1037--0096-3445.133.1.23.pdf")</f>
        <v>10.1037--0096-3445.133.1.23.pdf</v>
      </c>
      <c r="D1179" s="147" t="str">
        <f>IFERROR(__xludf.DUMMYFUNCTION("""COMPUTED_VALUE"""),"application/pdf")</f>
        <v>application/pdf</v>
      </c>
    </row>
    <row r="1180">
      <c r="A1180" s="147" t="str">
        <f>IFERROR(__xludf.DUMMYFUNCTION("""COMPUTED_VALUE"""),"10.1037/0096-1523.3.4.544")</f>
        <v>10.1037/0096-1523.3.4.544</v>
      </c>
      <c r="B1180" s="453" t="str">
        <f>IFERROR(__xludf.DUMMYFUNCTION("""COMPUTED_VALUE"""),"https://drive.google.com/file/d/1mEkTi7StSY-Stsrgu0o_Zv7DZUHAFPDt/view?usp=drivesdk")</f>
        <v>https://drive.google.com/file/d/1mEkTi7StSY-Stsrgu0o_Zv7DZUHAFPDt/view?usp=drivesdk</v>
      </c>
      <c r="C1180" s="147" t="str">
        <f>IFERROR(__xludf.DUMMYFUNCTION("""COMPUTED_VALUE"""),"10.1037--0096-1523.3.4.544.pdf")</f>
        <v>10.1037--0096-1523.3.4.544.pdf</v>
      </c>
      <c r="D1180" s="147" t="str">
        <f>IFERROR(__xludf.DUMMYFUNCTION("""COMPUTED_VALUE"""),"application/pdf")</f>
        <v>application/pdf</v>
      </c>
    </row>
    <row r="1181">
      <c r="A1181" s="147" t="str">
        <f>IFERROR(__xludf.DUMMYFUNCTION("""COMPUTED_VALUE"""),"10.1037/0096-1523.1.3.288")</f>
        <v>10.1037/0096-1523.1.3.288</v>
      </c>
      <c r="B1181" s="453" t="str">
        <f>IFERROR(__xludf.DUMMYFUNCTION("""COMPUTED_VALUE"""),"https://drive.google.com/file/d/1lNurRPy7VDlN9Sa8Dza_04lJKflObxsi/view?usp=drivesdk")</f>
        <v>https://drive.google.com/file/d/1lNurRPy7VDlN9Sa8Dza_04lJKflObxsi/view?usp=drivesdk</v>
      </c>
      <c r="C1181" s="147" t="str">
        <f>IFERROR(__xludf.DUMMYFUNCTION("""COMPUTED_VALUE"""),"10.1037--0096-1523.1.3.288.pdf")</f>
        <v>10.1037--0096-1523.1.3.288.pdf</v>
      </c>
      <c r="D1181" s="147" t="str">
        <f>IFERROR(__xludf.DUMMYFUNCTION("""COMPUTED_VALUE"""),"application/pdf")</f>
        <v>application/pdf</v>
      </c>
    </row>
    <row r="1182">
      <c r="A1182" s="147" t="str">
        <f>IFERROR(__xludf.DUMMYFUNCTION("""COMPUTED_VALUE"""),"10.1037/0096-3445.136.4.569")</f>
        <v>10.1037/0096-3445.136.4.569</v>
      </c>
      <c r="B1182" s="453" t="str">
        <f>IFERROR(__xludf.DUMMYFUNCTION("""COMPUTED_VALUE"""),"https://drive.google.com/file/d/1m_v1JAQWlkuqNotYqQVJ-P2XePYibDPD/view?usp=drivesdk")</f>
        <v>https://drive.google.com/file/d/1m_v1JAQWlkuqNotYqQVJ-P2XePYibDPD/view?usp=drivesdk</v>
      </c>
      <c r="C1182" s="147" t="str">
        <f>IFERROR(__xludf.DUMMYFUNCTION("""COMPUTED_VALUE"""),"10.1037--0096-3445.136.4.569.pdf")</f>
        <v>10.1037--0096-3445.136.4.569.pdf</v>
      </c>
      <c r="D1182" s="147" t="str">
        <f>IFERROR(__xludf.DUMMYFUNCTION("""COMPUTED_VALUE"""),"application/pdf")</f>
        <v>application/pdf</v>
      </c>
    </row>
    <row r="1183">
      <c r="A1183" s="147" t="str">
        <f>IFERROR(__xludf.DUMMYFUNCTION("""COMPUTED_VALUE"""),"10.1037/0033-295x.93.2.136")</f>
        <v>10.1037/0033-295x.93.2.136</v>
      </c>
      <c r="B1183" s="453" t="str">
        <f>IFERROR(__xludf.DUMMYFUNCTION("""COMPUTED_VALUE"""),"https://drive.google.com/file/d/1NpcEXBblmTwzkVAKGsTiPalZEKryDjOF/view?usp=drivesdk")</f>
        <v>https://drive.google.com/file/d/1NpcEXBblmTwzkVAKGsTiPalZEKryDjOF/view?usp=drivesdk</v>
      </c>
      <c r="C1183" s="147" t="str">
        <f>IFERROR(__xludf.DUMMYFUNCTION("""COMPUTED_VALUE"""),"10.1037--0033-295X.93.2.136.pdf")</f>
        <v>10.1037--0033-295X.93.2.136.pdf</v>
      </c>
      <c r="D1183" s="147" t="str">
        <f>IFERROR(__xludf.DUMMYFUNCTION("""COMPUTED_VALUE"""),"application/pdf")</f>
        <v>application/pdf</v>
      </c>
    </row>
    <row r="1184">
      <c r="A1184" s="147" t="str">
        <f>IFERROR(__xludf.DUMMYFUNCTION("""COMPUTED_VALUE"""),"10.1037/0033-2909.129.6.914")</f>
        <v>10.1037/0033-2909.129.6.914</v>
      </c>
      <c r="B1184" s="453" t="str">
        <f>IFERROR(__xludf.DUMMYFUNCTION("""COMPUTED_VALUE"""),"https://drive.google.com/file/d/1Ey8YE267IkJvJPhLMe73j6CWvGwENA3f/view?usp=drivesdk")</f>
        <v>https://drive.google.com/file/d/1Ey8YE267IkJvJPhLMe73j6CWvGwENA3f/view?usp=drivesdk</v>
      </c>
      <c r="C1184" s="147" t="str">
        <f>IFERROR(__xludf.DUMMYFUNCTION("""COMPUTED_VALUE"""),"10.1037--0033-2909.129.6.914.pdf")</f>
        <v>10.1037--0033-2909.129.6.914.pdf</v>
      </c>
      <c r="D1184" s="147" t="str">
        <f>IFERROR(__xludf.DUMMYFUNCTION("""COMPUTED_VALUE"""),"application/pdf")</f>
        <v>application/pdf</v>
      </c>
    </row>
    <row r="1185">
      <c r="A1185" s="147" t="str">
        <f>IFERROR(__xludf.DUMMYFUNCTION("""COMPUTED_VALUE"""),"10.1037/0033-2909.129.3.339")</f>
        <v>10.1037/0033-2909.129.3.339</v>
      </c>
      <c r="B1185" s="453" t="str">
        <f>IFERROR(__xludf.DUMMYFUNCTION("""COMPUTED_VALUE"""),"https://drive.google.com/file/d/1Wzsg5t70C5nm9ICa1m7pvYuf0xZ022FB/view?usp=drivesdk")</f>
        <v>https://drive.google.com/file/d/1Wzsg5t70C5nm9ICa1m7pvYuf0xZ022FB/view?usp=drivesdk</v>
      </c>
      <c r="C1185" s="147" t="str">
        <f>IFERROR(__xludf.DUMMYFUNCTION("""COMPUTED_VALUE"""),"10.1037--0033-2909.129.3.339.pdf")</f>
        <v>10.1037--0033-2909.129.3.339.pdf</v>
      </c>
      <c r="D1185" s="147" t="str">
        <f>IFERROR(__xludf.DUMMYFUNCTION("""COMPUTED_VALUE"""),"application/pdf")</f>
        <v>application/pdf</v>
      </c>
    </row>
    <row r="1186">
      <c r="A1186" s="147" t="str">
        <f>IFERROR(__xludf.DUMMYFUNCTION("""COMPUTED_VALUE"""),"10.1037/0033-2909.124.2.197")</f>
        <v>10.1037/0033-2909.124.2.197</v>
      </c>
      <c r="B1186" s="453" t="str">
        <f>IFERROR(__xludf.DUMMYFUNCTION("""COMPUTED_VALUE"""),"https://drive.google.com/file/d/1MRe3AF5QHB9EAYy2OvHfuDzmNbF-vcva/view?usp=drivesdk")</f>
        <v>https://drive.google.com/file/d/1MRe3AF5QHB9EAYy2OvHfuDzmNbF-vcva/view?usp=drivesdk</v>
      </c>
      <c r="C1186" s="147" t="str">
        <f>IFERROR(__xludf.DUMMYFUNCTION("""COMPUTED_VALUE"""),"10.1037--0033-2909.124.2.197.pdf")</f>
        <v>10.1037--0033-2909.124.2.197.pdf</v>
      </c>
      <c r="D1186" s="147" t="str">
        <f>IFERROR(__xludf.DUMMYFUNCTION("""COMPUTED_VALUE"""),"application/pdf")</f>
        <v>application/pdf</v>
      </c>
    </row>
    <row r="1187">
      <c r="A1187" s="147" t="str">
        <f>IFERROR(__xludf.DUMMYFUNCTION("""COMPUTED_VALUE"""),"10.1037/0033-2909.118.1.3")</f>
        <v>10.1037/0033-2909.118.1.3</v>
      </c>
      <c r="B1187" s="453" t="str">
        <f>IFERROR(__xludf.DUMMYFUNCTION("""COMPUTED_VALUE"""),"https://drive.google.com/file/d/1L_UrUn7iF547GceUM9sV402LJMhvz5p-/view?usp=drivesdk")</f>
        <v>https://drive.google.com/file/d/1L_UrUn7iF547GceUM9sV402LJMhvz5p-/view?usp=drivesdk</v>
      </c>
      <c r="C1187" s="147" t="str">
        <f>IFERROR(__xludf.DUMMYFUNCTION("""COMPUTED_VALUE"""),"10.1037--0033-2909.118.1.3.pdf")</f>
        <v>10.1037--0033-2909.118.1.3.pdf</v>
      </c>
      <c r="D1187" s="147" t="str">
        <f>IFERROR(__xludf.DUMMYFUNCTION("""COMPUTED_VALUE"""),"application/pdf")</f>
        <v>application/pdf</v>
      </c>
    </row>
    <row r="1188">
      <c r="A1188" s="147" t="str">
        <f>IFERROR(__xludf.DUMMYFUNCTION("""COMPUTED_VALUE"""),"10.1037/0022-3514.95.5.1150")</f>
        <v>10.1037/0022-3514.95.5.1150</v>
      </c>
      <c r="B1188" s="453" t="str">
        <f>IFERROR(__xludf.DUMMYFUNCTION("""COMPUTED_VALUE"""),"https://drive.google.com/file/d/1ndD8z0H-I5x-TfBCqMqu0rgkodHkfNEf/view?usp=drivesdk")</f>
        <v>https://drive.google.com/file/d/1ndD8z0H-I5x-TfBCqMqu0rgkodHkfNEf/view?usp=drivesdk</v>
      </c>
      <c r="C1188" s="147" t="str">
        <f>IFERROR(__xludf.DUMMYFUNCTION("""COMPUTED_VALUE"""),"10.1037--0022-3514.95.5.1150.pdf")</f>
        <v>10.1037--0022-3514.95.5.1150.pdf</v>
      </c>
      <c r="D1188" s="147" t="str">
        <f>IFERROR(__xludf.DUMMYFUNCTION("""COMPUTED_VALUE"""),"application/pdf")</f>
        <v>application/pdf</v>
      </c>
    </row>
    <row r="1189">
      <c r="A1189" s="147" t="str">
        <f>IFERROR(__xludf.DUMMYFUNCTION("""COMPUTED_VALUE"""),"10.1037/0022-3514.95.2.420")</f>
        <v>10.1037/0022-3514.95.2.420</v>
      </c>
      <c r="B1189" s="453" t="str">
        <f>IFERROR(__xludf.DUMMYFUNCTION("""COMPUTED_VALUE"""),"https://drive.google.com/file/d/1EGlmFl81-d1oxiKpGgGytIRbyZhEQLuV/view?usp=drivesdk")</f>
        <v>https://drive.google.com/file/d/1EGlmFl81-d1oxiKpGgGytIRbyZhEQLuV/view?usp=drivesdk</v>
      </c>
      <c r="C1189" s="147" t="str">
        <f>IFERROR(__xludf.DUMMYFUNCTION("""COMPUTED_VALUE"""),"10.1037--0022-3514.95.2.420.pdf")</f>
        <v>10.1037--0022-3514.95.2.420.pdf</v>
      </c>
      <c r="D1189" s="147" t="str">
        <f>IFERROR(__xludf.DUMMYFUNCTION("""COMPUTED_VALUE"""),"application/pdf")</f>
        <v>application/pdf</v>
      </c>
    </row>
    <row r="1190">
      <c r="A1190" s="147" t="str">
        <f>IFERROR(__xludf.DUMMYFUNCTION("""COMPUTED_VALUE"""),"10.1037/0022-3514.95.2.385")</f>
        <v>10.1037/0022-3514.95.2.385</v>
      </c>
      <c r="B1190" s="453" t="str">
        <f>IFERROR(__xludf.DUMMYFUNCTION("""COMPUTED_VALUE"""),"https://drive.google.com/file/d/1azpl3Wmo9R6ywyk7lG4WR5Xnl3l99eut/view?usp=drivesdk")</f>
        <v>https://drive.google.com/file/d/1azpl3Wmo9R6ywyk7lG4WR5Xnl3l99eut/view?usp=drivesdk</v>
      </c>
      <c r="C1190" s="147" t="str">
        <f>IFERROR(__xludf.DUMMYFUNCTION("""COMPUTED_VALUE"""),"10.1037--0022-3514.95.2.385.pdf")</f>
        <v>10.1037--0022-3514.95.2.385.pdf</v>
      </c>
      <c r="D1190" s="147" t="str">
        <f>IFERROR(__xludf.DUMMYFUNCTION("""COMPUTED_VALUE"""),"application/pdf")</f>
        <v>application/pdf</v>
      </c>
    </row>
    <row r="1191">
      <c r="A1191" s="147" t="str">
        <f>IFERROR(__xludf.DUMMYFUNCTION("""COMPUTED_VALUE"""),"10.1037/0022-3514.95.2.293")</f>
        <v>10.1037/0022-3514.95.2.293</v>
      </c>
      <c r="B1191" s="453" t="str">
        <f>IFERROR(__xludf.DUMMYFUNCTION("""COMPUTED_VALUE"""),"https://drive.google.com/file/d/1Gkz07e_5xnoHy7zdKAHfWY6layqbA2lX/view?usp=drivesdk")</f>
        <v>https://drive.google.com/file/d/1Gkz07e_5xnoHy7zdKAHfWY6layqbA2lX/view?usp=drivesdk</v>
      </c>
      <c r="C1191" s="147" t="str">
        <f>IFERROR(__xludf.DUMMYFUNCTION("""COMPUTED_VALUE"""),"10.1037--0022-3514.95.2.293.pdf")</f>
        <v>10.1037--0022-3514.95.2.293.pdf</v>
      </c>
      <c r="D1191" s="147" t="str">
        <f>IFERROR(__xludf.DUMMYFUNCTION("""COMPUTED_VALUE"""),"application/pdf")</f>
        <v>application/pdf</v>
      </c>
    </row>
    <row r="1192">
      <c r="A1192" s="147" t="str">
        <f>IFERROR(__xludf.DUMMYFUNCTION("""COMPUTED_VALUE"""),"10.1037/0022-3514.95.2.274")</f>
        <v>10.1037/0022-3514.95.2.274</v>
      </c>
      <c r="B1192" s="453" t="str">
        <f>IFERROR(__xludf.DUMMYFUNCTION("""COMPUTED_VALUE"""),"https://drive.google.com/file/d/1a05JoYmLdyaqZqx1lMlnobPSBoVtshdG/view?usp=drivesdk")</f>
        <v>https://drive.google.com/file/d/1a05JoYmLdyaqZqx1lMlnobPSBoVtshdG/view?usp=drivesdk</v>
      </c>
      <c r="C1192" s="147" t="str">
        <f>IFERROR(__xludf.DUMMYFUNCTION("""COMPUTED_VALUE"""),"10.1037--0022-3514.95.2.274.pdf")</f>
        <v>10.1037--0022-3514.95.2.274.pdf</v>
      </c>
      <c r="D1192" s="147" t="str">
        <f>IFERROR(__xludf.DUMMYFUNCTION("""COMPUTED_VALUE"""),"application/pdf")</f>
        <v>application/pdf</v>
      </c>
    </row>
    <row r="1193">
      <c r="A1193" s="147" t="str">
        <f>IFERROR(__xludf.DUMMYFUNCTION("""COMPUTED_VALUE"""),"10.1037/0022-3514.95.1.76")</f>
        <v>10.1037/0022-3514.95.1.76</v>
      </c>
      <c r="B1193" s="453" t="str">
        <f>IFERROR(__xludf.DUMMYFUNCTION("""COMPUTED_VALUE"""),"https://drive.google.com/file/d/14KU35or-OxTWODmUyKwRoB3qwuTQZobO/view?usp=drivesdk")</f>
        <v>https://drive.google.com/file/d/14KU35or-OxTWODmUyKwRoB3qwuTQZobO/view?usp=drivesdk</v>
      </c>
      <c r="C1193" s="147" t="str">
        <f>IFERROR(__xludf.DUMMYFUNCTION("""COMPUTED_VALUE"""),"10.1037--0022-3514.95.1.76.pdf")</f>
        <v>10.1037--0022-3514.95.1.76.pdf</v>
      </c>
      <c r="D1193" s="147" t="str">
        <f>IFERROR(__xludf.DUMMYFUNCTION("""COMPUTED_VALUE"""),"application/pdf")</f>
        <v>application/pdf</v>
      </c>
    </row>
    <row r="1194">
      <c r="A1194" s="147" t="str">
        <f>IFERROR(__xludf.DUMMYFUNCTION("""COMPUTED_VALUE"""),"10.1037/0022-3514.94.6.1062")</f>
        <v>10.1037/0022-3514.94.6.1062</v>
      </c>
      <c r="B1194" s="453" t="str">
        <f>IFERROR(__xludf.DUMMYFUNCTION("""COMPUTED_VALUE"""),"https://drive.google.com/file/d/17_Ll2w4V8oHKFKapa6lsAJcfuwPXIghG/view?usp=drivesdk")</f>
        <v>https://drive.google.com/file/d/17_Ll2w4V8oHKFKapa6lsAJcfuwPXIghG/view?usp=drivesdk</v>
      </c>
      <c r="C1194" s="147" t="str">
        <f>IFERROR(__xludf.DUMMYFUNCTION("""COMPUTED_VALUE"""),"10.1037--0022-3514.94.6.1062.pdf")</f>
        <v>10.1037--0022-3514.94.6.1062.pdf</v>
      </c>
      <c r="D1194" s="147" t="str">
        <f>IFERROR(__xludf.DUMMYFUNCTION("""COMPUTED_VALUE"""),"application/pdf")</f>
        <v>application/pdf</v>
      </c>
    </row>
    <row r="1195">
      <c r="A1195" s="147" t="str">
        <f>IFERROR(__xludf.DUMMYFUNCTION("""COMPUTED_VALUE"""),"10.1037/0022-3514.94.5.871")</f>
        <v>10.1037/0022-3514.94.5.871</v>
      </c>
      <c r="B1195" s="453" t="str">
        <f>IFERROR(__xludf.DUMMYFUNCTION("""COMPUTED_VALUE"""),"https://drive.google.com/file/d/1n-xkjkrGpKzc0Ew4FDfG-BXhbw4Koezu/view?usp=drivesdk")</f>
        <v>https://drive.google.com/file/d/1n-xkjkrGpKzc0Ew4FDfG-BXhbw4Koezu/view?usp=drivesdk</v>
      </c>
      <c r="C1195" s="147" t="str">
        <f>IFERROR(__xludf.DUMMYFUNCTION("""COMPUTED_VALUE"""),"10.1037--0022-3514.94.5.871.pdf")</f>
        <v>10.1037--0022-3514.94.5.871.pdf</v>
      </c>
      <c r="D1195" s="147" t="str">
        <f>IFERROR(__xludf.DUMMYFUNCTION("""COMPUTED_VALUE"""),"application/pdf")</f>
        <v>application/pdf</v>
      </c>
    </row>
    <row r="1196">
      <c r="A1196" s="147" t="str">
        <f>IFERROR(__xludf.DUMMYFUNCTION("""COMPUTED_VALUE"""),"10.1037/0022-3514.94.5.739")</f>
        <v>10.1037/0022-3514.94.5.739</v>
      </c>
      <c r="B1196" s="453" t="str">
        <f>IFERROR(__xludf.DUMMYFUNCTION("""COMPUTED_VALUE"""),"https://drive.google.com/file/d/1-F7GLgEY4EHaws_BqDjoz-2HKv4q25Jx/view?usp=drivesdk")</f>
        <v>https://drive.google.com/file/d/1-F7GLgEY4EHaws_BqDjoz-2HKv4q25Jx/view?usp=drivesdk</v>
      </c>
      <c r="C1196" s="147" t="str">
        <f>IFERROR(__xludf.DUMMYFUNCTION("""COMPUTED_VALUE"""),"10.1037--0022-3514.94.5.739.pdf")</f>
        <v>10.1037--0022-3514.94.5.739.pdf</v>
      </c>
      <c r="D1196" s="147" t="str">
        <f>IFERROR(__xludf.DUMMYFUNCTION("""COMPUTED_VALUE"""),"application/pdf")</f>
        <v>application/pdf</v>
      </c>
    </row>
    <row r="1197">
      <c r="A1197" s="147" t="str">
        <f>IFERROR(__xludf.DUMMYFUNCTION("""COMPUTED_VALUE"""),"10.1037/0022-3514.94.4.718")</f>
        <v>10.1037/0022-3514.94.4.718</v>
      </c>
      <c r="B1197" s="453" t="str">
        <f>IFERROR(__xludf.DUMMYFUNCTION("""COMPUTED_VALUE"""),"https://drive.google.com/file/d/1_PDJ9HJdyc65HgAxy4hirK9FdTGjmJt6/view?usp=drivesdk")</f>
        <v>https://drive.google.com/file/d/1_PDJ9HJdyc65HgAxy4hirK9FdTGjmJt6/view?usp=drivesdk</v>
      </c>
      <c r="C1197" s="147" t="str">
        <f>IFERROR(__xludf.DUMMYFUNCTION("""COMPUTED_VALUE"""),"10.1037--0022-3514.94.4.718.pdf")</f>
        <v>10.1037--0022-3514.94.4.718.pdf</v>
      </c>
      <c r="D1197" s="147" t="str">
        <f>IFERROR(__xludf.DUMMYFUNCTION("""COMPUTED_VALUE"""),"application/pdf")</f>
        <v>application/pdf</v>
      </c>
    </row>
    <row r="1198">
      <c r="A1198" s="147" t="str">
        <f>IFERROR(__xludf.DUMMYFUNCTION("""COMPUTED_VALUE"""),"10.1037/0022-3514.94.4.696")</f>
        <v>10.1037/0022-3514.94.4.696</v>
      </c>
      <c r="B1198" s="453" t="str">
        <f>IFERROR(__xludf.DUMMYFUNCTION("""COMPUTED_VALUE"""),"https://drive.google.com/file/d/1uUa0wmROI0qE2xnTwxRVDmnwcW2lORPw/view?usp=drivesdk")</f>
        <v>https://drive.google.com/file/d/1uUa0wmROI0qE2xnTwxRVDmnwcW2lORPw/view?usp=drivesdk</v>
      </c>
      <c r="C1198" s="147" t="str">
        <f>IFERROR(__xludf.DUMMYFUNCTION("""COMPUTED_VALUE"""),"10.1037--0022-3514.94.4.696.pdf")</f>
        <v>10.1037--0022-3514.94.4.696.pdf</v>
      </c>
      <c r="D1198" s="147" t="str">
        <f>IFERROR(__xludf.DUMMYFUNCTION("""COMPUTED_VALUE"""),"application/pdf")</f>
        <v>application/pdf</v>
      </c>
    </row>
    <row r="1199">
      <c r="A1199" s="147" t="str">
        <f>IFERROR(__xludf.DUMMYFUNCTION("""COMPUTED_VALUE"""),"10.1037/0022-3514.94.4.672")</f>
        <v>10.1037/0022-3514.94.4.672</v>
      </c>
      <c r="B1199" s="453" t="str">
        <f>IFERROR(__xludf.DUMMYFUNCTION("""COMPUTED_VALUE"""),"https://drive.google.com/file/d/1mE5XaAsbpzpaVByGMY_Y-yHafY0h2G_x/view?usp=drivesdk")</f>
        <v>https://drive.google.com/file/d/1mE5XaAsbpzpaVByGMY_Y-yHafY0h2G_x/view?usp=drivesdk</v>
      </c>
      <c r="C1199" s="147" t="str">
        <f>IFERROR(__xludf.DUMMYFUNCTION("""COMPUTED_VALUE"""),"10.1037--0022-3514.94.4.672.pdf")</f>
        <v>10.1037--0022-3514.94.4.672.pdf</v>
      </c>
      <c r="D1199" s="147" t="str">
        <f>IFERROR(__xludf.DUMMYFUNCTION("""COMPUTED_VALUE"""),"application/pdf")</f>
        <v>application/pdf</v>
      </c>
    </row>
    <row r="1200">
      <c r="A1200" s="147" t="str">
        <f>IFERROR(__xludf.DUMMYFUNCTION("""COMPUTED_VALUE"""),"10.1037/0022-3514.94.4.647")</f>
        <v>10.1037/0022-3514.94.4.647</v>
      </c>
      <c r="B1200" s="453" t="str">
        <f>IFERROR(__xludf.DUMMYFUNCTION("""COMPUTED_VALUE"""),"https://drive.google.com/file/d/1y8mrTT7_nUvHiOOj_Est9-y7QPFPn7bM/view?usp=drivesdk")</f>
        <v>https://drive.google.com/file/d/1y8mrTT7_nUvHiOOj_Est9-y7QPFPn7bM/view?usp=drivesdk</v>
      </c>
      <c r="C1200" s="147" t="str">
        <f>IFERROR(__xludf.DUMMYFUNCTION("""COMPUTED_VALUE"""),"10.1037--0022-3514.94.4.647.pdf")</f>
        <v>10.1037--0022-3514.94.4.647.pdf</v>
      </c>
      <c r="D1200" s="147" t="str">
        <f>IFERROR(__xludf.DUMMYFUNCTION("""COMPUTED_VALUE"""),"application/pdf")</f>
        <v>application/pdf</v>
      </c>
    </row>
    <row r="1201">
      <c r="A1201" s="147" t="str">
        <f>IFERROR(__xludf.DUMMYFUNCTION("""COMPUTED_VALUE"""),"10.1037/0022-3514.94.4.631")</f>
        <v>10.1037/0022-3514.94.4.631</v>
      </c>
      <c r="B1201" s="453" t="str">
        <f>IFERROR(__xludf.DUMMYFUNCTION("""COMPUTED_VALUE"""),"https://drive.google.com/file/d/1m4aJwxOLHaW6W9BHJ4qrcFGnuaciz1IC/view?usp=drivesdk")</f>
        <v>https://drive.google.com/file/d/1m4aJwxOLHaW6W9BHJ4qrcFGnuaciz1IC/view?usp=drivesdk</v>
      </c>
      <c r="C1201" s="147" t="str">
        <f>IFERROR(__xludf.DUMMYFUNCTION("""COMPUTED_VALUE"""),"10.1037--0022-3514.94.4.631.pdf")</f>
        <v>10.1037--0022-3514.94.4.631.pdf</v>
      </c>
      <c r="D1201" s="147" t="str">
        <f>IFERROR(__xludf.DUMMYFUNCTION("""COMPUTED_VALUE"""),"application/pdf")</f>
        <v>application/pdf</v>
      </c>
    </row>
    <row r="1202">
      <c r="A1202" s="147" t="str">
        <f>IFERROR(__xludf.DUMMYFUNCTION("""COMPUTED_VALUE"""),"10.1037/0022-3514.94.4.615")</f>
        <v>10.1037/0022-3514.94.4.615</v>
      </c>
      <c r="B1202" s="453" t="str">
        <f>IFERROR(__xludf.DUMMYFUNCTION("""COMPUTED_VALUE"""),"https://drive.google.com/file/d/1VyZodnC88TkBiX9hwQqLISstx0--OlF9/view?usp=drivesdk")</f>
        <v>https://drive.google.com/file/d/1VyZodnC88TkBiX9hwQqLISstx0--OlF9/view?usp=drivesdk</v>
      </c>
      <c r="C1202" s="147" t="str">
        <f>IFERROR(__xludf.DUMMYFUNCTION("""COMPUTED_VALUE"""),"10.1037--0022-3514.94.4.615.pdf")</f>
        <v>10.1037--0022-3514.94.4.615.pdf</v>
      </c>
      <c r="D1202" s="147" t="str">
        <f>IFERROR(__xludf.DUMMYFUNCTION("""COMPUTED_VALUE"""),"application/pdf")</f>
        <v>application/pdf</v>
      </c>
    </row>
    <row r="1203">
      <c r="A1203" s="147" t="str">
        <f>IFERROR(__xludf.DUMMYFUNCTION("""COMPUTED_VALUE"""),"10.1037/0022-3514.94.4.579")</f>
        <v>10.1037/0022-3514.94.4.579</v>
      </c>
      <c r="B1203" s="453" t="str">
        <f>IFERROR(__xludf.DUMMYFUNCTION("""COMPUTED_VALUE"""),"https://drive.google.com/file/d/1TnJyaUoRrpzVV53y8GXds5wdlyuM-9mX/view?usp=drivesdk")</f>
        <v>https://drive.google.com/file/d/1TnJyaUoRrpzVV53y8GXds5wdlyuM-9mX/view?usp=drivesdk</v>
      </c>
      <c r="C1203" s="147" t="str">
        <f>IFERROR(__xludf.DUMMYFUNCTION("""COMPUTED_VALUE"""),"10.1037--0022-3514.94.4.579.pdf")</f>
        <v>10.1037--0022-3514.94.4.579.pdf</v>
      </c>
      <c r="D1203" s="147" t="str">
        <f>IFERROR(__xludf.DUMMYFUNCTION("""COMPUTED_VALUE"""),"application/pdf")</f>
        <v>application/pdf</v>
      </c>
    </row>
    <row r="1204">
      <c r="A1204" s="147" t="str">
        <f>IFERROR(__xludf.DUMMYFUNCTION("""COMPUTED_VALUE"""),"10.1037/0022-3514.94.4.600")</f>
        <v>10.1037/0022-3514.94.4.600</v>
      </c>
      <c r="B1204" s="453" t="str">
        <f>IFERROR(__xludf.DUMMYFUNCTION("""COMPUTED_VALUE"""),"https://drive.google.com/file/d/1UTh20eT7TkvvPfQekHv-og8JNZ7R1WP8/view?usp=drivesdk")</f>
        <v>https://drive.google.com/file/d/1UTh20eT7TkvvPfQekHv-og8JNZ7R1WP8/view?usp=drivesdk</v>
      </c>
      <c r="C1204" s="147" t="str">
        <f>IFERROR(__xludf.DUMMYFUNCTION("""COMPUTED_VALUE"""),"10.1037--0022-3514.94.4.600.pdf")</f>
        <v>10.1037--0022-3514.94.4.600.pdf</v>
      </c>
      <c r="D1204" s="147" t="str">
        <f>IFERROR(__xludf.DUMMYFUNCTION("""COMPUTED_VALUE"""),"application/pdf")</f>
        <v>application/pdf</v>
      </c>
    </row>
    <row r="1205">
      <c r="A1205" s="147" t="str">
        <f>IFERROR(__xludf.DUMMYFUNCTION("""COMPUTED_VALUE"""),"10.1037/0022-3514.94.3.545")</f>
        <v>10.1037/0022-3514.94.3.545</v>
      </c>
      <c r="B1205" s="453" t="str">
        <f>IFERROR(__xludf.DUMMYFUNCTION("""COMPUTED_VALUE"""),"https://drive.google.com/file/d/16Fdz5Q4hZTnIAAvzSPJ1UmDOOND5AaDe/view?usp=drivesdk")</f>
        <v>https://drive.google.com/file/d/16Fdz5Q4hZTnIAAvzSPJ1UmDOOND5AaDe/view?usp=drivesdk</v>
      </c>
      <c r="C1205" s="147" t="str">
        <f>IFERROR(__xludf.DUMMYFUNCTION("""COMPUTED_VALUE"""),"10.1037--0022-3514.94.3.545.pdf")</f>
        <v>10.1037--0022-3514.94.3.545.pdf</v>
      </c>
      <c r="D1205" s="147" t="str">
        <f>IFERROR(__xludf.DUMMYFUNCTION("""COMPUTED_VALUE"""),"application/pdf")</f>
        <v>application/pdf</v>
      </c>
    </row>
    <row r="1206">
      <c r="A1206" s="147" t="str">
        <f>IFERROR(__xludf.DUMMYFUNCTION("""COMPUTED_VALUE"""),"10.1037/0022-3514.94.3.531")</f>
        <v>10.1037/0022-3514.94.3.531</v>
      </c>
      <c r="B1206" s="453" t="str">
        <f>IFERROR(__xludf.DUMMYFUNCTION("""COMPUTED_VALUE"""),"https://drive.google.com/file/d/14LrYEERHFe3i5aIlqqcm_uO0CiKkW1y2/view?usp=drivesdk")</f>
        <v>https://drive.google.com/file/d/14LrYEERHFe3i5aIlqqcm_uO0CiKkW1y2/view?usp=drivesdk</v>
      </c>
      <c r="C1206" s="147" t="str">
        <f>IFERROR(__xludf.DUMMYFUNCTION("""COMPUTED_VALUE"""),"10.1037--0022-3514.94.3.531.pdf")</f>
        <v>10.1037--0022-3514.94.3.531.pdf</v>
      </c>
      <c r="D1206" s="147" t="str">
        <f>IFERROR(__xludf.DUMMYFUNCTION("""COMPUTED_VALUE"""),"application/pdf")</f>
        <v>application/pdf</v>
      </c>
    </row>
    <row r="1207">
      <c r="A1207" s="147" t="str">
        <f>IFERROR(__xludf.DUMMYFUNCTION("""COMPUTED_VALUE"""),"10.1037/0022-3514.94.3.516")</f>
        <v>10.1037/0022-3514.94.3.516</v>
      </c>
      <c r="B1207" s="453" t="str">
        <f>IFERROR(__xludf.DUMMYFUNCTION("""COMPUTED_VALUE"""),"https://drive.google.com/file/d/1IyaF2VJcgVfWLGGRX0Pw4RnInw7LvfCb/view?usp=drivesdk")</f>
        <v>https://drive.google.com/file/d/1IyaF2VJcgVfWLGGRX0Pw4RnInw7LvfCb/view?usp=drivesdk</v>
      </c>
      <c r="C1207" s="147" t="str">
        <f>IFERROR(__xludf.DUMMYFUNCTION("""COMPUTED_VALUE"""),"10.1037--0022-3514.94.3.516.pdf")</f>
        <v>10.1037--0022-3514.94.3.516.pdf</v>
      </c>
      <c r="D1207" s="147" t="str">
        <f>IFERROR(__xludf.DUMMYFUNCTION("""COMPUTED_VALUE"""),"application/pdf")</f>
        <v>application/pdf</v>
      </c>
    </row>
    <row r="1208">
      <c r="A1208" s="147" t="str">
        <f>IFERROR(__xludf.DUMMYFUNCTION("""COMPUTED_VALUE"""),"10.1037/0022-3514.94.3.495")</f>
        <v>10.1037/0022-3514.94.3.495</v>
      </c>
      <c r="B1208" s="453" t="str">
        <f>IFERROR(__xludf.DUMMYFUNCTION("""COMPUTED_VALUE"""),"https://drive.google.com/file/d/1sVDcE0S8Au1V2yPyjhNJC-dbCas3mbhd/view?usp=drivesdk")</f>
        <v>https://drive.google.com/file/d/1sVDcE0S8Au1V2yPyjhNJC-dbCas3mbhd/view?usp=drivesdk</v>
      </c>
      <c r="C1208" s="147" t="str">
        <f>IFERROR(__xludf.DUMMYFUNCTION("""COMPUTED_VALUE"""),"10.1037--0022-3514.94.3.495.pdf")</f>
        <v>10.1037--0022-3514.94.3.495.pdf</v>
      </c>
      <c r="D1208" s="147" t="str">
        <f>IFERROR(__xludf.DUMMYFUNCTION("""COMPUTED_VALUE"""),"application/pdf")</f>
        <v>application/pdf</v>
      </c>
    </row>
    <row r="1209">
      <c r="A1209" s="147" t="str">
        <f>IFERROR(__xludf.DUMMYFUNCTION("""COMPUTED_VALUE"""),"10.1037/0022-3514.94.3.479")</f>
        <v>10.1037/0022-3514.94.3.479</v>
      </c>
      <c r="B1209" s="453" t="str">
        <f>IFERROR(__xludf.DUMMYFUNCTION("""COMPUTED_VALUE"""),"https://drive.google.com/file/d/1miw0gE80AMT9hLj9igjJSpALmK9RwWFq/view?usp=drivesdk")</f>
        <v>https://drive.google.com/file/d/1miw0gE80AMT9hLj9igjJSpALmK9RwWFq/view?usp=drivesdk</v>
      </c>
      <c r="C1209" s="147" t="str">
        <f>IFERROR(__xludf.DUMMYFUNCTION("""COMPUTED_VALUE"""),"10.1037--0022-3514.94.3.479.pdf")</f>
        <v>10.1037--0022-3514.94.3.479.pdf</v>
      </c>
      <c r="D1209" s="147" t="str">
        <f>IFERROR(__xludf.DUMMYFUNCTION("""COMPUTED_VALUE"""),"application/pdf")</f>
        <v>application/pdf</v>
      </c>
    </row>
    <row r="1210">
      <c r="A1210" s="147" t="str">
        <f>IFERROR(__xludf.DUMMYFUNCTION("""COMPUTED_VALUE"""),"10.1037/0022-3514.94.3.460")</f>
        <v>10.1037/0022-3514.94.3.460</v>
      </c>
      <c r="B1210" s="453" t="str">
        <f>IFERROR(__xludf.DUMMYFUNCTION("""COMPUTED_VALUE"""),"https://drive.google.com/file/d/1C7ZFix0i5PE-sELkqelxpzSVqoZT0uXD/view?usp=drivesdk")</f>
        <v>https://drive.google.com/file/d/1C7ZFix0i5PE-sELkqelxpzSVqoZT0uXD/view?usp=drivesdk</v>
      </c>
      <c r="C1210" s="147" t="str">
        <f>IFERROR(__xludf.DUMMYFUNCTION("""COMPUTED_VALUE"""),"10.1037--0022-3514.94.3.460.pdf")</f>
        <v>10.1037--0022-3514.94.3.460.pdf</v>
      </c>
      <c r="D1210" s="147" t="str">
        <f>IFERROR(__xludf.DUMMYFUNCTION("""COMPUTED_VALUE"""),"application/pdf")</f>
        <v>application/pdf</v>
      </c>
    </row>
    <row r="1211">
      <c r="A1211" s="147" t="str">
        <f>IFERROR(__xludf.DUMMYFUNCTION("""COMPUTED_VALUE"""),"10.1037/0022-3514.94.3.429")</f>
        <v>10.1037/0022-3514.94.3.429</v>
      </c>
      <c r="B1211" s="453" t="str">
        <f>IFERROR(__xludf.DUMMYFUNCTION("""COMPUTED_VALUE"""),"https://drive.google.com/file/d/1pIRTLjdO33Sfa_G2JWHQXUfeh-daVV5W/view?usp=drivesdk")</f>
        <v>https://drive.google.com/file/d/1pIRTLjdO33Sfa_G2JWHQXUfeh-daVV5W/view?usp=drivesdk</v>
      </c>
      <c r="C1211" s="147" t="str">
        <f>IFERROR(__xludf.DUMMYFUNCTION("""COMPUTED_VALUE"""),"10.1037--0022-3514.94.3.429.pdf")</f>
        <v>10.1037--0022-3514.94.3.429.pdf</v>
      </c>
      <c r="D1211" s="147" t="str">
        <f>IFERROR(__xludf.DUMMYFUNCTION("""COMPUTED_VALUE"""),"application/pdf")</f>
        <v>application/pdf</v>
      </c>
    </row>
    <row r="1212">
      <c r="A1212" s="147" t="str">
        <f>IFERROR(__xludf.DUMMYFUNCTION("""COMPUTED_VALUE"""),"10.1037/0022-3514.94.3.412")</f>
        <v>10.1037/0022-3514.94.3.412</v>
      </c>
      <c r="B1212" s="453" t="str">
        <f>IFERROR(__xludf.DUMMYFUNCTION("""COMPUTED_VALUE"""),"https://drive.google.com/file/d/1GqlmaUqsUO52N0r1Ib1RrmaOS2VDOtqx/view?usp=drivesdk")</f>
        <v>https://drive.google.com/file/d/1GqlmaUqsUO52N0r1Ib1RrmaOS2VDOtqx/view?usp=drivesdk</v>
      </c>
      <c r="C1212" s="147" t="str">
        <f>IFERROR(__xludf.DUMMYFUNCTION("""COMPUTED_VALUE"""),"10.1037--0022-3514.94.3.412.pdf")</f>
        <v>10.1037--0022-3514.94.3.412.pdf</v>
      </c>
      <c r="D1212" s="147" t="str">
        <f>IFERROR(__xludf.DUMMYFUNCTION("""COMPUTED_VALUE"""),"application/pdf")</f>
        <v>application/pdf</v>
      </c>
    </row>
    <row r="1213">
      <c r="A1213" s="147" t="str">
        <f>IFERROR(__xludf.DUMMYFUNCTION("""COMPUTED_VALUE"""),"10.1037/0022-3514.94.3.396")</f>
        <v>10.1037/0022-3514.94.3.396</v>
      </c>
      <c r="B1213" s="453" t="str">
        <f>IFERROR(__xludf.DUMMYFUNCTION("""COMPUTED_VALUE"""),"https://drive.google.com/file/d/11YlCMyN4uuL8Bm15aAIWE8inJeqhHaiW/view?usp=drivesdk")</f>
        <v>https://drive.google.com/file/d/11YlCMyN4uuL8Bm15aAIWE8inJeqhHaiW/view?usp=drivesdk</v>
      </c>
      <c r="C1213" s="147" t="str">
        <f>IFERROR(__xludf.DUMMYFUNCTION("""COMPUTED_VALUE"""),"10.1037--0022-3514.94.3.396.pdf")</f>
        <v>10.1037--0022-3514.94.3.396.pdf</v>
      </c>
      <c r="D1213" s="147" t="str">
        <f>IFERROR(__xludf.DUMMYFUNCTION("""COMPUTED_VALUE"""),"application/pdf")</f>
        <v>application/pdf</v>
      </c>
    </row>
    <row r="1214">
      <c r="A1214" s="147" t="str">
        <f>IFERROR(__xludf.DUMMYFUNCTION("""COMPUTED_VALUE"""),"10.1037/0022-3514.94.3.382")</f>
        <v>10.1037/0022-3514.94.3.382</v>
      </c>
      <c r="B1214" s="453" t="str">
        <f>IFERROR(__xludf.DUMMYFUNCTION("""COMPUTED_VALUE"""),"https://drive.google.com/file/d/1HdBN17kLB5Dti11EcyS-dTKrGQBVVhsc/view?usp=drivesdk")</f>
        <v>https://drive.google.com/file/d/1HdBN17kLB5Dti11EcyS-dTKrGQBVVhsc/view?usp=drivesdk</v>
      </c>
      <c r="C1214" s="147" t="str">
        <f>IFERROR(__xludf.DUMMYFUNCTION("""COMPUTED_VALUE"""),"10.1037--0022-3514.94.3.382.pdf")</f>
        <v>10.1037--0022-3514.94.3.382.pdf</v>
      </c>
      <c r="D1214" s="147" t="str">
        <f>IFERROR(__xludf.DUMMYFUNCTION("""COMPUTED_VALUE"""),"application/pdf")</f>
        <v>application/pdf</v>
      </c>
    </row>
    <row r="1215">
      <c r="A1215" s="147" t="str">
        <f>IFERROR(__xludf.DUMMYFUNCTION("""COMPUTED_VALUE"""),"10.1037/0022-3514.94.3.365")</f>
        <v>10.1037/0022-3514.94.3.365</v>
      </c>
      <c r="B1215" s="453" t="str">
        <f>IFERROR(__xludf.DUMMYFUNCTION("""COMPUTED_VALUE"""),"https://drive.google.com/file/d/1IvXyE1rwA3XbGaIs71lV94KBAOASxOSW/view?usp=drivesdk")</f>
        <v>https://drive.google.com/file/d/1IvXyE1rwA3XbGaIs71lV94KBAOASxOSW/view?usp=drivesdk</v>
      </c>
      <c r="C1215" s="147" t="str">
        <f>IFERROR(__xludf.DUMMYFUNCTION("""COMPUTED_VALUE"""),"10.1037--0022-3514.94.3.365.pdf")</f>
        <v>10.1037--0022-3514.94.3.365.pdf</v>
      </c>
      <c r="D1215" s="147" t="str">
        <f>IFERROR(__xludf.DUMMYFUNCTION("""COMPUTED_VALUE"""),"application/pdf")</f>
        <v>application/pdf</v>
      </c>
    </row>
    <row r="1216">
      <c r="A1216" s="147" t="str">
        <f>IFERROR(__xludf.DUMMYFUNCTION("""COMPUTED_VALUE"""),"10.1037/0022-3514.94.2.94.2.265")</f>
        <v>10.1037/0022-3514.94.2.94.2.265</v>
      </c>
      <c r="B1216" s="453" t="str">
        <f>IFERROR(__xludf.DUMMYFUNCTION("""COMPUTED_VALUE"""),"https://drive.google.com/file/d/1bYGZGwWWVS-Gyd9EvxGZHfGkrlvQ7SVP/view?usp=drivesdk")</f>
        <v>https://drive.google.com/file/d/1bYGZGwWWVS-Gyd9EvxGZHfGkrlvQ7SVP/view?usp=drivesdk</v>
      </c>
      <c r="C1216" s="147" t="str">
        <f>IFERROR(__xludf.DUMMYFUNCTION("""COMPUTED_VALUE"""),"10.1037--0022-3514.94.2.94.2.265.pdf")</f>
        <v>10.1037--0022-3514.94.2.94.2.265.pdf</v>
      </c>
      <c r="D1216" s="147" t="str">
        <f>IFERROR(__xludf.DUMMYFUNCTION("""COMPUTED_VALUE"""),"application/pdf")</f>
        <v>application/pdf</v>
      </c>
    </row>
    <row r="1217">
      <c r="A1217" s="147" t="str">
        <f>IFERROR(__xludf.DUMMYFUNCTION("""COMPUTED_VALUE"""),"10.1037/0022-3514.94.2.347")</f>
        <v>10.1037/0022-3514.94.2.347</v>
      </c>
      <c r="B1217" s="453" t="str">
        <f>IFERROR(__xludf.DUMMYFUNCTION("""COMPUTED_VALUE"""),"https://drive.google.com/file/d/19vdYAZkCypP9hiOcyAcKHxjhTelRkEZ4/view?usp=drivesdk")</f>
        <v>https://drive.google.com/file/d/19vdYAZkCypP9hiOcyAcKHxjhTelRkEZ4/view?usp=drivesdk</v>
      </c>
      <c r="C1217" s="147" t="str">
        <f>IFERROR(__xludf.DUMMYFUNCTION("""COMPUTED_VALUE"""),"10.1037--0022-3514.94.2.347.pdf")</f>
        <v>10.1037--0022-3514.94.2.347.pdf</v>
      </c>
      <c r="D1217" s="147" t="str">
        <f>IFERROR(__xludf.DUMMYFUNCTION("""COMPUTED_VALUE"""),"application/pdf")</f>
        <v>application/pdf</v>
      </c>
    </row>
    <row r="1218">
      <c r="A1218" s="147" t="str">
        <f>IFERROR(__xludf.DUMMYFUNCTION("""COMPUTED_VALUE"""),"10.1037/0022-3514.94.2.94.2.196")</f>
        <v>10.1037/0022-3514.94.2.94.2.196</v>
      </c>
      <c r="B1218" s="453" t="str">
        <f>IFERROR(__xludf.DUMMYFUNCTION("""COMPUTED_VALUE"""),"https://drive.google.com/file/d/1UKyZSyadeWWKlD03-UFjhlFvSy-jY0H-/view?usp=drivesdk")</f>
        <v>https://drive.google.com/file/d/1UKyZSyadeWWKlD03-UFjhlFvSy-jY0H-/view?usp=drivesdk</v>
      </c>
      <c r="C1218" s="147" t="str">
        <f>IFERROR(__xludf.DUMMYFUNCTION("""COMPUTED_VALUE"""),"10.1037--0022-3514.94.2.94.2.196.pdf")</f>
        <v>10.1037--0022-3514.94.2.94.2.196.pdf</v>
      </c>
      <c r="D1218" s="147" t="str">
        <f>IFERROR(__xludf.DUMMYFUNCTION("""COMPUTED_VALUE"""),"application/pdf")</f>
        <v>application/pdf</v>
      </c>
    </row>
    <row r="1219">
      <c r="A1219" s="147" t="str">
        <f>IFERROR(__xludf.DUMMYFUNCTION("""COMPUTED_VALUE"""),"10.1037/0022-3514.94.2.320")</f>
        <v>10.1037/0022-3514.94.2.320</v>
      </c>
      <c r="B1219" s="453" t="str">
        <f>IFERROR(__xludf.DUMMYFUNCTION("""COMPUTED_VALUE"""),"https://drive.google.com/file/d/1vurpc_i_PD2QcCV7pFaYNDEu3OYapdxB/view?usp=drivesdk")</f>
        <v>https://drive.google.com/file/d/1vurpc_i_PD2QcCV7pFaYNDEu3OYapdxB/view?usp=drivesdk</v>
      </c>
      <c r="C1219" s="147" t="str">
        <f>IFERROR(__xludf.DUMMYFUNCTION("""COMPUTED_VALUE"""),"10.1037--0022-3514.94.2.320.pdf")</f>
        <v>10.1037--0022-3514.94.2.320.pdf</v>
      </c>
      <c r="D1219" s="147" t="str">
        <f>IFERROR(__xludf.DUMMYFUNCTION("""COMPUTED_VALUE"""),"application/pdf")</f>
        <v>application/pdf</v>
      </c>
    </row>
    <row r="1220">
      <c r="A1220" s="147" t="str">
        <f>IFERROR(__xludf.DUMMYFUNCTION("""COMPUTED_VALUE"""),"10.1037/0022-3514.94.2.334")</f>
        <v>10.1037/0022-3514.94.2.334</v>
      </c>
      <c r="B1220" s="453" t="str">
        <f>IFERROR(__xludf.DUMMYFUNCTION("""COMPUTED_VALUE"""),"https://drive.google.com/file/d/1zAeAQJ4eRCYPaLwYl_cQdaBV-sgsCH1E/view?usp=drivesdk")</f>
        <v>https://drive.google.com/file/d/1zAeAQJ4eRCYPaLwYl_cQdaBV-sgsCH1E/view?usp=drivesdk</v>
      </c>
      <c r="C1220" s="147" t="str">
        <f>IFERROR(__xludf.DUMMYFUNCTION("""COMPUTED_VALUE"""),"10.1037--0022-3514.94.2.334.pdf")</f>
        <v>10.1037--0022-3514.94.2.334.pdf</v>
      </c>
      <c r="D1220" s="147" t="str">
        <f>IFERROR(__xludf.DUMMYFUNCTION("""COMPUTED_VALUE"""),"application/pdf")</f>
        <v>application/pdf</v>
      </c>
    </row>
    <row r="1221">
      <c r="A1221" s="147" t="str">
        <f>IFERROR(__xludf.DUMMYFUNCTION("""COMPUTED_VALUE"""),"10.1037/0022-3514.94.2.307")</f>
        <v>10.1037/0022-3514.94.2.307</v>
      </c>
      <c r="B1221" s="453" t="str">
        <f>IFERROR(__xludf.DUMMYFUNCTION("""COMPUTED_VALUE"""),"https://drive.google.com/file/d/1AyZRwIvNXJpAjxVsANAKksDd3obuF0oL/view?usp=drivesdk")</f>
        <v>https://drive.google.com/file/d/1AyZRwIvNXJpAjxVsANAKksDd3obuF0oL/view?usp=drivesdk</v>
      </c>
      <c r="C1221" s="147" t="str">
        <f>IFERROR(__xludf.DUMMYFUNCTION("""COMPUTED_VALUE"""),"10.1037--0022-3514.94.2.307.pdf")</f>
        <v>10.1037--0022-3514.94.2.307.pdf</v>
      </c>
      <c r="D1221" s="147" t="str">
        <f>IFERROR(__xludf.DUMMYFUNCTION("""COMPUTED_VALUE"""),"application/pdf")</f>
        <v>application/pdf</v>
      </c>
    </row>
    <row r="1222">
      <c r="A1222" s="147" t="str">
        <f>IFERROR(__xludf.DUMMYFUNCTION("""COMPUTED_VALUE"""),"10.1037/0022-3514.94.2.292")</f>
        <v>10.1037/0022-3514.94.2.292</v>
      </c>
      <c r="B1222" s="453" t="str">
        <f>IFERROR(__xludf.DUMMYFUNCTION("""COMPUTED_VALUE"""),"https://drive.google.com/file/d/1DNgz6zvVyJc9CChGs4IXCI5an4Rzk7nB/view?usp=drivesdk")</f>
        <v>https://drive.google.com/file/d/1DNgz6zvVyJc9CChGs4IXCI5an4Rzk7nB/view?usp=drivesdk</v>
      </c>
      <c r="C1222" s="147" t="str">
        <f>IFERROR(__xludf.DUMMYFUNCTION("""COMPUTED_VALUE"""),"10.1037--0022-3514.94.2.292.pdf")</f>
        <v>10.1037--0022-3514.94.2.292.pdf</v>
      </c>
      <c r="D1222" s="147" t="str">
        <f>IFERROR(__xludf.DUMMYFUNCTION("""COMPUTED_VALUE"""),"application/pdf")</f>
        <v>application/pdf</v>
      </c>
    </row>
    <row r="1223">
      <c r="A1223" s="147" t="str">
        <f>IFERROR(__xludf.DUMMYFUNCTION("""COMPUTED_VALUE"""),"10.1037/0022-3514.94.2.278")</f>
        <v>10.1037/0022-3514.94.2.278</v>
      </c>
      <c r="B1223" s="453" t="str">
        <f>IFERROR(__xludf.DUMMYFUNCTION("""COMPUTED_VALUE"""),"https://drive.google.com/file/d/1BsnS4DPT2KmhjBeBNNcE4-t0vz9t8bBu/view?usp=drivesdk")</f>
        <v>https://drive.google.com/file/d/1BsnS4DPT2KmhjBeBNNcE4-t0vz9t8bBu/view?usp=drivesdk</v>
      </c>
      <c r="C1223" s="147" t="str">
        <f>IFERROR(__xludf.DUMMYFUNCTION("""COMPUTED_VALUE"""),"10.1037--0022-3514.94.2.278.pdf")</f>
        <v>10.1037--0022-3514.94.2.278.pdf</v>
      </c>
      <c r="D1223" s="147" t="str">
        <f>IFERROR(__xludf.DUMMYFUNCTION("""COMPUTED_VALUE"""),"application/pdf")</f>
        <v>application/pdf</v>
      </c>
    </row>
    <row r="1224">
      <c r="A1224" s="147" t="str">
        <f>IFERROR(__xludf.DUMMYFUNCTION("""COMPUTED_VALUE"""),"10.1037/0022-3514.94.2.245")</f>
        <v>10.1037/0022-3514.94.2.245</v>
      </c>
      <c r="B1224" s="453" t="str">
        <f>IFERROR(__xludf.DUMMYFUNCTION("""COMPUTED_VALUE"""),"https://drive.google.com/file/d/1eQcmhUZAM11qxH-mwM6jAouV_rCECXvM/view?usp=drivesdk")</f>
        <v>https://drive.google.com/file/d/1eQcmhUZAM11qxH-mwM6jAouV_rCECXvM/view?usp=drivesdk</v>
      </c>
      <c r="C1224" s="147" t="str">
        <f>IFERROR(__xludf.DUMMYFUNCTION("""COMPUTED_VALUE"""),"10.1037--0022-3514.94.2.245.pdf")</f>
        <v>10.1037--0022-3514.94.2.245.pdf</v>
      </c>
      <c r="D1224" s="147" t="str">
        <f>IFERROR(__xludf.DUMMYFUNCTION("""COMPUTED_VALUE"""),"application/pdf")</f>
        <v>application/pdf</v>
      </c>
    </row>
    <row r="1225">
      <c r="A1225" s="147" t="str">
        <f>IFERROR(__xludf.DUMMYFUNCTION("""COMPUTED_VALUE"""),"10.1037/0022-3514.94.2.183")</f>
        <v>10.1037/0022-3514.94.2.183</v>
      </c>
      <c r="B1225" s="453" t="str">
        <f>IFERROR(__xludf.DUMMYFUNCTION("""COMPUTED_VALUE"""),"https://drive.google.com/file/d/19DaZ3U3kDTGt8DNgyBPYTrh0pbrw_vwe/view?usp=drivesdk")</f>
        <v>https://drive.google.com/file/d/19DaZ3U3kDTGt8DNgyBPYTrh0pbrw_vwe/view?usp=drivesdk</v>
      </c>
      <c r="C1225" s="147" t="str">
        <f>IFERROR(__xludf.DUMMYFUNCTION("""COMPUTED_VALUE"""),"10.1037--0022-3514.94.2.183.pdf")</f>
        <v>10.1037--0022-3514.94.2.183.pdf</v>
      </c>
      <c r="D1225" s="147" t="str">
        <f>IFERROR(__xludf.DUMMYFUNCTION("""COMPUTED_VALUE"""),"application/pdf")</f>
        <v>application/pdf</v>
      </c>
    </row>
    <row r="1226">
      <c r="A1226" s="147" t="str">
        <f>IFERROR(__xludf.DUMMYFUNCTION("""COMPUTED_VALUE"""),"10.1037/0022-3514.94.1.91")</f>
        <v>10.1037/0022-3514.94.1.91</v>
      </c>
      <c r="B1226" s="453" t="str">
        <f>IFERROR(__xludf.DUMMYFUNCTION("""COMPUTED_VALUE"""),"https://drive.google.com/file/d/1Ic6aADz9FFftbyqRAxUFmh-o53coOang/view?usp=drivesdk")</f>
        <v>https://drive.google.com/file/d/1Ic6aADz9FFftbyqRAxUFmh-o53coOang/view?usp=drivesdk</v>
      </c>
      <c r="C1226" s="147" t="str">
        <f>IFERROR(__xludf.DUMMYFUNCTION("""COMPUTED_VALUE"""),"10.1037--0022-3514.94.1.91.pdf")</f>
        <v>10.1037--0022-3514.94.1.91.pdf</v>
      </c>
      <c r="D1226" s="147" t="str">
        <f>IFERROR(__xludf.DUMMYFUNCTION("""COMPUTED_VALUE"""),"application/pdf")</f>
        <v>application/pdf</v>
      </c>
    </row>
    <row r="1227">
      <c r="A1227" s="147" t="str">
        <f>IFERROR(__xludf.DUMMYFUNCTION("""COMPUTED_VALUE"""),"10.1037/0022-3514.94.1.75")</f>
        <v>10.1037/0022-3514.94.1.75</v>
      </c>
      <c r="B1227" s="453" t="str">
        <f>IFERROR(__xludf.DUMMYFUNCTION("""COMPUTED_VALUE"""),"https://drive.google.com/file/d/1xLFc8vMa_e-vbBQWCNykjr3P59Pc0jMD/view?usp=drivesdk")</f>
        <v>https://drive.google.com/file/d/1xLFc8vMa_e-vbBQWCNykjr3P59Pc0jMD/view?usp=drivesdk</v>
      </c>
      <c r="C1227" s="147" t="str">
        <f>IFERROR(__xludf.DUMMYFUNCTION("""COMPUTED_VALUE"""),"10.1037--0022-3514.94.1.75.pdf")</f>
        <v>10.1037--0022-3514.94.1.75.pdf</v>
      </c>
      <c r="D1227" s="147" t="str">
        <f>IFERROR(__xludf.DUMMYFUNCTION("""COMPUTED_VALUE"""),"application/pdf")</f>
        <v>application/pdf</v>
      </c>
    </row>
    <row r="1228">
      <c r="A1228" s="147" t="str">
        <f>IFERROR(__xludf.DUMMYFUNCTION("""COMPUTED_VALUE"""),"10.1037/0022-3514.94.1.48")</f>
        <v>10.1037/0022-3514.94.1.48</v>
      </c>
      <c r="B1228" s="453" t="str">
        <f>IFERROR(__xludf.DUMMYFUNCTION("""COMPUTED_VALUE"""),"https://drive.google.com/file/d/12hPE3_ROkrr-EwAg8DQR8e8OYrtwuoYT/view?usp=drivesdk")</f>
        <v>https://drive.google.com/file/d/12hPE3_ROkrr-EwAg8DQR8e8OYrtwuoYT/view?usp=drivesdk</v>
      </c>
      <c r="C1228" s="147" t="str">
        <f>IFERROR(__xludf.DUMMYFUNCTION("""COMPUTED_VALUE"""),"10.1037--0022-3514.94.1.48.pdf")</f>
        <v>10.1037--0022-3514.94.1.48.pdf</v>
      </c>
      <c r="D1228" s="147" t="str">
        <f>IFERROR(__xludf.DUMMYFUNCTION("""COMPUTED_VALUE"""),"application/pdf")</f>
        <v>application/pdf</v>
      </c>
    </row>
    <row r="1229">
      <c r="A1229" s="147" t="str">
        <f>IFERROR(__xludf.DUMMYFUNCTION("""COMPUTED_VALUE"""),"10.1037/0022-3514.94.1.32")</f>
        <v>10.1037/0022-3514.94.1.32</v>
      </c>
      <c r="B1229" s="453" t="str">
        <f>IFERROR(__xludf.DUMMYFUNCTION("""COMPUTED_VALUE"""),"https://drive.google.com/file/d/1ncVTI_fg7cD5uuZLiCCdO3WT5ewLkA-V/view?usp=drivesdk")</f>
        <v>https://drive.google.com/file/d/1ncVTI_fg7cD5uuZLiCCdO3WT5ewLkA-V/view?usp=drivesdk</v>
      </c>
      <c r="C1229" s="147" t="str">
        <f>IFERROR(__xludf.DUMMYFUNCTION("""COMPUTED_VALUE"""),"10.1037--0022-3514.94.1.32.pdf")</f>
        <v>10.1037--0022-3514.94.1.32.pdf</v>
      </c>
      <c r="D1229" s="147" t="str">
        <f>IFERROR(__xludf.DUMMYFUNCTION("""COMPUTED_VALUE"""),"application/pdf")</f>
        <v>application/pdf</v>
      </c>
    </row>
    <row r="1230">
      <c r="A1230" s="147" t="str">
        <f>IFERROR(__xludf.DUMMYFUNCTION("""COMPUTED_VALUE"""),"10.1037/0022-3514.94.1.158")</f>
        <v>10.1037/0022-3514.94.1.158</v>
      </c>
      <c r="B1230" s="453" t="str">
        <f>IFERROR(__xludf.DUMMYFUNCTION("""COMPUTED_VALUE"""),"https://drive.google.com/file/d/1FHV-u9hbFTbf5tQRw4AZBWXvlnvbsJuW/view?usp=drivesdk")</f>
        <v>https://drive.google.com/file/d/1FHV-u9hbFTbf5tQRw4AZBWXvlnvbsJuW/view?usp=drivesdk</v>
      </c>
      <c r="C1230" s="147" t="str">
        <f>IFERROR(__xludf.DUMMYFUNCTION("""COMPUTED_VALUE"""),"10.1037--0022-3514.94.1.158.pdf")</f>
        <v>10.1037--0022-3514.94.1.158.pdf</v>
      </c>
      <c r="D1230" s="147" t="str">
        <f>IFERROR(__xludf.DUMMYFUNCTION("""COMPUTED_VALUE"""),"application/pdf")</f>
        <v>application/pdf</v>
      </c>
    </row>
    <row r="1231">
      <c r="A1231" s="147" t="str">
        <f>IFERROR(__xludf.DUMMYFUNCTION("""COMPUTED_VALUE"""),"10.1037/0022-3514.94.1.146")</f>
        <v>10.1037/0022-3514.94.1.146</v>
      </c>
      <c r="B1231" s="453" t="str">
        <f>IFERROR(__xludf.DUMMYFUNCTION("""COMPUTED_VALUE"""),"https://drive.google.com/file/d/1nm54o08eR4eFyMACR3wylzblVad7ZF5C/view?usp=drivesdk")</f>
        <v>https://drive.google.com/file/d/1nm54o08eR4eFyMACR3wylzblVad7ZF5C/view?usp=drivesdk</v>
      </c>
      <c r="C1231" s="147" t="str">
        <f>IFERROR(__xludf.DUMMYFUNCTION("""COMPUTED_VALUE"""),"10.1037--0022-3514.94.1.146.pdf")</f>
        <v>10.1037--0022-3514.94.1.146.pdf</v>
      </c>
      <c r="D1231" s="147" t="str">
        <f>IFERROR(__xludf.DUMMYFUNCTION("""COMPUTED_VALUE"""),"application/pdf")</f>
        <v>application/pdf</v>
      </c>
    </row>
    <row r="1232">
      <c r="A1232" s="147" t="str">
        <f>IFERROR(__xludf.DUMMYFUNCTION("""COMPUTED_VALUE"""),"10.1037/0022-3514.94.1.16")</f>
        <v>10.1037/0022-3514.94.1.16</v>
      </c>
      <c r="B1232" s="453" t="str">
        <f>IFERROR(__xludf.DUMMYFUNCTION("""COMPUTED_VALUE"""),"https://drive.google.com/file/d/1yQorPB990ECp--s5Y810aRf0XfraQ5Wv/view?usp=drivesdk")</f>
        <v>https://drive.google.com/file/d/1yQorPB990ECp--s5Y810aRf0XfraQ5Wv/view?usp=drivesdk</v>
      </c>
      <c r="C1232" s="147" t="str">
        <f>IFERROR(__xludf.DUMMYFUNCTION("""COMPUTED_VALUE"""),"10.1037--0022-3514.94.1.16.pdf")</f>
        <v>10.1037--0022-3514.94.1.16.pdf</v>
      </c>
      <c r="D1232" s="147" t="str">
        <f>IFERROR(__xludf.DUMMYFUNCTION("""COMPUTED_VALUE"""),"application/pdf")</f>
        <v>application/pdf</v>
      </c>
    </row>
    <row r="1233">
      <c r="A1233" s="147" t="str">
        <f>IFERROR(__xludf.DUMMYFUNCTION("""COMPUTED_VALUE"""),"10.1037/0022-3514.94.1.133")</f>
        <v>10.1037/0022-3514.94.1.133</v>
      </c>
      <c r="B1233" s="453" t="str">
        <f>IFERROR(__xludf.DUMMYFUNCTION("""COMPUTED_VALUE"""),"https://drive.google.com/file/d/1PVqGipSN12augdNc_SE5KUYf7kJ8pMxh/view?usp=drivesdk")</f>
        <v>https://drive.google.com/file/d/1PVqGipSN12augdNc_SE5KUYf7kJ8pMxh/view?usp=drivesdk</v>
      </c>
      <c r="C1233" s="147" t="str">
        <f>IFERROR(__xludf.DUMMYFUNCTION("""COMPUTED_VALUE"""),"10.1037--0022-3514.94.1.133.pdf")</f>
        <v>10.1037--0022-3514.94.1.133.pdf</v>
      </c>
      <c r="D1233" s="147" t="str">
        <f>IFERROR(__xludf.DUMMYFUNCTION("""COMPUTED_VALUE"""),"application/pdf")</f>
        <v>application/pdf</v>
      </c>
    </row>
    <row r="1234">
      <c r="A1234" s="147" t="str">
        <f>IFERROR(__xludf.DUMMYFUNCTION("""COMPUTED_VALUE"""),"10.1037/0022-3514.94.1.108")</f>
        <v>10.1037/0022-3514.94.1.108</v>
      </c>
      <c r="B1234" s="453" t="str">
        <f>IFERROR(__xludf.DUMMYFUNCTION("""COMPUTED_VALUE"""),"https://drive.google.com/file/d/16pozz0lmJju_YmH6O5UipsG8QfWJ1JK7/view?usp=drivesdk")</f>
        <v>https://drive.google.com/file/d/16pozz0lmJju_YmH6O5UipsG8QfWJ1JK7/view?usp=drivesdk</v>
      </c>
      <c r="C1234" s="147" t="str">
        <f>IFERROR(__xludf.DUMMYFUNCTION("""COMPUTED_VALUE"""),"10.1037--0022-3514.94.1.108.pdf")</f>
        <v>10.1037--0022-3514.94.1.108.pdf</v>
      </c>
      <c r="D1234" s="147" t="str">
        <f>IFERROR(__xludf.DUMMYFUNCTION("""COMPUTED_VALUE"""),"application/pdf")</f>
        <v>application/pdf</v>
      </c>
    </row>
    <row r="1235">
      <c r="A1235" s="147" t="str">
        <f>IFERROR(__xludf.DUMMYFUNCTION("""COMPUTED_VALUE"""),"10.1037/0022-3514.94.1.1")</f>
        <v>10.1037/0022-3514.94.1.1</v>
      </c>
      <c r="B1235" s="453" t="str">
        <f>IFERROR(__xludf.DUMMYFUNCTION("""COMPUTED_VALUE"""),"https://drive.google.com/file/d/1GCFNtGI_d_CgIPtrM02hpi0r-UNQaVqq/view?usp=drivesdk")</f>
        <v>https://drive.google.com/file/d/1GCFNtGI_d_CgIPtrM02hpi0r-UNQaVqq/view?usp=drivesdk</v>
      </c>
      <c r="C1235" s="147" t="str">
        <f>IFERROR(__xludf.DUMMYFUNCTION("""COMPUTED_VALUE"""),"10.1037--0022-3514.94.1.1.pdf")</f>
        <v>10.1037--0022-3514.94.1.1.pdf</v>
      </c>
      <c r="D1235" s="147" t="str">
        <f>IFERROR(__xludf.DUMMYFUNCTION("""COMPUTED_VALUE"""),"application/pdf")</f>
        <v>application/pdf</v>
      </c>
    </row>
    <row r="1236">
      <c r="A1236" s="147" t="str">
        <f>IFERROR(__xludf.DUMMYFUNCTION("""COMPUTED_VALUE"""),"10.1037/0022-3514.94.1.116")</f>
        <v>10.1037/0022-3514.94.1.116</v>
      </c>
      <c r="B1236" s="453" t="str">
        <f>IFERROR(__xludf.DUMMYFUNCTION("""COMPUTED_VALUE"""),"https://drive.google.com/file/d/1je9cw-vS4o0h7s6-W5SXMCb_uEat2QOt/view?usp=drivesdk")</f>
        <v>https://drive.google.com/file/d/1je9cw-vS4o0h7s6-W5SXMCb_uEat2QOt/view?usp=drivesdk</v>
      </c>
      <c r="C1236" s="147" t="str">
        <f>IFERROR(__xludf.DUMMYFUNCTION("""COMPUTED_VALUE"""),"10.1037--0022-3514.94.1.116.pdf")</f>
        <v>10.1037--0022-3514.94.1.116.pdf</v>
      </c>
      <c r="D1236" s="147" t="str">
        <f>IFERROR(__xludf.DUMMYFUNCTION("""COMPUTED_VALUE"""),"application/pdf")</f>
        <v>application/pdf</v>
      </c>
    </row>
    <row r="1237">
      <c r="A1237" s="147" t="str">
        <f>IFERROR(__xludf.DUMMYFUNCTION("""COMPUTED_VALUE"""),"10.1037/0022-3514.92.2.325.")</f>
        <v>10.1037/0022-3514.92.2.325.</v>
      </c>
      <c r="B1237" s="453" t="str">
        <f>IFERROR(__xludf.DUMMYFUNCTION("""COMPUTED_VALUE"""),"https://drive.google.com/file/d/15sRpGf5hZHB_mBs0FOiW6Zm0N2TupmUX/view?usp=drivesdk")</f>
        <v>https://drive.google.com/file/d/15sRpGf5hZHB_mBs0FOiW6Zm0N2TupmUX/view?usp=drivesdk</v>
      </c>
      <c r="C1237" s="147" t="str">
        <f>IFERROR(__xludf.DUMMYFUNCTION("""COMPUTED_VALUE"""),"10.1037--0022-3514.92.2.325..pdf")</f>
        <v>10.1037--0022-3514.92.2.325..pdf</v>
      </c>
      <c r="D1237" s="147" t="str">
        <f>IFERROR(__xludf.DUMMYFUNCTION("""COMPUTED_VALUE"""),"application/pdf")</f>
        <v>application/pdf</v>
      </c>
    </row>
    <row r="1238">
      <c r="A1238" s="147" t="str">
        <f>IFERROR(__xludf.DUMMYFUNCTION("""COMPUTED_VALUE"""),"10.1037/0022-3514.92.2.325")</f>
        <v>10.1037/0022-3514.92.2.325</v>
      </c>
      <c r="B1238" s="453" t="str">
        <f>IFERROR(__xludf.DUMMYFUNCTION("""COMPUTED_VALUE"""),"https://drive.google.com/file/d/1gBF1OSh84_PEaQuwMpzqMOVewrJw3LKJ/view?usp=drivesdk")</f>
        <v>https://drive.google.com/file/d/1gBF1OSh84_PEaQuwMpzqMOVewrJw3LKJ/view?usp=drivesdk</v>
      </c>
      <c r="C1238" s="147" t="str">
        <f>IFERROR(__xludf.DUMMYFUNCTION("""COMPUTED_VALUE"""),"10.1037--0022-3514.92.2.325.pdf")</f>
        <v>10.1037--0022-3514.92.2.325.pdf</v>
      </c>
      <c r="D1238" s="147" t="str">
        <f>IFERROR(__xludf.DUMMYFUNCTION("""COMPUTED_VALUE"""),"application/pdf")</f>
        <v>application/pdf</v>
      </c>
    </row>
    <row r="1239">
      <c r="A1239" s="147" t="str">
        <f>IFERROR(__xludf.DUMMYFUNCTION("""COMPUTED_VALUE"""),"10.1037/0022-3514.90.2.197")</f>
        <v>10.1037/0022-3514.90.2.197</v>
      </c>
      <c r="B1239" s="453" t="str">
        <f>IFERROR(__xludf.DUMMYFUNCTION("""COMPUTED_VALUE"""),"https://drive.google.com/file/d/1phqaJhapFhd9zISsdxBpoS9hsiQRiWsp/view?usp=drivesdk")</f>
        <v>https://drive.google.com/file/d/1phqaJhapFhd9zISsdxBpoS9hsiQRiWsp/view?usp=drivesdk</v>
      </c>
      <c r="C1239" s="147" t="str">
        <f>IFERROR(__xludf.DUMMYFUNCTION("""COMPUTED_VALUE"""),"10.1037--0022-3514.90.2.197.pdf")</f>
        <v>10.1037--0022-3514.90.2.197.pdf</v>
      </c>
      <c r="D1239" s="147" t="str">
        <f>IFERROR(__xludf.DUMMYFUNCTION("""COMPUTED_VALUE"""),"application/pdf")</f>
        <v>application/pdf</v>
      </c>
    </row>
    <row r="1240">
      <c r="A1240" s="147" t="str">
        <f>IFERROR(__xludf.DUMMYFUNCTION("""COMPUTED_VALUE"""),"10.1037/0022-3514.86.5.680")</f>
        <v>10.1037/0022-3514.86.5.680</v>
      </c>
      <c r="B1240" s="453" t="str">
        <f>IFERROR(__xludf.DUMMYFUNCTION("""COMPUTED_VALUE"""),"https://drive.google.com/file/d/1U3iYKdJmayaWRmdIBpM8EqJ5dcQwXvZG/view?usp=drivesdk")</f>
        <v>https://drive.google.com/file/d/1U3iYKdJmayaWRmdIBpM8EqJ5dcQwXvZG/view?usp=drivesdk</v>
      </c>
      <c r="C1240" s="147" t="str">
        <f>IFERROR(__xludf.DUMMYFUNCTION("""COMPUTED_VALUE"""),"10.1037--0022-3514.86.5.680.pdf")</f>
        <v>10.1037--0022-3514.86.5.680.pdf</v>
      </c>
      <c r="D1240" s="147" t="str">
        <f>IFERROR(__xludf.DUMMYFUNCTION("""COMPUTED_VALUE"""),"application/pdf")</f>
        <v>application/pdf</v>
      </c>
    </row>
    <row r="1241">
      <c r="A1241" s="147" t="str">
        <f>IFERROR(__xludf.DUMMYFUNCTION("""COMPUTED_VALUE"""),"10.1037/0022-3514.85.1.47")</f>
        <v>10.1037/0022-3514.85.1.47</v>
      </c>
      <c r="B1241" s="453" t="str">
        <f>IFERROR(__xludf.DUMMYFUNCTION("""COMPUTED_VALUE"""),"https://drive.google.com/file/d/1D49d4qgdPtpEFR4u5CPHZteLh9QKmMcv/view?usp=drivesdk")</f>
        <v>https://drive.google.com/file/d/1D49d4qgdPtpEFR4u5CPHZteLh9QKmMcv/view?usp=drivesdk</v>
      </c>
      <c r="C1241" s="147" t="str">
        <f>IFERROR(__xludf.DUMMYFUNCTION("""COMPUTED_VALUE"""),"10.1037--0022-3514.85.1.47.pdf")</f>
        <v>10.1037--0022-3514.85.1.47.pdf</v>
      </c>
      <c r="D1241" s="147" t="str">
        <f>IFERROR(__xludf.DUMMYFUNCTION("""COMPUTED_VALUE"""),"application/pdf")</f>
        <v>application/pdf</v>
      </c>
    </row>
    <row r="1242">
      <c r="A1242" s="147" t="str">
        <f>IFERROR(__xludf.DUMMYFUNCTION("""COMPUTED_VALUE"""),"10.1037/0022-3514.85.1.33")</f>
        <v>10.1037/0022-3514.85.1.33</v>
      </c>
      <c r="B1242" s="453" t="str">
        <f>IFERROR(__xludf.DUMMYFUNCTION("""COMPUTED_VALUE"""),"https://drive.google.com/file/d/1Q7xyjTHCXVBDAcscenEerggpt0mO62P6/view?usp=drivesdk")</f>
        <v>https://drive.google.com/file/d/1Q7xyjTHCXVBDAcscenEerggpt0mO62P6/view?usp=drivesdk</v>
      </c>
      <c r="C1242" s="147" t="str">
        <f>IFERROR(__xludf.DUMMYFUNCTION("""COMPUTED_VALUE"""),"10.1037--0022-3514.85.1.33.pdf")</f>
        <v>10.1037--0022-3514.85.1.33.pdf</v>
      </c>
      <c r="D1242" s="147" t="str">
        <f>IFERROR(__xludf.DUMMYFUNCTION("""COMPUTED_VALUE"""),"application/pdf")</f>
        <v>application/pdf</v>
      </c>
    </row>
    <row r="1243">
      <c r="A1243" s="147" t="str">
        <f>IFERROR(__xludf.DUMMYFUNCTION("""COMPUTED_VALUE"""),"10.1037/0022-3514.84.4.871")</f>
        <v>10.1037/0022-3514.84.4.871</v>
      </c>
      <c r="B1243" s="453" t="str">
        <f>IFERROR(__xludf.DUMMYFUNCTION("""COMPUTED_VALUE"""),"https://drive.google.com/file/d/1bdWCubONzotNyzQtyNAEPIstDQkJSEwL/view?usp=drivesdk")</f>
        <v>https://drive.google.com/file/d/1bdWCubONzotNyzQtyNAEPIstDQkJSEwL/view?usp=drivesdk</v>
      </c>
      <c r="C1243" s="147" t="str">
        <f>IFERROR(__xludf.DUMMYFUNCTION("""COMPUTED_VALUE"""),"10.1037--0022-3514.84.4.871.pdf")</f>
        <v>10.1037--0022-3514.84.4.871.pdf</v>
      </c>
      <c r="D1243" s="147" t="str">
        <f>IFERROR(__xludf.DUMMYFUNCTION("""COMPUTED_VALUE"""),"application/pdf")</f>
        <v>application/pdf</v>
      </c>
    </row>
    <row r="1244">
      <c r="A1244" s="147" t="str">
        <f>IFERROR(__xludf.DUMMYFUNCTION("""COMPUTED_VALUE"""),"10.1037/0022-3514.84.2.411")</f>
        <v>10.1037/0022-3514.84.2.411</v>
      </c>
      <c r="B1244" s="453" t="str">
        <f>IFERROR(__xludf.DUMMYFUNCTION("""COMPUTED_VALUE"""),"https://drive.google.com/file/d/1NUoPD3eW0MR4HJ1BQoG7-ngWy5-ADbSy/view?usp=drivesdk")</f>
        <v>https://drive.google.com/file/d/1NUoPD3eW0MR4HJ1BQoG7-ngWy5-ADbSy/view?usp=drivesdk</v>
      </c>
      <c r="C1244" s="147" t="str">
        <f>IFERROR(__xludf.DUMMYFUNCTION("""COMPUTED_VALUE"""),"10.1037--0022-3514.84.2.411.pdf")</f>
        <v>10.1037--0022-3514.84.2.411.pdf</v>
      </c>
      <c r="D1244" s="147" t="str">
        <f>IFERROR(__xludf.DUMMYFUNCTION("""COMPUTED_VALUE"""),"application/pdf")</f>
        <v>application/pdf</v>
      </c>
    </row>
    <row r="1245">
      <c r="A1245" s="147" t="str">
        <f>IFERROR(__xludf.DUMMYFUNCTION("""COMPUTED_VALUE"""),"10.1037/0022-3514.84.3.582")</f>
        <v>10.1037/0022-3514.84.3.582</v>
      </c>
      <c r="B1245" s="453" t="str">
        <f>IFERROR(__xludf.DUMMYFUNCTION("""COMPUTED_VALUE"""),"https://drive.google.com/file/d/1xuFoPe4NoIX58JM0wx-8_dEId51aZij5/view?usp=drivesdk")</f>
        <v>https://drive.google.com/file/d/1xuFoPe4NoIX58JM0wx-8_dEId51aZij5/view?usp=drivesdk</v>
      </c>
      <c r="C1245" s="147" t="str">
        <f>IFERROR(__xludf.DUMMYFUNCTION("""COMPUTED_VALUE"""),"10.1037--0022-3514.84.3.582.pdf")</f>
        <v>10.1037--0022-3514.84.3.582.pdf</v>
      </c>
      <c r="D1245" s="147" t="str">
        <f>IFERROR(__xludf.DUMMYFUNCTION("""COMPUTED_VALUE"""),"application/pdf")</f>
        <v>application/pdf</v>
      </c>
    </row>
    <row r="1246">
      <c r="A1246" s="147" t="str">
        <f>IFERROR(__xludf.DUMMYFUNCTION("""COMPUTED_VALUE"""),"10.1037/0022-3514.83.5.1165")</f>
        <v>10.1037/0022-3514.83.5.1165</v>
      </c>
      <c r="B1246" s="453" t="str">
        <f>IFERROR(__xludf.DUMMYFUNCTION("""COMPUTED_VALUE"""),"https://drive.google.com/file/d/1-T4sznIFSDMlo5E8C7pS0UQqY9mrcCsK/view?usp=drivesdk")</f>
        <v>https://drive.google.com/file/d/1-T4sznIFSDMlo5E8C7pS0UQqY9mrcCsK/view?usp=drivesdk</v>
      </c>
      <c r="C1246" s="147" t="str">
        <f>IFERROR(__xludf.DUMMYFUNCTION("""COMPUTED_VALUE"""),"10.1037--0022-3514.83.5.1165.pdf")</f>
        <v>10.1037--0022-3514.83.5.1165.pdf</v>
      </c>
      <c r="D1246" s="147" t="str">
        <f>IFERROR(__xludf.DUMMYFUNCTION("""COMPUTED_VALUE"""),"application/pdf")</f>
        <v>application/pdf</v>
      </c>
    </row>
    <row r="1247">
      <c r="A1247" s="147" t="str">
        <f>IFERROR(__xludf.DUMMYFUNCTION("""COMPUTED_VALUE"""),"10.1037/0022-3514.83.5.1239")</f>
        <v>10.1037/0022-3514.83.5.1239</v>
      </c>
      <c r="B1247" s="453" t="str">
        <f>IFERROR(__xludf.DUMMYFUNCTION("""COMPUTED_VALUE"""),"https://drive.google.com/file/d/1bUFd8EhwJ36bo-2xBlOdIPnQvw_apZ06/view?usp=drivesdk")</f>
        <v>https://drive.google.com/file/d/1bUFd8EhwJ36bo-2xBlOdIPnQvw_apZ06/view?usp=drivesdk</v>
      </c>
      <c r="C1247" s="147" t="str">
        <f>IFERROR(__xludf.DUMMYFUNCTION("""COMPUTED_VALUE"""),"10.1037--0022-3514.83.5.1239.pdf")</f>
        <v>10.1037--0022-3514.83.5.1239.pdf</v>
      </c>
      <c r="D1247" s="147" t="str">
        <f>IFERROR(__xludf.DUMMYFUNCTION("""COMPUTED_VALUE"""),"application/pdf")</f>
        <v>application/pdf</v>
      </c>
    </row>
    <row r="1248">
      <c r="A1248" s="147" t="str">
        <f>IFERROR(__xludf.DUMMYFUNCTION("""COMPUTED_VALUE"""),"10.1037/0022-3514.83.1.44")</f>
        <v>10.1037/0022-3514.83.1.44</v>
      </c>
      <c r="B1248" s="453" t="str">
        <f>IFERROR(__xludf.DUMMYFUNCTION("""COMPUTED_VALUE"""),"https://drive.google.com/file/d/1fhnK_MpUTUYrtfdIB-pGhbkxyiXV1Wjs/view?usp=drivesdk")</f>
        <v>https://drive.google.com/file/d/1fhnK_MpUTUYrtfdIB-pGhbkxyiXV1Wjs/view?usp=drivesdk</v>
      </c>
      <c r="C1248" s="147" t="str">
        <f>IFERROR(__xludf.DUMMYFUNCTION("""COMPUTED_VALUE"""),"10.1037--0022-3514.83.1.44.pdf")</f>
        <v>10.1037--0022-3514.83.1.44.pdf</v>
      </c>
      <c r="D1248" s="147" t="str">
        <f>IFERROR(__xludf.DUMMYFUNCTION("""COMPUTED_VALUE"""),"application/pdf")</f>
        <v>application/pdf</v>
      </c>
    </row>
    <row r="1249">
      <c r="A1249" s="147" t="str">
        <f>IFERROR(__xludf.DUMMYFUNCTION("""COMPUTED_VALUE"""),"10.1037/0022-3514.82.6.956")</f>
        <v>10.1037/0022-3514.82.6.956</v>
      </c>
      <c r="B1249" s="453" t="str">
        <f>IFERROR(__xludf.DUMMYFUNCTION("""COMPUTED_VALUE"""),"https://drive.google.com/file/d/1lgP6sNtXAaekI_R1yb941Bj3yTw4imeR/view?usp=drivesdk")</f>
        <v>https://drive.google.com/file/d/1lgP6sNtXAaekI_R1yb941Bj3yTw4imeR/view?usp=drivesdk</v>
      </c>
      <c r="C1249" s="147" t="str">
        <f>IFERROR(__xludf.DUMMYFUNCTION("""COMPUTED_VALUE"""),"10.1037--0022-3514.82.6.956.pdf")</f>
        <v>10.1037--0022-3514.82.6.956.pdf</v>
      </c>
      <c r="D1249" s="147" t="str">
        <f>IFERROR(__xludf.DUMMYFUNCTION("""COMPUTED_VALUE"""),"application/pdf")</f>
        <v>application/pdf</v>
      </c>
    </row>
    <row r="1250">
      <c r="A1250" s="147" t="str">
        <f>IFERROR(__xludf.DUMMYFUNCTION("""COMPUTED_VALUE"""),"10.1037/0022-3514.82.5.792")</f>
        <v>10.1037/0022-3514.82.5.792</v>
      </c>
      <c r="B1250" s="453" t="str">
        <f>IFERROR(__xludf.DUMMYFUNCTION("""COMPUTED_VALUE"""),"https://drive.google.com/file/d/1yhJ17uggr6j5uXr73Jms5KP35M6RDUxL/view?usp=drivesdk")</f>
        <v>https://drive.google.com/file/d/1yhJ17uggr6j5uXr73Jms5KP35M6RDUxL/view?usp=drivesdk</v>
      </c>
      <c r="C1250" s="147" t="str">
        <f>IFERROR(__xludf.DUMMYFUNCTION("""COMPUTED_VALUE"""),"10.1037--0022-3514.82.5.792.pdf")</f>
        <v>10.1037--0022-3514.82.5.792.pdf</v>
      </c>
      <c r="D1250" s="147" t="str">
        <f>IFERROR(__xludf.DUMMYFUNCTION("""COMPUTED_VALUE"""),"application/pdf")</f>
        <v>application/pdf</v>
      </c>
    </row>
    <row r="1251">
      <c r="A1251" s="147" t="str">
        <f>IFERROR(__xludf.DUMMYFUNCTION("""COMPUTED_VALUE"""),"10.1037/0022-3514.82.1.112")</f>
        <v>10.1037/0022-3514.82.1.112</v>
      </c>
      <c r="B1251" s="453" t="str">
        <f>IFERROR(__xludf.DUMMYFUNCTION("""COMPUTED_VALUE"""),"https://drive.google.com/file/d/1KF3EmUMvFgpP_JffHNBHYjTtKalpvzRE/view?usp=drivesdk")</f>
        <v>https://drive.google.com/file/d/1KF3EmUMvFgpP_JffHNBHYjTtKalpvzRE/view?usp=drivesdk</v>
      </c>
      <c r="C1251" s="147" t="str">
        <f>IFERROR(__xludf.DUMMYFUNCTION("""COMPUTED_VALUE"""),"10.1037--0022-3514.82.1.112.pdf")</f>
        <v>10.1037--0022-3514.82.1.112.pdf</v>
      </c>
      <c r="D1251" s="147" t="str">
        <f>IFERROR(__xludf.DUMMYFUNCTION("""COMPUTED_VALUE"""),"application/pdf")</f>
        <v>application/pdf</v>
      </c>
    </row>
    <row r="1252">
      <c r="A1252" s="147" t="str">
        <f>IFERROR(__xludf.DUMMYFUNCTION("""COMPUTED_VALUE"""),"10.1037/0022-3514.81.6.1014")</f>
        <v>10.1037/0022-3514.81.6.1014</v>
      </c>
      <c r="B1252" s="453" t="str">
        <f>IFERROR(__xludf.DUMMYFUNCTION("""COMPUTED_VALUE"""),"https://drive.google.com/file/d/1UCGp2b9xQT5HVAnF4dD7JeFMbGrhzpex/view?usp=drivesdk")</f>
        <v>https://drive.google.com/file/d/1UCGp2b9xQT5HVAnF4dD7JeFMbGrhzpex/view?usp=drivesdk</v>
      </c>
      <c r="C1252" s="147" t="str">
        <f>IFERROR(__xludf.DUMMYFUNCTION("""COMPUTED_VALUE"""),"10.1037--0022-3514.81.6.1014.pdf")</f>
        <v>10.1037--0022-3514.81.6.1014.pdf</v>
      </c>
      <c r="D1252" s="147" t="str">
        <f>IFERROR(__xludf.DUMMYFUNCTION("""COMPUTED_VALUE"""),"application/pdf")</f>
        <v>application/pdf</v>
      </c>
    </row>
    <row r="1253">
      <c r="A1253" s="147" t="str">
        <f>IFERROR(__xludf.DUMMYFUNCTION("""COMPUTED_VALUE"""),"10.1037/0022-3514.81.1.116")</f>
        <v>10.1037/0022-3514.81.1.116</v>
      </c>
      <c r="B1253" s="453" t="str">
        <f>IFERROR(__xludf.DUMMYFUNCTION("""COMPUTED_VALUE"""),"https://drive.google.com/file/d/1_T47980LRcVvkPpcoUhfImG7kOlwUqEM/view?usp=drivesdk")</f>
        <v>https://drive.google.com/file/d/1_T47980LRcVvkPpcoUhfImG7kOlwUqEM/view?usp=drivesdk</v>
      </c>
      <c r="C1253" s="147" t="str">
        <f>IFERROR(__xludf.DUMMYFUNCTION("""COMPUTED_VALUE"""),"10.1037--0022-3514.81.1.116.pdf")</f>
        <v>10.1037--0022-3514.81.1.116.pdf</v>
      </c>
      <c r="D1253" s="147" t="str">
        <f>IFERROR(__xludf.DUMMYFUNCTION("""COMPUTED_VALUE"""),"application/pdf")</f>
        <v>application/pdf</v>
      </c>
    </row>
    <row r="1254">
      <c r="A1254" s="147" t="str">
        <f>IFERROR(__xludf.DUMMYFUNCTION("""COMPUTED_VALUE"""),"10.1037/0022-3514.80.6.995")</f>
        <v>10.1037/0022-3514.80.6.995</v>
      </c>
      <c r="B1254" s="453" t="str">
        <f>IFERROR(__xludf.DUMMYFUNCTION("""COMPUTED_VALUE"""),"https://drive.google.com/file/d/1-pDt7XIQ8gHle_zOW9q4-7M5_5yCo3db/view?usp=drivesdk")</f>
        <v>https://drive.google.com/file/d/1-pDt7XIQ8gHle_zOW9q4-7M5_5yCo3db/view?usp=drivesdk</v>
      </c>
      <c r="C1254" s="147" t="str">
        <f>IFERROR(__xludf.DUMMYFUNCTION("""COMPUTED_VALUE"""),"10.1037--0022-3514.80.6.995.pdf")</f>
        <v>10.1037--0022-3514.80.6.995.pdf</v>
      </c>
      <c r="D1254" s="147" t="str">
        <f>IFERROR(__xludf.DUMMYFUNCTION("""COMPUTED_VALUE"""),"application/pdf")</f>
        <v>application/pdf</v>
      </c>
    </row>
    <row r="1255">
      <c r="A1255" s="147" t="str">
        <f>IFERROR(__xludf.DUMMYFUNCTION("""COMPUTED_VALUE"""),"10.1037/0022-3514.80.6.861")</f>
        <v>10.1037/0022-3514.80.6.861</v>
      </c>
      <c r="B1255" s="453" t="str">
        <f>IFERROR(__xludf.DUMMYFUNCTION("""COMPUTED_VALUE"""),"https://drive.google.com/file/d/14sXJIUd6d9cI9KiIQjSDYIstLw99rX6Z/view?usp=drivesdk")</f>
        <v>https://drive.google.com/file/d/14sXJIUd6d9cI9KiIQjSDYIstLw99rX6Z/view?usp=drivesdk</v>
      </c>
      <c r="C1255" s="147" t="str">
        <f>IFERROR(__xludf.DUMMYFUNCTION("""COMPUTED_VALUE"""),"10.1037--0022-3514.80.6.861.pdf")</f>
        <v>10.1037--0022-3514.80.6.861.pdf</v>
      </c>
      <c r="D1255" s="147" t="str">
        <f>IFERROR(__xludf.DUMMYFUNCTION("""COMPUTED_VALUE"""),"application/pdf")</f>
        <v>application/pdf</v>
      </c>
    </row>
    <row r="1256">
      <c r="A1256" s="147" t="str">
        <f>IFERROR(__xludf.DUMMYFUNCTION("""COMPUTED_VALUE"""),"10.1037/0022-3514.77.2.221")</f>
        <v>10.1037/0022-3514.77.2.221</v>
      </c>
      <c r="B1256" s="453" t="str">
        <f>IFERROR(__xludf.DUMMYFUNCTION("""COMPUTED_VALUE"""),"https://drive.google.com/file/d/12oauQ37y0mcMDFqJ7bqVhBYq58KEsGVx/view?usp=drivesdk")</f>
        <v>https://drive.google.com/file/d/12oauQ37y0mcMDFqJ7bqVhBYq58KEsGVx/view?usp=drivesdk</v>
      </c>
      <c r="C1256" s="147" t="str">
        <f>IFERROR(__xludf.DUMMYFUNCTION("""COMPUTED_VALUE"""),"10.1037--0022-3514.77.2.221.pdf")</f>
        <v>10.1037--0022-3514.77.2.221.pdf</v>
      </c>
      <c r="D1256" s="147" t="str">
        <f>IFERROR(__xludf.DUMMYFUNCTION("""COMPUTED_VALUE"""),"application/pdf")</f>
        <v>application/pdf</v>
      </c>
    </row>
    <row r="1257">
      <c r="A1257" s="147" t="str">
        <f>IFERROR(__xludf.DUMMYFUNCTION("""COMPUTED_VALUE"""),"10.1037/0022-3514.76.6.893")</f>
        <v>10.1037/0022-3514.76.6.893</v>
      </c>
      <c r="B1257" s="453" t="str">
        <f>IFERROR(__xludf.DUMMYFUNCTION("""COMPUTED_VALUE"""),"https://drive.google.com/file/d/1OyJsePQ8uL-fdEQollfx14Y7XOGBJ7YL/view?usp=drivesdk")</f>
        <v>https://drive.google.com/file/d/1OyJsePQ8uL-fdEQollfx14Y7XOGBJ7YL/view?usp=drivesdk</v>
      </c>
      <c r="C1257" s="147" t="str">
        <f>IFERROR(__xludf.DUMMYFUNCTION("""COMPUTED_VALUE"""),"10.1037--0022-3514.76.6.893.pdf")</f>
        <v>10.1037--0022-3514.76.6.893.pdf</v>
      </c>
      <c r="D1257" s="147" t="str">
        <f>IFERROR(__xludf.DUMMYFUNCTION("""COMPUTED_VALUE"""),"application/pdf")</f>
        <v>application/pdf</v>
      </c>
    </row>
    <row r="1258">
      <c r="A1258" s="147" t="str">
        <f>IFERROR(__xludf.DUMMYFUNCTION("""COMPUTED_VALUE"""),"10.1037/0022-3514.74.4.865")</f>
        <v>10.1037/0022-3514.74.4.865</v>
      </c>
      <c r="B1258" s="453" t="str">
        <f>IFERROR(__xludf.DUMMYFUNCTION("""COMPUTED_VALUE"""),"https://drive.google.com/file/d/1MyvsQotXbWyaILWmhISzDQWsI0r_I8bs/view?usp=drivesdk")</f>
        <v>https://drive.google.com/file/d/1MyvsQotXbWyaILWmhISzDQWsI0r_I8bs/view?usp=drivesdk</v>
      </c>
      <c r="C1258" s="147" t="str">
        <f>IFERROR(__xludf.DUMMYFUNCTION("""COMPUTED_VALUE"""),"10.1037--0022-3514.74.4.865.pdf")</f>
        <v>10.1037--0022-3514.74.4.865.pdf</v>
      </c>
      <c r="D1258" s="147" t="str">
        <f>IFERROR(__xludf.DUMMYFUNCTION("""COMPUTED_VALUE"""),"application/pdf")</f>
        <v>application/pdf</v>
      </c>
    </row>
    <row r="1259">
      <c r="A1259" s="147" t="str">
        <f>IFERROR(__xludf.DUMMYFUNCTION("""COMPUTED_VALUE"""),"10.1037/0022-3514.74.1.53")</f>
        <v>10.1037/0022-3514.74.1.53</v>
      </c>
      <c r="B1259" s="453" t="str">
        <f>IFERROR(__xludf.DUMMYFUNCTION("""COMPUTED_VALUE"""),"https://drive.google.com/file/d/13sjd1O1OzYrSOURmApaPxDr_dnNuQRdk/view?usp=drivesdk")</f>
        <v>https://drive.google.com/file/d/13sjd1O1OzYrSOURmApaPxDr_dnNuQRdk/view?usp=drivesdk</v>
      </c>
      <c r="C1259" s="147" t="str">
        <f>IFERROR(__xludf.DUMMYFUNCTION("""COMPUTED_VALUE"""),"10.1037--0022-3514.74.1.53.pdf")</f>
        <v>10.1037--0022-3514.74.1.53.pdf</v>
      </c>
      <c r="D1259" s="147" t="str">
        <f>IFERROR(__xludf.DUMMYFUNCTION("""COMPUTED_VALUE"""),"application/pdf")</f>
        <v>application/pdf</v>
      </c>
    </row>
    <row r="1260">
      <c r="A1260" s="147" t="str">
        <f>IFERROR(__xludf.DUMMYFUNCTION("""COMPUTED_VALUE"""),"10.1037/0022-3514.74.3.774")</f>
        <v>10.1037/0022-3514.74.3.774</v>
      </c>
      <c r="B1260" s="453" t="str">
        <f>IFERROR(__xludf.DUMMYFUNCTION("""COMPUTED_VALUE"""),"https://drive.google.com/file/d/1jvY3Sgds8iuvtsLXHlpUqcaSBliH2tJV/view?usp=drivesdk")</f>
        <v>https://drive.google.com/file/d/1jvY3Sgds8iuvtsLXHlpUqcaSBliH2tJV/view?usp=drivesdk</v>
      </c>
      <c r="C1260" s="147" t="str">
        <f>IFERROR(__xludf.DUMMYFUNCTION("""COMPUTED_VALUE"""),"10.1037--0022-3514.74.3.774.pdf")</f>
        <v>10.1037--0022-3514.74.3.774.pdf</v>
      </c>
      <c r="D1260" s="147" t="str">
        <f>IFERROR(__xludf.DUMMYFUNCTION("""COMPUTED_VALUE"""),"application/pdf")</f>
        <v>application/pdf</v>
      </c>
    </row>
    <row r="1261">
      <c r="A1261" s="147" t="str">
        <f>IFERROR(__xludf.DUMMYFUNCTION("""COMPUTED_VALUE"""),"10.1037/0022-3514.73.4.733")</f>
        <v>10.1037/0022-3514.73.4.733</v>
      </c>
      <c r="B1261" s="453" t="str">
        <f>IFERROR(__xludf.DUMMYFUNCTION("""COMPUTED_VALUE"""),"https://drive.google.com/file/d/1FklynAHzflh7rbxQIU4qTxOz3VBhye8B/view?usp=drivesdk")</f>
        <v>https://drive.google.com/file/d/1FklynAHzflh7rbxQIU4qTxOz3VBhye8B/view?usp=drivesdk</v>
      </c>
      <c r="C1261" s="147" t="str">
        <f>IFERROR(__xludf.DUMMYFUNCTION("""COMPUTED_VALUE"""),"10.1037--0022-3514.73.4.733.pdf")</f>
        <v>10.1037--0022-3514.73.4.733.pdf</v>
      </c>
      <c r="D1261" s="147" t="str">
        <f>IFERROR(__xludf.DUMMYFUNCTION("""COMPUTED_VALUE"""),"application/pdf")</f>
        <v>application/pdf</v>
      </c>
    </row>
    <row r="1262">
      <c r="A1262" s="147" t="str">
        <f>IFERROR(__xludf.DUMMYFUNCTION("""COMPUTED_VALUE"""),"10.1037/0022-3514.71.2.230")</f>
        <v>10.1037/0022-3514.71.2.230</v>
      </c>
      <c r="B1262" s="453" t="str">
        <f>IFERROR(__xludf.DUMMYFUNCTION("""COMPUTED_VALUE"""),"https://drive.google.com/file/d/1k_ITkShMoY3bps8YyiRV8_CnbYN3486s/view?usp=drivesdk")</f>
        <v>https://drive.google.com/file/d/1k_ITkShMoY3bps8YyiRV8_CnbYN3486s/view?usp=drivesdk</v>
      </c>
      <c r="C1262" s="147" t="str">
        <f>IFERROR(__xludf.DUMMYFUNCTION("""COMPUTED_VALUE"""),"10.1037--0022-3514.71.2.230.pdf")</f>
        <v>10.1037--0022-3514.71.2.230.pdf</v>
      </c>
      <c r="D1262" s="147" t="str">
        <f>IFERROR(__xludf.DUMMYFUNCTION("""COMPUTED_VALUE"""),"application/pdf")</f>
        <v>application/pdf</v>
      </c>
    </row>
    <row r="1263">
      <c r="A1263" s="147" t="str">
        <f>IFERROR(__xludf.DUMMYFUNCTION("""COMPUTED_VALUE"""),"10.1037/0022-3514.68.5.793")</f>
        <v>10.1037/0022-3514.68.5.793</v>
      </c>
      <c r="B1263" s="453" t="str">
        <f>IFERROR(__xludf.DUMMYFUNCTION("""COMPUTED_VALUE"""),"https://drive.google.com/file/d/1D8BYqxNpLQsaWrEi9zrvQojkOgzP4Ps2/view?usp=drivesdk")</f>
        <v>https://drive.google.com/file/d/1D8BYqxNpLQsaWrEi9zrvQojkOgzP4Ps2/view?usp=drivesdk</v>
      </c>
      <c r="C1263" s="147" t="str">
        <f>IFERROR(__xludf.DUMMYFUNCTION("""COMPUTED_VALUE"""),"10.1037--0022-3514.68.5.793.pdf")</f>
        <v>10.1037--0022-3514.68.5.793.pdf</v>
      </c>
      <c r="D1263" s="147" t="str">
        <f>IFERROR(__xludf.DUMMYFUNCTION("""COMPUTED_VALUE"""),"application/pdf")</f>
        <v>application/pdf</v>
      </c>
    </row>
    <row r="1264">
      <c r="A1264" s="147" t="str">
        <f>IFERROR(__xludf.DUMMYFUNCTION("""COMPUTED_VALUE"""),"10.1037/0022-3514.67.4.627")</f>
        <v>10.1037/0022-3514.67.4.627</v>
      </c>
      <c r="B1264" s="453" t="str">
        <f>IFERROR(__xludf.DUMMYFUNCTION("""COMPUTED_VALUE"""),"https://drive.google.com/file/d/1Gz8Y3sXt39nYqKigFe7GDA_0vlPzT9eo/view?usp=drivesdk")</f>
        <v>https://drive.google.com/file/d/1Gz8Y3sXt39nYqKigFe7GDA_0vlPzT9eo/view?usp=drivesdk</v>
      </c>
      <c r="C1264" s="147" t="str">
        <f>IFERROR(__xludf.DUMMYFUNCTION("""COMPUTED_VALUE"""),"10.1037--0022-3514.67.4.627.pdf")</f>
        <v>10.1037--0022-3514.67.4.627.pdf</v>
      </c>
      <c r="D1264" s="147" t="str">
        <f>IFERROR(__xludf.DUMMYFUNCTION("""COMPUTED_VALUE"""),"application/pdf")</f>
        <v>application/pdf</v>
      </c>
    </row>
    <row r="1265">
      <c r="A1265" s="147" t="str">
        <f>IFERROR(__xludf.DUMMYFUNCTION("""COMPUTED_VALUE"""),"10.1037/0022-3514.67.3.357")</f>
        <v>10.1037/0022-3514.67.3.357</v>
      </c>
      <c r="B1265" s="453" t="str">
        <f>IFERROR(__xludf.DUMMYFUNCTION("""COMPUTED_VALUE"""),"https://drive.google.com/file/d/1OZLlA7rWPjzQ0aOsWuoK0fm_EoxUug0J/view?usp=drivesdk")</f>
        <v>https://drive.google.com/file/d/1OZLlA7rWPjzQ0aOsWuoK0fm_EoxUug0J/view?usp=drivesdk</v>
      </c>
      <c r="C1265" s="147" t="str">
        <f>IFERROR(__xludf.DUMMYFUNCTION("""COMPUTED_VALUE"""),"10.1037--0022-3514.67.3.357.pdf")</f>
        <v>10.1037--0022-3514.67.3.357.pdf</v>
      </c>
      <c r="D1265" s="147" t="str">
        <f>IFERROR(__xludf.DUMMYFUNCTION("""COMPUTED_VALUE"""),"application/pdf")</f>
        <v>application/pdf</v>
      </c>
    </row>
    <row r="1266">
      <c r="A1266" s="147" t="str">
        <f>IFERROR(__xludf.DUMMYFUNCTION("""COMPUTED_VALUE"""),"10.1037/0022-3514.63.6.989")</f>
        <v>10.1037/0022-3514.63.6.989</v>
      </c>
      <c r="B1266" s="453" t="str">
        <f>IFERROR(__xludf.DUMMYFUNCTION("""COMPUTED_VALUE"""),"https://drive.google.com/file/d/1gqSNC7SSmFXr_f_6y6GPvT5XVE36ywaR/view?usp=drivesdk")</f>
        <v>https://drive.google.com/file/d/1gqSNC7SSmFXr_f_6y6GPvT5XVE36ywaR/view?usp=drivesdk</v>
      </c>
      <c r="C1266" s="147" t="str">
        <f>IFERROR(__xludf.DUMMYFUNCTION("""COMPUTED_VALUE"""),"10.1037--0022-3514.63.6.989.pdf")</f>
        <v>10.1037--0022-3514.63.6.989.pdf</v>
      </c>
      <c r="D1266" s="147" t="str">
        <f>IFERROR(__xludf.DUMMYFUNCTION("""COMPUTED_VALUE"""),"application/pdf")</f>
        <v>application/pdf</v>
      </c>
    </row>
    <row r="1267">
      <c r="A1267" s="147" t="str">
        <f>IFERROR(__xludf.DUMMYFUNCTION("""COMPUTED_VALUE"""),"10.1037/0022-3514.62.2.229")</f>
        <v>10.1037/0022-3514.62.2.229</v>
      </c>
      <c r="B1267" s="453" t="str">
        <f>IFERROR(__xludf.DUMMYFUNCTION("""COMPUTED_VALUE"""),"https://drive.google.com/file/d/1Qb4Psh8SW__HsspPDPz8L_LN-PJY1dF6/view?usp=drivesdk")</f>
        <v>https://drive.google.com/file/d/1Qb4Psh8SW__HsspPDPz8L_LN-PJY1dF6/view?usp=drivesdk</v>
      </c>
      <c r="C1267" s="147" t="str">
        <f>IFERROR(__xludf.DUMMYFUNCTION("""COMPUTED_VALUE"""),"10.1037--0022-3514.62.2.229.pdf")</f>
        <v>10.1037--0022-3514.62.2.229.pdf</v>
      </c>
      <c r="D1267" s="147" t="str">
        <f>IFERROR(__xludf.DUMMYFUNCTION("""COMPUTED_VALUE"""),"application/pdf")</f>
        <v>application/pdf</v>
      </c>
    </row>
    <row r="1268">
      <c r="A1268" s="147" t="str">
        <f>IFERROR(__xludf.DUMMYFUNCTION("""COMPUTED_VALUE"""),"10.1037/0022-3514.54.5.768")</f>
        <v>10.1037/0022-3514.54.5.768</v>
      </c>
      <c r="B1268" s="453" t="str">
        <f>IFERROR(__xludf.DUMMYFUNCTION("""COMPUTED_VALUE"""),"https://drive.google.com/file/d/1o7gUPIWlsZsKfDZUwMPrcvteUhl63aT7/view?usp=drivesdk")</f>
        <v>https://drive.google.com/file/d/1o7gUPIWlsZsKfDZUwMPrcvteUhl63aT7/view?usp=drivesdk</v>
      </c>
      <c r="C1268" s="147" t="str">
        <f>IFERROR(__xludf.DUMMYFUNCTION("""COMPUTED_VALUE"""),"10.1037--0022-3514.54.5.768.pdf")</f>
        <v>10.1037--0022-3514.54.5.768.pdf</v>
      </c>
      <c r="D1268" s="147" t="str">
        <f>IFERROR(__xludf.DUMMYFUNCTION("""COMPUTED_VALUE"""),"application/pdf")</f>
        <v>application/pdf</v>
      </c>
    </row>
    <row r="1269">
      <c r="A1269" s="147" t="str">
        <f>IFERROR(__xludf.DUMMYFUNCTION("""COMPUTED_VALUE"""),"10.1037/0022-3514.54.4.569")</f>
        <v>10.1037/0022-3514.54.4.569</v>
      </c>
      <c r="B1269" s="453" t="str">
        <f>IFERROR(__xludf.DUMMYFUNCTION("""COMPUTED_VALUE"""),"https://drive.google.com/file/d/10AhKxkQ_dxZHOYRrPgNEOVokMpRacTqj/view?usp=drivesdk")</f>
        <v>https://drive.google.com/file/d/10AhKxkQ_dxZHOYRrPgNEOVokMpRacTqj/view?usp=drivesdk</v>
      </c>
      <c r="C1269" s="147" t="str">
        <f>IFERROR(__xludf.DUMMYFUNCTION("""COMPUTED_VALUE"""),"10.1037--0022-3514.54.4.569.pdf")</f>
        <v>10.1037--0022-3514.54.4.569.pdf</v>
      </c>
      <c r="D1269" s="147" t="str">
        <f>IFERROR(__xludf.DUMMYFUNCTION("""COMPUTED_VALUE"""),"application/pdf")</f>
        <v>application/pdf</v>
      </c>
    </row>
    <row r="1270">
      <c r="A1270" s="147" t="str">
        <f>IFERROR(__xludf.DUMMYFUNCTION("""COMPUTED_VALUE"""),"10.1037/0022-3514.49.6.1621")</f>
        <v>10.1037/0022-3514.49.6.1621</v>
      </c>
      <c r="B1270" s="453" t="str">
        <f>IFERROR(__xludf.DUMMYFUNCTION("""COMPUTED_VALUE"""),"https://drive.google.com/file/d/1tLBPGqjmg-IWU2ByA0kjcl4d_-dSFQRP/view?usp=drivesdk")</f>
        <v>https://drive.google.com/file/d/1tLBPGqjmg-IWU2ByA0kjcl4d_-dSFQRP/view?usp=drivesdk</v>
      </c>
      <c r="C1270" s="147" t="str">
        <f>IFERROR(__xludf.DUMMYFUNCTION("""COMPUTED_VALUE"""),"10.1037--0022-3514.49.6.1621.pdf")</f>
        <v>10.1037--0022-3514.49.6.1621.pdf</v>
      </c>
      <c r="D1270" s="147" t="str">
        <f>IFERROR(__xludf.DUMMYFUNCTION("""COMPUTED_VALUE"""),"application/pdf")</f>
        <v>application/pdf</v>
      </c>
    </row>
    <row r="1271">
      <c r="A1271" s="147" t="str">
        <f>IFERROR(__xludf.DUMMYFUNCTION("""COMPUTED_VALUE"""),"10.1037/0022-3514.50.3.502")</f>
        <v>10.1037/0022-3514.50.3.502</v>
      </c>
      <c r="B1271" s="453" t="str">
        <f>IFERROR(__xludf.DUMMYFUNCTION("""COMPUTED_VALUE"""),"https://drive.google.com/file/d/1ylm1-TrpeefNpirZWLXBaHDELNhcAqK1/view?usp=drivesdk")</f>
        <v>https://drive.google.com/file/d/1ylm1-TrpeefNpirZWLXBaHDELNhcAqK1/view?usp=drivesdk</v>
      </c>
      <c r="C1271" s="147" t="str">
        <f>IFERROR(__xludf.DUMMYFUNCTION("""COMPUTED_VALUE"""),"10.1037--0022-3514.50.3.502.pdf")</f>
        <v>10.1037--0022-3514.50.3.502.pdf</v>
      </c>
      <c r="D1271" s="147" t="str">
        <f>IFERROR(__xludf.DUMMYFUNCTION("""COMPUTED_VALUE"""),"application/pdf")</f>
        <v>application/pdf</v>
      </c>
    </row>
    <row r="1272">
      <c r="A1272" s="147" t="str">
        <f>IFERROR(__xludf.DUMMYFUNCTION("""COMPUTED_VALUE"""),"10.1037/0022-3514.45.4.805")</f>
        <v>10.1037/0022-3514.45.4.805</v>
      </c>
      <c r="B1272" s="453" t="str">
        <f>IFERROR(__xludf.DUMMYFUNCTION("""COMPUTED_VALUE"""),"https://drive.google.com/file/d/1VbP_Ewf88OEuvCt9ZwvGSNNhhGDSj19O/view?usp=drivesdk")</f>
        <v>https://drive.google.com/file/d/1VbP_Ewf88OEuvCt9ZwvGSNNhhGDSj19O/view?usp=drivesdk</v>
      </c>
      <c r="C1272" s="147" t="str">
        <f>IFERROR(__xludf.DUMMYFUNCTION("""COMPUTED_VALUE"""),"10.1037--0022-3514.45.4.805.pdf")</f>
        <v>10.1037--0022-3514.45.4.805.pdf</v>
      </c>
      <c r="D1272" s="147" t="str">
        <f>IFERROR(__xludf.DUMMYFUNCTION("""COMPUTED_VALUE"""),"application/pdf")</f>
        <v>application/pdf</v>
      </c>
    </row>
    <row r="1273">
      <c r="A1273" s="147" t="str">
        <f>IFERROR(__xludf.DUMMYFUNCTION("""COMPUTED_VALUE"""),"10.1037/0022-3514.45.4.782")</f>
        <v>10.1037/0022-3514.45.4.782</v>
      </c>
      <c r="B1273" s="453" t="str">
        <f>IFERROR(__xludf.DUMMYFUNCTION("""COMPUTED_VALUE"""),"https://drive.google.com/file/d/1mjYJdtrFbuNUuiClqSMdmti90aj-6cbK/view?usp=drivesdk")</f>
        <v>https://drive.google.com/file/d/1mjYJdtrFbuNUuiClqSMdmti90aj-6cbK/view?usp=drivesdk</v>
      </c>
      <c r="C1273" s="147" t="str">
        <f>IFERROR(__xludf.DUMMYFUNCTION("""COMPUTED_VALUE"""),"10.1037--0022-3514.45.4.782.pdf")</f>
        <v>10.1037--0022-3514.45.4.782.pdf</v>
      </c>
      <c r="D1273" s="147" t="str">
        <f>IFERROR(__xludf.DUMMYFUNCTION("""COMPUTED_VALUE"""),"application/pdf")</f>
        <v>application/pdf</v>
      </c>
    </row>
    <row r="1274">
      <c r="A1274" s="147" t="str">
        <f>IFERROR(__xludf.DUMMYFUNCTION("""COMPUTED_VALUE"""),"10.1037/0022-3514.37.10.1660")</f>
        <v>10.1037/0022-3514.37.10.1660</v>
      </c>
      <c r="B1274" s="453" t="str">
        <f>IFERROR(__xludf.DUMMYFUNCTION("""COMPUTED_VALUE"""),"https://drive.google.com/file/d/15zJCvari-TFQv9pzANnsu-4EYcYNYVrW/view?usp=drivesdk")</f>
        <v>https://drive.google.com/file/d/15zJCvari-TFQv9pzANnsu-4EYcYNYVrW/view?usp=drivesdk</v>
      </c>
      <c r="C1274" s="147" t="str">
        <f>IFERROR(__xludf.DUMMYFUNCTION("""COMPUTED_VALUE"""),"10.1037--0022-3514.37.10.1660.pdf")</f>
        <v>10.1037--0022-3514.37.10.1660.pdf</v>
      </c>
      <c r="D1274" s="147" t="str">
        <f>IFERROR(__xludf.DUMMYFUNCTION("""COMPUTED_VALUE"""),"application/pdf")</f>
        <v>application/pdf</v>
      </c>
    </row>
    <row r="1275">
      <c r="A1275" s="147" t="str">
        <f>IFERROR(__xludf.DUMMYFUNCTION("""COMPUTED_VALUE"""),"10.1037/0022-0167.40.4.518")</f>
        <v>10.1037/0022-0167.40.4.518</v>
      </c>
      <c r="B1275" s="453" t="str">
        <f>IFERROR(__xludf.DUMMYFUNCTION("""COMPUTED_VALUE"""),"https://drive.google.com/file/d/1aykdUrdNDQMd7IVvqNy3V_z8BwKq0YuV/view?usp=drivesdk")</f>
        <v>https://drive.google.com/file/d/1aykdUrdNDQMd7IVvqNy3V_z8BwKq0YuV/view?usp=drivesdk</v>
      </c>
      <c r="C1275" s="147" t="str">
        <f>IFERROR(__xludf.DUMMYFUNCTION("""COMPUTED_VALUE"""),"10.1037--0022-0167.40.4.518.pdf")</f>
        <v>10.1037--0022-0167.40.4.518.pdf</v>
      </c>
      <c r="D1275" s="147" t="str">
        <f>IFERROR(__xludf.DUMMYFUNCTION("""COMPUTED_VALUE"""),"application/pdf")</f>
        <v>application/pdf</v>
      </c>
    </row>
    <row r="1276">
      <c r="A1276" s="147" t="str">
        <f>IFERROR(__xludf.DUMMYFUNCTION("""COMPUTED_VALUE"""),"10.1037/0021-843x.98.2.177")</f>
        <v>10.1037/0021-843x.98.2.177</v>
      </c>
      <c r="B1276" s="453" t="str">
        <f>IFERROR(__xludf.DUMMYFUNCTION("""COMPUTED_VALUE"""),"https://drive.google.com/file/d/1fmLie5fT08gQ-FPdfNY7VkK-cl_TbiCC/view?usp=drivesdk")</f>
        <v>https://drive.google.com/file/d/1fmLie5fT08gQ-FPdfNY7VkK-cl_TbiCC/view?usp=drivesdk</v>
      </c>
      <c r="C1276" s="147" t="str">
        <f>IFERROR(__xludf.DUMMYFUNCTION("""COMPUTED_VALUE"""),"10.1037--0021-843X.98.2.177.pdf")</f>
        <v>10.1037--0021-843X.98.2.177.pdf</v>
      </c>
      <c r="D1276" s="147" t="str">
        <f>IFERROR(__xludf.DUMMYFUNCTION("""COMPUTED_VALUE"""),"application/pdf")</f>
        <v>application/pdf</v>
      </c>
    </row>
    <row r="1277">
      <c r="A1277" s="147" t="str">
        <f>IFERROR(__xludf.DUMMYFUNCTION("""COMPUTED_VALUE"""),"10.1037/0021-9010.85.5.751")</f>
        <v>10.1037/0021-9010.85.5.751</v>
      </c>
      <c r="B1277" s="453" t="str">
        <f>IFERROR(__xludf.DUMMYFUNCTION("""COMPUTED_VALUE"""),"https://drive.google.com/file/d/1pZrmtVQlW4Pm144U62OnQaKTslWUIqbt/view?usp=drivesdk")</f>
        <v>https://drive.google.com/file/d/1pZrmtVQlW4Pm144U62OnQaKTslWUIqbt/view?usp=drivesdk</v>
      </c>
      <c r="C1277" s="147" t="str">
        <f>IFERROR(__xludf.DUMMYFUNCTION("""COMPUTED_VALUE"""),"10.1037--0021-9010.85.5.751.pdf")</f>
        <v>10.1037--0021-9010.85.5.751.pdf</v>
      </c>
      <c r="D1277" s="147" t="str">
        <f>IFERROR(__xludf.DUMMYFUNCTION("""COMPUTED_VALUE"""),"application/pdf")</f>
        <v>application/pdf</v>
      </c>
    </row>
    <row r="1278">
      <c r="A1278" s="147" t="str">
        <f>IFERROR(__xludf.DUMMYFUNCTION("""COMPUTED_VALUE"""),"10.1037/0021-843x.103.2.350")</f>
        <v>10.1037/0021-843x.103.2.350</v>
      </c>
      <c r="B1278" s="453" t="str">
        <f>IFERROR(__xludf.DUMMYFUNCTION("""COMPUTED_VALUE"""),"https://drive.google.com/file/d/1yjPQh3Y3JQTvZt9KASbvE7xGnpHw0Txm/view?usp=drivesdk")</f>
        <v>https://drive.google.com/file/d/1yjPQh3Y3JQTvZt9KASbvE7xGnpHw0Txm/view?usp=drivesdk</v>
      </c>
      <c r="C1278" s="147" t="str">
        <f>IFERROR(__xludf.DUMMYFUNCTION("""COMPUTED_VALUE"""),"10.1037--0021-843X.103.2.350.pdf")</f>
        <v>10.1037--0021-843X.103.2.350.pdf</v>
      </c>
      <c r="D1278" s="147" t="str">
        <f>IFERROR(__xludf.DUMMYFUNCTION("""COMPUTED_VALUE"""),"application/pdf")</f>
        <v>application/pdf</v>
      </c>
    </row>
    <row r="1279">
      <c r="A1279" s="147" t="str">
        <f>IFERROR(__xludf.DUMMYFUNCTION("""COMPUTED_VALUE"""),"10.1037/0012-1649.27.5.703")</f>
        <v>10.1037/0012-1649.27.5.703</v>
      </c>
      <c r="B1279" s="453" t="str">
        <f>IFERROR(__xludf.DUMMYFUNCTION("""COMPUTED_VALUE"""),"https://drive.google.com/file/d/12dihw_oF9yYrqSWQ8I8B4AJUed_ZzRRh/view?usp=drivesdk")</f>
        <v>https://drive.google.com/file/d/12dihw_oF9yYrqSWQ8I8B4AJUed_ZzRRh/view?usp=drivesdk</v>
      </c>
      <c r="C1279" s="147" t="str">
        <f>IFERROR(__xludf.DUMMYFUNCTION("""COMPUTED_VALUE"""),"10.1037--0012-1649.27.5.703.pdf")</f>
        <v>10.1037--0012-1649.27.5.703.pdf</v>
      </c>
      <c r="D1279" s="147" t="str">
        <f>IFERROR(__xludf.DUMMYFUNCTION("""COMPUTED_VALUE"""),"application/pdf")</f>
        <v>application/pdf</v>
      </c>
    </row>
    <row r="1280">
      <c r="A1280" s="147" t="str">
        <f>IFERROR(__xludf.DUMMYFUNCTION("""COMPUTED_VALUE"""),"10.1023/a:1015044207315")</f>
        <v>10.1023/a:1015044207315</v>
      </c>
      <c r="B1280" s="453" t="str">
        <f>IFERROR(__xludf.DUMMYFUNCTION("""COMPUTED_VALUE"""),"https://drive.google.com/file/d/1cdxhLXtssEMbvuMMHfeGthoMD_6qK6dF/view?usp=drivesdk")</f>
        <v>https://drive.google.com/file/d/1cdxhLXtssEMbvuMMHfeGthoMD_6qK6dF/view?usp=drivesdk</v>
      </c>
      <c r="C1280" s="147" t="str">
        <f>IFERROR(__xludf.DUMMYFUNCTION("""COMPUTED_VALUE"""),"10.1023--A:1015044207315.pdf")</f>
        <v>10.1023--A:1015044207315.pdf</v>
      </c>
      <c r="D1280" s="147" t="str">
        <f>IFERROR(__xludf.DUMMYFUNCTION("""COMPUTED_VALUE"""),"application/pdf")</f>
        <v>application/pdf</v>
      </c>
    </row>
    <row r="1281">
      <c r="A1281" s="147" t="str">
        <f>IFERROR(__xludf.DUMMYFUNCTION("""COMPUTED_VALUE"""),"10.1023/a:1019923923537")</f>
        <v>10.1023/a:1019923923537</v>
      </c>
      <c r="B1281" s="453" t="str">
        <f>IFERROR(__xludf.DUMMYFUNCTION("""COMPUTED_VALUE"""),"https://drive.google.com/file/d/1n4Jo0WdyMm3V1SkI1hby710CoJe-zbeV/view?usp=drivesdk")</f>
        <v>https://drive.google.com/file/d/1n4Jo0WdyMm3V1SkI1hby710CoJe-zbeV/view?usp=drivesdk</v>
      </c>
      <c r="C1281" s="147" t="str">
        <f>IFERROR(__xludf.DUMMYFUNCTION("""COMPUTED_VALUE"""),"10.1023--A:1019923923537.pdf")</f>
        <v>10.1023--A:1019923923537.pdf</v>
      </c>
      <c r="D1281" s="147" t="str">
        <f>IFERROR(__xludf.DUMMYFUNCTION("""COMPUTED_VALUE"""),"application/pdf")</f>
        <v>application/pdf</v>
      </c>
    </row>
    <row r="1282">
      <c r="A1282" s="147" t="str">
        <f>IFERROR(__xludf.DUMMYFUNCTION("""COMPUTED_VALUE"""),"10.1023/a:1007744326393")</f>
        <v>10.1023/a:1007744326393</v>
      </c>
      <c r="B1282" s="453" t="str">
        <f>IFERROR(__xludf.DUMMYFUNCTION("""COMPUTED_VALUE"""),"https://drive.google.com/file/d/1OUD6knA8aPg9qTSfvRhBCXYuFwJTOzS8/view?usp=drivesdk")</f>
        <v>https://drive.google.com/file/d/1OUD6knA8aPg9qTSfvRhBCXYuFwJTOzS8/view?usp=drivesdk</v>
      </c>
      <c r="C1282" s="147" t="str">
        <f>IFERROR(__xludf.DUMMYFUNCTION("""COMPUTED_VALUE"""),"10.1023--A:1007744326393.pdf")</f>
        <v>10.1023--A:1007744326393.pdf</v>
      </c>
      <c r="D1282" s="147" t="str">
        <f>IFERROR(__xludf.DUMMYFUNCTION("""COMPUTED_VALUE"""),"application/pdf")</f>
        <v>application/pdf</v>
      </c>
    </row>
    <row r="1283">
      <c r="A1283" s="147" t="str">
        <f>IFERROR(__xludf.DUMMYFUNCTION("""COMPUTED_VALUE"""),"10.1017/s0272263105050138")</f>
        <v>10.1017/s0272263105050138</v>
      </c>
      <c r="B1283" s="453" t="str">
        <f>IFERROR(__xludf.DUMMYFUNCTION("""COMPUTED_VALUE"""),"https://drive.google.com/file/d/1LgctUTqq1qHQq3xvejQZ1bpldXd2lEXd/view?usp=drivesdk")</f>
        <v>https://drive.google.com/file/d/1LgctUTqq1qHQq3xvejQZ1bpldXd2lEXd/view?usp=drivesdk</v>
      </c>
      <c r="C1283" s="147" t="str">
        <f>IFERROR(__xludf.DUMMYFUNCTION("""COMPUTED_VALUE"""),"10.1017--S0272263105050138.pdf")</f>
        <v>10.1017--S0272263105050138.pdf</v>
      </c>
      <c r="D1283" s="147" t="str">
        <f>IFERROR(__xludf.DUMMYFUNCTION("""COMPUTED_VALUE"""),"application/pdf")</f>
        <v>application/pdf</v>
      </c>
    </row>
    <row r="1284">
      <c r="A1284" s="147" t="str">
        <f>IFERROR(__xludf.DUMMYFUNCTION("""COMPUTED_VALUE"""),"10.1017/xps.2017.21")</f>
        <v>10.1017/xps.2017.21</v>
      </c>
      <c r="B1284" s="453" t="str">
        <f>IFERROR(__xludf.DUMMYFUNCTION("""COMPUTED_VALUE"""),"https://drive.google.com/file/d/1Okxe-KGvhvVzBCoNlkxv4sqCXcBKv2mg/view?usp=drivesdk")</f>
        <v>https://drive.google.com/file/d/1Okxe-KGvhvVzBCoNlkxv4sqCXcBKv2mg/view?usp=drivesdk</v>
      </c>
      <c r="C1284" s="147" t="str">
        <f>IFERROR(__xludf.DUMMYFUNCTION("""COMPUTED_VALUE"""),"10.1017--XPS.2017.21.pdf")</f>
        <v>10.1017--XPS.2017.21.pdf</v>
      </c>
      <c r="D1284" s="147" t="str">
        <f>IFERROR(__xludf.DUMMYFUNCTION("""COMPUTED_VALUE"""),"application/pdf")</f>
        <v>application/pdf</v>
      </c>
    </row>
    <row r="1285">
      <c r="A1285" s="147" t="str">
        <f>IFERROR(__xludf.DUMMYFUNCTION("""COMPUTED_VALUE"""),"10.1017/s0140525x00023992")</f>
        <v>10.1017/s0140525x00023992</v>
      </c>
      <c r="B1285" s="453" t="str">
        <f>IFERROR(__xludf.DUMMYFUNCTION("""COMPUTED_VALUE"""),"https://drive.google.com/file/d/1Jd-vxSthONF63SEDbsY6lw8r6uODUAX8/view?usp=drivesdk")</f>
        <v>https://drive.google.com/file/d/1Jd-vxSthONF63SEDbsY6lw8r6uODUAX8/view?usp=drivesdk</v>
      </c>
      <c r="C1285" s="147" t="str">
        <f>IFERROR(__xludf.DUMMYFUNCTION("""COMPUTED_VALUE"""),"10.1017--S0140525X00023992.pdf")</f>
        <v>10.1017--S0140525X00023992.pdf</v>
      </c>
      <c r="D1285" s="147" t="str">
        <f>IFERROR(__xludf.DUMMYFUNCTION("""COMPUTED_VALUE"""),"application/pdf")</f>
        <v>application/pdf</v>
      </c>
    </row>
    <row r="1286">
      <c r="A1286" s="147" t="str">
        <f>IFERROR(__xludf.DUMMYFUNCTION("""COMPUTED_VALUE"""),"10.1017/s0142716400007724")</f>
        <v>10.1017/s0142716400007724</v>
      </c>
      <c r="B1286" s="453" t="str">
        <f>IFERROR(__xludf.DUMMYFUNCTION("""COMPUTED_VALUE"""),"https://drive.google.com/file/d/1PY5jtq5K0dIYw5O_olHRDGUfn11WN3AQ/view?usp=drivesdk")</f>
        <v>https://drive.google.com/file/d/1PY5jtq5K0dIYw5O_olHRDGUfn11WN3AQ/view?usp=drivesdk</v>
      </c>
      <c r="C1286" s="147" t="str">
        <f>IFERROR(__xludf.DUMMYFUNCTION("""COMPUTED_VALUE"""),"10.1017--S0142716400007724.pdf")</f>
        <v>10.1017--S0142716400007724.pdf</v>
      </c>
      <c r="D1286" s="147" t="str">
        <f>IFERROR(__xludf.DUMMYFUNCTION("""COMPUTED_VALUE"""),"application/pdf")</f>
        <v>application/pdf</v>
      </c>
    </row>
    <row r="1287">
      <c r="A1287" s="147" t="str">
        <f>IFERROR(__xludf.DUMMYFUNCTION("""COMPUTED_VALUE"""),"10.1017/epi.2013.23")</f>
        <v>10.1017/epi.2013.23</v>
      </c>
      <c r="B1287" s="453" t="str">
        <f>IFERROR(__xludf.DUMMYFUNCTION("""COMPUTED_VALUE"""),"https://drive.google.com/file/d/1xs7muWdyYdblxSMymp-O09c44czfutsh/view?usp=drivesdk")</f>
        <v>https://drive.google.com/file/d/1xs7muWdyYdblxSMymp-O09c44czfutsh/view?usp=drivesdk</v>
      </c>
      <c r="C1287" s="147" t="str">
        <f>IFERROR(__xludf.DUMMYFUNCTION("""COMPUTED_VALUE"""),"10.1017--epi.2013.23.pdf")</f>
        <v>10.1017--epi.2013.23.pdf</v>
      </c>
      <c r="D1287" s="147" t="str">
        <f>IFERROR(__xludf.DUMMYFUNCTION("""COMPUTED_VALUE"""),"application/pdf")</f>
        <v>application/pdf</v>
      </c>
    </row>
    <row r="1288">
      <c r="A1288" s="147" t="str">
        <f>IFERROR(__xludf.DUMMYFUNCTION("""COMPUTED_VALUE"""),"10.1016/s0022-5371(74)80011-3")</f>
        <v>10.1016/s0022-5371(74)80011-3</v>
      </c>
      <c r="B1288" s="453" t="str">
        <f>IFERROR(__xludf.DUMMYFUNCTION("""COMPUTED_VALUE"""),"https://drive.google.com/file/d/11cUsFlwo9goZsKmyqcZULLURsoogutHZ/view?usp=drivesdk")</f>
        <v>https://drive.google.com/file/d/11cUsFlwo9goZsKmyqcZULLURsoogutHZ/view?usp=drivesdk</v>
      </c>
      <c r="C1288" s="147" t="str">
        <f>IFERROR(__xludf.DUMMYFUNCTION("""COMPUTED_VALUE"""),"10.1016--S0022-5371(74)80011-3.pdf")</f>
        <v>10.1016--S0022-5371(74)80011-3.pdf</v>
      </c>
      <c r="D1288" s="147" t="str">
        <f>IFERROR(__xludf.DUMMYFUNCTION("""COMPUTED_VALUE"""),"application/pdf")</f>
        <v>application/pdf</v>
      </c>
    </row>
    <row r="1289">
      <c r="A1289" s="147" t="str">
        <f>IFERROR(__xludf.DUMMYFUNCTION("""COMPUTED_VALUE"""),"10.1016/s0749-5978(02)00013-4")</f>
        <v>10.1016/s0749-5978(02)00013-4</v>
      </c>
      <c r="B1289" s="453" t="str">
        <f>IFERROR(__xludf.DUMMYFUNCTION("""COMPUTED_VALUE"""),"https://drive.google.com/file/d/1eCdADofR0Ulm7MkJ79uZdjuwR09NEDnI/view?usp=drivesdk")</f>
        <v>https://drive.google.com/file/d/1eCdADofR0Ulm7MkJ79uZdjuwR09NEDnI/view?usp=drivesdk</v>
      </c>
      <c r="C1289" s="147" t="str">
        <f>IFERROR(__xludf.DUMMYFUNCTION("""COMPUTED_VALUE"""),"10.1016--S0749-5978(02)00013-4.pdf")</f>
        <v>10.1016--S0749-5978(02)00013-4.pdf</v>
      </c>
      <c r="D1289" s="147" t="str">
        <f>IFERROR(__xludf.DUMMYFUNCTION("""COMPUTED_VALUE"""),"application/pdf")</f>
        <v>application/pdf</v>
      </c>
    </row>
    <row r="1290">
      <c r="A1290" s="147" t="str">
        <f>IFERROR(__xludf.DUMMYFUNCTION("""COMPUTED_VALUE"""),"10.1016/s0022-1031(03)00065-9")</f>
        <v>10.1016/s0022-1031(03)00065-9</v>
      </c>
      <c r="B1290" s="453" t="str">
        <f>IFERROR(__xludf.DUMMYFUNCTION("""COMPUTED_VALUE"""),"https://drive.google.com/file/d/12w45h6wJ8IUMgRm5zyOxy7Tin7V_CCLy/view?usp=drivesdk")</f>
        <v>https://drive.google.com/file/d/12w45h6wJ8IUMgRm5zyOxy7Tin7V_CCLy/view?usp=drivesdk</v>
      </c>
      <c r="C1290" s="147" t="str">
        <f>IFERROR(__xludf.DUMMYFUNCTION("""COMPUTED_VALUE"""),"10.1016--S0022-1031(03)00065-9.pdf")</f>
        <v>10.1016--S0022-1031(03)00065-9.pdf</v>
      </c>
      <c r="D1290" s="147" t="str">
        <f>IFERROR(__xludf.DUMMYFUNCTION("""COMPUTED_VALUE"""),"application/pdf")</f>
        <v>application/pdf</v>
      </c>
    </row>
    <row r="1291">
      <c r="A1291" s="147" t="str">
        <f>IFERROR(__xludf.DUMMYFUNCTION("""COMPUTED_VALUE"""),"10.1016/s0010-0277(99)00073-6")</f>
        <v>10.1016/s0010-0277(99)00073-6</v>
      </c>
      <c r="B1291" s="453" t="str">
        <f>IFERROR(__xludf.DUMMYFUNCTION("""COMPUTED_VALUE"""),"https://drive.google.com/file/d/1-SOOgACp6dnzzYdlh2PFI-ANnAwmf5c6/view?usp=drivesdk")</f>
        <v>https://drive.google.com/file/d/1-SOOgACp6dnzzYdlh2PFI-ANnAwmf5c6/view?usp=drivesdk</v>
      </c>
      <c r="C1291" s="147" t="str">
        <f>IFERROR(__xludf.DUMMYFUNCTION("""COMPUTED_VALUE"""),"10.1016--s0010-0277(99)00073-6.pdf")</f>
        <v>10.1016--s0010-0277(99)00073-6.pdf</v>
      </c>
      <c r="D1291" s="147" t="str">
        <f>IFERROR(__xludf.DUMMYFUNCTION("""COMPUTED_VALUE"""),"application/pdf")</f>
        <v>application/pdf</v>
      </c>
    </row>
    <row r="1292">
      <c r="A1292" s="147" t="str">
        <f>IFERROR(__xludf.DUMMYFUNCTION("""COMPUTED_VALUE"""),"10.1016/s0010-0277(03)00064-7")</f>
        <v>10.1016/s0010-0277(03)00064-7</v>
      </c>
      <c r="B1292" s="453" t="str">
        <f>IFERROR(__xludf.DUMMYFUNCTION("""COMPUTED_VALUE"""),"https://drive.google.com/file/d/1eermV6x-0NkuxwsqnprduFouBUdTshGn/view?usp=drivesdk")</f>
        <v>https://drive.google.com/file/d/1eermV6x-0NkuxwsqnprduFouBUdTshGn/view?usp=drivesdk</v>
      </c>
      <c r="C1292" s="147" t="str">
        <f>IFERROR(__xludf.DUMMYFUNCTION("""COMPUTED_VALUE"""),"10.1016--s0010-0277(03)00064-7.pdf")</f>
        <v>10.1016--s0010-0277(03)00064-7.pdf</v>
      </c>
      <c r="D1292" s="147" t="str">
        <f>IFERROR(__xludf.DUMMYFUNCTION("""COMPUTED_VALUE"""),"application/pdf")</f>
        <v>application/pdf</v>
      </c>
    </row>
    <row r="1293">
      <c r="A1293" s="147" t="str">
        <f>IFERROR(__xludf.DUMMYFUNCTION("""COMPUTED_VALUE"""),"10.1016/s0010-0277(99)00052-9")</f>
        <v>10.1016/s0010-0277(99)00052-9</v>
      </c>
      <c r="B1293" s="453" t="str">
        <f>IFERROR(__xludf.DUMMYFUNCTION("""COMPUTED_VALUE"""),"https://drive.google.com/file/d/1zRyXsoSPgsnT73Tx99gTHCq3vOgCSARP/view?usp=drivesdk")</f>
        <v>https://drive.google.com/file/d/1zRyXsoSPgsnT73Tx99gTHCq3vOgCSARP/view?usp=drivesdk</v>
      </c>
      <c r="C1293" s="147" t="str">
        <f>IFERROR(__xludf.DUMMYFUNCTION("""COMPUTED_VALUE"""),"10.1016--s0010-0277(99)00052-9.pdf")</f>
        <v>10.1016--s0010-0277(99)00052-9.pdf</v>
      </c>
      <c r="D1293" s="147" t="str">
        <f>IFERROR(__xludf.DUMMYFUNCTION("""COMPUTED_VALUE"""),"application/pdf")</f>
        <v>application/pdf</v>
      </c>
    </row>
    <row r="1294">
      <c r="A1294" s="147" t="str">
        <f>IFERROR(__xludf.DUMMYFUNCTION("""COMPUTED_VALUE"""),"10.1016/j.visres.2005.04.013")</f>
        <v>10.1016/j.visres.2005.04.013</v>
      </c>
      <c r="B1294" s="453" t="str">
        <f>IFERROR(__xludf.DUMMYFUNCTION("""COMPUTED_VALUE"""),"https://drive.google.com/file/d/1tL5SefgazspPrHDE7uspX1rbNInieF1Y/view?usp=drivesdk")</f>
        <v>https://drive.google.com/file/d/1tL5SefgazspPrHDE7uspX1rbNInieF1Y/view?usp=drivesdk</v>
      </c>
      <c r="C1294" s="147" t="str">
        <f>IFERROR(__xludf.DUMMYFUNCTION("""COMPUTED_VALUE"""),"10.1016--j.visres.2005.04.013.pdf")</f>
        <v>10.1016--j.visres.2005.04.013.pdf</v>
      </c>
      <c r="D1294" s="147" t="str">
        <f>IFERROR(__xludf.DUMMYFUNCTION("""COMPUTED_VALUE"""),"application/pdf")</f>
        <v>application/pdf</v>
      </c>
    </row>
    <row r="1295">
      <c r="A1295" s="147" t="str">
        <f>IFERROR(__xludf.DUMMYFUNCTION("""COMPUTED_VALUE"""),"10.1016/j.paid.2009.12.007")</f>
        <v>10.1016/j.paid.2009.12.007</v>
      </c>
      <c r="B1295" s="453" t="str">
        <f>IFERROR(__xludf.DUMMYFUNCTION("""COMPUTED_VALUE"""),"https://drive.google.com/file/d/14KNxp9Akgen5F3LcGWOsHT4Qbqu4HTYy/view?usp=drivesdk")</f>
        <v>https://drive.google.com/file/d/14KNxp9Akgen5F3LcGWOsHT4Qbqu4HTYy/view?usp=drivesdk</v>
      </c>
      <c r="C1295" s="147" t="str">
        <f>IFERROR(__xludf.DUMMYFUNCTION("""COMPUTED_VALUE"""),"10.1016--j.paid.2009.12.007.pdf")</f>
        <v>10.1016--j.paid.2009.12.007.pdf</v>
      </c>
      <c r="D1295" s="147" t="str">
        <f>IFERROR(__xludf.DUMMYFUNCTION("""COMPUTED_VALUE"""),"application/pdf")</f>
        <v>application/pdf</v>
      </c>
    </row>
    <row r="1296">
      <c r="A1296" s="147" t="str">
        <f>IFERROR(__xludf.DUMMYFUNCTION("""COMPUTED_VALUE"""),"10.1016/j.paid.2010.07.033")</f>
        <v>10.1016/j.paid.2010.07.033</v>
      </c>
      <c r="B1296" s="453" t="str">
        <f>IFERROR(__xludf.DUMMYFUNCTION("""COMPUTED_VALUE"""),"https://drive.google.com/file/d/1J_0Y3dKunmzcdm9LjbKZTpby7Qd4ipkA/view?usp=drivesdk")</f>
        <v>https://drive.google.com/file/d/1J_0Y3dKunmzcdm9LjbKZTpby7Qd4ipkA/view?usp=drivesdk</v>
      </c>
      <c r="C1296" s="147" t="str">
        <f>IFERROR(__xludf.DUMMYFUNCTION("""COMPUTED_VALUE"""),"10.1016--j.paid.2010.07.033.pdf")</f>
        <v>10.1016--j.paid.2010.07.033.pdf</v>
      </c>
      <c r="D1296" s="147" t="str">
        <f>IFERROR(__xludf.DUMMYFUNCTION("""COMPUTED_VALUE"""),"application/pdf")</f>
        <v>application/pdf</v>
      </c>
    </row>
    <row r="1297">
      <c r="A1297" s="147" t="str">
        <f>IFERROR(__xludf.DUMMYFUNCTION("""COMPUTED_VALUE"""),"10.1016/j.paid.2004.08.012")</f>
        <v>10.1016/j.paid.2004.08.012</v>
      </c>
      <c r="B1297" s="453" t="str">
        <f>IFERROR(__xludf.DUMMYFUNCTION("""COMPUTED_VALUE"""),"https://drive.google.com/file/d/1DqSsvMQMMGnVP3lP6Am1mBq90t1XZMxt/view?usp=drivesdk")</f>
        <v>https://drive.google.com/file/d/1DqSsvMQMMGnVP3lP6Am1mBq90t1XZMxt/view?usp=drivesdk</v>
      </c>
      <c r="C1297" s="147" t="str">
        <f>IFERROR(__xludf.DUMMYFUNCTION("""COMPUTED_VALUE"""),"10.1016--j.paid.2004.08.012.pdf")</f>
        <v>10.1016--j.paid.2004.08.012.pdf</v>
      </c>
      <c r="D1297" s="147" t="str">
        <f>IFERROR(__xludf.DUMMYFUNCTION("""COMPUTED_VALUE"""),"application/pdf")</f>
        <v>application/pdf</v>
      </c>
    </row>
    <row r="1298">
      <c r="A1298" s="147" t="str">
        <f>IFERROR(__xludf.DUMMYFUNCTION("""COMPUTED_VALUE"""),"10.1016/j.obhdp.2006.01.005")</f>
        <v>10.1016/j.obhdp.2006.01.005</v>
      </c>
      <c r="B1298" s="453" t="str">
        <f>IFERROR(__xludf.DUMMYFUNCTION("""COMPUTED_VALUE"""),"https://drive.google.com/file/d/14ZQ9EzNr9F8ACt32VRfITF656jMezTnV/view?usp=drivesdk")</f>
        <v>https://drive.google.com/file/d/14ZQ9EzNr9F8ACt32VRfITF656jMezTnV/view?usp=drivesdk</v>
      </c>
      <c r="C1298" s="147" t="str">
        <f>IFERROR(__xludf.DUMMYFUNCTION("""COMPUTED_VALUE"""),"10.1016--j.obhdp.2006.01.005.pdf")</f>
        <v>10.1016--j.obhdp.2006.01.005.pdf</v>
      </c>
      <c r="D1298" s="147" t="str">
        <f>IFERROR(__xludf.DUMMYFUNCTION("""COMPUTED_VALUE"""),"application/pdf")</f>
        <v>application/pdf</v>
      </c>
    </row>
    <row r="1299">
      <c r="A1299" s="147" t="str">
        <f>IFERROR(__xludf.DUMMYFUNCTION("""COMPUTED_VALUE"""),"10.1016/j.obhdp.2004.12.002")</f>
        <v>10.1016/j.obhdp.2004.12.002</v>
      </c>
      <c r="B1299" s="453" t="str">
        <f>IFERROR(__xludf.DUMMYFUNCTION("""COMPUTED_VALUE"""),"https://drive.google.com/file/d/1CZ8RmInPe2eqHwf-p8tl0IQxpn8_H_C5/view?usp=drivesdk")</f>
        <v>https://drive.google.com/file/d/1CZ8RmInPe2eqHwf-p8tl0IQxpn8_H_C5/view?usp=drivesdk</v>
      </c>
      <c r="C1299" s="147" t="str">
        <f>IFERROR(__xludf.DUMMYFUNCTION("""COMPUTED_VALUE"""),"10.1016--j.obhdp.2004.12.002.pdf")</f>
        <v>10.1016--j.obhdp.2004.12.002.pdf</v>
      </c>
      <c r="D1299" s="147" t="str">
        <f>IFERROR(__xludf.DUMMYFUNCTION("""COMPUTED_VALUE"""),"application/pdf")</f>
        <v>application/pdf</v>
      </c>
    </row>
    <row r="1300">
      <c r="A1300" s="147" t="str">
        <f>IFERROR(__xludf.DUMMYFUNCTION("""COMPUTED_VALUE"""),"10.1016/j.nlm.2017.09.009")</f>
        <v>10.1016/j.nlm.2017.09.009</v>
      </c>
      <c r="B1300" s="453" t="str">
        <f>IFERROR(__xludf.DUMMYFUNCTION("""COMPUTED_VALUE"""),"https://drive.google.com/file/d/1Ls7enSwQEn27qHRCH_5Coj2XrGQZjobj/view?usp=drivesdk")</f>
        <v>https://drive.google.com/file/d/1Ls7enSwQEn27qHRCH_5Coj2XrGQZjobj/view?usp=drivesdk</v>
      </c>
      <c r="C1300" s="147" t="str">
        <f>IFERROR(__xludf.DUMMYFUNCTION("""COMPUTED_VALUE"""),"10.1016--j.nlm.2017.09.009.pdf")</f>
        <v>10.1016--j.nlm.2017.09.009.pdf</v>
      </c>
      <c r="D1300" s="147" t="str">
        <f>IFERROR(__xludf.DUMMYFUNCTION("""COMPUTED_VALUE"""),"application/pdf")</f>
        <v>application/pdf</v>
      </c>
    </row>
    <row r="1301">
      <c r="A1301" s="147" t="str">
        <f>IFERROR(__xludf.DUMMYFUNCTION("""COMPUTED_VALUE"""),"10.1016/j.neuroimage.2006.11.048")</f>
        <v>10.1016/j.neuroimage.2006.11.048</v>
      </c>
      <c r="B1301" s="453" t="str">
        <f>IFERROR(__xludf.DUMMYFUNCTION("""COMPUTED_VALUE"""),"https://drive.google.com/file/d/1M2npXIoOra27xHNDnCsNwFJwuHLFn-QY/view?usp=drivesdk")</f>
        <v>https://drive.google.com/file/d/1M2npXIoOra27xHNDnCsNwFJwuHLFn-QY/view?usp=drivesdk</v>
      </c>
      <c r="C1301" s="147" t="str">
        <f>IFERROR(__xludf.DUMMYFUNCTION("""COMPUTED_VALUE"""),"10.1016--j.neuroimage.2006.11.048.pdf")</f>
        <v>10.1016--j.neuroimage.2006.11.048.pdf</v>
      </c>
      <c r="D1301" s="147" t="str">
        <f>IFERROR(__xludf.DUMMYFUNCTION("""COMPUTED_VALUE"""),"application/pdf")</f>
        <v>application/pdf</v>
      </c>
    </row>
    <row r="1302">
      <c r="A1302" s="147" t="str">
        <f>IFERROR(__xludf.DUMMYFUNCTION("""COMPUTED_VALUE"""),"10.1016/j.jtbi.2005.02.010")</f>
        <v>10.1016/j.jtbi.2005.02.010</v>
      </c>
      <c r="B1302" s="453" t="str">
        <f>IFERROR(__xludf.DUMMYFUNCTION("""COMPUTED_VALUE"""),"https://drive.google.com/file/d/17frihgo9iXD4WAxNIp0IHozpEUt6sj7r/view?usp=drivesdk")</f>
        <v>https://drive.google.com/file/d/17frihgo9iXD4WAxNIp0IHozpEUt6sj7r/view?usp=drivesdk</v>
      </c>
      <c r="C1302" s="147" t="str">
        <f>IFERROR(__xludf.DUMMYFUNCTION("""COMPUTED_VALUE"""),"10.1016--j.jtbi.2005.02.010.pdf")</f>
        <v>10.1016--j.jtbi.2005.02.010.pdf</v>
      </c>
      <c r="D1302" s="147" t="str">
        <f>IFERROR(__xludf.DUMMYFUNCTION("""COMPUTED_VALUE"""),"application/pdf")</f>
        <v>application/pdf</v>
      </c>
    </row>
    <row r="1303">
      <c r="A1303" s="147" t="str">
        <f>IFERROR(__xludf.DUMMYFUNCTION("""COMPUTED_VALUE"""),"10.1016/j.jesp.2011.11.012")</f>
        <v>10.1016/j.jesp.2011.11.012</v>
      </c>
      <c r="B1303" s="453" t="str">
        <f>IFERROR(__xludf.DUMMYFUNCTION("""COMPUTED_VALUE"""),"https://drive.google.com/file/d/1acuUVGe9a1FY0NzYPbpq8pAnbZKrjA2v/view?usp=drivesdk")</f>
        <v>https://drive.google.com/file/d/1acuUVGe9a1FY0NzYPbpq8pAnbZKrjA2v/view?usp=drivesdk</v>
      </c>
      <c r="C1303" s="147" t="str">
        <f>IFERROR(__xludf.DUMMYFUNCTION("""COMPUTED_VALUE"""),"10.1016--j.jesp.2011.11.012.pdf")</f>
        <v>10.1016--j.jesp.2011.11.012.pdf</v>
      </c>
      <c r="D1303" s="147" t="str">
        <f>IFERROR(__xludf.DUMMYFUNCTION("""COMPUTED_VALUE"""),"application/pdf")</f>
        <v>application/pdf</v>
      </c>
    </row>
    <row r="1304">
      <c r="A1304" s="147" t="str">
        <f>IFERROR(__xludf.DUMMYFUNCTION("""COMPUTED_VALUE"""),"10.1016/j.jesp.2010.05.014")</f>
        <v>10.1016/j.jesp.2010.05.014</v>
      </c>
      <c r="B1304" s="453" t="str">
        <f>IFERROR(__xludf.DUMMYFUNCTION("""COMPUTED_VALUE"""),"https://drive.google.com/file/d/1eGcl00TFvqtXToShjh3zwuqo-qNHAocO/view?usp=drivesdk")</f>
        <v>https://drive.google.com/file/d/1eGcl00TFvqtXToShjh3zwuqo-qNHAocO/view?usp=drivesdk</v>
      </c>
      <c r="C1304" s="147" t="str">
        <f>IFERROR(__xludf.DUMMYFUNCTION("""COMPUTED_VALUE"""),"10.1016--j.jesp.2010.05.014.pdf")</f>
        <v>10.1016--j.jesp.2010.05.014.pdf</v>
      </c>
      <c r="D1304" s="147" t="str">
        <f>IFERROR(__xludf.DUMMYFUNCTION("""COMPUTED_VALUE"""),"application/pdf")</f>
        <v>application/pdf</v>
      </c>
    </row>
    <row r="1305">
      <c r="A1305" s="147" t="str">
        <f>IFERROR(__xludf.DUMMYFUNCTION("""COMPUTED_VALUE"""),"10.1016/j.jesp.2009.05.003.")</f>
        <v>10.1016/j.jesp.2009.05.003.</v>
      </c>
      <c r="B1305" s="453" t="str">
        <f>IFERROR(__xludf.DUMMYFUNCTION("""COMPUTED_VALUE"""),"https://drive.google.com/file/d/1G4iua1K6eT5Xv5xxUKULlTZ0My66xR2X/view?usp=drivesdk")</f>
        <v>https://drive.google.com/file/d/1G4iua1K6eT5Xv5xxUKULlTZ0My66xR2X/view?usp=drivesdk</v>
      </c>
      <c r="C1305" s="147" t="str">
        <f>IFERROR(__xludf.DUMMYFUNCTION("""COMPUTED_VALUE"""),"10.1016--j.jesp.2009.05.003..pdf")</f>
        <v>10.1016--j.jesp.2009.05.003..pdf</v>
      </c>
      <c r="D1305" s="147" t="str">
        <f>IFERROR(__xludf.DUMMYFUNCTION("""COMPUTED_VALUE"""),"application/pdf")</f>
        <v>application/pdf</v>
      </c>
    </row>
    <row r="1306">
      <c r="A1306" s="147" t="str">
        <f>IFERROR(__xludf.DUMMYFUNCTION("""COMPUTED_VALUE"""),"10.1016/j.jesp.2009.06.003")</f>
        <v>10.1016/j.jesp.2009.06.003</v>
      </c>
      <c r="B1306" s="453" t="str">
        <f>IFERROR(__xludf.DUMMYFUNCTION("""COMPUTED_VALUE"""),"https://drive.google.com/file/d/1qBoMlGJSxfD9Le6GQLq29-E2xuX5NtUI/view?usp=drivesdk")</f>
        <v>https://drive.google.com/file/d/1qBoMlGJSxfD9Le6GQLq29-E2xuX5NtUI/view?usp=drivesdk</v>
      </c>
      <c r="C1306" s="147" t="str">
        <f>IFERROR(__xludf.DUMMYFUNCTION("""COMPUTED_VALUE"""),"10.1016--j.jesp.2009.06.003.pdf")</f>
        <v>10.1016--j.jesp.2009.06.003.pdf</v>
      </c>
      <c r="D1306" s="147" t="str">
        <f>IFERROR(__xludf.DUMMYFUNCTION("""COMPUTED_VALUE"""),"application/pdf")</f>
        <v>application/pdf</v>
      </c>
    </row>
    <row r="1307">
      <c r="A1307" s="147" t="str">
        <f>IFERROR(__xludf.DUMMYFUNCTION("""COMPUTED_VALUE"""),"10.1016/j.jesp.2009.05.003")</f>
        <v>10.1016/j.jesp.2009.05.003</v>
      </c>
      <c r="B1307" s="453" t="str">
        <f>IFERROR(__xludf.DUMMYFUNCTION("""COMPUTED_VALUE"""),"https://drive.google.com/file/d/1kV7PFFLYbgc-Kw-sxuSqcN9skQ8U3QBY/view?usp=drivesdk")</f>
        <v>https://drive.google.com/file/d/1kV7PFFLYbgc-Kw-sxuSqcN9skQ8U3QBY/view?usp=drivesdk</v>
      </c>
      <c r="C1307" s="147" t="str">
        <f>IFERROR(__xludf.DUMMYFUNCTION("""COMPUTED_VALUE"""),"10.1016--j.jesp.2009.05.003.pdf")</f>
        <v>10.1016--j.jesp.2009.05.003.pdf</v>
      </c>
      <c r="D1307" s="147" t="str">
        <f>IFERROR(__xludf.DUMMYFUNCTION("""COMPUTED_VALUE"""),"application/pdf")</f>
        <v>application/pdf</v>
      </c>
    </row>
    <row r="1308">
      <c r="A1308" s="147" t="str">
        <f>IFERROR(__xludf.DUMMYFUNCTION("""COMPUTED_VALUE"""),"10.1016/j.jesp.2009.03.009")</f>
        <v>10.1016/j.jesp.2009.03.009</v>
      </c>
      <c r="B1308" s="453" t="str">
        <f>IFERROR(__xludf.DUMMYFUNCTION("""COMPUTED_VALUE"""),"https://drive.google.com/file/d/13E6exELEtdG2RSbqcPYafnphBAN0Qwtm/view?usp=drivesdk")</f>
        <v>https://drive.google.com/file/d/13E6exELEtdG2RSbqcPYafnphBAN0Qwtm/view?usp=drivesdk</v>
      </c>
      <c r="C1308" s="147" t="str">
        <f>IFERROR(__xludf.DUMMYFUNCTION("""COMPUTED_VALUE"""),"10.1016--j.jesp.2009.03.009.pdf")</f>
        <v>10.1016--j.jesp.2009.03.009.pdf</v>
      </c>
      <c r="D1308" s="147" t="str">
        <f>IFERROR(__xludf.DUMMYFUNCTION("""COMPUTED_VALUE"""),"application/pdf")</f>
        <v>application/pdf</v>
      </c>
    </row>
    <row r="1309">
      <c r="A1309" s="147" t="str">
        <f>IFERROR(__xludf.DUMMYFUNCTION("""COMPUTED_VALUE"""),"10.1016/j.jesp.2004.07.001")</f>
        <v>10.1016/j.jesp.2004.07.001</v>
      </c>
      <c r="B1309" s="453" t="str">
        <f>IFERROR(__xludf.DUMMYFUNCTION("""COMPUTED_VALUE"""),"https://drive.google.com/file/d/13IdVrs_fFWj8hYxe5OVSE67tGuCcKPct/view?usp=drivesdk")</f>
        <v>https://drive.google.com/file/d/13IdVrs_fFWj8hYxe5OVSE67tGuCcKPct/view?usp=drivesdk</v>
      </c>
      <c r="C1309" s="147" t="str">
        <f>IFERROR(__xludf.DUMMYFUNCTION("""COMPUTED_VALUE"""),"10.1016--j.jesp.2004.07.001.pdf")</f>
        <v>10.1016--j.jesp.2004.07.001.pdf</v>
      </c>
      <c r="D1309" s="147" t="str">
        <f>IFERROR(__xludf.DUMMYFUNCTION("""COMPUTED_VALUE"""),"application/pdf")</f>
        <v>application/pdf</v>
      </c>
    </row>
    <row r="1310">
      <c r="A1310" s="147" t="str">
        <f>IFERROR(__xludf.DUMMYFUNCTION("""COMPUTED_VALUE"""),"10.1016/j.jesp.2005.05.001")</f>
        <v>10.1016/j.jesp.2005.05.001</v>
      </c>
      <c r="B1310" s="453" t="str">
        <f>IFERROR(__xludf.DUMMYFUNCTION("""COMPUTED_VALUE"""),"https://drive.google.com/file/d/1y_lQGjVlo6Fl18TxXjJCuEtRwnUYubwf/view?usp=drivesdk")</f>
        <v>https://drive.google.com/file/d/1y_lQGjVlo6Fl18TxXjJCuEtRwnUYubwf/view?usp=drivesdk</v>
      </c>
      <c r="C1310" s="147" t="str">
        <f>IFERROR(__xludf.DUMMYFUNCTION("""COMPUTED_VALUE"""),"10.1016--j.jesp.2005.05.001.pdf")</f>
        <v>10.1016--j.jesp.2005.05.001.pdf</v>
      </c>
      <c r="D1310" s="147" t="str">
        <f>IFERROR(__xludf.DUMMYFUNCTION("""COMPUTED_VALUE"""),"application/pdf")</f>
        <v>application/pdf</v>
      </c>
    </row>
    <row r="1311">
      <c r="A1311" s="147" t="str">
        <f>IFERROR(__xludf.DUMMYFUNCTION("""COMPUTED_VALUE"""),"10.1016/j.jenvp.2019.101333")</f>
        <v>10.1016/j.jenvp.2019.101333</v>
      </c>
      <c r="B1311" s="453" t="str">
        <f>IFERROR(__xludf.DUMMYFUNCTION("""COMPUTED_VALUE"""),"https://drive.google.com/file/d/1ulcmn23SslnIFjXNPMwqbzhRfT5lhEO8/view?usp=drivesdk")</f>
        <v>https://drive.google.com/file/d/1ulcmn23SslnIFjXNPMwqbzhRfT5lhEO8/view?usp=drivesdk</v>
      </c>
      <c r="C1311" s="147" t="str">
        <f>IFERROR(__xludf.DUMMYFUNCTION("""COMPUTED_VALUE"""),"10.1016--j.jenvp.2019.101333.pdf")</f>
        <v>10.1016--j.jenvp.2019.101333.pdf</v>
      </c>
      <c r="D1311" s="147" t="str">
        <f>IFERROR(__xludf.DUMMYFUNCTION("""COMPUTED_VALUE"""),"application/pdf")</f>
        <v>application/pdf</v>
      </c>
    </row>
    <row r="1312">
      <c r="A1312" s="147" t="str">
        <f>IFERROR(__xludf.DUMMYFUNCTION("""COMPUTED_VALUE"""),"10.1016/j.jcps.2010.06.007")</f>
        <v>10.1016/j.jcps.2010.06.007</v>
      </c>
      <c r="B1312" s="453" t="str">
        <f>IFERROR(__xludf.DUMMYFUNCTION("""COMPUTED_VALUE"""),"https://drive.google.com/file/d/1QgM5ih3blPKfggX8boZpRVE5q-Rpsxzc/view?usp=drivesdk")</f>
        <v>https://drive.google.com/file/d/1QgM5ih3blPKfggX8boZpRVE5q-Rpsxzc/view?usp=drivesdk</v>
      </c>
      <c r="C1312" s="147" t="str">
        <f>IFERROR(__xludf.DUMMYFUNCTION("""COMPUTED_VALUE"""),"10.1016--j.jcps.2010.06.007.pdf")</f>
        <v>10.1016--j.jcps.2010.06.007.pdf</v>
      </c>
      <c r="D1312" s="147" t="str">
        <f>IFERROR(__xludf.DUMMYFUNCTION("""COMPUTED_VALUE"""),"application/pdf")</f>
        <v>application/pdf</v>
      </c>
    </row>
    <row r="1313">
      <c r="A1313" s="147" t="str">
        <f>IFERROR(__xludf.DUMMYFUNCTION("""COMPUTED_VALUE"""),"10.1016/j.jad.2020.07.068")</f>
        <v>10.1016/j.jad.2020.07.068</v>
      </c>
      <c r="B1313" s="453" t="str">
        <f>IFERROR(__xludf.DUMMYFUNCTION("""COMPUTED_VALUE"""),"https://drive.google.com/file/d/1CSEUe6gYLUw8yuCZAwajh6IlhECLeioY/view?usp=drivesdk")</f>
        <v>https://drive.google.com/file/d/1CSEUe6gYLUw8yuCZAwajh6IlhECLeioY/view?usp=drivesdk</v>
      </c>
      <c r="C1313" s="147" t="str">
        <f>IFERROR(__xludf.DUMMYFUNCTION("""COMPUTED_VALUE"""),"10.1016--j.jad.2020.07.068.pdf")</f>
        <v>10.1016--j.jad.2020.07.068.pdf</v>
      </c>
      <c r="D1313" s="147" t="str">
        <f>IFERROR(__xludf.DUMMYFUNCTION("""COMPUTED_VALUE"""),"application/pdf")</f>
        <v>application/pdf</v>
      </c>
    </row>
    <row r="1314">
      <c r="A1314" s="147" t="str">
        <f>IFERROR(__xludf.DUMMYFUNCTION("""COMPUTED_VALUE"""),"10.1016/j.jad.2019.03.027")</f>
        <v>10.1016/j.jad.2019.03.027</v>
      </c>
      <c r="B1314" s="453" t="str">
        <f>IFERROR(__xludf.DUMMYFUNCTION("""COMPUTED_VALUE"""),"https://drive.google.com/file/d/1pdhS0-ZGyjQIREpiT3_N1ld6izfKXSFK/view?usp=drivesdk")</f>
        <v>https://drive.google.com/file/d/1pdhS0-ZGyjQIREpiT3_N1ld6izfKXSFK/view?usp=drivesdk</v>
      </c>
      <c r="C1314" s="147" t="str">
        <f>IFERROR(__xludf.DUMMYFUNCTION("""COMPUTED_VALUE"""),"10.1016--j.jad.2019.03.027.pdf")</f>
        <v>10.1016--j.jad.2019.03.027.pdf</v>
      </c>
      <c r="D1314" s="147" t="str">
        <f>IFERROR(__xludf.DUMMYFUNCTION("""COMPUTED_VALUE"""),"application/pdf")</f>
        <v>application/pdf</v>
      </c>
    </row>
    <row r="1315">
      <c r="A1315" s="147" t="str">
        <f>IFERROR(__xludf.DUMMYFUNCTION("""COMPUTED_VALUE"""),"10.1016/j.drugalcdep.2021.108610")</f>
        <v>10.1016/j.drugalcdep.2021.108610</v>
      </c>
      <c r="B1315" s="453" t="str">
        <f>IFERROR(__xludf.DUMMYFUNCTION("""COMPUTED_VALUE"""),"https://drive.google.com/file/d/1DrC4ktWX9HamK4DWq_tF1P_2alxXHAnN/view?usp=drivesdk")</f>
        <v>https://drive.google.com/file/d/1DrC4ktWX9HamK4DWq_tF1P_2alxXHAnN/view?usp=drivesdk</v>
      </c>
      <c r="C1315" s="147" t="str">
        <f>IFERROR(__xludf.DUMMYFUNCTION("""COMPUTED_VALUE"""),"10.1016--j.drugalcdep.2021.108610.pdf")</f>
        <v>10.1016--j.drugalcdep.2021.108610.pdf</v>
      </c>
      <c r="D1315" s="147" t="str">
        <f>IFERROR(__xludf.DUMMYFUNCTION("""COMPUTED_VALUE"""),"application/pdf")</f>
        <v>application/pdf</v>
      </c>
    </row>
    <row r="1316">
      <c r="A1316" s="147" t="str">
        <f>IFERROR(__xludf.DUMMYFUNCTION("""COMPUTED_VALUE"""),"10.1016/j.ijresmar.2012.03.002")</f>
        <v>10.1016/j.ijresmar.2012.03.002</v>
      </c>
      <c r="B1316" s="453" t="str">
        <f>IFERROR(__xludf.DUMMYFUNCTION("""COMPUTED_VALUE"""),"https://drive.google.com/file/d/1IgOEeoYh65YudspFokk-VaTPbrQd0gtD/view?usp=drivesdk")</f>
        <v>https://drive.google.com/file/d/1IgOEeoYh65YudspFokk-VaTPbrQd0gtD/view?usp=drivesdk</v>
      </c>
      <c r="C1316" s="147" t="str">
        <f>IFERROR(__xludf.DUMMYFUNCTION("""COMPUTED_VALUE"""),"10.1016--j.ijresmar.2012.03.002.pdf")</f>
        <v>10.1016--j.ijresmar.2012.03.002.pdf</v>
      </c>
      <c r="D1316" s="147" t="str">
        <f>IFERROR(__xludf.DUMMYFUNCTION("""COMPUTED_VALUE"""),"application/pdf")</f>
        <v>application/pdf</v>
      </c>
    </row>
    <row r="1317">
      <c r="A1317" s="147" t="str">
        <f>IFERROR(__xludf.DUMMYFUNCTION("""COMPUTED_VALUE"""),"10.1016/j.dib.2019.104005")</f>
        <v>10.1016/j.dib.2019.104005</v>
      </c>
      <c r="B1317" s="453" t="str">
        <f>IFERROR(__xludf.DUMMYFUNCTION("""COMPUTED_VALUE"""),"https://drive.google.com/file/d/1PuD-vIYdn5C4vHU0YiqSuL7OPCmx9ttp/view?usp=drivesdk")</f>
        <v>https://drive.google.com/file/d/1PuD-vIYdn5C4vHU0YiqSuL7OPCmx9ttp/view?usp=drivesdk</v>
      </c>
      <c r="C1317" s="147" t="str">
        <f>IFERROR(__xludf.DUMMYFUNCTION("""COMPUTED_VALUE"""),"10.1016--j.dib.2019.104005.pdf")</f>
        <v>10.1016--j.dib.2019.104005.pdf</v>
      </c>
      <c r="D1317" s="147" t="str">
        <f>IFERROR(__xludf.DUMMYFUNCTION("""COMPUTED_VALUE"""),"application/pdf")</f>
        <v>application/pdf</v>
      </c>
    </row>
    <row r="1318">
      <c r="A1318" s="147" t="str">
        <f>IFERROR(__xludf.DUMMYFUNCTION("""COMPUTED_VALUE"""),"10.1016/j.cub.2013.08.037")</f>
        <v>10.1016/j.cub.2013.08.037</v>
      </c>
      <c r="B1318" s="453" t="str">
        <f>IFERROR(__xludf.DUMMYFUNCTION("""COMPUTED_VALUE"""),"https://drive.google.com/file/d/1kGdnrYJFp9Fedk9QHQtyDcczJB_LGP5s/view?usp=drivesdk")</f>
        <v>https://drive.google.com/file/d/1kGdnrYJFp9Fedk9QHQtyDcczJB_LGP5s/view?usp=drivesdk</v>
      </c>
      <c r="C1318" s="147" t="str">
        <f>IFERROR(__xludf.DUMMYFUNCTION("""COMPUTED_VALUE"""),"10.1016--j.cub.2013.08.037.pdf")</f>
        <v>10.1016--j.cub.2013.08.037.pdf</v>
      </c>
      <c r="D1318" s="147" t="str">
        <f>IFERROR(__xludf.DUMMYFUNCTION("""COMPUTED_VALUE"""),"application/pdf")</f>
        <v>application/pdf</v>
      </c>
    </row>
    <row r="1319">
      <c r="A1319" s="147" t="str">
        <f>IFERROR(__xludf.DUMMYFUNCTION("""COMPUTED_VALUE"""),"10.1016/j.cub.2004.01.029")</f>
        <v>10.1016/j.cub.2004.01.029</v>
      </c>
      <c r="B1319" s="453" t="str">
        <f>IFERROR(__xludf.DUMMYFUNCTION("""COMPUTED_VALUE"""),"https://drive.google.com/file/d/1oLyXVFY64dU4qE6_b-iVXYa7asikLA1e/view?usp=drivesdk")</f>
        <v>https://drive.google.com/file/d/1oLyXVFY64dU4qE6_b-iVXYa7asikLA1e/view?usp=drivesdk</v>
      </c>
      <c r="C1319" s="147" t="str">
        <f>IFERROR(__xludf.DUMMYFUNCTION("""COMPUTED_VALUE"""),"10.1016--j.cub.2004.01.029.pdf")</f>
        <v>10.1016--j.cub.2004.01.029.pdf</v>
      </c>
      <c r="D1319" s="147" t="str">
        <f>IFERROR(__xludf.DUMMYFUNCTION("""COMPUTED_VALUE"""),"application/pdf")</f>
        <v>application/pdf</v>
      </c>
    </row>
    <row r="1320">
      <c r="A1320" s="147" t="str">
        <f>IFERROR(__xludf.DUMMYFUNCTION("""COMPUTED_VALUE"""),"10.1016/j.cognition.2015.01.013")</f>
        <v>10.1016/j.cognition.2015.01.013</v>
      </c>
      <c r="B1320" s="453" t="str">
        <f>IFERROR(__xludf.DUMMYFUNCTION("""COMPUTED_VALUE"""),"https://drive.google.com/file/d/15kuHQf8erGaSOBxt1lOz994u1DIsHk_v/view?usp=drivesdk")</f>
        <v>https://drive.google.com/file/d/15kuHQf8erGaSOBxt1lOz994u1DIsHk_v/view?usp=drivesdk</v>
      </c>
      <c r="C1320" s="147" t="str">
        <f>IFERROR(__xludf.DUMMYFUNCTION("""COMPUTED_VALUE"""),"10.1016--j.cognition.2015.01.013.pdf")</f>
        <v>10.1016--j.cognition.2015.01.013.pdf</v>
      </c>
      <c r="D1320" s="147" t="str">
        <f>IFERROR(__xludf.DUMMYFUNCTION("""COMPUTED_VALUE"""),"application/pdf")</f>
        <v>application/pdf</v>
      </c>
    </row>
    <row r="1321">
      <c r="A1321" s="147" t="str">
        <f>IFERROR(__xludf.DUMMYFUNCTION("""COMPUTED_VALUE"""),"10.1016/j.cognition.2018.04.007")</f>
        <v>10.1016/j.cognition.2018.04.007</v>
      </c>
      <c r="B1321" s="453" t="str">
        <f>IFERROR(__xludf.DUMMYFUNCTION("""COMPUTED_VALUE"""),"https://drive.google.com/file/d/1EDHHFOSKkOQc-1kI7O0JVmaKcw9YK3p2/view?usp=drivesdk")</f>
        <v>https://drive.google.com/file/d/1EDHHFOSKkOQc-1kI7O0JVmaKcw9YK3p2/view?usp=drivesdk</v>
      </c>
      <c r="C1321" s="147" t="str">
        <f>IFERROR(__xludf.DUMMYFUNCTION("""COMPUTED_VALUE"""),"10.1016--j.cognition.2018.04.007.pdf")</f>
        <v>10.1016--j.cognition.2018.04.007.pdf</v>
      </c>
      <c r="D1321" s="147" t="str">
        <f>IFERROR(__xludf.DUMMYFUNCTION("""COMPUTED_VALUE"""),"application/pdf")</f>
        <v>application/pdf</v>
      </c>
    </row>
    <row r="1322">
      <c r="A1322" s="147" t="str">
        <f>IFERROR(__xludf.DUMMYFUNCTION("""COMPUTED_VALUE"""),"10.1016/j.concog.2008.11.006")</f>
        <v>10.1016/j.concog.2008.11.006</v>
      </c>
      <c r="B1322" s="453" t="str">
        <f>IFERROR(__xludf.DUMMYFUNCTION("""COMPUTED_VALUE"""),"https://drive.google.com/file/d/1jf3ctwxwUpc5AYKxlkNN-odE2ElrZuqN/view?usp=drivesdk")</f>
        <v>https://drive.google.com/file/d/1jf3ctwxwUpc5AYKxlkNN-odE2ElrZuqN/view?usp=drivesdk</v>
      </c>
      <c r="C1322" s="147" t="str">
        <f>IFERROR(__xludf.DUMMYFUNCTION("""COMPUTED_VALUE"""),"10.1016--j.concog.2008.11.006.pdf")</f>
        <v>10.1016--j.concog.2008.11.006.pdf</v>
      </c>
      <c r="D1322" s="147" t="str">
        <f>IFERROR(__xludf.DUMMYFUNCTION("""COMPUTED_VALUE"""),"application/pdf")</f>
        <v>application/pdf</v>
      </c>
    </row>
    <row r="1323">
      <c r="A1323" s="147" t="str">
        <f>IFERROR(__xludf.DUMMYFUNCTION("""COMPUTED_VALUE"""),"10.1016/j.cognition.2014.09.006")</f>
        <v>10.1016/j.cognition.2014.09.006</v>
      </c>
      <c r="B1323" s="453" t="str">
        <f>IFERROR(__xludf.DUMMYFUNCTION("""COMPUTED_VALUE"""),"https://drive.google.com/file/d/1kMj9bYJrk8644y4gPjpgYXSikwfmuYTS/view?usp=drivesdk")</f>
        <v>https://drive.google.com/file/d/1kMj9bYJrk8644y4gPjpgYXSikwfmuYTS/view?usp=drivesdk</v>
      </c>
      <c r="C1323" s="147" t="str">
        <f>IFERROR(__xludf.DUMMYFUNCTION("""COMPUTED_VALUE"""),"10.1016--j.cognition.2014.09.006.pdf")</f>
        <v>10.1016--j.cognition.2014.09.006.pdf</v>
      </c>
      <c r="D1323" s="147" t="str">
        <f>IFERROR(__xludf.DUMMYFUNCTION("""COMPUTED_VALUE"""),"application/pdf")</f>
        <v>application/pdf</v>
      </c>
    </row>
    <row r="1324">
      <c r="A1324" s="147" t="str">
        <f>IFERROR(__xludf.DUMMYFUNCTION("""COMPUTED_VALUE"""),"10.1016/j.cognition.2014.08.006")</f>
        <v>10.1016/j.cognition.2014.08.006</v>
      </c>
      <c r="B1324" s="453" t="str">
        <f>IFERROR(__xludf.DUMMYFUNCTION("""COMPUTED_VALUE"""),"https://drive.google.com/file/d/1vQ1lUQP7E0bfjNjtCdLNAaUqgcbJ9PLU/view?usp=drivesdk")</f>
        <v>https://drive.google.com/file/d/1vQ1lUQP7E0bfjNjtCdLNAaUqgcbJ9PLU/view?usp=drivesdk</v>
      </c>
      <c r="C1324" s="147" t="str">
        <f>IFERROR(__xludf.DUMMYFUNCTION("""COMPUTED_VALUE"""),"10.1016--j.cognition.2014.08.006.pdf")</f>
        <v>10.1016--j.cognition.2014.08.006.pdf</v>
      </c>
      <c r="D1324" s="147" t="str">
        <f>IFERROR(__xludf.DUMMYFUNCTION("""COMPUTED_VALUE"""),"application/pdf")</f>
        <v>application/pdf</v>
      </c>
    </row>
    <row r="1325">
      <c r="A1325" s="147" t="str">
        <f>IFERROR(__xludf.DUMMYFUNCTION("""COMPUTED_VALUE"""),"10.1016/j.cognition.2013.12.005")</f>
        <v>10.1016/j.cognition.2013.12.005</v>
      </c>
      <c r="B1325" s="453" t="str">
        <f>IFERROR(__xludf.DUMMYFUNCTION("""COMPUTED_VALUE"""),"https://drive.google.com/file/d/1m4pILp8FV7YtyobDHxoq8pojV_SH9CV7/view?usp=drivesdk")</f>
        <v>https://drive.google.com/file/d/1m4pILp8FV7YtyobDHxoq8pojV_SH9CV7/view?usp=drivesdk</v>
      </c>
      <c r="C1325" s="147" t="str">
        <f>IFERROR(__xludf.DUMMYFUNCTION("""COMPUTED_VALUE"""),"10.1016--j.cognition.2013.12.005.pdf")</f>
        <v>10.1016--j.cognition.2013.12.005.pdf</v>
      </c>
      <c r="D1325" s="147" t="str">
        <f>IFERROR(__xludf.DUMMYFUNCTION("""COMPUTED_VALUE"""),"application/pdf")</f>
        <v>application/pdf</v>
      </c>
    </row>
    <row r="1326">
      <c r="A1326" s="147" t="str">
        <f>IFERROR(__xludf.DUMMYFUNCTION("""COMPUTED_VALUE"""),"10.1016/j.cognition.2013.09.001")</f>
        <v>10.1016/j.cognition.2013.09.001</v>
      </c>
      <c r="B1326" s="453" t="str">
        <f>IFERROR(__xludf.DUMMYFUNCTION("""COMPUTED_VALUE"""),"https://drive.google.com/file/d/1Q1ahJAjmoMnVd-4_yOjQiQ_6STDFGEiQ/view?usp=drivesdk")</f>
        <v>https://drive.google.com/file/d/1Q1ahJAjmoMnVd-4_yOjQiQ_6STDFGEiQ/view?usp=drivesdk</v>
      </c>
      <c r="C1326" s="147" t="str">
        <f>IFERROR(__xludf.DUMMYFUNCTION("""COMPUTED_VALUE"""),"10.1016--j.cognition.2013.09.001.pdf")</f>
        <v>10.1016--j.cognition.2013.09.001.pdf</v>
      </c>
      <c r="D1326" s="147" t="str">
        <f>IFERROR(__xludf.DUMMYFUNCTION("""COMPUTED_VALUE"""),"application/pdf")</f>
        <v>application/pdf</v>
      </c>
    </row>
    <row r="1327">
      <c r="A1327" s="147" t="str">
        <f>IFERROR(__xludf.DUMMYFUNCTION("""COMPUTED_VALUE"""),"10.1016/j.cognition.2013.02.008")</f>
        <v>10.1016/j.cognition.2013.02.008</v>
      </c>
      <c r="B1327" s="453" t="str">
        <f>IFERROR(__xludf.DUMMYFUNCTION("""COMPUTED_VALUE"""),"https://drive.google.com/file/d/1kb4iozdFSFtKZKGvaK7sOkqlr4kI2jg5/view?usp=drivesdk")</f>
        <v>https://drive.google.com/file/d/1kb4iozdFSFtKZKGvaK7sOkqlr4kI2jg5/view?usp=drivesdk</v>
      </c>
      <c r="C1327" s="147" t="str">
        <f>IFERROR(__xludf.DUMMYFUNCTION("""COMPUTED_VALUE"""),"10.1016--j.cognition.2013.02.008.pdf")</f>
        <v>10.1016--j.cognition.2013.02.008.pdf</v>
      </c>
      <c r="D1327" s="147" t="str">
        <f>IFERROR(__xludf.DUMMYFUNCTION("""COMPUTED_VALUE"""),"application/pdf")</f>
        <v>application/pdf</v>
      </c>
    </row>
    <row r="1328">
      <c r="A1328" s="147" t="str">
        <f>IFERROR(__xludf.DUMMYFUNCTION("""COMPUTED_VALUE"""),"10.1016/j.cognition.2012.05.017")</f>
        <v>10.1016/j.cognition.2012.05.017</v>
      </c>
      <c r="B1328" s="453" t="str">
        <f>IFERROR(__xludf.DUMMYFUNCTION("""COMPUTED_VALUE"""),"https://drive.google.com/file/d/1rYKmBnC6-cppCzt4DERsstyRR5gk2db1/view?usp=drivesdk")</f>
        <v>https://drive.google.com/file/d/1rYKmBnC6-cppCzt4DERsstyRR5gk2db1/view?usp=drivesdk</v>
      </c>
      <c r="C1328" s="147" t="str">
        <f>IFERROR(__xludf.DUMMYFUNCTION("""COMPUTED_VALUE"""),"10.1016--j.cognition.2012.05.017.pdf")</f>
        <v>10.1016--j.cognition.2012.05.017.pdf</v>
      </c>
      <c r="D1328" s="147" t="str">
        <f>IFERROR(__xludf.DUMMYFUNCTION("""COMPUTED_VALUE"""),"application/pdf")</f>
        <v>application/pdf</v>
      </c>
    </row>
    <row r="1329">
      <c r="A1329" s="147" t="str">
        <f>IFERROR(__xludf.DUMMYFUNCTION("""COMPUTED_VALUE"""),"10.1016/j.cognition.2007.11.004")</f>
        <v>10.1016/j.cognition.2007.11.004</v>
      </c>
      <c r="B1329" s="453" t="str">
        <f>IFERROR(__xludf.DUMMYFUNCTION("""COMPUTED_VALUE"""),"https://drive.google.com/file/d/15WVNsHu4qw18Mufo3UCjKv6cq2gXORb0/view?usp=drivesdk")</f>
        <v>https://drive.google.com/file/d/15WVNsHu4qw18Mufo3UCjKv6cq2gXORb0/view?usp=drivesdk</v>
      </c>
      <c r="C1329" s="147" t="str">
        <f>IFERROR(__xludf.DUMMYFUNCTION("""COMPUTED_VALUE"""),"10.1016--j.cognition.2007.11.004.pdf")</f>
        <v>10.1016--j.cognition.2007.11.004.pdf</v>
      </c>
      <c r="D1329" s="147" t="str">
        <f>IFERROR(__xludf.DUMMYFUNCTION("""COMPUTED_VALUE"""),"application/pdf")</f>
        <v>application/pdf</v>
      </c>
    </row>
    <row r="1330">
      <c r="A1330" s="147" t="str">
        <f>IFERROR(__xludf.DUMMYFUNCTION("""COMPUTED_VALUE"""),"10.1016/j.cognition.2011.04.005")</f>
        <v>10.1016/j.cognition.2011.04.005</v>
      </c>
      <c r="B1330" s="453" t="str">
        <f>IFERROR(__xludf.DUMMYFUNCTION("""COMPUTED_VALUE"""),"https://drive.google.com/file/d/1rfhy0H3N2i18Q2nk5882hihBrKt6EiZo/view?usp=drivesdk")</f>
        <v>https://drive.google.com/file/d/1rfhy0H3N2i18Q2nk5882hihBrKt6EiZo/view?usp=drivesdk</v>
      </c>
      <c r="C1330" s="147" t="str">
        <f>IFERROR(__xludf.DUMMYFUNCTION("""COMPUTED_VALUE"""),"10.1016--j.cognition.2011.04.005.pdf")</f>
        <v>10.1016--j.cognition.2011.04.005.pdf</v>
      </c>
      <c r="D1330" s="147" t="str">
        <f>IFERROR(__xludf.DUMMYFUNCTION("""COMPUTED_VALUE"""),"application/pdf")</f>
        <v>application/pdf</v>
      </c>
    </row>
    <row r="1331">
      <c r="A1331" s="147" t="str">
        <f>IFERROR(__xludf.DUMMYFUNCTION("""COMPUTED_VALUE"""),"10.1016/j.cognition.2003.10.003")</f>
        <v>10.1016/j.cognition.2003.10.003</v>
      </c>
      <c r="B1331" s="453" t="str">
        <f>IFERROR(__xludf.DUMMYFUNCTION("""COMPUTED_VALUE"""),"https://drive.google.com/file/d/1iXbJmAfK9HnzZ8oDPYgQfHqZeVcgywaq/view?usp=drivesdk")</f>
        <v>https://drive.google.com/file/d/1iXbJmAfK9HnzZ8oDPYgQfHqZeVcgywaq/view?usp=drivesdk</v>
      </c>
      <c r="C1331" s="147" t="str">
        <f>IFERROR(__xludf.DUMMYFUNCTION("""COMPUTED_VALUE"""),"10.1016--j.cognition.2003.10.003.pdf")</f>
        <v>10.1016--j.cognition.2003.10.003.pdf</v>
      </c>
      <c r="D1331" s="147" t="str">
        <f>IFERROR(__xludf.DUMMYFUNCTION("""COMPUTED_VALUE"""),"application/pdf")</f>
        <v>application/pdf</v>
      </c>
    </row>
    <row r="1332">
      <c r="A1332" s="147" t="str">
        <f>IFERROR(__xludf.DUMMYFUNCTION("""COMPUTED_VALUE"""),"10.1016/j.cogdev.2010.09.001")</f>
        <v>10.1016/j.cogdev.2010.09.001</v>
      </c>
      <c r="B1332" s="453" t="str">
        <f>IFERROR(__xludf.DUMMYFUNCTION("""COMPUTED_VALUE"""),"https://drive.google.com/file/d/1M0Xd_T8fusHFgXmv-HDFJpVyg0Ga7w1w/view?usp=drivesdk")</f>
        <v>https://drive.google.com/file/d/1M0Xd_T8fusHFgXmv-HDFJpVyg0Ga7w1w/view?usp=drivesdk</v>
      </c>
      <c r="C1332" s="147" t="str">
        <f>IFERROR(__xludf.DUMMYFUNCTION("""COMPUTED_VALUE"""),"10.1016--j.cogdev.2010.09.001.pdf")</f>
        <v>10.1016--j.cogdev.2010.09.001.pdf</v>
      </c>
      <c r="D1332" s="147" t="str">
        <f>IFERROR(__xludf.DUMMYFUNCTION("""COMPUTED_VALUE"""),"application/pdf")</f>
        <v>application/pdf</v>
      </c>
    </row>
    <row r="1333">
      <c r="A1333" s="147" t="str">
        <f>IFERROR(__xludf.DUMMYFUNCTION("""COMPUTED_VALUE"""),"10.1016/j.cedpsych.2019.101834")</f>
        <v>10.1016/j.cedpsych.2019.101834</v>
      </c>
      <c r="B1333" s="453" t="str">
        <f>IFERROR(__xludf.DUMMYFUNCTION("""COMPUTED_VALUE"""),"https://drive.google.com/file/d/1ey3svgzi5RXI2O-RNCBTZkx8IlV-kKzo/view?usp=drivesdk")</f>
        <v>https://drive.google.com/file/d/1ey3svgzi5RXI2O-RNCBTZkx8IlV-kKzo/view?usp=drivesdk</v>
      </c>
      <c r="C1333" s="147" t="str">
        <f>IFERROR(__xludf.DUMMYFUNCTION("""COMPUTED_VALUE"""),"10.1016--j.cedpsych.2019.101834.pdf")</f>
        <v>10.1016--j.cedpsych.2019.101834.pdf</v>
      </c>
      <c r="D1333" s="147" t="str">
        <f>IFERROR(__xludf.DUMMYFUNCTION("""COMPUTED_VALUE"""),"application/pdf")</f>
        <v>application/pdf</v>
      </c>
    </row>
    <row r="1334">
      <c r="A1334" s="147" t="str">
        <f>IFERROR(__xludf.DUMMYFUNCTION("""COMPUTED_VALUE"""),"10.1016/j.appet.2020.104808")</f>
        <v>10.1016/j.appet.2020.104808</v>
      </c>
      <c r="B1334" s="453" t="str">
        <f>IFERROR(__xludf.DUMMYFUNCTION("""COMPUTED_VALUE"""),"https://drive.google.com/file/d/1qyGORRGdQy-kyOSM_2vtKP7-BEAhuKWX/view?usp=drivesdk")</f>
        <v>https://drive.google.com/file/d/1qyGORRGdQy-kyOSM_2vtKP7-BEAhuKWX/view?usp=drivesdk</v>
      </c>
      <c r="C1334" s="147" t="str">
        <f>IFERROR(__xludf.DUMMYFUNCTION("""COMPUTED_VALUE"""),"10.1016--j.appet.2020.104808.pdf")</f>
        <v>10.1016--j.appet.2020.104808.pdf</v>
      </c>
      <c r="D1334" s="147" t="str">
        <f>IFERROR(__xludf.DUMMYFUNCTION("""COMPUTED_VALUE"""),"application/pdf")</f>
        <v>application/pdf</v>
      </c>
    </row>
    <row r="1335">
      <c r="A1335" s="147" t="str">
        <f>IFERROR(__xludf.DUMMYFUNCTION("""COMPUTED_VALUE"""),"10.1016/j.obhdp.2006.10.001")</f>
        <v>10.1016/j.obhdp.2006.10.001</v>
      </c>
      <c r="B1335" s="453" t="str">
        <f>IFERROR(__xludf.DUMMYFUNCTION("""COMPUTED_VALUE"""),"https://drive.google.com/file/d/1FWRQbooJB3yBxAT3Bu0VtKlQVOCCrmTE/view?usp=drivesdk")</f>
        <v>https://drive.google.com/file/d/1FWRQbooJB3yBxAT3Bu0VtKlQVOCCrmTE/view?usp=drivesdk</v>
      </c>
      <c r="C1335" s="147" t="str">
        <f>IFERROR(__xludf.DUMMYFUNCTION("""COMPUTED_VALUE"""),"10.1016--j.obhdp.2006.10.001.pdf")</f>
        <v>10.1016--j.obhdp.2006.10.001.pdf</v>
      </c>
      <c r="D1335" s="147" t="str">
        <f>IFERROR(__xludf.DUMMYFUNCTION("""COMPUTED_VALUE"""),"application/pdf")</f>
        <v>application/pdf</v>
      </c>
    </row>
    <row r="1336">
      <c r="A1336" s="147" t="str">
        <f>IFERROR(__xludf.DUMMYFUNCTION("""COMPUTED_VALUE"""),"10.1016/b978-0-12-205050-3.50008-7")</f>
        <v>10.1016/b978-0-12-205050-3.50008-7</v>
      </c>
      <c r="B1336" s="453" t="str">
        <f>IFERROR(__xludf.DUMMYFUNCTION("""COMPUTED_VALUE"""),"https://drive.google.com/file/d/13YTFwHRFNpBSnxofMWEZYB4DFgqick6w/view?usp=drivesdk")</f>
        <v>https://drive.google.com/file/d/13YTFwHRFNpBSnxofMWEZYB4DFgqick6w/view?usp=drivesdk</v>
      </c>
      <c r="C1336" s="147" t="str">
        <f>IFERROR(__xludf.DUMMYFUNCTION("""COMPUTED_VALUE"""),"10.1016--b978-0-12-205050-3.50008-7.pdf")</f>
        <v>10.1016--b978-0-12-205050-3.50008-7.pdf</v>
      </c>
      <c r="D1336" s="147" t="str">
        <f>IFERROR(__xludf.DUMMYFUNCTION("""COMPUTED_VALUE"""),"application/pdf")</f>
        <v>application/pdf</v>
      </c>
    </row>
    <row r="1337">
      <c r="A1337" s="147" t="str">
        <f>IFERROR(__xludf.DUMMYFUNCTION("""COMPUTED_VALUE"""),"10.1016/0749-596x(87)90098-2")</f>
        <v>10.1016/0749-596x(87)90098-2</v>
      </c>
      <c r="B1337" s="453" t="str">
        <f>IFERROR(__xludf.DUMMYFUNCTION("""COMPUTED_VALUE"""),"https://drive.google.com/file/d/1DzRA3qe8CQXBgcDoOXxyAWU63P40Fwio/view?usp=drivesdk")</f>
        <v>https://drive.google.com/file/d/1DzRA3qe8CQXBgcDoOXxyAWU63P40Fwio/view?usp=drivesdk</v>
      </c>
      <c r="C1337" s="147" t="str">
        <f>IFERROR(__xludf.DUMMYFUNCTION("""COMPUTED_VALUE"""),"10.1016--0749-596x(87)90098-2.pdf")</f>
        <v>10.1016--0749-596x(87)90098-2.pdf</v>
      </c>
      <c r="D1337" s="147" t="str">
        <f>IFERROR(__xludf.DUMMYFUNCTION("""COMPUTED_VALUE"""),"application/pdf")</f>
        <v>application/pdf</v>
      </c>
    </row>
    <row r="1338">
      <c r="A1338" s="147" t="str">
        <f>IFERROR(__xludf.DUMMYFUNCTION("""COMPUTED_VALUE"""),"10.1016/0022-1031(91)90011-t")</f>
        <v>10.1016/0022-1031(91)90011-t</v>
      </c>
      <c r="B1338" s="453" t="str">
        <f>IFERROR(__xludf.DUMMYFUNCTION("""COMPUTED_VALUE"""),"https://drive.google.com/file/d/119yIqQfYVVKN0GW9NpqUkpEkA8m1xmUD/view?usp=drivesdk")</f>
        <v>https://drive.google.com/file/d/119yIqQfYVVKN0GW9NpqUkpEkA8m1xmUD/view?usp=drivesdk</v>
      </c>
      <c r="C1338" s="147" t="str">
        <f>IFERROR(__xludf.DUMMYFUNCTION("""COMPUTED_VALUE"""),"10.1016--0022-1031(91)90011-T.pdf")</f>
        <v>10.1016--0022-1031(91)90011-T.pdf</v>
      </c>
      <c r="D1338" s="147" t="str">
        <f>IFERROR(__xludf.DUMMYFUNCTION("""COMPUTED_VALUE"""),"application/pdf")</f>
        <v>application/pdf</v>
      </c>
    </row>
    <row r="1339">
      <c r="A1339" s="147" t="str">
        <f>IFERROR(__xludf.DUMMYFUNCTION("""COMPUTED_VALUE"""),"10.1016/0191-8869(89)90005-6")</f>
        <v>10.1016/0191-8869(89)90005-6</v>
      </c>
      <c r="B1339" s="453" t="str">
        <f>IFERROR(__xludf.DUMMYFUNCTION("""COMPUTED_VALUE"""),"https://drive.google.com/file/d/15-Qaf3mc5XQEsuoEm8ghrVO5S8iGirFd/view?usp=drivesdk")</f>
        <v>https://drive.google.com/file/d/15-Qaf3mc5XQEsuoEm8ghrVO5S8iGirFd/view?usp=drivesdk</v>
      </c>
      <c r="C1339" s="147" t="str">
        <f>IFERROR(__xludf.DUMMYFUNCTION("""COMPUTED_VALUE"""),"10.1016--0191-8869(89)90005-6.pdf")</f>
        <v>10.1016--0191-8869(89)90005-6.pdf</v>
      </c>
      <c r="D1339" s="147" t="str">
        <f>IFERROR(__xludf.DUMMYFUNCTION("""COMPUTED_VALUE"""),"application/pdf")</f>
        <v>application/pdf</v>
      </c>
    </row>
    <row r="1340">
      <c r="A1340" s="147" t="str">
        <f>IFERROR(__xludf.DUMMYFUNCTION("""COMPUTED_VALUE"""),"10.1016/0022-1031(77)90049-x")</f>
        <v>10.1016/0022-1031(77)90049-x</v>
      </c>
      <c r="B1340" s="453" t="str">
        <f>IFERROR(__xludf.DUMMYFUNCTION("""COMPUTED_VALUE"""),"https://drive.google.com/file/d/1od2a-ouaTJO4fTukPdaEiu377d_BcufB/view?usp=drivesdk")</f>
        <v>https://drive.google.com/file/d/1od2a-ouaTJO4fTukPdaEiu377d_BcufB/view?usp=drivesdk</v>
      </c>
      <c r="C1340" s="147" t="str">
        <f>IFERROR(__xludf.DUMMYFUNCTION("""COMPUTED_VALUE"""),"10.1016--0022-1031(77)90049-X.pdf")</f>
        <v>10.1016--0022-1031(77)90049-X.pdf</v>
      </c>
      <c r="D1340" s="147" t="str">
        <f>IFERROR(__xludf.DUMMYFUNCTION("""COMPUTED_VALUE"""),"application/pdf")</f>
        <v>application/pdf</v>
      </c>
    </row>
    <row r="1341">
      <c r="A1341" s="147" t="str">
        <f>IFERROR(__xludf.DUMMYFUNCTION("""COMPUTED_VALUE"""),"10.1016/0010-0285(90)90003-m")</f>
        <v>10.1016/0010-0285(90)90003-m</v>
      </c>
      <c r="B1341" s="453" t="str">
        <f>IFERROR(__xludf.DUMMYFUNCTION("""COMPUTED_VALUE"""),"https://drive.google.com/file/d/1Th-_BL7lfGgtgvuj6_C-xLWQLks88DXP/view?usp=drivesdk")</f>
        <v>https://drive.google.com/file/d/1Th-_BL7lfGgtgvuj6_C-xLWQLks88DXP/view?usp=drivesdk</v>
      </c>
      <c r="C1341" s="147" t="str">
        <f>IFERROR(__xludf.DUMMYFUNCTION("""COMPUTED_VALUE"""),"10.1016--0010-0285(90)90003-m.pdf")</f>
        <v>10.1016--0010-0285(90)90003-m.pdf</v>
      </c>
      <c r="D1341" s="147" t="str">
        <f>IFERROR(__xludf.DUMMYFUNCTION("""COMPUTED_VALUE"""),"application/pdf")</f>
        <v>application/pdf</v>
      </c>
    </row>
    <row r="1342">
      <c r="A1342" s="147" t="str">
        <f>IFERROR(__xludf.DUMMYFUNCTION("""COMPUTED_VALUE"""),"10.1016/0010-0285(73)90033-9")</f>
        <v>10.1016/0010-0285(73)90033-9</v>
      </c>
      <c r="B1342" s="453" t="str">
        <f>IFERROR(__xludf.DUMMYFUNCTION("""COMPUTED_VALUE"""),"https://drive.google.com/file/d/1p9X3tD24EWbnOA_5MSM9HTgujzLisIGn/view?usp=drivesdk")</f>
        <v>https://drive.google.com/file/d/1p9X3tD24EWbnOA_5MSM9HTgujzLisIGn/view?usp=drivesdk</v>
      </c>
      <c r="C1342" s="147" t="str">
        <f>IFERROR(__xludf.DUMMYFUNCTION("""COMPUTED_VALUE"""),"10.1016--0010-0285(73)90033-9.pdf")</f>
        <v>10.1016--0010-0285(73)90033-9.pdf</v>
      </c>
      <c r="D1342" s="147" t="str">
        <f>IFERROR(__xludf.DUMMYFUNCTION("""COMPUTED_VALUE"""),"application/pdf")</f>
        <v>application/pdf</v>
      </c>
    </row>
    <row r="1343">
      <c r="A1343" s="147" t="str">
        <f>IFERROR(__xludf.DUMMYFUNCTION("""COMPUTED_VALUE"""),"10.1016/0010-0277(89)90023-1")</f>
        <v>10.1016/0010-0277(89)90023-1</v>
      </c>
      <c r="B1343" s="453" t="str">
        <f>IFERROR(__xludf.DUMMYFUNCTION("""COMPUTED_VALUE"""),"https://drive.google.com/file/d/1zZsKWNkjPZ_9g4uOGvy2Ov6tWL-rEee5/view?usp=drivesdk")</f>
        <v>https://drive.google.com/file/d/1zZsKWNkjPZ_9g4uOGvy2Ov6tWL-rEee5/view?usp=drivesdk</v>
      </c>
      <c r="C1343" s="147" t="str">
        <f>IFERROR(__xludf.DUMMYFUNCTION("""COMPUTED_VALUE"""),"10.1016--0010-0277(89)90023-1.pdf")</f>
        <v>10.1016--0010-0277(89)90023-1.pdf</v>
      </c>
      <c r="D1343" s="147" t="str">
        <f>IFERROR(__xludf.DUMMYFUNCTION("""COMPUTED_VALUE"""),"application/pdf")</f>
        <v>application/pdf</v>
      </c>
    </row>
    <row r="1344">
      <c r="A1344" s="147" t="str">
        <f>IFERROR(__xludf.DUMMYFUNCTION("""COMPUTED_VALUE"""),"10.1016/0006-3223(85)90216-1")</f>
        <v>10.1016/0006-3223(85)90216-1</v>
      </c>
      <c r="B1344" s="453" t="str">
        <f>IFERROR(__xludf.DUMMYFUNCTION("""COMPUTED_VALUE"""),"https://drive.google.com/file/d/1M25zQAcBVGOJlUmqXGI2IsFDOOQqBMhb/view?usp=drivesdk")</f>
        <v>https://drive.google.com/file/d/1M25zQAcBVGOJlUmqXGI2IsFDOOQqBMhb/view?usp=drivesdk</v>
      </c>
      <c r="C1344" s="147" t="str">
        <f>IFERROR(__xludf.DUMMYFUNCTION("""COMPUTED_VALUE"""),"10.1016--0006-3223(85)90216-1.pdf")</f>
        <v>10.1016--0006-3223(85)90216-1.pdf</v>
      </c>
      <c r="D1344" s="147" t="str">
        <f>IFERROR(__xludf.DUMMYFUNCTION("""COMPUTED_VALUE"""),"application/pdf")</f>
        <v>application/pdf</v>
      </c>
    </row>
    <row r="1345">
      <c r="A1345" s="147" t="str">
        <f>IFERROR(__xludf.DUMMYFUNCTION("""COMPUTED_VALUE"""),"10.1016/0001-6918(82)90036-1")</f>
        <v>10.1016/0001-6918(82)90036-1</v>
      </c>
      <c r="B1345" s="453" t="str">
        <f>IFERROR(__xludf.DUMMYFUNCTION("""COMPUTED_VALUE"""),"https://drive.google.com/file/d/1XrLjSPpAxn5KMB8LOBiyjOkXRag4jGSC/view?usp=drivesdk")</f>
        <v>https://drive.google.com/file/d/1XrLjSPpAxn5KMB8LOBiyjOkXRag4jGSC/view?usp=drivesdk</v>
      </c>
      <c r="C1345" s="147" t="str">
        <f>IFERROR(__xludf.DUMMYFUNCTION("""COMPUTED_VALUE"""),"10.1016--0001-6918(82)90036-1.pdf")</f>
        <v>10.1016--0001-6918(82)90036-1.pdf</v>
      </c>
      <c r="D1345" s="147" t="str">
        <f>IFERROR(__xludf.DUMMYFUNCTION("""COMPUTED_VALUE"""),"application/pdf")</f>
        <v>application/pdf</v>
      </c>
    </row>
    <row r="1346">
      <c r="A1346" s="147" t="str">
        <f>IFERROR(__xludf.DUMMYFUNCTION("""COMPUTED_VALUE"""),"10.1016/0001-6918(81)90005-6")</f>
        <v>10.1016/0001-6918(81)90005-6</v>
      </c>
      <c r="B1346" s="453" t="str">
        <f>IFERROR(__xludf.DUMMYFUNCTION("""COMPUTED_VALUE"""),"https://drive.google.com/file/d/1sbpmVib3DRD00b_W6U6tFq_cgTbXsBXK/view?usp=drivesdk")</f>
        <v>https://drive.google.com/file/d/1sbpmVib3DRD00b_W6U6tFq_cgTbXsBXK/view?usp=drivesdk</v>
      </c>
      <c r="C1346" s="147" t="str">
        <f>IFERROR(__xludf.DUMMYFUNCTION("""COMPUTED_VALUE"""),"10.1016--0001-6918(81)90005-6.pdf")</f>
        <v>10.1016--0001-6918(81)90005-6.pdf</v>
      </c>
      <c r="D1346" s="147" t="str">
        <f>IFERROR(__xludf.DUMMYFUNCTION("""COMPUTED_VALUE"""),"application/pdf")</f>
        <v>application/pdf</v>
      </c>
    </row>
    <row r="1347">
      <c r="A1347" s="147" t="str">
        <f>IFERROR(__xludf.DUMMYFUNCTION("""COMPUTED_VALUE"""),"10.1007/s13164-013-0162-3")</f>
        <v>10.1007/s13164-013-0162-3</v>
      </c>
      <c r="B1347" s="453" t="str">
        <f>IFERROR(__xludf.DUMMYFUNCTION("""COMPUTED_VALUE"""),"https://drive.google.com/file/d/1_iGxIOrj5vzUvhOaCiFYGOOkUVaaRx4p/view?usp=drivesdk")</f>
        <v>https://drive.google.com/file/d/1_iGxIOrj5vzUvhOaCiFYGOOkUVaaRx4p/view?usp=drivesdk</v>
      </c>
      <c r="C1347" s="147" t="str">
        <f>IFERROR(__xludf.DUMMYFUNCTION("""COMPUTED_VALUE"""),"10.1007--s13164-013-0162-3.pdf")</f>
        <v>10.1007--s13164-013-0162-3.pdf</v>
      </c>
      <c r="D1347" s="147" t="str">
        <f>IFERROR(__xludf.DUMMYFUNCTION("""COMPUTED_VALUE"""),"application/pdf")</f>
        <v>application/pdf</v>
      </c>
    </row>
    <row r="1348">
      <c r="A1348" s="147" t="str">
        <f>IFERROR(__xludf.DUMMYFUNCTION("""COMPUTED_VALUE"""),"10.1007/s40979-020-00054-6")</f>
        <v>10.1007/s40979-020-00054-6</v>
      </c>
      <c r="B1348" s="453" t="str">
        <f>IFERROR(__xludf.DUMMYFUNCTION("""COMPUTED_VALUE"""),"https://drive.google.com/file/d/1eolW8jXTH5JysX-KEzNra0wdcfMzRMQ7/view?usp=drivesdk")</f>
        <v>https://drive.google.com/file/d/1eolW8jXTH5JysX-KEzNra0wdcfMzRMQ7/view?usp=drivesdk</v>
      </c>
      <c r="C1348" s="147" t="str">
        <f>IFERROR(__xludf.DUMMYFUNCTION("""COMPUTED_VALUE"""),"10.1007--s40979-020-00054-6.pdf")</f>
        <v>10.1007--s40979-020-00054-6.pdf</v>
      </c>
      <c r="D1348" s="147" t="str">
        <f>IFERROR(__xludf.DUMMYFUNCTION("""COMPUTED_VALUE"""),"application/pdf")</f>
        <v>application/pdf</v>
      </c>
    </row>
    <row r="1349">
      <c r="A1349" s="147" t="str">
        <f>IFERROR(__xludf.DUMMYFUNCTION("""COMPUTED_VALUE"""),"10.1007/s13164-013-0154-3")</f>
        <v>10.1007/s13164-013-0154-3</v>
      </c>
      <c r="B1349" s="453" t="str">
        <f>IFERROR(__xludf.DUMMYFUNCTION("""COMPUTED_VALUE"""),"https://drive.google.com/file/d/1sQtBrEeqN1XM_1Qv0mJvDeDfWVWHohWY/view?usp=drivesdk")</f>
        <v>https://drive.google.com/file/d/1sQtBrEeqN1XM_1Qv0mJvDeDfWVWHohWY/view?usp=drivesdk</v>
      </c>
      <c r="C1349" s="147" t="str">
        <f>IFERROR(__xludf.DUMMYFUNCTION("""COMPUTED_VALUE"""),"10.1007--s13164-013-0154-3.pdf")</f>
        <v>10.1007--s13164-013-0154-3.pdf</v>
      </c>
      <c r="D1349" s="147" t="str">
        <f>IFERROR(__xludf.DUMMYFUNCTION("""COMPUTED_VALUE"""),"application/pdf")</f>
        <v>application/pdf</v>
      </c>
    </row>
    <row r="1350">
      <c r="A1350" s="147" t="str">
        <f>IFERROR(__xludf.DUMMYFUNCTION("""COMPUTED_VALUE"""),"10.1007/s12152-008-9015-7")</f>
        <v>10.1007/s12152-008-9015-7</v>
      </c>
      <c r="B1350" s="453" t="str">
        <f>IFERROR(__xludf.DUMMYFUNCTION("""COMPUTED_VALUE"""),"https://drive.google.com/file/d/1esh5oqCpj4F374ZeOWGrHgAoZG4Cbaxf/view?usp=drivesdk")</f>
        <v>https://drive.google.com/file/d/1esh5oqCpj4F374ZeOWGrHgAoZG4Cbaxf/view?usp=drivesdk</v>
      </c>
      <c r="C1350" s="147" t="str">
        <f>IFERROR(__xludf.DUMMYFUNCTION("""COMPUTED_VALUE"""),"10.1007--s12152-008-9015-7.pdf")</f>
        <v>10.1007--s12152-008-9015-7.pdf</v>
      </c>
      <c r="D1350" s="147" t="str">
        <f>IFERROR(__xludf.DUMMYFUNCTION("""COMPUTED_VALUE"""),"application/pdf")</f>
        <v>application/pdf</v>
      </c>
    </row>
    <row r="1351">
      <c r="A1351" s="147" t="str">
        <f>IFERROR(__xludf.DUMMYFUNCTION("""COMPUTED_VALUE"""),"10.1007/s11301-017-0128-0")</f>
        <v>10.1007/s11301-017-0128-0</v>
      </c>
      <c r="B1351" s="453" t="str">
        <f>IFERROR(__xludf.DUMMYFUNCTION("""COMPUTED_VALUE"""),"https://drive.google.com/file/d/1fYU6m89P7a9_kPBInjEs0n_wRBj5O5zZ/view?usp=drivesdk")</f>
        <v>https://drive.google.com/file/d/1fYU6m89P7a9_kPBInjEs0n_wRBj5O5zZ/view?usp=drivesdk</v>
      </c>
      <c r="C1351" s="147" t="str">
        <f>IFERROR(__xludf.DUMMYFUNCTION("""COMPUTED_VALUE"""),"10.1007--s11301-017-0128-0.pdf")</f>
        <v>10.1007--s11301-017-0128-0.pdf</v>
      </c>
      <c r="D1351" s="147" t="str">
        <f>IFERROR(__xludf.DUMMYFUNCTION("""COMPUTED_VALUE"""),"application/pdf")</f>
        <v>application/pdf</v>
      </c>
    </row>
    <row r="1352">
      <c r="A1352" s="147" t="str">
        <f>IFERROR(__xludf.DUMMYFUNCTION("""COMPUTED_VALUE"""),"10.1007/s11098-010-9651-8")</f>
        <v>10.1007/s11098-010-9651-8</v>
      </c>
      <c r="B1352" s="453" t="str">
        <f>IFERROR(__xludf.DUMMYFUNCTION("""COMPUTED_VALUE"""),"https://drive.google.com/file/d/1pcJJj-dcZ2YUNw-3w1ykB27KPj9Bj-By/view?usp=drivesdk")</f>
        <v>https://drive.google.com/file/d/1pcJJj-dcZ2YUNw-3w1ykB27KPj9Bj-By/view?usp=drivesdk</v>
      </c>
      <c r="C1352" s="147" t="str">
        <f>IFERROR(__xludf.DUMMYFUNCTION("""COMPUTED_VALUE"""),"10.1007--s11098-010-9651-8.pdf")</f>
        <v>10.1007--s11098-010-9651-8.pdf</v>
      </c>
      <c r="D1352" s="147" t="str">
        <f>IFERROR(__xludf.DUMMYFUNCTION("""COMPUTED_VALUE"""),"application/pdf")</f>
        <v>application/pdf</v>
      </c>
    </row>
    <row r="1353">
      <c r="A1353" s="147" t="str">
        <f>IFERROR(__xludf.DUMMYFUNCTION("""COMPUTED_VALUE"""),"10.1007/s11098-009-9439-x")</f>
        <v>10.1007/s11098-009-9439-x</v>
      </c>
      <c r="B1353" s="453" t="str">
        <f>IFERROR(__xludf.DUMMYFUNCTION("""COMPUTED_VALUE"""),"https://drive.google.com/file/d/1tY7SvX2n-lCVOB9eR5KtC31EmD0a4uX2/view?usp=drivesdk")</f>
        <v>https://drive.google.com/file/d/1tY7SvX2n-lCVOB9eR5KtC31EmD0a4uX2/view?usp=drivesdk</v>
      </c>
      <c r="C1353" s="147" t="str">
        <f>IFERROR(__xludf.DUMMYFUNCTION("""COMPUTED_VALUE"""),"10.1007--s11098-009-9439-x.pdf")</f>
        <v>10.1007--s11098-009-9439-x.pdf</v>
      </c>
      <c r="D1353" s="147" t="str">
        <f>IFERROR(__xludf.DUMMYFUNCTION("""COMPUTED_VALUE"""),"application/pdf")</f>
        <v>application/pdf</v>
      </c>
    </row>
    <row r="1354">
      <c r="A1354" s="147" t="str">
        <f>IFERROR(__xludf.DUMMYFUNCTION("""COMPUTED_VALUE"""),"10.1007/s11098-004-4510-0")</f>
        <v>10.1007/s11098-004-4510-0</v>
      </c>
      <c r="B1354" s="453" t="str">
        <f>IFERROR(__xludf.DUMMYFUNCTION("""COMPUTED_VALUE"""),"https://drive.google.com/file/d/1O4qy3ZvKUUKMZck64Co6Vh7IIH6aPDik/view?usp=drivesdk")</f>
        <v>https://drive.google.com/file/d/1O4qy3ZvKUUKMZck64Co6Vh7IIH6aPDik/view?usp=drivesdk</v>
      </c>
      <c r="C1354" s="147" t="str">
        <f>IFERROR(__xludf.DUMMYFUNCTION("""COMPUTED_VALUE"""),"10.1007--s11098-004-4510-0.pdf")</f>
        <v>10.1007--s11098-004-4510-0.pdf</v>
      </c>
      <c r="D1354" s="147" t="str">
        <f>IFERROR(__xludf.DUMMYFUNCTION("""COMPUTED_VALUE"""),"application/pdf")</f>
        <v>application/pdf</v>
      </c>
    </row>
    <row r="1355">
      <c r="A1355" s="147" t="str">
        <f>IFERROR(__xludf.DUMMYFUNCTION("""COMPUTED_VALUE"""),"10.1007/s10802-020-00712-w")</f>
        <v>10.1007/s10802-020-00712-w</v>
      </c>
      <c r="B1355" s="453" t="str">
        <f>IFERROR(__xludf.DUMMYFUNCTION("""COMPUTED_VALUE"""),"https://drive.google.com/file/d/1-hACoGBMYzWfW-abiG6hh6iaoZvehEax/view?usp=drivesdk")</f>
        <v>https://drive.google.com/file/d/1-hACoGBMYzWfW-abiG6hh6iaoZvehEax/view?usp=drivesdk</v>
      </c>
      <c r="C1355" s="147" t="str">
        <f>IFERROR(__xludf.DUMMYFUNCTION("""COMPUTED_VALUE"""),"10.1007--s10802-020-00712-w.pdf")</f>
        <v>10.1007--s10802-020-00712-w.pdf</v>
      </c>
      <c r="D1355" s="147" t="str">
        <f>IFERROR(__xludf.DUMMYFUNCTION("""COMPUTED_VALUE"""),"application/pdf")</f>
        <v>application/pdf</v>
      </c>
    </row>
    <row r="1356">
      <c r="A1356" s="147" t="str">
        <f>IFERROR(__xludf.DUMMYFUNCTION("""COMPUTED_VALUE"""),"10.1007/s10071-009-0257-5")</f>
        <v>10.1007/s10071-009-0257-5</v>
      </c>
      <c r="B1356" s="453" t="str">
        <f>IFERROR(__xludf.DUMMYFUNCTION("""COMPUTED_VALUE"""),"https://drive.google.com/file/d/11lIs3bWSV7G1bde5YZqgb9uJGpymjf2k/view?usp=drivesdk")</f>
        <v>https://drive.google.com/file/d/11lIs3bWSV7G1bde5YZqgb9uJGpymjf2k/view?usp=drivesdk</v>
      </c>
      <c r="C1356" s="147" t="str">
        <f>IFERROR(__xludf.DUMMYFUNCTION("""COMPUTED_VALUE"""),"10.1007--s10071-009-0257-5.pdf")</f>
        <v>10.1007--s10071-009-0257-5.pdf</v>
      </c>
      <c r="D1356" s="147" t="str">
        <f>IFERROR(__xludf.DUMMYFUNCTION("""COMPUTED_VALUE"""),"application/pdf")</f>
        <v>application/pdf</v>
      </c>
    </row>
    <row r="1357">
      <c r="A1357" s="147" t="str">
        <f>IFERROR(__xludf.DUMMYFUNCTION("""COMPUTED_VALUE"""),"10.1007/s00426-002-0086-5")</f>
        <v>10.1007/s00426-002-0086-5</v>
      </c>
      <c r="B1357" s="453" t="str">
        <f>IFERROR(__xludf.DUMMYFUNCTION("""COMPUTED_VALUE"""),"https://drive.google.com/file/d/1ydN4sTIr0QTGdMhZmDJ_GxX6RiO5cK_p/view?usp=drivesdk")</f>
        <v>https://drive.google.com/file/d/1ydN4sTIr0QTGdMhZmDJ_GxX6RiO5cK_p/view?usp=drivesdk</v>
      </c>
      <c r="C1357" s="147" t="str">
        <f>IFERROR(__xludf.DUMMYFUNCTION("""COMPUTED_VALUE"""),"10.1007--s00426-002-0086-5.pdf")</f>
        <v>10.1007--s00426-002-0086-5.pdf</v>
      </c>
      <c r="D1357" s="147" t="str">
        <f>IFERROR(__xludf.DUMMYFUNCTION("""COMPUTED_VALUE"""),"application/pdf")</f>
        <v>application/pdf</v>
      </c>
    </row>
    <row r="1358">
      <c r="A1358" s="147" t="str">
        <f>IFERROR(__xludf.DUMMYFUNCTION("""COMPUTED_VALUE"""),"10.1007/bf00055564")</f>
        <v>10.1007/bf00055564</v>
      </c>
      <c r="B1358" s="453" t="str">
        <f>IFERROR(__xludf.DUMMYFUNCTION("""COMPUTED_VALUE"""),"https://drive.google.com/file/d/1GTQ8DttYpXbULplpRAwajCjBQJZrFpwH/view?usp=drivesdk")</f>
        <v>https://drive.google.com/file/d/1GTQ8DttYpXbULplpRAwajCjBQJZrFpwH/view?usp=drivesdk</v>
      </c>
      <c r="C1358" s="147" t="str">
        <f>IFERROR(__xludf.DUMMYFUNCTION("""COMPUTED_VALUE"""),"10.1007--BF00055564.pdf")</f>
        <v>10.1007--BF00055564.pdf</v>
      </c>
      <c r="D1358" s="147" t="str">
        <f>IFERROR(__xludf.DUMMYFUNCTION("""COMPUTED_VALUE"""),"application/pdf")</f>
        <v>application/pdf</v>
      </c>
    </row>
    <row r="1359">
      <c r="A1359" s="147" t="str">
        <f>IFERROR(__xludf.DUMMYFUNCTION("""COMPUTED_VALUE"""),"10.1006/jesp.1998.1373")</f>
        <v>10.1006/jesp.1998.1373</v>
      </c>
      <c r="B1359" s="453" t="str">
        <f>IFERROR(__xludf.DUMMYFUNCTION("""COMPUTED_VALUE"""),"https://drive.google.com/file/d/18wDNGwEtS0NcrA2dAvx1zgK-ByZks7mw/view?usp=drivesdk")</f>
        <v>https://drive.google.com/file/d/18wDNGwEtS0NcrA2dAvx1zgK-ByZks7mw/view?usp=drivesdk</v>
      </c>
      <c r="C1359" s="147" t="str">
        <f>IFERROR(__xludf.DUMMYFUNCTION("""COMPUTED_VALUE"""),"10.1006--jesp.1998.1373.pdf")</f>
        <v>10.1006--jesp.1998.1373.pdf</v>
      </c>
      <c r="D1359" s="147" t="str">
        <f>IFERROR(__xludf.DUMMYFUNCTION("""COMPUTED_VALUE"""),"application/pdf")</f>
        <v>application/pdf</v>
      </c>
    </row>
    <row r="1360">
      <c r="A1360" s="147" t="str">
        <f>IFERROR(__xludf.DUMMYFUNCTION("""COMPUTED_VALUE"""),"10.1006/jmla.1998.2602")</f>
        <v>10.1006/jmla.1998.2602</v>
      </c>
      <c r="B1360" s="453" t="str">
        <f>IFERROR(__xludf.DUMMYFUNCTION("""COMPUTED_VALUE"""),"https://drive.google.com/file/d/1ctmfPUj9wwC3h5aO2V0hXfG37U2nCE3e/view?usp=drivesdk")</f>
        <v>https://drive.google.com/file/d/1ctmfPUj9wwC3h5aO2V0hXfG37U2nCE3e/view?usp=drivesdk</v>
      </c>
      <c r="C1360" s="147" t="str">
        <f>IFERROR(__xludf.DUMMYFUNCTION("""COMPUTED_VALUE"""),"10.1006--jmla.1998.2602.pdf")</f>
        <v>10.1006--jmla.1998.2602.pdf</v>
      </c>
      <c r="D1360" s="147" t="str">
        <f>IFERROR(__xludf.DUMMYFUNCTION("""COMPUTED_VALUE"""),"application/pdf")</f>
        <v>application/pdf</v>
      </c>
    </row>
    <row r="1361">
      <c r="A1361" s="147" t="str">
        <f>IFERROR(__xludf.DUMMYFUNCTION("""COMPUTED_VALUE"""),"10.1002/jeab.546")</f>
        <v>10.1002/jeab.546</v>
      </c>
      <c r="B1361" s="453" t="str">
        <f>IFERROR(__xludf.DUMMYFUNCTION("""COMPUTED_VALUE"""),"https://drive.google.com/file/d/1BNCsWCKj_ArnGXZwaeQIcZ03z9s391QO/view?usp=drivesdk")</f>
        <v>https://drive.google.com/file/d/1BNCsWCKj_ArnGXZwaeQIcZ03z9s391QO/view?usp=drivesdk</v>
      </c>
      <c r="C1361" s="147" t="str">
        <f>IFERROR(__xludf.DUMMYFUNCTION("""COMPUTED_VALUE"""),"10.1002--jeab.546.pdf")</f>
        <v>10.1002--jeab.546.pdf</v>
      </c>
      <c r="D1361" s="147" t="str">
        <f>IFERROR(__xludf.DUMMYFUNCTION("""COMPUTED_VALUE"""),"application/pdf")</f>
        <v>application/pdf</v>
      </c>
    </row>
    <row r="1362">
      <c r="A1362" s="147" t="str">
        <f>IFERROR(__xludf.DUMMYFUNCTION("""COMPUTED_VALUE"""),"10.1006/jesp.1996.1314")</f>
        <v>10.1006/jesp.1996.1314</v>
      </c>
      <c r="B1362" s="453" t="str">
        <f>IFERROR(__xludf.DUMMYFUNCTION("""COMPUTED_VALUE"""),"https://drive.google.com/file/d/1Wq0sSamnAgMWLJLZEAdHMNTgHVF3F_wg/view?usp=drivesdk")</f>
        <v>https://drive.google.com/file/d/1Wq0sSamnAgMWLJLZEAdHMNTgHVF3F_wg/view?usp=drivesdk</v>
      </c>
      <c r="C1362" s="147" t="str">
        <f>IFERROR(__xludf.DUMMYFUNCTION("""COMPUTED_VALUE"""),"10.1006--jesp.1996.1314.pdf")</f>
        <v>10.1006--jesp.1996.1314.pdf</v>
      </c>
      <c r="D1362" s="147" t="str">
        <f>IFERROR(__xludf.DUMMYFUNCTION("""COMPUTED_VALUE"""),"application/pdf")</f>
        <v>application/pdf</v>
      </c>
    </row>
    <row r="1363">
      <c r="A1363" s="147" t="str">
        <f>IFERROR(__xludf.DUMMYFUNCTION("""COMPUTED_VALUE"""),"10.1002/jcpy.1028")</f>
        <v>10.1002/jcpy.1028</v>
      </c>
      <c r="B1363" s="453" t="str">
        <f>IFERROR(__xludf.DUMMYFUNCTION("""COMPUTED_VALUE"""),"https://drive.google.com/file/d/1dD_RkFuxQxk3hkxXbqultnhFhN1opB9Y/view?usp=drivesdk")</f>
        <v>https://drive.google.com/file/d/1dD_RkFuxQxk3hkxXbqultnhFhN1opB9Y/view?usp=drivesdk</v>
      </c>
      <c r="C1363" s="147" t="str">
        <f>IFERROR(__xludf.DUMMYFUNCTION("""COMPUTED_VALUE"""),"10.1002--jcpy.1028.pdf")</f>
        <v>10.1002--jcpy.1028.pdf</v>
      </c>
      <c r="D1363" s="147" t="str">
        <f>IFERROR(__xludf.DUMMYFUNCTION("""COMPUTED_VALUE"""),"application/pdf")</f>
        <v>application/pdf</v>
      </c>
    </row>
    <row r="1364">
      <c r="A1364" s="147" t="str">
        <f>IFERROR(__xludf.DUMMYFUNCTION("""COMPUTED_VALUE"""),"10.1002/ejsp.2420170402")</f>
        <v>10.1002/ejsp.2420170402</v>
      </c>
      <c r="B1364" s="453" t="str">
        <f>IFERROR(__xludf.DUMMYFUNCTION("""COMPUTED_VALUE"""),"https://drive.google.com/file/d/1V03D6SadgRB81BNo3fV5NxWC_bZKMZSm/view?usp=drivesdk")</f>
        <v>https://drive.google.com/file/d/1V03D6SadgRB81BNo3fV5NxWC_bZKMZSm/view?usp=drivesdk</v>
      </c>
      <c r="C1364" s="147" t="str">
        <f>IFERROR(__xludf.DUMMYFUNCTION("""COMPUTED_VALUE"""),"10.1002--ejsp.2420170402.pdf")</f>
        <v>10.1002--ejsp.2420170402.pdf</v>
      </c>
      <c r="D1364" s="147" t="str">
        <f>IFERROR(__xludf.DUMMYFUNCTION("""COMPUTED_VALUE"""),"application/pdf")</f>
        <v>application/pdf</v>
      </c>
    </row>
    <row r="1365">
      <c r="A1365" s="147" t="str">
        <f>IFERROR(__xludf.DUMMYFUNCTION("""COMPUTED_VALUE"""),"10.1002/jaba.686")</f>
        <v>10.1002/jaba.686</v>
      </c>
      <c r="B1365" s="453" t="str">
        <f>IFERROR(__xludf.DUMMYFUNCTION("""COMPUTED_VALUE"""),"https://drive.google.com/file/d/1wNYmBBQACZKlJDlgIxup_p9zVgPtzSpC/view?usp=drivesdk")</f>
        <v>https://drive.google.com/file/d/1wNYmBBQACZKlJDlgIxup_p9zVgPtzSpC/view?usp=drivesdk</v>
      </c>
      <c r="C1365" s="147" t="str">
        <f>IFERROR(__xludf.DUMMYFUNCTION("""COMPUTED_VALUE"""),"10.1002--jaba.686.pdf")</f>
        <v>10.1002--jaba.686.pdf</v>
      </c>
      <c r="D1365" s="147" t="str">
        <f>IFERROR(__xludf.DUMMYFUNCTION("""COMPUTED_VALUE"""),"application/pdf")</f>
        <v>application/pdf</v>
      </c>
    </row>
    <row r="1366">
      <c r="A1366" s="147" t="str">
        <f>IFERROR(__xludf.DUMMYFUNCTION("""COMPUTED_VALUE"""),"10.1002/ejsp.2013")</f>
        <v>10.1002/ejsp.2013</v>
      </c>
      <c r="B1366" s="453" t="str">
        <f>IFERROR(__xludf.DUMMYFUNCTION("""COMPUTED_VALUE"""),"https://drive.google.com/file/d/1KmyHkB13ZFEziyeMZJmfqm6YYEH53iJL/view?usp=drivesdk")</f>
        <v>https://drive.google.com/file/d/1KmyHkB13ZFEziyeMZJmfqm6YYEH53iJL/view?usp=drivesdk</v>
      </c>
      <c r="C1366" s="147" t="str">
        <f>IFERROR(__xludf.DUMMYFUNCTION("""COMPUTED_VALUE"""),"10.1002--ejsp.2013.pdf")</f>
        <v>10.1002--ejsp.2013.pdf</v>
      </c>
      <c r="D1366" s="147" t="str">
        <f>IFERROR(__xludf.DUMMYFUNCTION("""COMPUTED_VALUE"""),"application/pdf")</f>
        <v>application/pdf</v>
      </c>
    </row>
    <row r="1367">
      <c r="A1367" s="147" t="str">
        <f>IFERROR(__xludf.DUMMYFUNCTION("""COMPUTED_VALUE"""),"10.1002/bdm.586")</f>
        <v>10.1002/bdm.586</v>
      </c>
      <c r="B1367" s="453" t="str">
        <f>IFERROR(__xludf.DUMMYFUNCTION("""COMPUTED_VALUE"""),"https://drive.google.com/file/d/1j0mn959ZZSMHPHeyS9bW6vv9NzM9UaK_/view?usp=drivesdk")</f>
        <v>https://drive.google.com/file/d/1j0mn959ZZSMHPHeyS9bW6vv9NzM9UaK_/view?usp=drivesdk</v>
      </c>
      <c r="C1367" s="147" t="str">
        <f>IFERROR(__xludf.DUMMYFUNCTION("""COMPUTED_VALUE"""),"10.1002--bdm.586.pdf")</f>
        <v>10.1002--bdm.586.pdf</v>
      </c>
      <c r="D1367" s="147" t="str">
        <f>IFERROR(__xludf.DUMMYFUNCTION("""COMPUTED_VALUE"""),"application/pdf")</f>
        <v>application/pdf</v>
      </c>
    </row>
    <row r="1368">
      <c r="A1368" s="147" t="str">
        <f>IFERROR(__xludf.DUMMYFUNCTION("""COMPUTED_VALUE"""),"10.1002/bdm.492")</f>
        <v>10.1002/bdm.492</v>
      </c>
      <c r="B1368" s="453" t="str">
        <f>IFERROR(__xludf.DUMMYFUNCTION("""COMPUTED_VALUE"""),"https://drive.google.com/file/d/10tQQDvi74p0uwz_rfj_t6rPzAp-QJohQ/view?usp=drivesdk")</f>
        <v>https://drive.google.com/file/d/10tQQDvi74p0uwz_rfj_t6rPzAp-QJohQ/view?usp=drivesdk</v>
      </c>
      <c r="C1368" s="147" t="str">
        <f>IFERROR(__xludf.DUMMYFUNCTION("""COMPUTED_VALUE"""),"10.1002--bdm.492.pdf")</f>
        <v>10.1002--bdm.492.pdf</v>
      </c>
      <c r="D1368" s="147" t="str">
        <f>IFERROR(__xludf.DUMMYFUNCTION("""COMPUTED_VALUE"""),"application/pdf")</f>
        <v>application/pdf</v>
      </c>
    </row>
    <row r="1369">
      <c r="A1369" s="147" t="str">
        <f>IFERROR(__xludf.DUMMYFUNCTION("""COMPUTED_VALUE"""),"10.1002/bdm.495")</f>
        <v>10.1002/bdm.495</v>
      </c>
      <c r="B1369" s="453" t="str">
        <f>IFERROR(__xludf.DUMMYFUNCTION("""COMPUTED_VALUE"""),"https://drive.google.com/file/d/1stw59aWDD5tZ8snsZY-9UQqeP9WMpzts/view?usp=drivesdk")</f>
        <v>https://drive.google.com/file/d/1stw59aWDD5tZ8snsZY-9UQqeP9WMpzts/view?usp=drivesdk</v>
      </c>
      <c r="C1369" s="147" t="str">
        <f>IFERROR(__xludf.DUMMYFUNCTION("""COMPUTED_VALUE"""),"10.1002--bdm.495.pdf")</f>
        <v>10.1002--bdm.495.pdf</v>
      </c>
      <c r="D1369" s="147" t="str">
        <f>IFERROR(__xludf.DUMMYFUNCTION("""COMPUTED_VALUE"""),"application/pdf")</f>
        <v>application/pdf</v>
      </c>
    </row>
    <row r="1370">
      <c r="A1370" s="147" t="str">
        <f>IFERROR(__xludf.DUMMYFUNCTION("""COMPUTED_VALUE"""),"10.1002/bdm.2041")</f>
        <v>10.1002/bdm.2041</v>
      </c>
      <c r="B1370" s="453" t="str">
        <f>IFERROR(__xludf.DUMMYFUNCTION("""COMPUTED_VALUE"""),"https://drive.google.com/file/d/1YO1uT-ewP-5qv0jr683Nj5KCqmIRFxTa/view?usp=drivesdk")</f>
        <v>https://drive.google.com/file/d/1YO1uT-ewP-5qv0jr683Nj5KCqmIRFxTa/view?usp=drivesdk</v>
      </c>
      <c r="C1370" s="147" t="str">
        <f>IFERROR(__xludf.DUMMYFUNCTION("""COMPUTED_VALUE"""),"10.1002--bdm.2041.pdf")</f>
        <v>10.1002--bdm.2041.pdf</v>
      </c>
      <c r="D1370" s="147" t="str">
        <f>IFERROR(__xludf.DUMMYFUNCTION("""COMPUTED_VALUE"""),"application/pdf")</f>
        <v>application/pdf</v>
      </c>
    </row>
    <row r="1371">
      <c r="A1371" s="147" t="str">
        <f>IFERROR(__xludf.DUMMYFUNCTION("""COMPUTED_VALUE"""),"10.1002/(sici)1099-0771(200001/03)13:1&lt;1::aid-bdm333&gt;3.0.co;2-s")</f>
        <v>10.1002/(sici)1099-0771(200001/03)13:1&lt;1::aid-bdm333&gt;3.0.co;2-s</v>
      </c>
      <c r="B1371" s="453" t="str">
        <f>IFERROR(__xludf.DUMMYFUNCTION("""COMPUTED_VALUE"""),"https://drive.google.com/file/d/1pnD_JivZ_nDbGc8tbAkf6ZYd42gKIm_w/view?usp=drivesdk")</f>
        <v>https://drive.google.com/file/d/1pnD_JivZ_nDbGc8tbAkf6ZYd42gKIm_w/view?usp=drivesdk</v>
      </c>
      <c r="C1371" s="147" t="str">
        <f>IFERROR(__xludf.DUMMYFUNCTION("""COMPUTED_VALUE"""),"10.1002--(SICI)1099-0771(200001--03)13:1&lt;1::AID-BDM333&gt;3.0.CO;2-S.pdf")</f>
        <v>10.1002--(SICI)1099-0771(200001--03)13:1&lt;1::AID-BDM333&gt;3.0.CO;2-S.pdf</v>
      </c>
      <c r="D1371" s="147" t="str">
        <f>IFERROR(__xludf.DUMMYFUNCTION("""COMPUTED_VALUE"""),"application/pdf")</f>
        <v>application/pdf</v>
      </c>
    </row>
    <row r="1372">
      <c r="A1372" s="147" t="str">
        <f>IFERROR(__xludf.DUMMYFUNCTION("""COMPUTED_VALUE"""),"10.1002/(sici)1099-0771(199806)11:2&lt;107::aid-bdm292&gt;3.0.co;2-y")</f>
        <v>10.1002/(sici)1099-0771(199806)11:2&lt;107::aid-bdm292&gt;3.0.co;2-y</v>
      </c>
      <c r="B1372" s="453" t="str">
        <f>IFERROR(__xludf.DUMMYFUNCTION("""COMPUTED_VALUE"""),"https://drive.google.com/file/d/13uCKRkvqvsNdCzb2_BuUibZNm7bSygxU/view?usp=drivesdk")</f>
        <v>https://drive.google.com/file/d/13uCKRkvqvsNdCzb2_BuUibZNm7bSygxU/view?usp=drivesdk</v>
      </c>
      <c r="C1372" s="147" t="str">
        <f>IFERROR(__xludf.DUMMYFUNCTION("""COMPUTED_VALUE"""),"10.1002--(SICI)1099-0771(199806)11:2&lt;107::AID-BDM292&gt;3.0.CO;2-Y.pdf")</f>
        <v>10.1002--(SICI)1099-0771(199806)11:2&lt;107::AID-BDM292&gt;3.0.CO;2-Y.pdf</v>
      </c>
      <c r="D1372" s="147" t="str">
        <f>IFERROR(__xludf.DUMMYFUNCTION("""COMPUTED_VALUE"""),"application/pdf")</f>
        <v>application/pdf</v>
      </c>
    </row>
    <row r="1373">
      <c r="A1373" s="147" t="str">
        <f>IFERROR(__xludf.DUMMYFUNCTION("""COMPUTED_VALUE"""),"10.1002/(sici)1099-0771(199806)11:2%3c107::aid-bdm292%3e3.0.co;2-y")</f>
        <v>10.1002/(sici)1099-0771(199806)11:2%3c107::aid-bdm292%3e3.0.co;2-y</v>
      </c>
      <c r="B1373" s="453" t="str">
        <f>IFERROR(__xludf.DUMMYFUNCTION("""COMPUTED_VALUE"""),"https://drive.google.com/file/d/1ZIjUGgM0ZNJMwX1YUqhWIb-i5jgS1Cmy/view?usp=drivesdk")</f>
        <v>https://drive.google.com/file/d/1ZIjUGgM0ZNJMwX1YUqhWIb-i5jgS1Cmy/view?usp=drivesdk</v>
      </c>
      <c r="C1373" s="147" t="str">
        <f>IFERROR(__xludf.DUMMYFUNCTION("""COMPUTED_VALUE"""),"10.1002--(SICI)1099-0771(199806)11:2%3C107::AID-BDM292%3E3.0.CO;2-Y.pdf")</f>
        <v>10.1002--(SICI)1099-0771(199806)11:2%3C107::AID-BDM292%3E3.0.CO;2-Y.pdf</v>
      </c>
      <c r="D1373" s="147" t="str">
        <f>IFERROR(__xludf.DUMMYFUNCTION("""COMPUTED_VALUE"""),"application/pdf")</f>
        <v>application/pdf</v>
      </c>
    </row>
    <row r="1374">
      <c r="A1374" s="147" t="str">
        <f>IFERROR(__xludf.DUMMYFUNCTION("""COMPUTED_VALUE"""),"10.1177/0956797609359908")</f>
        <v>10.1177/0956797609359908</v>
      </c>
      <c r="B1374" s="453" t="str">
        <f>IFERROR(__xludf.DUMMYFUNCTION("""COMPUTED_VALUE"""),"https://drive.google.com/file/d/1CX-X4yZPIliMfb05V-exrVifx5i5gyZu/view?usp=drivesdk")</f>
        <v>https://drive.google.com/file/d/1CX-X4yZPIliMfb05V-exrVifx5i5gyZu/view?usp=drivesdk</v>
      </c>
      <c r="C1374" s="147" t="str">
        <f>IFERROR(__xludf.DUMMYFUNCTION("""COMPUTED_VALUE"""),"10.1177--0956797609359908.pdf")</f>
        <v>10.1177--0956797609359908.pdf</v>
      </c>
      <c r="D1374" s="147" t="str">
        <f>IFERROR(__xludf.DUMMYFUNCTION("""COMPUTED_VALUE"""),"application/pdf")</f>
        <v>application/pdf</v>
      </c>
    </row>
    <row r="1375">
      <c r="A1375" s="147" t="str">
        <f>IFERROR(__xludf.DUMMYFUNCTION("""COMPUTED_VALUE"""),"10.1177/0146167299025002007")</f>
        <v>10.1177/0146167299025002007</v>
      </c>
      <c r="B1375" s="453" t="str">
        <f>IFERROR(__xludf.DUMMYFUNCTION("""COMPUTED_VALUE"""),"https://drive.google.com/file/d/19HR11okzts2iI1bdWqGn2PnsBGvEbSxC/view?usp=drivesdk")</f>
        <v>https://drive.google.com/file/d/19HR11okzts2iI1bdWqGn2PnsBGvEbSxC/view?usp=drivesdk</v>
      </c>
      <c r="C1375" s="147" t="str">
        <f>IFERROR(__xludf.DUMMYFUNCTION("""COMPUTED_VALUE"""),"10.1177--0146167299025002007.pdf")</f>
        <v>10.1177--0146167299025002007.pdf</v>
      </c>
      <c r="D1375" s="147" t="str">
        <f>IFERROR(__xludf.DUMMYFUNCTION("""COMPUTED_VALUE"""),"application/pdf")</f>
        <v>application/pdf</v>
      </c>
    </row>
    <row r="1376">
      <c r="A1376" s="147" t="str">
        <f>IFERROR(__xludf.DUMMYFUNCTION("""COMPUTED_VALUE"""),"10.1177/0956797614524581")</f>
        <v>10.1177/0956797614524581</v>
      </c>
      <c r="B1376" s="453" t="str">
        <f>IFERROR(__xludf.DUMMYFUNCTION("""COMPUTED_VALUE"""),"https://drive.google.com/file/d/1GlWBowF1UBaZOdmpxK6j_6xz1lhczVu3/view?usp=drivesdk")</f>
        <v>https://drive.google.com/file/d/1GlWBowF1UBaZOdmpxK6j_6xz1lhczVu3/view?usp=drivesdk</v>
      </c>
      <c r="C1376" s="147" t="str">
        <f>IFERROR(__xludf.DUMMYFUNCTION("""COMPUTED_VALUE"""),"10.1177--0956797614524581.pdf")</f>
        <v>10.1177--0956797614524581.pdf</v>
      </c>
      <c r="D1376" s="147" t="str">
        <f>IFERROR(__xludf.DUMMYFUNCTION("""COMPUTED_VALUE"""),"application/pdf")</f>
        <v>application/pdf</v>
      </c>
    </row>
    <row r="1377">
      <c r="A1377" s="147" t="str">
        <f>IFERROR(__xludf.DUMMYFUNCTION("""COMPUTED_VALUE"""),"10.1111/j.1467-9280.2009.02326.x")</f>
        <v>10.1111/j.1467-9280.2009.02326.x</v>
      </c>
      <c r="B1377" s="453" t="str">
        <f>IFERROR(__xludf.DUMMYFUNCTION("""COMPUTED_VALUE"""),"https://drive.google.com/file/d/18O3cqWIfono-CDPIVLFNJVkA-2VNOHsv/view?usp=drivesdk")</f>
        <v>https://drive.google.com/file/d/18O3cqWIfono-CDPIVLFNJVkA-2VNOHsv/view?usp=drivesdk</v>
      </c>
      <c r="C1377" s="147" t="str">
        <f>IFERROR(__xludf.DUMMYFUNCTION("""COMPUTED_VALUE"""),"10.1111--j.1467-9280.2009.02326.x.pdf")</f>
        <v>10.1111--j.1467-9280.2009.02326.x.pdf</v>
      </c>
      <c r="D1377" s="147" t="str">
        <f>IFERROR(__xludf.DUMMYFUNCTION("""COMPUTED_VALUE"""),"application/pdf")</f>
        <v>application/pdf</v>
      </c>
    </row>
    <row r="1378">
      <c r="A1378" s="147" t="str">
        <f>IFERROR(__xludf.DUMMYFUNCTION("""COMPUTED_VALUE"""),"10.1093/jcr/ucx066")</f>
        <v>10.1093/jcr/ucx066</v>
      </c>
      <c r="B1378" s="453" t="str">
        <f>IFERROR(__xludf.DUMMYFUNCTION("""COMPUTED_VALUE"""),"https://drive.google.com/file/d/1KTndRLnspP4bSM08LU5xlAb5egjHN1hx/view?usp=drivesdk")</f>
        <v>https://drive.google.com/file/d/1KTndRLnspP4bSM08LU5xlAb5egjHN1hx/view?usp=drivesdk</v>
      </c>
      <c r="C1378" s="147" t="str">
        <f>IFERROR(__xludf.DUMMYFUNCTION("""COMPUTED_VALUE"""),"10.1093--jcr--ucx066.pdf")</f>
        <v>10.1093--jcr--ucx066.pdf</v>
      </c>
      <c r="D1378" s="147" t="str">
        <f>IFERROR(__xludf.DUMMYFUNCTION("""COMPUTED_VALUE"""),"application/pdf")</f>
        <v>application/pdf</v>
      </c>
    </row>
    <row r="1379">
      <c r="A1379" s="147" t="str">
        <f>IFERROR(__xludf.DUMMYFUNCTION("""COMPUTED_VALUE"""),"10.1093/jcr/ucv023")</f>
        <v>10.1093/jcr/ucv023</v>
      </c>
      <c r="B1379" s="453" t="str">
        <f>IFERROR(__xludf.DUMMYFUNCTION("""COMPUTED_VALUE"""),"https://drive.google.com/file/d/1qQJNn7ZvoufwBSS_pp5Ek1nTMCXq-Gfn/view?usp=drivesdk")</f>
        <v>https://drive.google.com/file/d/1qQJNn7ZvoufwBSS_pp5Ek1nTMCXq-Gfn/view?usp=drivesdk</v>
      </c>
      <c r="C1379" s="147" t="str">
        <f>IFERROR(__xludf.DUMMYFUNCTION("""COMPUTED_VALUE"""),"10.1093--jcr--ucv023.pdf")</f>
        <v>10.1093--jcr--ucv023.pdf</v>
      </c>
      <c r="D1379" s="147" t="str">
        <f>IFERROR(__xludf.DUMMYFUNCTION("""COMPUTED_VALUE"""),"application/pdf")</f>
        <v>application/pdf</v>
      </c>
    </row>
    <row r="1380">
      <c r="A1380" s="147" t="str">
        <f>IFERROR(__xludf.DUMMYFUNCTION("""COMPUTED_VALUE"""),"10.1037/h0031564")</f>
        <v>10.1037/h0031564</v>
      </c>
      <c r="B1380" s="453" t="str">
        <f>IFERROR(__xludf.DUMMYFUNCTION("""COMPUTED_VALUE"""),"https://drive.google.com/file/d/1kbXA2yjqn9_HAA7piV4GBkF0Jd0kjvnI/view?usp=drivesdk")</f>
        <v>https://drive.google.com/file/d/1kbXA2yjqn9_HAA7piV4GBkF0Jd0kjvnI/view?usp=drivesdk</v>
      </c>
      <c r="C1380" s="147" t="str">
        <f>IFERROR(__xludf.DUMMYFUNCTION("""COMPUTED_VALUE"""),"10.1037--h0031564.pdf")</f>
        <v>10.1037--h0031564.pdf</v>
      </c>
      <c r="D1380" s="147" t="str">
        <f>IFERROR(__xludf.DUMMYFUNCTION("""COMPUTED_VALUE"""),"application/pdf")</f>
        <v>application/pdf</v>
      </c>
    </row>
    <row r="1381">
      <c r="A1381" s="147" t="str">
        <f>IFERROR(__xludf.DUMMYFUNCTION("""COMPUTED_VALUE"""),"10.1080/02699931.2016.1273201")</f>
        <v>10.1080/02699931.2016.1273201</v>
      </c>
      <c r="B1381" s="453" t="str">
        <f>IFERROR(__xludf.DUMMYFUNCTION("""COMPUTED_VALUE"""),"https://drive.google.com/file/d/1RNny0IG7SjWvCfMF8M1draCA9I3tK7lj/view?usp=drivesdk")</f>
        <v>https://drive.google.com/file/d/1RNny0IG7SjWvCfMF8M1draCA9I3tK7lj/view?usp=drivesdk</v>
      </c>
      <c r="C1381" s="147" t="str">
        <f>IFERROR(__xludf.DUMMYFUNCTION("""COMPUTED_VALUE"""),"10.1080--02699931.2016.1273201.pdf")</f>
        <v>10.1080--02699931.2016.1273201.pdf</v>
      </c>
      <c r="D1381" s="147" t="str">
        <f>IFERROR(__xludf.DUMMYFUNCTION("""COMPUTED_VALUE"""),"application/pdf")</f>
        <v>application/pdf</v>
      </c>
    </row>
    <row r="1382">
      <c r="A1382" s="147" t="str">
        <f>IFERROR(__xludf.DUMMYFUNCTION("""COMPUTED_VALUE"""),"10.1037/h0040525")</f>
        <v>10.1037/h0040525</v>
      </c>
      <c r="B1382" s="453" t="str">
        <f>IFERROR(__xludf.DUMMYFUNCTION("""COMPUTED_VALUE"""),"https://drive.google.com/file/d/17EeLBgk-VXx8QhSm2-TUhXwWwk17IVL_/view?usp=drivesdk")</f>
        <v>https://drive.google.com/file/d/17EeLBgk-VXx8QhSm2-TUhXwWwk17IVL_/view?usp=drivesdk</v>
      </c>
      <c r="C1382" s="147" t="str">
        <f>IFERROR(__xludf.DUMMYFUNCTION("""COMPUTED_VALUE"""),"10.1037--h0040525.pdf")</f>
        <v>10.1037--h0040525.pdf</v>
      </c>
      <c r="D1382" s="147" t="str">
        <f>IFERROR(__xludf.DUMMYFUNCTION("""COMPUTED_VALUE"""),"application/pdf")</f>
        <v>application/pdf</v>
      </c>
    </row>
    <row r="1383">
      <c r="A1383" s="147" t="str">
        <f>IFERROR(__xludf.DUMMYFUNCTION("""COMPUTED_VALUE"""),"10.1073/pnas.1402786111")</f>
        <v>10.1073/pnas.1402786111</v>
      </c>
      <c r="B1383" s="453" t="str">
        <f>IFERROR(__xludf.DUMMYFUNCTION("""COMPUTED_VALUE"""),"https://drive.google.com/file/d/1ZdWoUy_MV_YcU7BTnK25M2XBBF0k5ovP/view?usp=drivesdk")</f>
        <v>https://drive.google.com/file/d/1ZdWoUy_MV_YcU7BTnK25M2XBBF0k5ovP/view?usp=drivesdk</v>
      </c>
      <c r="C1383" s="147" t="str">
        <f>IFERROR(__xludf.DUMMYFUNCTION("""COMPUTED_VALUE"""),"10.1073--pnas.1402786111.pdf")</f>
        <v>10.1073--pnas.1402786111.pdf</v>
      </c>
      <c r="D1383" s="147" t="str">
        <f>IFERROR(__xludf.DUMMYFUNCTION("""COMPUTED_VALUE"""),"application/pdf")</f>
        <v>application/pdf</v>
      </c>
    </row>
    <row r="1384">
      <c r="A1384" s="147" t="str">
        <f>IFERROR(__xludf.DUMMYFUNCTION("""COMPUTED_VALUE"""),"dois.csv")</f>
        <v>dois.csv</v>
      </c>
      <c r="B1384" s="453" t="str">
        <f>IFERROR(__xludf.DUMMYFUNCTION("""COMPUTED_VALUE"""),"https://drive.google.com/file/d/1vTYDdyFZxBfZ2xccMFQlAXInz9JM0Wim/view?usp=drivesdk")</f>
        <v>https://drive.google.com/file/d/1vTYDdyFZxBfZ2xccMFQlAXInz9JM0Wim/view?usp=drivesdk</v>
      </c>
      <c r="C1384" s="147" t="str">
        <f>IFERROR(__xludf.DUMMYFUNCTION("""COMPUTED_VALUE"""),"dois.csv")</f>
        <v>dois.csv</v>
      </c>
      <c r="D1384" s="147" t="str">
        <f>IFERROR(__xludf.DUMMYFUNCTION("""COMPUTED_VALUE"""),"text/csv")</f>
        <v>text/csv</v>
      </c>
    </row>
    <row r="1385">
      <c r="A1385" s="147"/>
      <c r="B1385" s="147"/>
      <c r="C1385" s="147"/>
      <c r="D1385" s="147"/>
    </row>
    <row r="1386">
      <c r="A1386" s="147"/>
      <c r="B1386" s="147"/>
      <c r="C1386" s="147"/>
      <c r="D1386" s="147"/>
    </row>
    <row r="1387">
      <c r="A1387" s="147"/>
      <c r="B1387" s="147"/>
      <c r="C1387" s="147"/>
      <c r="D1387" s="147"/>
    </row>
    <row r="1388">
      <c r="A1388" s="147"/>
      <c r="B1388" s="147"/>
      <c r="C1388" s="147"/>
      <c r="D1388" s="147"/>
    </row>
    <row r="1389">
      <c r="A1389" s="147"/>
      <c r="B1389" s="147"/>
      <c r="C1389" s="147"/>
      <c r="D1389" s="147"/>
    </row>
    <row r="1390">
      <c r="A1390" s="147"/>
      <c r="B1390" s="147"/>
      <c r="C1390" s="147"/>
      <c r="D1390" s="147"/>
    </row>
    <row r="1391">
      <c r="A1391" s="147"/>
      <c r="B1391" s="147"/>
      <c r="C1391" s="147"/>
      <c r="D1391" s="147"/>
    </row>
    <row r="1392">
      <c r="A1392" s="147"/>
      <c r="B1392" s="147"/>
      <c r="C1392" s="147"/>
      <c r="D1392" s="147"/>
    </row>
    <row r="1393">
      <c r="A1393" s="147"/>
      <c r="B1393" s="147"/>
      <c r="C1393" s="147"/>
      <c r="D1393" s="147"/>
    </row>
    <row r="1394">
      <c r="A1394" s="147"/>
      <c r="B1394" s="147"/>
      <c r="C1394" s="147"/>
      <c r="D1394" s="147"/>
    </row>
    <row r="1395">
      <c r="A1395" s="147"/>
      <c r="B1395" s="147"/>
      <c r="C1395" s="147"/>
      <c r="D1395" s="147"/>
    </row>
    <row r="1396">
      <c r="A1396" s="147"/>
      <c r="B1396" s="147"/>
      <c r="C1396" s="147"/>
      <c r="D1396" s="147"/>
    </row>
    <row r="1397">
      <c r="A1397" s="147"/>
      <c r="B1397" s="147"/>
      <c r="C1397" s="147"/>
      <c r="D1397" s="147"/>
    </row>
    <row r="1398">
      <c r="A1398" s="147"/>
      <c r="B1398" s="147"/>
      <c r="C1398" s="147"/>
      <c r="D1398" s="147"/>
    </row>
    <row r="1399">
      <c r="A1399" s="147"/>
      <c r="B1399" s="147"/>
      <c r="C1399" s="147"/>
      <c r="D1399" s="147"/>
    </row>
    <row r="1400">
      <c r="A1400" s="147"/>
      <c r="B1400" s="147"/>
      <c r="C1400" s="147"/>
      <c r="D1400" s="147"/>
    </row>
    <row r="1401">
      <c r="A1401" s="147"/>
      <c r="B1401" s="147"/>
      <c r="C1401" s="147"/>
      <c r="D1401" s="147"/>
    </row>
    <row r="1402">
      <c r="A1402" s="147"/>
      <c r="B1402" s="147"/>
      <c r="C1402" s="147"/>
      <c r="D1402" s="147"/>
    </row>
    <row r="1403">
      <c r="A1403" s="147"/>
      <c r="B1403" s="147"/>
      <c r="C1403" s="147"/>
      <c r="D1403" s="147"/>
    </row>
    <row r="1404">
      <c r="A1404" s="147"/>
      <c r="B1404" s="147"/>
      <c r="C1404" s="147"/>
      <c r="D1404" s="147"/>
    </row>
    <row r="1405">
      <c r="A1405" s="147"/>
      <c r="B1405" s="147"/>
      <c r="C1405" s="147"/>
      <c r="D1405" s="147"/>
    </row>
    <row r="1406">
      <c r="A1406" s="147"/>
      <c r="B1406" s="147"/>
      <c r="C1406" s="147"/>
      <c r="D1406" s="147"/>
    </row>
    <row r="1407">
      <c r="A1407" s="147"/>
      <c r="B1407" s="147"/>
      <c r="C1407" s="147"/>
      <c r="D1407" s="147"/>
    </row>
    <row r="1408">
      <c r="A1408" s="147"/>
      <c r="B1408" s="147"/>
      <c r="C1408" s="147"/>
      <c r="D1408" s="147"/>
    </row>
    <row r="1409">
      <c r="A1409" s="147"/>
      <c r="B1409" s="147"/>
      <c r="C1409" s="147"/>
      <c r="D1409" s="147"/>
    </row>
    <row r="1410">
      <c r="A1410" s="147"/>
      <c r="B1410" s="147"/>
      <c r="C1410" s="147"/>
      <c r="D1410" s="147"/>
    </row>
    <row r="1411">
      <c r="A1411" s="147"/>
      <c r="B1411" s="147"/>
      <c r="C1411" s="147"/>
      <c r="D1411" s="147"/>
    </row>
    <row r="1412">
      <c r="A1412" s="147"/>
      <c r="B1412" s="147"/>
      <c r="C1412" s="147"/>
      <c r="D1412" s="147"/>
    </row>
    <row r="1413">
      <c r="A1413" s="147"/>
      <c r="B1413" s="147"/>
      <c r="C1413" s="147"/>
      <c r="D1413" s="147"/>
    </row>
    <row r="1414">
      <c r="A1414" s="147"/>
      <c r="B1414" s="147"/>
      <c r="C1414" s="147"/>
      <c r="D1414" s="147"/>
    </row>
    <row r="1415">
      <c r="A1415" s="147"/>
      <c r="B1415" s="147"/>
      <c r="C1415" s="147"/>
      <c r="D1415" s="147"/>
    </row>
    <row r="1416">
      <c r="A1416" s="147"/>
      <c r="B1416" s="147"/>
      <c r="C1416" s="147"/>
      <c r="D1416" s="147"/>
    </row>
    <row r="1417">
      <c r="A1417" s="147"/>
      <c r="B1417" s="147"/>
      <c r="C1417" s="147"/>
      <c r="D1417" s="147"/>
    </row>
    <row r="1418">
      <c r="A1418" s="147"/>
      <c r="B1418" s="147"/>
      <c r="C1418" s="147"/>
      <c r="D1418" s="147"/>
    </row>
    <row r="1419">
      <c r="A1419" s="147"/>
      <c r="B1419" s="147"/>
      <c r="C1419" s="147"/>
      <c r="D1419" s="147"/>
    </row>
    <row r="1420">
      <c r="A1420" s="147"/>
      <c r="B1420" s="147"/>
      <c r="C1420" s="147"/>
      <c r="D1420" s="147"/>
    </row>
    <row r="1421">
      <c r="A1421" s="147"/>
      <c r="B1421" s="147"/>
      <c r="C1421" s="147"/>
      <c r="D1421" s="147"/>
    </row>
    <row r="1422">
      <c r="A1422" s="147"/>
      <c r="B1422" s="147"/>
      <c r="C1422" s="147"/>
      <c r="D1422" s="147"/>
    </row>
    <row r="1423">
      <c r="A1423" s="147"/>
      <c r="B1423" s="147"/>
      <c r="C1423" s="147"/>
      <c r="D1423" s="147"/>
    </row>
    <row r="1424">
      <c r="A1424" s="147"/>
      <c r="B1424" s="147"/>
      <c r="C1424" s="147"/>
      <c r="D1424" s="147"/>
    </row>
    <row r="1425">
      <c r="A1425" s="147"/>
      <c r="B1425" s="147"/>
      <c r="C1425" s="147"/>
      <c r="D1425" s="147"/>
    </row>
    <row r="1426">
      <c r="A1426" s="147"/>
      <c r="B1426" s="147"/>
      <c r="C1426" s="147"/>
      <c r="D1426" s="147"/>
    </row>
    <row r="1427">
      <c r="A1427" s="147"/>
      <c r="B1427" s="147"/>
      <c r="C1427" s="147"/>
      <c r="D1427" s="147"/>
    </row>
    <row r="1428">
      <c r="A1428" s="147"/>
      <c r="B1428" s="147"/>
      <c r="C1428" s="147"/>
      <c r="D1428" s="147"/>
    </row>
    <row r="1429">
      <c r="A1429" s="147"/>
      <c r="B1429" s="147"/>
      <c r="C1429" s="147"/>
      <c r="D1429" s="147"/>
    </row>
    <row r="1430">
      <c r="A1430" s="147"/>
      <c r="B1430" s="147"/>
      <c r="C1430" s="147"/>
      <c r="D1430" s="147"/>
    </row>
    <row r="1431">
      <c r="A1431" s="147"/>
      <c r="B1431" s="147"/>
      <c r="C1431" s="147"/>
      <c r="D1431" s="147"/>
    </row>
    <row r="1432">
      <c r="A1432" s="147"/>
      <c r="B1432" s="147"/>
      <c r="C1432" s="147"/>
      <c r="D1432" s="147"/>
    </row>
    <row r="1433">
      <c r="A1433" s="147"/>
      <c r="B1433" s="147"/>
      <c r="C1433" s="147"/>
      <c r="D1433" s="147"/>
    </row>
    <row r="1434">
      <c r="A1434" s="147"/>
      <c r="B1434" s="147"/>
      <c r="C1434" s="147"/>
      <c r="D1434" s="147"/>
    </row>
    <row r="1435">
      <c r="A1435" s="147"/>
      <c r="B1435" s="147"/>
      <c r="C1435" s="147"/>
      <c r="D1435" s="147"/>
    </row>
    <row r="1436">
      <c r="A1436" s="147"/>
      <c r="B1436" s="147"/>
      <c r="C1436" s="147"/>
      <c r="D1436" s="147"/>
    </row>
    <row r="1437">
      <c r="A1437" s="147"/>
      <c r="B1437" s="147"/>
      <c r="C1437" s="147"/>
      <c r="D1437" s="147"/>
    </row>
    <row r="1438">
      <c r="A1438" s="147"/>
      <c r="B1438" s="147"/>
      <c r="C1438" s="147"/>
      <c r="D1438" s="147"/>
    </row>
    <row r="1439">
      <c r="A1439" s="147"/>
      <c r="B1439" s="147"/>
      <c r="C1439" s="147"/>
      <c r="D1439" s="147"/>
    </row>
    <row r="1440">
      <c r="A1440" s="147"/>
      <c r="B1440" s="147"/>
      <c r="C1440" s="147"/>
      <c r="D1440" s="147"/>
    </row>
    <row r="1441">
      <c r="A1441" s="147"/>
      <c r="B1441" s="147"/>
      <c r="C1441" s="147"/>
      <c r="D1441" s="147"/>
    </row>
    <row r="1442">
      <c r="A1442" s="147"/>
      <c r="B1442" s="147"/>
      <c r="C1442" s="147"/>
      <c r="D1442" s="147"/>
    </row>
    <row r="1443">
      <c r="A1443" s="147"/>
      <c r="B1443" s="147"/>
      <c r="C1443" s="147"/>
      <c r="D1443" s="147"/>
    </row>
    <row r="1444">
      <c r="A1444" s="147"/>
      <c r="B1444" s="147"/>
      <c r="C1444" s="147"/>
      <c r="D1444" s="147"/>
    </row>
    <row r="1445">
      <c r="A1445" s="147"/>
      <c r="B1445" s="147"/>
      <c r="C1445" s="147"/>
      <c r="D1445" s="147"/>
    </row>
    <row r="1446">
      <c r="A1446" s="147"/>
      <c r="B1446" s="147"/>
      <c r="C1446" s="147"/>
      <c r="D1446" s="147"/>
    </row>
    <row r="1447">
      <c r="A1447" s="147"/>
      <c r="B1447" s="147"/>
      <c r="C1447" s="147"/>
      <c r="D1447" s="147"/>
    </row>
    <row r="1448">
      <c r="A1448" s="147"/>
      <c r="B1448" s="147"/>
      <c r="C1448" s="147"/>
      <c r="D1448" s="147"/>
    </row>
    <row r="1449">
      <c r="A1449" s="147"/>
      <c r="B1449" s="147"/>
      <c r="C1449" s="147"/>
      <c r="D1449" s="147"/>
    </row>
    <row r="1450">
      <c r="A1450" s="147"/>
      <c r="B1450" s="147"/>
      <c r="C1450" s="147"/>
      <c r="D1450" s="147"/>
    </row>
    <row r="1451">
      <c r="A1451" s="147"/>
      <c r="B1451" s="147"/>
      <c r="C1451" s="147"/>
      <c r="D1451" s="147"/>
    </row>
    <row r="1452">
      <c r="A1452" s="147"/>
      <c r="B1452" s="147"/>
      <c r="C1452" s="147"/>
      <c r="D1452" s="147"/>
    </row>
    <row r="1453">
      <c r="A1453" s="147"/>
      <c r="B1453" s="147"/>
      <c r="C1453" s="147"/>
      <c r="D1453" s="147"/>
    </row>
    <row r="1454">
      <c r="A1454" s="147"/>
      <c r="B1454" s="147"/>
      <c r="C1454" s="147"/>
      <c r="D1454" s="147"/>
    </row>
    <row r="1455">
      <c r="A1455" s="147"/>
      <c r="B1455" s="147"/>
      <c r="C1455" s="147"/>
      <c r="D1455" s="147"/>
    </row>
    <row r="1456">
      <c r="A1456" s="147"/>
      <c r="B1456" s="147"/>
      <c r="C1456" s="147"/>
      <c r="D1456" s="147"/>
    </row>
    <row r="1457">
      <c r="A1457" s="147"/>
      <c r="B1457" s="147"/>
      <c r="C1457" s="147"/>
      <c r="D1457" s="147"/>
    </row>
    <row r="1458">
      <c r="A1458" s="147"/>
      <c r="B1458" s="147"/>
      <c r="C1458" s="147"/>
      <c r="D1458" s="147"/>
    </row>
    <row r="1459">
      <c r="A1459" s="147"/>
      <c r="B1459" s="147"/>
      <c r="C1459" s="147"/>
      <c r="D1459" s="147"/>
    </row>
    <row r="1460">
      <c r="A1460" s="147"/>
      <c r="B1460" s="147"/>
      <c r="C1460" s="147"/>
      <c r="D1460" s="147"/>
    </row>
    <row r="1461">
      <c r="A1461" s="147"/>
      <c r="B1461" s="147"/>
      <c r="C1461" s="147"/>
      <c r="D1461" s="147"/>
    </row>
    <row r="1462">
      <c r="A1462" s="147"/>
      <c r="B1462" s="147"/>
      <c r="C1462" s="147"/>
      <c r="D1462" s="147"/>
    </row>
    <row r="1463">
      <c r="A1463" s="147"/>
      <c r="B1463" s="147"/>
      <c r="C1463" s="147"/>
      <c r="D1463" s="147"/>
    </row>
    <row r="1464">
      <c r="A1464" s="147"/>
      <c r="B1464" s="147"/>
      <c r="C1464" s="147"/>
      <c r="D1464" s="147"/>
    </row>
    <row r="1465">
      <c r="A1465" s="147"/>
      <c r="B1465" s="147"/>
      <c r="C1465" s="147"/>
      <c r="D1465" s="147"/>
    </row>
    <row r="1466">
      <c r="A1466" s="147"/>
      <c r="B1466" s="147"/>
      <c r="C1466" s="147"/>
      <c r="D1466" s="147"/>
    </row>
    <row r="1467">
      <c r="A1467" s="147"/>
      <c r="B1467" s="147"/>
      <c r="C1467" s="147"/>
      <c r="D1467" s="147"/>
    </row>
    <row r="1468">
      <c r="A1468" s="147"/>
      <c r="B1468" s="147"/>
      <c r="C1468" s="147"/>
      <c r="D1468" s="147"/>
    </row>
    <row r="1469">
      <c r="A1469" s="147"/>
      <c r="B1469" s="147"/>
      <c r="C1469" s="147"/>
      <c r="D1469" s="147"/>
    </row>
    <row r="1470">
      <c r="A1470" s="147"/>
      <c r="B1470" s="147"/>
      <c r="C1470" s="147"/>
      <c r="D1470" s="147"/>
    </row>
    <row r="1471">
      <c r="A1471" s="147"/>
      <c r="B1471" s="147"/>
      <c r="C1471" s="147"/>
      <c r="D1471" s="147"/>
    </row>
    <row r="1472">
      <c r="A1472" s="147"/>
      <c r="B1472" s="147"/>
      <c r="C1472" s="147"/>
      <c r="D1472" s="147"/>
    </row>
    <row r="1473">
      <c r="A1473" s="147"/>
      <c r="B1473" s="147"/>
      <c r="C1473" s="147"/>
      <c r="D1473" s="147"/>
      <c r="H1473" s="1575"/>
    </row>
    <row r="1474">
      <c r="A1474" s="147"/>
      <c r="B1474" s="147"/>
      <c r="C1474" s="147"/>
      <c r="D1474" s="147"/>
    </row>
    <row r="1475">
      <c r="A1475" s="147"/>
      <c r="B1475" s="147"/>
      <c r="C1475" s="147"/>
      <c r="D1475" s="147"/>
    </row>
    <row r="1476">
      <c r="A1476" s="147"/>
      <c r="B1476" s="147"/>
      <c r="C1476" s="147"/>
      <c r="D1476" s="147"/>
    </row>
    <row r="1477">
      <c r="A1477" s="147"/>
      <c r="B1477" s="147"/>
      <c r="C1477" s="147"/>
      <c r="D1477" s="147"/>
    </row>
    <row r="1478">
      <c r="A1478" s="147"/>
      <c r="B1478" s="147"/>
      <c r="C1478" s="147"/>
      <c r="D1478" s="147"/>
    </row>
    <row r="1479">
      <c r="A1479" s="147"/>
      <c r="B1479" s="147"/>
      <c r="C1479" s="147"/>
      <c r="D1479" s="147"/>
    </row>
    <row r="1480">
      <c r="A1480" s="147"/>
      <c r="B1480" s="147"/>
      <c r="C1480" s="147"/>
      <c r="D1480" s="147"/>
    </row>
    <row r="1481">
      <c r="A1481" s="147"/>
      <c r="B1481" s="147"/>
      <c r="C1481" s="147"/>
      <c r="D1481" s="147"/>
    </row>
    <row r="1482">
      <c r="A1482" s="147"/>
      <c r="B1482" s="147"/>
      <c r="C1482" s="147"/>
      <c r="D1482" s="147"/>
    </row>
    <row r="1483">
      <c r="A1483" s="147"/>
      <c r="B1483" s="147"/>
      <c r="C1483" s="147"/>
      <c r="D1483" s="147"/>
    </row>
    <row r="1484">
      <c r="A1484" s="147"/>
      <c r="B1484" s="147"/>
      <c r="C1484" s="147"/>
      <c r="D1484" s="147"/>
    </row>
    <row r="1485">
      <c r="A1485" s="147"/>
      <c r="B1485" s="147"/>
      <c r="C1485" s="147"/>
      <c r="D1485" s="147"/>
    </row>
    <row r="1486">
      <c r="A1486" s="147"/>
      <c r="B1486" s="147"/>
      <c r="C1486" s="147"/>
      <c r="D1486" s="147"/>
    </row>
    <row r="1487">
      <c r="A1487" s="147"/>
      <c r="B1487" s="147"/>
      <c r="C1487" s="147"/>
      <c r="D1487" s="147"/>
    </row>
    <row r="1488">
      <c r="A1488" s="147"/>
      <c r="B1488" s="147"/>
      <c r="C1488" s="147"/>
      <c r="D1488" s="147"/>
    </row>
    <row r="1489">
      <c r="A1489" s="147"/>
      <c r="B1489" s="147"/>
      <c r="C1489" s="147"/>
      <c r="D1489" s="147"/>
    </row>
    <row r="1490">
      <c r="A1490" s="147"/>
      <c r="B1490" s="147"/>
      <c r="C1490" s="147"/>
      <c r="D1490" s="147"/>
    </row>
    <row r="1491">
      <c r="A1491" s="147"/>
      <c r="B1491" s="147"/>
      <c r="C1491" s="147"/>
      <c r="D1491" s="147"/>
    </row>
    <row r="1492">
      <c r="A1492" s="147"/>
      <c r="B1492" s="147"/>
      <c r="C1492" s="147"/>
      <c r="D1492" s="147"/>
    </row>
    <row r="1493">
      <c r="A1493" s="147"/>
      <c r="B1493" s="147"/>
      <c r="C1493" s="147"/>
      <c r="D1493" s="147"/>
    </row>
    <row r="1494">
      <c r="A1494" s="147"/>
      <c r="B1494" s="147"/>
      <c r="C1494" s="147"/>
      <c r="D1494" s="147"/>
    </row>
    <row r="1495">
      <c r="A1495" s="147"/>
      <c r="B1495" s="147"/>
      <c r="C1495" s="147"/>
      <c r="D1495" s="147"/>
    </row>
    <row r="1496">
      <c r="A1496" s="147"/>
      <c r="B1496" s="147"/>
      <c r="C1496" s="147"/>
      <c r="D1496" s="147"/>
    </row>
    <row r="1497">
      <c r="A1497" s="147"/>
      <c r="B1497" s="147"/>
      <c r="C1497" s="147"/>
      <c r="D1497" s="147"/>
    </row>
    <row r="1498">
      <c r="A1498" s="147"/>
      <c r="B1498" s="147"/>
      <c r="C1498" s="147"/>
      <c r="D1498" s="147"/>
    </row>
    <row r="1499">
      <c r="A1499" s="147"/>
      <c r="B1499" s="147"/>
      <c r="C1499" s="147"/>
      <c r="D1499" s="147"/>
    </row>
    <row r="1500">
      <c r="A1500" s="147"/>
      <c r="B1500" s="147"/>
      <c r="C1500" s="147"/>
      <c r="D1500" s="147"/>
    </row>
    <row r="1501">
      <c r="A1501" s="147"/>
      <c r="B1501" s="147"/>
      <c r="C1501" s="147"/>
      <c r="D1501" s="147"/>
    </row>
    <row r="1502">
      <c r="A1502" s="147"/>
      <c r="B1502" s="147"/>
      <c r="C1502" s="147"/>
      <c r="D1502" s="147"/>
    </row>
    <row r="1503">
      <c r="A1503" s="147"/>
      <c r="B1503" s="147"/>
      <c r="C1503" s="147"/>
      <c r="D1503" s="147"/>
    </row>
    <row r="1504">
      <c r="A1504" s="147"/>
      <c r="B1504" s="147"/>
      <c r="C1504" s="147"/>
      <c r="D1504" s="147"/>
    </row>
    <row r="1505">
      <c r="A1505" s="147"/>
      <c r="B1505" s="147"/>
      <c r="C1505" s="147"/>
      <c r="D1505" s="147"/>
    </row>
    <row r="1506">
      <c r="A1506" s="147"/>
      <c r="B1506" s="147"/>
      <c r="C1506" s="147"/>
      <c r="D1506" s="147"/>
    </row>
    <row r="1507">
      <c r="A1507" s="147"/>
      <c r="B1507" s="147"/>
      <c r="C1507" s="147"/>
      <c r="D1507" s="147"/>
    </row>
    <row r="1508">
      <c r="A1508" s="147"/>
      <c r="B1508" s="147"/>
      <c r="C1508" s="147"/>
      <c r="D1508" s="147"/>
    </row>
    <row r="1509">
      <c r="A1509" s="147"/>
      <c r="B1509" s="147"/>
      <c r="C1509" s="147"/>
      <c r="D1509" s="147"/>
    </row>
    <row r="1510">
      <c r="A1510" s="330"/>
      <c r="B1510" s="330"/>
      <c r="C1510" s="330"/>
      <c r="D1510" s="147"/>
    </row>
    <row r="1511">
      <c r="A1511" s="330"/>
      <c r="B1511" s="330"/>
      <c r="C1511" s="330"/>
      <c r="D1511" s="147"/>
    </row>
    <row r="1512">
      <c r="A1512" s="330"/>
      <c r="B1512" s="330"/>
      <c r="C1512" s="330"/>
      <c r="D1512" s="147"/>
    </row>
    <row r="1513">
      <c r="A1513" s="330"/>
      <c r="B1513" s="330"/>
      <c r="C1513" s="330"/>
      <c r="D1513" s="147"/>
    </row>
    <row r="1514">
      <c r="A1514" s="330"/>
      <c r="B1514" s="330"/>
      <c r="C1514" s="330"/>
      <c r="D1514" s="147"/>
    </row>
    <row r="1515">
      <c r="A1515" s="330"/>
      <c r="B1515" s="330"/>
      <c r="C1515" s="330"/>
      <c r="D1515" s="147"/>
    </row>
    <row r="1516">
      <c r="A1516" s="330"/>
      <c r="B1516" s="330"/>
      <c r="C1516" s="330"/>
      <c r="D1516" s="147"/>
    </row>
    <row r="1517">
      <c r="A1517" s="330"/>
      <c r="B1517" s="330"/>
      <c r="C1517" s="330"/>
      <c r="D1517" s="147"/>
    </row>
    <row r="1518">
      <c r="A1518" s="330"/>
      <c r="B1518" s="330"/>
      <c r="C1518" s="330"/>
      <c r="D1518" s="147"/>
    </row>
    <row r="1519">
      <c r="A1519" s="330"/>
      <c r="B1519" s="330"/>
      <c r="C1519" s="330"/>
      <c r="D1519" s="147"/>
    </row>
    <row r="1520">
      <c r="A1520" s="330"/>
      <c r="B1520" s="330"/>
      <c r="C1520" s="330"/>
      <c r="D1520" s="147"/>
    </row>
    <row r="1521">
      <c r="A1521" s="330"/>
      <c r="B1521" s="330"/>
      <c r="C1521" s="330"/>
      <c r="D1521" s="147"/>
    </row>
    <row r="1522">
      <c r="A1522" s="330"/>
      <c r="B1522" s="330"/>
      <c r="C1522" s="330"/>
      <c r="D1522" s="147"/>
    </row>
    <row r="1523">
      <c r="A1523" s="330"/>
      <c r="B1523" s="330"/>
      <c r="C1523" s="330"/>
      <c r="D1523" s="147"/>
    </row>
    <row r="1524">
      <c r="A1524" s="330"/>
      <c r="B1524" s="330"/>
      <c r="C1524" s="330"/>
      <c r="D1524" s="147"/>
    </row>
    <row r="1525">
      <c r="A1525" s="330"/>
      <c r="B1525" s="330"/>
      <c r="C1525" s="330"/>
      <c r="D1525" s="147"/>
    </row>
    <row r="1526">
      <c r="A1526" s="330"/>
      <c r="B1526" s="330"/>
      <c r="C1526" s="330"/>
      <c r="D1526" s="147"/>
    </row>
    <row r="1527">
      <c r="A1527" s="330"/>
      <c r="B1527" s="330"/>
      <c r="C1527" s="330"/>
      <c r="D1527" s="147"/>
    </row>
    <row r="1528">
      <c r="A1528" s="330"/>
      <c r="B1528" s="330"/>
      <c r="C1528" s="330"/>
      <c r="D1528" s="147"/>
    </row>
    <row r="1529">
      <c r="A1529" s="330"/>
      <c r="B1529" s="330"/>
      <c r="C1529" s="330"/>
      <c r="D1529" s="147"/>
    </row>
    <row r="1530">
      <c r="A1530" s="330"/>
      <c r="B1530" s="330"/>
      <c r="C1530" s="330"/>
      <c r="D1530" s="147"/>
    </row>
    <row r="1531">
      <c r="A1531" s="330"/>
      <c r="B1531" s="330"/>
      <c r="C1531" s="330"/>
      <c r="D1531" s="147"/>
    </row>
    <row r="1532">
      <c r="A1532" s="330"/>
      <c r="B1532" s="330"/>
      <c r="C1532" s="330"/>
      <c r="D1532" s="147"/>
    </row>
    <row r="1533">
      <c r="A1533" s="330"/>
      <c r="B1533" s="330"/>
      <c r="C1533" s="330"/>
      <c r="D1533" s="147"/>
    </row>
    <row r="1534">
      <c r="A1534" s="330"/>
      <c r="B1534" s="330"/>
      <c r="C1534" s="330"/>
      <c r="D1534" s="147"/>
    </row>
    <row r="1535">
      <c r="A1535" s="330"/>
      <c r="B1535" s="330"/>
      <c r="C1535" s="330"/>
      <c r="D1535" s="147"/>
    </row>
    <row r="1536">
      <c r="A1536" s="330"/>
      <c r="B1536" s="330"/>
      <c r="C1536" s="330"/>
      <c r="D1536" s="147"/>
    </row>
    <row r="1537">
      <c r="A1537" s="330"/>
      <c r="B1537" s="330"/>
      <c r="C1537" s="330"/>
      <c r="D1537" s="147"/>
    </row>
    <row r="1538">
      <c r="A1538" s="330"/>
      <c r="B1538" s="330"/>
      <c r="C1538" s="330"/>
      <c r="D1538" s="147"/>
    </row>
    <row r="1539">
      <c r="A1539" s="330"/>
      <c r="B1539" s="330"/>
      <c r="C1539" s="330"/>
      <c r="D1539" s="147"/>
    </row>
    <row r="1540">
      <c r="A1540" s="330"/>
      <c r="B1540" s="330"/>
      <c r="C1540" s="330"/>
      <c r="D1540" s="147"/>
    </row>
    <row r="1541">
      <c r="A1541" s="330"/>
      <c r="B1541" s="330"/>
      <c r="C1541" s="330"/>
      <c r="D1541" s="147"/>
    </row>
    <row r="1542">
      <c r="A1542" s="330"/>
      <c r="B1542" s="330"/>
      <c r="C1542" s="330"/>
      <c r="D1542" s="147"/>
    </row>
    <row r="1543">
      <c r="A1543" s="330"/>
      <c r="B1543" s="330"/>
      <c r="C1543" s="330"/>
      <c r="D1543" s="147"/>
    </row>
    <row r="1544">
      <c r="A1544" s="330"/>
      <c r="B1544" s="330"/>
      <c r="C1544" s="330"/>
      <c r="D1544" s="147"/>
    </row>
    <row r="1545">
      <c r="A1545" s="330"/>
      <c r="B1545" s="330"/>
      <c r="C1545" s="330"/>
      <c r="D1545" s="147"/>
    </row>
    <row r="1546">
      <c r="A1546" s="330"/>
      <c r="B1546" s="330"/>
      <c r="C1546" s="330"/>
      <c r="D1546" s="147"/>
    </row>
    <row r="1547">
      <c r="A1547" s="330"/>
      <c r="B1547" s="330"/>
      <c r="C1547" s="330"/>
      <c r="D1547" s="147"/>
    </row>
    <row r="1548">
      <c r="A1548" s="330"/>
      <c r="B1548" s="330"/>
      <c r="C1548" s="330"/>
      <c r="D1548" s="147"/>
    </row>
    <row r="1549">
      <c r="A1549" s="330"/>
      <c r="B1549" s="330"/>
      <c r="C1549" s="330"/>
      <c r="D1549" s="147"/>
    </row>
    <row r="1550">
      <c r="A1550" s="330"/>
      <c r="B1550" s="330"/>
      <c r="C1550" s="330"/>
      <c r="D1550" s="147"/>
    </row>
    <row r="1551">
      <c r="A1551" s="330"/>
      <c r="B1551" s="330"/>
      <c r="C1551" s="330"/>
      <c r="D1551" s="147"/>
    </row>
    <row r="1552">
      <c r="A1552" s="330"/>
      <c r="B1552" s="330"/>
      <c r="C1552" s="330"/>
      <c r="D1552" s="147"/>
    </row>
    <row r="1553">
      <c r="A1553" s="330"/>
      <c r="B1553" s="330"/>
      <c r="C1553" s="330"/>
      <c r="D1553" s="147"/>
    </row>
    <row r="1554">
      <c r="A1554" s="330"/>
      <c r="B1554" s="330"/>
      <c r="C1554" s="330"/>
      <c r="D1554" s="147"/>
    </row>
    <row r="1555">
      <c r="A1555" s="330"/>
      <c r="B1555" s="330"/>
      <c r="C1555" s="330"/>
      <c r="D1555" s="147"/>
    </row>
    <row r="1556">
      <c r="A1556" s="330"/>
      <c r="B1556" s="330"/>
      <c r="C1556" s="330"/>
      <c r="D1556" s="147"/>
    </row>
    <row r="1557">
      <c r="A1557" s="330"/>
      <c r="B1557" s="330"/>
      <c r="C1557" s="330"/>
      <c r="D1557" s="147"/>
    </row>
    <row r="1558">
      <c r="A1558" s="330"/>
      <c r="B1558" s="330"/>
      <c r="C1558" s="330"/>
      <c r="D1558" s="147"/>
    </row>
    <row r="1559">
      <c r="A1559" s="330"/>
      <c r="B1559" s="330"/>
      <c r="C1559" s="330"/>
      <c r="D1559" s="147"/>
    </row>
    <row r="1560">
      <c r="A1560" s="330"/>
      <c r="B1560" s="330"/>
      <c r="C1560" s="330"/>
      <c r="D1560" s="147"/>
    </row>
    <row r="1561">
      <c r="A1561" s="330"/>
      <c r="B1561" s="330"/>
      <c r="C1561" s="330"/>
      <c r="D1561" s="147"/>
    </row>
    <row r="1562">
      <c r="A1562" s="330"/>
      <c r="B1562" s="330"/>
      <c r="C1562" s="330"/>
      <c r="D1562" s="147"/>
    </row>
    <row r="1563">
      <c r="A1563" s="330"/>
      <c r="B1563" s="330"/>
      <c r="C1563" s="330"/>
      <c r="D1563" s="147"/>
    </row>
    <row r="1564">
      <c r="A1564" s="330"/>
      <c r="B1564" s="330"/>
      <c r="C1564" s="330"/>
      <c r="D1564" s="147"/>
    </row>
    <row r="1565">
      <c r="A1565" s="330"/>
      <c r="B1565" s="330"/>
      <c r="C1565" s="330"/>
      <c r="D1565" s="147"/>
    </row>
    <row r="1566">
      <c r="A1566" s="330"/>
      <c r="B1566" s="330"/>
      <c r="C1566" s="330"/>
      <c r="D1566" s="147"/>
    </row>
    <row r="1567">
      <c r="A1567" s="330"/>
      <c r="B1567" s="330"/>
      <c r="C1567" s="330"/>
      <c r="D1567" s="147"/>
    </row>
    <row r="1568">
      <c r="A1568" s="330"/>
      <c r="B1568" s="330"/>
      <c r="C1568" s="330"/>
      <c r="D1568" s="147"/>
    </row>
    <row r="1569">
      <c r="A1569" s="330"/>
      <c r="B1569" s="330"/>
      <c r="C1569" s="330"/>
      <c r="D1569" s="147"/>
    </row>
    <row r="1570">
      <c r="A1570" s="330"/>
      <c r="B1570" s="330"/>
      <c r="C1570" s="330"/>
      <c r="D1570" s="147"/>
    </row>
    <row r="1571">
      <c r="A1571" s="330"/>
      <c r="B1571" s="330"/>
      <c r="C1571" s="330"/>
      <c r="D1571" s="147"/>
    </row>
    <row r="1572">
      <c r="A1572" s="330"/>
      <c r="B1572" s="330"/>
      <c r="C1572" s="330"/>
      <c r="D1572" s="147"/>
    </row>
    <row r="1573">
      <c r="A1573" s="330"/>
      <c r="B1573" s="330"/>
      <c r="C1573" s="330"/>
      <c r="D1573" s="147"/>
    </row>
    <row r="1574">
      <c r="A1574" s="330"/>
      <c r="B1574" s="330"/>
      <c r="C1574" s="330"/>
      <c r="D1574" s="147"/>
    </row>
    <row r="1575">
      <c r="A1575" s="330"/>
      <c r="B1575" s="330"/>
      <c r="C1575" s="330"/>
      <c r="D1575" s="147"/>
    </row>
    <row r="1576">
      <c r="A1576" s="330"/>
      <c r="B1576" s="330"/>
      <c r="C1576" s="330"/>
      <c r="D1576" s="147"/>
    </row>
    <row r="1577">
      <c r="A1577" s="330"/>
      <c r="B1577" s="330"/>
      <c r="C1577" s="330"/>
      <c r="D1577" s="147"/>
    </row>
    <row r="1578">
      <c r="A1578" s="330"/>
      <c r="B1578" s="330"/>
      <c r="C1578" s="330"/>
      <c r="D1578" s="147"/>
    </row>
    <row r="1579">
      <c r="A1579" s="330"/>
      <c r="B1579" s="330"/>
      <c r="C1579" s="330"/>
      <c r="D1579" s="147"/>
    </row>
    <row r="1580">
      <c r="A1580" s="330"/>
      <c r="B1580" s="330"/>
      <c r="C1580" s="330"/>
      <c r="D1580" s="147"/>
    </row>
    <row r="1581">
      <c r="A1581" s="330"/>
      <c r="B1581" s="330"/>
      <c r="C1581" s="330"/>
      <c r="D1581" s="147"/>
    </row>
    <row r="1582">
      <c r="A1582" s="330"/>
      <c r="B1582" s="330"/>
      <c r="C1582" s="330"/>
      <c r="D1582" s="147"/>
    </row>
    <row r="1583">
      <c r="A1583" s="330"/>
      <c r="B1583" s="330"/>
      <c r="C1583" s="330"/>
      <c r="D1583" s="147"/>
    </row>
    <row r="1584">
      <c r="A1584" s="330"/>
      <c r="B1584" s="330"/>
      <c r="C1584" s="330"/>
      <c r="D1584" s="147"/>
    </row>
    <row r="1585">
      <c r="A1585" s="330"/>
      <c r="B1585" s="330"/>
      <c r="C1585" s="330"/>
      <c r="D1585" s="147"/>
    </row>
    <row r="1586">
      <c r="A1586" s="330"/>
      <c r="B1586" s="330"/>
      <c r="C1586" s="330"/>
      <c r="D1586" s="147"/>
    </row>
    <row r="1587">
      <c r="A1587" s="330"/>
      <c r="B1587" s="330"/>
      <c r="C1587" s="330"/>
      <c r="D1587" s="147"/>
    </row>
    <row r="1588">
      <c r="A1588" s="330"/>
      <c r="B1588" s="330"/>
      <c r="C1588" s="330"/>
      <c r="D1588" s="147"/>
    </row>
    <row r="1589">
      <c r="A1589" s="330"/>
      <c r="B1589" s="330"/>
      <c r="C1589" s="330"/>
      <c r="D1589" s="147"/>
    </row>
    <row r="1590">
      <c r="A1590" s="330"/>
      <c r="B1590" s="330"/>
      <c r="C1590" s="330"/>
      <c r="D1590" s="147"/>
    </row>
    <row r="1591">
      <c r="A1591" s="330"/>
      <c r="B1591" s="330"/>
      <c r="C1591" s="330"/>
      <c r="D1591" s="147"/>
    </row>
    <row r="1592">
      <c r="A1592" s="330"/>
      <c r="B1592" s="330"/>
      <c r="C1592" s="330"/>
      <c r="D1592" s="147"/>
    </row>
    <row r="1593">
      <c r="A1593" s="330"/>
      <c r="B1593" s="330"/>
      <c r="C1593" s="330"/>
      <c r="D1593" s="147"/>
    </row>
    <row r="1594">
      <c r="A1594" s="330"/>
      <c r="B1594" s="330"/>
      <c r="C1594" s="330"/>
      <c r="D1594" s="147"/>
    </row>
    <row r="1595">
      <c r="A1595" s="330"/>
      <c r="B1595" s="330"/>
      <c r="C1595" s="330"/>
      <c r="D1595" s="147"/>
    </row>
    <row r="1596">
      <c r="A1596" s="330"/>
      <c r="B1596" s="330"/>
      <c r="C1596" s="330"/>
      <c r="D1596" s="147"/>
    </row>
    <row r="1597">
      <c r="A1597" s="330"/>
      <c r="B1597" s="330"/>
      <c r="C1597" s="330"/>
      <c r="D1597" s="14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A527"/>
    <hyperlink r:id="rId527" ref="B527"/>
    <hyperlink r:id="rId528" ref="A528"/>
    <hyperlink r:id="rId529" ref="B528"/>
    <hyperlink r:id="rId530" ref="A529"/>
    <hyperlink r:id="rId531" ref="B529"/>
    <hyperlink r:id="rId532" ref="B530"/>
    <hyperlink r:id="rId533" ref="B531"/>
    <hyperlink r:id="rId534" ref="A532"/>
    <hyperlink r:id="rId535" ref="B532"/>
    <hyperlink r:id="rId536" ref="B533"/>
    <hyperlink r:id="rId537" ref="B534"/>
    <hyperlink r:id="rId538" ref="B535"/>
    <hyperlink r:id="rId539" ref="A536"/>
    <hyperlink r:id="rId540" ref="B536"/>
    <hyperlink r:id="rId541" ref="A537"/>
    <hyperlink r:id="rId542" ref="B537"/>
    <hyperlink r:id="rId543" ref="B538"/>
    <hyperlink r:id="rId544" ref="B539"/>
    <hyperlink r:id="rId545" ref="B540"/>
    <hyperlink r:id="rId546" ref="B541"/>
    <hyperlink r:id="rId547" ref="B542"/>
    <hyperlink r:id="rId548" ref="B543"/>
    <hyperlink r:id="rId549" ref="B544"/>
    <hyperlink r:id="rId550" ref="B545"/>
    <hyperlink r:id="rId551" ref="B546"/>
    <hyperlink r:id="rId552" ref="B547"/>
    <hyperlink r:id="rId553" ref="B548"/>
    <hyperlink r:id="rId554" ref="B549"/>
    <hyperlink r:id="rId555" ref="B550"/>
    <hyperlink r:id="rId556" ref="B551"/>
    <hyperlink r:id="rId557" ref="B552"/>
    <hyperlink r:id="rId558" ref="B553"/>
    <hyperlink r:id="rId559" ref="B554"/>
    <hyperlink r:id="rId560" ref="B555"/>
    <hyperlink r:id="rId561" ref="B556"/>
    <hyperlink r:id="rId562" ref="B557"/>
    <hyperlink r:id="rId563" ref="B558"/>
    <hyperlink r:id="rId564" ref="B559"/>
    <hyperlink r:id="rId565" ref="B560"/>
    <hyperlink r:id="rId566" ref="B561"/>
    <hyperlink r:id="rId567" ref="B562"/>
    <hyperlink r:id="rId568" ref="B563"/>
    <hyperlink r:id="rId569" ref="B564"/>
    <hyperlink r:id="rId570" ref="B565"/>
    <hyperlink r:id="rId571" ref="B566"/>
    <hyperlink r:id="rId572" ref="B567"/>
    <hyperlink r:id="rId573" ref="B568"/>
    <hyperlink r:id="rId574" ref="B569"/>
    <hyperlink r:id="rId575" ref="B570"/>
    <hyperlink r:id="rId576" ref="B571"/>
    <hyperlink r:id="rId577" ref="B572"/>
    <hyperlink r:id="rId578" ref="B573"/>
    <hyperlink r:id="rId579" ref="B574"/>
    <hyperlink r:id="rId580" ref="B575"/>
    <hyperlink r:id="rId581" ref="B576"/>
    <hyperlink r:id="rId582" ref="B577"/>
    <hyperlink r:id="rId583" ref="B578"/>
    <hyperlink r:id="rId584" ref="B579"/>
    <hyperlink r:id="rId585" ref="B580"/>
    <hyperlink r:id="rId586" ref="B581"/>
    <hyperlink r:id="rId587" ref="B582"/>
    <hyperlink r:id="rId588" ref="B583"/>
    <hyperlink r:id="rId589" ref="B584"/>
    <hyperlink r:id="rId590" ref="B585"/>
    <hyperlink r:id="rId591" ref="B586"/>
    <hyperlink r:id="rId592" ref="B587"/>
    <hyperlink r:id="rId593" ref="B588"/>
    <hyperlink r:id="rId594" ref="B589"/>
    <hyperlink r:id="rId595" ref="B590"/>
    <hyperlink r:id="rId596" ref="B591"/>
    <hyperlink r:id="rId597" ref="B592"/>
    <hyperlink r:id="rId598" ref="B593"/>
    <hyperlink r:id="rId599" ref="B594"/>
    <hyperlink r:id="rId600" ref="B595"/>
    <hyperlink r:id="rId601" ref="B596"/>
    <hyperlink r:id="rId602" ref="B597"/>
    <hyperlink r:id="rId603" ref="B598"/>
    <hyperlink r:id="rId604" ref="B599"/>
    <hyperlink r:id="rId605" ref="B600"/>
    <hyperlink r:id="rId606" ref="B601"/>
    <hyperlink r:id="rId607" ref="B602"/>
    <hyperlink r:id="rId608" ref="B603"/>
    <hyperlink r:id="rId609" ref="B604"/>
    <hyperlink r:id="rId610" ref="B605"/>
    <hyperlink r:id="rId611" ref="B606"/>
    <hyperlink r:id="rId612" ref="B607"/>
    <hyperlink r:id="rId613" ref="B608"/>
    <hyperlink r:id="rId614" ref="B609"/>
    <hyperlink r:id="rId615" ref="B610"/>
    <hyperlink r:id="rId616" ref="B611"/>
    <hyperlink r:id="rId617" ref="B612"/>
    <hyperlink r:id="rId618" ref="B613"/>
    <hyperlink r:id="rId619" ref="B614"/>
    <hyperlink r:id="rId620" ref="B615"/>
    <hyperlink r:id="rId621" ref="B616"/>
    <hyperlink r:id="rId622" ref="B617"/>
    <hyperlink r:id="rId623" ref="B618"/>
    <hyperlink r:id="rId624" ref="B619"/>
    <hyperlink r:id="rId625" ref="B620"/>
    <hyperlink r:id="rId626" ref="B621"/>
    <hyperlink r:id="rId627" ref="B622"/>
    <hyperlink r:id="rId628" ref="B623"/>
    <hyperlink r:id="rId629" ref="B624"/>
    <hyperlink r:id="rId630" ref="B625"/>
    <hyperlink r:id="rId631" ref="B626"/>
    <hyperlink r:id="rId632" ref="B627"/>
    <hyperlink r:id="rId633" ref="B628"/>
    <hyperlink r:id="rId634" ref="B629"/>
    <hyperlink r:id="rId635" ref="B630"/>
    <hyperlink r:id="rId636" ref="B631"/>
    <hyperlink r:id="rId637" ref="B632"/>
    <hyperlink r:id="rId638" ref="B633"/>
    <hyperlink r:id="rId639" ref="B634"/>
    <hyperlink r:id="rId640" ref="B635"/>
    <hyperlink r:id="rId641" ref="B636"/>
    <hyperlink r:id="rId642" ref="B637"/>
    <hyperlink r:id="rId643" ref="B638"/>
    <hyperlink r:id="rId644" ref="B639"/>
    <hyperlink r:id="rId645" ref="B640"/>
    <hyperlink r:id="rId646" ref="B641"/>
    <hyperlink r:id="rId647" ref="B642"/>
    <hyperlink r:id="rId648" ref="B643"/>
    <hyperlink r:id="rId649" ref="B644"/>
    <hyperlink r:id="rId650" ref="B645"/>
    <hyperlink r:id="rId651" ref="B646"/>
    <hyperlink r:id="rId652" ref="B647"/>
    <hyperlink r:id="rId653" ref="B648"/>
    <hyperlink r:id="rId654" ref="B649"/>
    <hyperlink r:id="rId655" ref="B650"/>
    <hyperlink r:id="rId656" ref="B651"/>
    <hyperlink r:id="rId657" ref="B652"/>
    <hyperlink r:id="rId658" ref="B653"/>
    <hyperlink r:id="rId659" ref="B654"/>
    <hyperlink r:id="rId660" ref="B655"/>
    <hyperlink r:id="rId661" ref="B656"/>
    <hyperlink r:id="rId662" ref="B657"/>
    <hyperlink r:id="rId663" ref="B658"/>
    <hyperlink r:id="rId664" ref="B659"/>
    <hyperlink r:id="rId665" ref="B660"/>
    <hyperlink r:id="rId666" ref="B661"/>
    <hyperlink r:id="rId667" ref="B662"/>
    <hyperlink r:id="rId668" ref="B663"/>
    <hyperlink r:id="rId669" ref="B664"/>
    <hyperlink r:id="rId670" ref="B665"/>
    <hyperlink r:id="rId671" ref="B666"/>
    <hyperlink r:id="rId672" ref="B667"/>
    <hyperlink r:id="rId673" ref="B668"/>
    <hyperlink r:id="rId674" ref="B669"/>
    <hyperlink r:id="rId675" ref="B670"/>
    <hyperlink r:id="rId676" ref="B671"/>
    <hyperlink r:id="rId677" ref="B672"/>
    <hyperlink r:id="rId678" ref="B673"/>
    <hyperlink r:id="rId679" ref="B674"/>
    <hyperlink r:id="rId680" ref="B675"/>
    <hyperlink r:id="rId681" ref="B676"/>
    <hyperlink r:id="rId682" ref="B677"/>
    <hyperlink r:id="rId683" ref="B678"/>
    <hyperlink r:id="rId684" ref="B679"/>
    <hyperlink r:id="rId685" ref="B680"/>
    <hyperlink r:id="rId686" ref="B681"/>
    <hyperlink r:id="rId687" ref="B682"/>
    <hyperlink r:id="rId688" ref="B683"/>
    <hyperlink r:id="rId689" ref="B684"/>
    <hyperlink r:id="rId690" ref="B685"/>
    <hyperlink r:id="rId691" ref="B686"/>
    <hyperlink r:id="rId692" ref="B687"/>
    <hyperlink r:id="rId693" ref="B688"/>
    <hyperlink r:id="rId694" ref="B689"/>
    <hyperlink r:id="rId695" ref="B690"/>
    <hyperlink r:id="rId696" ref="B691"/>
    <hyperlink r:id="rId697" ref="B692"/>
    <hyperlink r:id="rId698" ref="B693"/>
    <hyperlink r:id="rId699" ref="B694"/>
    <hyperlink r:id="rId700" ref="B695"/>
    <hyperlink r:id="rId701" ref="B696"/>
    <hyperlink r:id="rId702" ref="B697"/>
    <hyperlink r:id="rId703" ref="B698"/>
    <hyperlink r:id="rId704" ref="B699"/>
    <hyperlink r:id="rId705" ref="B700"/>
    <hyperlink r:id="rId706" ref="B701"/>
    <hyperlink r:id="rId707" ref="B702"/>
    <hyperlink r:id="rId708" ref="B703"/>
    <hyperlink r:id="rId709" ref="B704"/>
    <hyperlink r:id="rId710" ref="B705"/>
    <hyperlink r:id="rId711" ref="B706"/>
    <hyperlink r:id="rId712" ref="B707"/>
    <hyperlink r:id="rId713" ref="B708"/>
    <hyperlink r:id="rId714" ref="B709"/>
    <hyperlink r:id="rId715" ref="B710"/>
    <hyperlink r:id="rId716" ref="B711"/>
    <hyperlink r:id="rId717" ref="B712"/>
    <hyperlink r:id="rId718" ref="B713"/>
    <hyperlink r:id="rId719" ref="B714"/>
    <hyperlink r:id="rId720" ref="B715"/>
    <hyperlink r:id="rId721" ref="B716"/>
    <hyperlink r:id="rId722" ref="B717"/>
    <hyperlink r:id="rId723" ref="B718"/>
    <hyperlink r:id="rId724" ref="B719"/>
    <hyperlink r:id="rId725" ref="B720"/>
    <hyperlink r:id="rId726" ref="B721"/>
    <hyperlink r:id="rId727" ref="B722"/>
    <hyperlink r:id="rId728" ref="B723"/>
    <hyperlink r:id="rId729" ref="B724"/>
    <hyperlink r:id="rId730" ref="B725"/>
    <hyperlink r:id="rId731" ref="B726"/>
    <hyperlink r:id="rId732" ref="B727"/>
    <hyperlink r:id="rId733" ref="B728"/>
    <hyperlink r:id="rId734" ref="B729"/>
    <hyperlink r:id="rId735" ref="B730"/>
    <hyperlink r:id="rId736" ref="B731"/>
    <hyperlink r:id="rId737" ref="B732"/>
    <hyperlink r:id="rId738" ref="B733"/>
    <hyperlink r:id="rId739" ref="B734"/>
    <hyperlink r:id="rId740" ref="B735"/>
    <hyperlink r:id="rId741" ref="B736"/>
    <hyperlink r:id="rId742" ref="B737"/>
    <hyperlink r:id="rId743" ref="B738"/>
    <hyperlink r:id="rId744" ref="B739"/>
    <hyperlink r:id="rId745" ref="B740"/>
    <hyperlink r:id="rId746" ref="B741"/>
    <hyperlink r:id="rId747" ref="B742"/>
    <hyperlink r:id="rId748" ref="B743"/>
    <hyperlink r:id="rId749" ref="B744"/>
    <hyperlink r:id="rId750" ref="B745"/>
    <hyperlink r:id="rId751" ref="B746"/>
    <hyperlink r:id="rId752" ref="B747"/>
    <hyperlink r:id="rId753" ref="B748"/>
    <hyperlink r:id="rId754" ref="B749"/>
    <hyperlink r:id="rId755" ref="B750"/>
    <hyperlink r:id="rId756" ref="B751"/>
    <hyperlink r:id="rId757" ref="B752"/>
    <hyperlink r:id="rId758" ref="B753"/>
    <hyperlink r:id="rId759" ref="B754"/>
    <hyperlink r:id="rId760" ref="B755"/>
    <hyperlink r:id="rId761" ref="B756"/>
    <hyperlink r:id="rId762" ref="B757"/>
    <hyperlink r:id="rId763" ref="B758"/>
    <hyperlink r:id="rId764" ref="B759"/>
    <hyperlink r:id="rId765" ref="B760"/>
    <hyperlink r:id="rId766" ref="B761"/>
    <hyperlink r:id="rId767" ref="B762"/>
    <hyperlink r:id="rId768" ref="B763"/>
    <hyperlink r:id="rId769" ref="B764"/>
    <hyperlink r:id="rId770" ref="B765"/>
    <hyperlink r:id="rId771" ref="B766"/>
    <hyperlink r:id="rId772" ref="B767"/>
    <hyperlink r:id="rId773" ref="B768"/>
    <hyperlink r:id="rId774" ref="B769"/>
    <hyperlink r:id="rId775" ref="B770"/>
    <hyperlink r:id="rId776" ref="B771"/>
    <hyperlink r:id="rId777" ref="B772"/>
    <hyperlink r:id="rId778" ref="B773"/>
    <hyperlink r:id="rId779" ref="B774"/>
    <hyperlink r:id="rId780" ref="B775"/>
    <hyperlink r:id="rId781" ref="B776"/>
    <hyperlink r:id="rId782" ref="B777"/>
    <hyperlink r:id="rId783" ref="B778"/>
    <hyperlink r:id="rId784" ref="B779"/>
    <hyperlink r:id="rId785" ref="B780"/>
    <hyperlink r:id="rId786" ref="B781"/>
    <hyperlink r:id="rId787" ref="B782"/>
    <hyperlink r:id="rId788" ref="B783"/>
    <hyperlink r:id="rId789" ref="B784"/>
    <hyperlink r:id="rId790" ref="B785"/>
    <hyperlink r:id="rId791" ref="B786"/>
    <hyperlink r:id="rId792" ref="B787"/>
    <hyperlink r:id="rId793" ref="B788"/>
    <hyperlink r:id="rId794" ref="B789"/>
    <hyperlink r:id="rId795" ref="B790"/>
    <hyperlink r:id="rId796" ref="B791"/>
    <hyperlink r:id="rId797" ref="B792"/>
    <hyperlink r:id="rId798" ref="B793"/>
    <hyperlink r:id="rId799" ref="B794"/>
    <hyperlink r:id="rId800" ref="B795"/>
    <hyperlink r:id="rId801" ref="B796"/>
    <hyperlink r:id="rId802" ref="B797"/>
    <hyperlink r:id="rId803" ref="B798"/>
    <hyperlink r:id="rId804" ref="B799"/>
    <hyperlink r:id="rId805" ref="B800"/>
    <hyperlink r:id="rId806" ref="B801"/>
    <hyperlink r:id="rId807" ref="B802"/>
    <hyperlink r:id="rId808" ref="B803"/>
    <hyperlink r:id="rId809" ref="B804"/>
    <hyperlink r:id="rId810" ref="B805"/>
    <hyperlink r:id="rId811" ref="B806"/>
    <hyperlink r:id="rId812" ref="B807"/>
    <hyperlink r:id="rId813" ref="B808"/>
    <hyperlink r:id="rId814" ref="B809"/>
    <hyperlink r:id="rId815" ref="B810"/>
    <hyperlink r:id="rId816" ref="B811"/>
    <hyperlink r:id="rId817" ref="B812"/>
    <hyperlink r:id="rId818" ref="B813"/>
    <hyperlink r:id="rId819" ref="B814"/>
    <hyperlink r:id="rId820" ref="B815"/>
    <hyperlink r:id="rId821" ref="B816"/>
    <hyperlink r:id="rId822" ref="B817"/>
    <hyperlink r:id="rId823" ref="B818"/>
    <hyperlink r:id="rId824" ref="B819"/>
    <hyperlink r:id="rId825" ref="B820"/>
    <hyperlink r:id="rId826" ref="B821"/>
    <hyperlink r:id="rId827" ref="B822"/>
    <hyperlink r:id="rId828" ref="B823"/>
    <hyperlink r:id="rId829" ref="B824"/>
    <hyperlink r:id="rId830" ref="B825"/>
    <hyperlink r:id="rId831" ref="B826"/>
    <hyperlink r:id="rId832" ref="B827"/>
    <hyperlink r:id="rId833" ref="B828"/>
    <hyperlink r:id="rId834" ref="B829"/>
    <hyperlink r:id="rId835" ref="B830"/>
    <hyperlink r:id="rId836" ref="B831"/>
    <hyperlink r:id="rId837" ref="B832"/>
    <hyperlink r:id="rId838" ref="B833"/>
    <hyperlink r:id="rId839" ref="B834"/>
    <hyperlink r:id="rId840" ref="B835"/>
    <hyperlink r:id="rId841" ref="B836"/>
    <hyperlink r:id="rId842" ref="B837"/>
    <hyperlink r:id="rId843" ref="B838"/>
    <hyperlink r:id="rId844" ref="B839"/>
    <hyperlink r:id="rId845" ref="B840"/>
    <hyperlink r:id="rId846" ref="B841"/>
    <hyperlink r:id="rId847" ref="B842"/>
    <hyperlink r:id="rId848" ref="B843"/>
    <hyperlink r:id="rId849" ref="B844"/>
    <hyperlink r:id="rId850" ref="B845"/>
    <hyperlink r:id="rId851" ref="B846"/>
    <hyperlink r:id="rId852" ref="B847"/>
    <hyperlink r:id="rId853" ref="B848"/>
    <hyperlink r:id="rId854" ref="B849"/>
    <hyperlink r:id="rId855" ref="B850"/>
    <hyperlink r:id="rId856" ref="B851"/>
    <hyperlink r:id="rId857" ref="B852"/>
    <hyperlink r:id="rId858" ref="B853"/>
    <hyperlink r:id="rId859" ref="B854"/>
    <hyperlink r:id="rId860" ref="B855"/>
    <hyperlink r:id="rId861" ref="B856"/>
    <hyperlink r:id="rId862" ref="B857"/>
    <hyperlink r:id="rId863" ref="B858"/>
    <hyperlink r:id="rId864" ref="B859"/>
    <hyperlink r:id="rId865" ref="B860"/>
    <hyperlink r:id="rId866" ref="B861"/>
    <hyperlink r:id="rId867" ref="B862"/>
    <hyperlink r:id="rId868" ref="B863"/>
    <hyperlink r:id="rId869" ref="B864"/>
    <hyperlink r:id="rId870" ref="B865"/>
    <hyperlink r:id="rId871" ref="B866"/>
    <hyperlink r:id="rId872" ref="B867"/>
    <hyperlink r:id="rId873" ref="B868"/>
    <hyperlink r:id="rId874" ref="B869"/>
    <hyperlink r:id="rId875" ref="B870"/>
    <hyperlink r:id="rId876" ref="B871"/>
    <hyperlink r:id="rId877" ref="B872"/>
    <hyperlink r:id="rId878" ref="B873"/>
    <hyperlink r:id="rId879" ref="B874"/>
    <hyperlink r:id="rId880" ref="B875"/>
    <hyperlink r:id="rId881" ref="B876"/>
    <hyperlink r:id="rId882" ref="B877"/>
    <hyperlink r:id="rId883" ref="B878"/>
    <hyperlink r:id="rId884" ref="B879"/>
    <hyperlink r:id="rId885" ref="B880"/>
    <hyperlink r:id="rId886" ref="B881"/>
    <hyperlink r:id="rId887" ref="B882"/>
    <hyperlink r:id="rId888" ref="B883"/>
    <hyperlink r:id="rId889" ref="B884"/>
    <hyperlink r:id="rId890" ref="B885"/>
    <hyperlink r:id="rId891" ref="B886"/>
    <hyperlink r:id="rId892" ref="B887"/>
    <hyperlink r:id="rId893" ref="B888"/>
    <hyperlink r:id="rId894" ref="B889"/>
    <hyperlink r:id="rId895" ref="B890"/>
    <hyperlink r:id="rId896" ref="B891"/>
    <hyperlink r:id="rId897" ref="B892"/>
    <hyperlink r:id="rId898" ref="B893"/>
    <hyperlink r:id="rId899" ref="B894"/>
    <hyperlink r:id="rId900" ref="B895"/>
    <hyperlink r:id="rId901" ref="B896"/>
    <hyperlink r:id="rId902" ref="B897"/>
    <hyperlink r:id="rId903" ref="B898"/>
    <hyperlink r:id="rId904" ref="B899"/>
    <hyperlink r:id="rId905" ref="B900"/>
    <hyperlink r:id="rId906" ref="B901"/>
    <hyperlink r:id="rId907" ref="B902"/>
    <hyperlink r:id="rId908" ref="B903"/>
    <hyperlink r:id="rId909" ref="B904"/>
    <hyperlink r:id="rId910" ref="B905"/>
    <hyperlink r:id="rId911" ref="B906"/>
    <hyperlink r:id="rId912" ref="B907"/>
    <hyperlink r:id="rId913" ref="B908"/>
    <hyperlink r:id="rId914" ref="B909"/>
    <hyperlink r:id="rId915" ref="B910"/>
    <hyperlink r:id="rId916" ref="B911"/>
    <hyperlink r:id="rId917" ref="B912"/>
    <hyperlink r:id="rId918" ref="B913"/>
    <hyperlink r:id="rId919" ref="B914"/>
    <hyperlink r:id="rId920" ref="B915"/>
    <hyperlink r:id="rId921" ref="B916"/>
    <hyperlink r:id="rId922" ref="B917"/>
    <hyperlink r:id="rId923" ref="B918"/>
    <hyperlink r:id="rId924" ref="B919"/>
    <hyperlink r:id="rId925" ref="B920"/>
    <hyperlink r:id="rId926" ref="B921"/>
    <hyperlink r:id="rId927" ref="B922"/>
    <hyperlink r:id="rId928" ref="B923"/>
    <hyperlink r:id="rId929" ref="B924"/>
    <hyperlink r:id="rId930" ref="B925"/>
    <hyperlink r:id="rId931" ref="B926"/>
    <hyperlink r:id="rId932" ref="B927"/>
    <hyperlink r:id="rId933" ref="B928"/>
    <hyperlink r:id="rId934" ref="B929"/>
    <hyperlink r:id="rId935" ref="B930"/>
    <hyperlink r:id="rId936" ref="B931"/>
    <hyperlink r:id="rId937" ref="B932"/>
    <hyperlink r:id="rId938" ref="B933"/>
    <hyperlink r:id="rId939" ref="B934"/>
    <hyperlink r:id="rId940" ref="B935"/>
    <hyperlink r:id="rId941" ref="B936"/>
    <hyperlink r:id="rId942" ref="B937"/>
    <hyperlink r:id="rId943" ref="B938"/>
    <hyperlink r:id="rId944" ref="B939"/>
    <hyperlink r:id="rId945" ref="B940"/>
    <hyperlink r:id="rId946" ref="B941"/>
    <hyperlink r:id="rId947" ref="B942"/>
    <hyperlink r:id="rId948" ref="B943"/>
    <hyperlink r:id="rId949" ref="B944"/>
    <hyperlink r:id="rId950" ref="B945"/>
    <hyperlink r:id="rId951" ref="B946"/>
    <hyperlink r:id="rId952" ref="B947"/>
    <hyperlink r:id="rId953" ref="B948"/>
    <hyperlink r:id="rId954" ref="B949"/>
    <hyperlink r:id="rId955" ref="B950"/>
    <hyperlink r:id="rId956" ref="B951"/>
    <hyperlink r:id="rId957" ref="B952"/>
    <hyperlink r:id="rId958" ref="B953"/>
    <hyperlink r:id="rId959" ref="B954"/>
    <hyperlink r:id="rId960" ref="B955"/>
    <hyperlink r:id="rId961" ref="B956"/>
    <hyperlink r:id="rId962" ref="B957"/>
    <hyperlink r:id="rId963" ref="B958"/>
    <hyperlink r:id="rId964" ref="B959"/>
    <hyperlink r:id="rId965" ref="B960"/>
    <hyperlink r:id="rId966" ref="B961"/>
    <hyperlink r:id="rId967" ref="B962"/>
    <hyperlink r:id="rId968" ref="B963"/>
    <hyperlink r:id="rId969" ref="B964"/>
    <hyperlink r:id="rId970" ref="B965"/>
    <hyperlink r:id="rId971" ref="B966"/>
    <hyperlink r:id="rId972" ref="B967"/>
    <hyperlink r:id="rId973" ref="B968"/>
    <hyperlink r:id="rId974" ref="B969"/>
    <hyperlink r:id="rId975" ref="B970"/>
    <hyperlink r:id="rId976" ref="B971"/>
    <hyperlink r:id="rId977" ref="B972"/>
    <hyperlink r:id="rId978" ref="B973"/>
    <hyperlink r:id="rId979" ref="B974"/>
    <hyperlink r:id="rId980" ref="B975"/>
    <hyperlink r:id="rId981" ref="B976"/>
    <hyperlink r:id="rId982" ref="B977"/>
    <hyperlink r:id="rId983" ref="B978"/>
    <hyperlink r:id="rId984" ref="B979"/>
    <hyperlink r:id="rId985" ref="B980"/>
    <hyperlink r:id="rId986" ref="B981"/>
    <hyperlink r:id="rId987" ref="B982"/>
    <hyperlink r:id="rId988" ref="B983"/>
    <hyperlink r:id="rId989" ref="B984"/>
    <hyperlink r:id="rId990" ref="B985"/>
    <hyperlink r:id="rId991" ref="B986"/>
    <hyperlink r:id="rId992" ref="B987"/>
    <hyperlink r:id="rId993" ref="B988"/>
    <hyperlink r:id="rId994" ref="B989"/>
    <hyperlink r:id="rId995" ref="B990"/>
    <hyperlink r:id="rId996" ref="B991"/>
    <hyperlink r:id="rId997" ref="B992"/>
    <hyperlink r:id="rId998" ref="B993"/>
    <hyperlink r:id="rId999" ref="B994"/>
    <hyperlink r:id="rId1000" ref="B995"/>
    <hyperlink r:id="rId1001" ref="B996"/>
    <hyperlink r:id="rId1002" ref="B997"/>
    <hyperlink r:id="rId1003" ref="B998"/>
    <hyperlink r:id="rId1004" ref="B999"/>
    <hyperlink r:id="rId1005" ref="B1000"/>
    <hyperlink r:id="rId1006" ref="B1001"/>
    <hyperlink r:id="rId1007" ref="B1002"/>
    <hyperlink r:id="rId1008" ref="B1003"/>
    <hyperlink r:id="rId1009" ref="B1004"/>
    <hyperlink r:id="rId1010" ref="B1005"/>
    <hyperlink r:id="rId1011" ref="B1006"/>
    <hyperlink r:id="rId1012" ref="B1007"/>
    <hyperlink r:id="rId1013" ref="B1008"/>
    <hyperlink r:id="rId1014" ref="B1009"/>
    <hyperlink r:id="rId1015" ref="B1010"/>
    <hyperlink r:id="rId1016" ref="B1011"/>
    <hyperlink r:id="rId1017" ref="B1012"/>
    <hyperlink r:id="rId1018" ref="B1013"/>
    <hyperlink r:id="rId1019" ref="B1014"/>
    <hyperlink r:id="rId1020" ref="B1015"/>
    <hyperlink r:id="rId1021" ref="B1016"/>
    <hyperlink r:id="rId1022" ref="B1017"/>
    <hyperlink r:id="rId1023" ref="B1018"/>
    <hyperlink r:id="rId1024" ref="B1019"/>
    <hyperlink r:id="rId1025" ref="B1020"/>
    <hyperlink r:id="rId1026" ref="B1021"/>
    <hyperlink r:id="rId1027" ref="B1022"/>
    <hyperlink r:id="rId1028" ref="B1023"/>
    <hyperlink r:id="rId1029" ref="B1024"/>
    <hyperlink r:id="rId1030" ref="B1025"/>
    <hyperlink r:id="rId1031" ref="B1026"/>
    <hyperlink r:id="rId1032" ref="B1027"/>
    <hyperlink r:id="rId1033" ref="B1028"/>
    <hyperlink r:id="rId1034" ref="B1029"/>
    <hyperlink r:id="rId1035" ref="B1030"/>
    <hyperlink r:id="rId1036" ref="B1031"/>
    <hyperlink r:id="rId1037" ref="B1032"/>
    <hyperlink r:id="rId1038" ref="B1033"/>
    <hyperlink r:id="rId1039" ref="B1034"/>
    <hyperlink r:id="rId1040" ref="B1035"/>
    <hyperlink r:id="rId1041" ref="B1036"/>
    <hyperlink r:id="rId1042" ref="B1037"/>
    <hyperlink r:id="rId1043" ref="B1038"/>
    <hyperlink r:id="rId1044" ref="B1039"/>
    <hyperlink r:id="rId1045" ref="B1040"/>
    <hyperlink r:id="rId1046" ref="B1041"/>
    <hyperlink r:id="rId1047" ref="B1042"/>
    <hyperlink r:id="rId1048" ref="B1043"/>
    <hyperlink r:id="rId1049" ref="B1044"/>
    <hyperlink r:id="rId1050" ref="B1045"/>
    <hyperlink r:id="rId1051" ref="B1046"/>
    <hyperlink r:id="rId1052" ref="B1047"/>
    <hyperlink r:id="rId1053" ref="B1048"/>
    <hyperlink r:id="rId1054" ref="B1049"/>
    <hyperlink r:id="rId1055" ref="B1050"/>
    <hyperlink r:id="rId1056" ref="B1051"/>
    <hyperlink r:id="rId1057" ref="B1052"/>
    <hyperlink r:id="rId1058" ref="B1053"/>
    <hyperlink r:id="rId1059" ref="B1054"/>
    <hyperlink r:id="rId1060" ref="B1055"/>
    <hyperlink r:id="rId1061" ref="B1056"/>
    <hyperlink r:id="rId1062" ref="B1057"/>
    <hyperlink r:id="rId1063" ref="B1058"/>
    <hyperlink r:id="rId1064" ref="B1059"/>
    <hyperlink r:id="rId1065" ref="B1060"/>
    <hyperlink r:id="rId1066" ref="B1061"/>
    <hyperlink r:id="rId1067" ref="B1062"/>
    <hyperlink r:id="rId1068" ref="B1063"/>
    <hyperlink r:id="rId1069" ref="B1064"/>
    <hyperlink r:id="rId1070" ref="B1065"/>
    <hyperlink r:id="rId1071" ref="B1066"/>
    <hyperlink r:id="rId1072" ref="B1067"/>
    <hyperlink r:id="rId1073" ref="B1068"/>
    <hyperlink r:id="rId1074" ref="B1069"/>
    <hyperlink r:id="rId1075" ref="B1070"/>
    <hyperlink r:id="rId1076" ref="B1071"/>
    <hyperlink r:id="rId1077" ref="B1072"/>
    <hyperlink r:id="rId1078" ref="B1073"/>
    <hyperlink r:id="rId1079" ref="B1074"/>
    <hyperlink r:id="rId1080" ref="B1075"/>
    <hyperlink r:id="rId1081" ref="B1076"/>
    <hyperlink r:id="rId1082" ref="B1077"/>
    <hyperlink r:id="rId1083" ref="B1078"/>
    <hyperlink r:id="rId1084" ref="B1079"/>
    <hyperlink r:id="rId1085" ref="B1080"/>
    <hyperlink r:id="rId1086" ref="B1081"/>
    <hyperlink r:id="rId1087" ref="B1082"/>
    <hyperlink r:id="rId1088" ref="B1083"/>
    <hyperlink r:id="rId1089" ref="B1084"/>
    <hyperlink r:id="rId1090" ref="B1085"/>
    <hyperlink r:id="rId1091" ref="B1086"/>
    <hyperlink r:id="rId1092" ref="B1087"/>
    <hyperlink r:id="rId1093" ref="B1088"/>
    <hyperlink r:id="rId1094" ref="B1089"/>
    <hyperlink r:id="rId1095" ref="B1090"/>
    <hyperlink r:id="rId1096" ref="B1091"/>
    <hyperlink r:id="rId1097" ref="B1092"/>
    <hyperlink r:id="rId1098" ref="B1093"/>
    <hyperlink r:id="rId1099" ref="B1094"/>
    <hyperlink r:id="rId1100" ref="B1095"/>
    <hyperlink r:id="rId1101" ref="B1096"/>
    <hyperlink r:id="rId1102" ref="B1097"/>
    <hyperlink r:id="rId1103" ref="B1098"/>
    <hyperlink r:id="rId1104" ref="B1099"/>
    <hyperlink r:id="rId1105" ref="B1100"/>
    <hyperlink r:id="rId1106" ref="B1101"/>
    <hyperlink r:id="rId1107" ref="B1102"/>
    <hyperlink r:id="rId1108" ref="B1103"/>
    <hyperlink r:id="rId1109" ref="B1104"/>
    <hyperlink r:id="rId1110" ref="B1105"/>
    <hyperlink r:id="rId1111" ref="B1106"/>
    <hyperlink r:id="rId1112" ref="B1107"/>
    <hyperlink r:id="rId1113" ref="B1108"/>
    <hyperlink r:id="rId1114" ref="B1109"/>
    <hyperlink r:id="rId1115" ref="B1110"/>
    <hyperlink r:id="rId1116" ref="B1111"/>
    <hyperlink r:id="rId1117" ref="B1112"/>
    <hyperlink r:id="rId1118" ref="B1113"/>
    <hyperlink r:id="rId1119" ref="B1114"/>
    <hyperlink r:id="rId1120" ref="B1115"/>
    <hyperlink r:id="rId1121" ref="B1116"/>
    <hyperlink r:id="rId1122" ref="B1117"/>
    <hyperlink r:id="rId1123" ref="B1118"/>
    <hyperlink r:id="rId1124" ref="B1119"/>
    <hyperlink r:id="rId1125" ref="B1120"/>
    <hyperlink r:id="rId1126" ref="B1121"/>
    <hyperlink r:id="rId1127" ref="B1122"/>
    <hyperlink r:id="rId1128" ref="B1123"/>
    <hyperlink r:id="rId1129" ref="B1124"/>
    <hyperlink r:id="rId1130" ref="B1125"/>
    <hyperlink r:id="rId1131" ref="B1126"/>
    <hyperlink r:id="rId1132" ref="B1127"/>
    <hyperlink r:id="rId1133" ref="B1128"/>
    <hyperlink r:id="rId1134" ref="B1129"/>
    <hyperlink r:id="rId1135" ref="B1130"/>
    <hyperlink r:id="rId1136" ref="B1131"/>
    <hyperlink r:id="rId1137" ref="B1132"/>
    <hyperlink r:id="rId1138" ref="B1133"/>
    <hyperlink r:id="rId1139" ref="B1134"/>
    <hyperlink r:id="rId1140" ref="B1135"/>
    <hyperlink r:id="rId1141" ref="B1136"/>
    <hyperlink r:id="rId1142" ref="B1137"/>
    <hyperlink r:id="rId1143" ref="B1138"/>
    <hyperlink r:id="rId1144" ref="B1139"/>
    <hyperlink r:id="rId1145" ref="B1140"/>
    <hyperlink r:id="rId1146" ref="B1141"/>
    <hyperlink r:id="rId1147" ref="B1142"/>
    <hyperlink r:id="rId1148" ref="B1143"/>
    <hyperlink r:id="rId1149" ref="B1144"/>
    <hyperlink r:id="rId1150" ref="B1145"/>
    <hyperlink r:id="rId1151" ref="B1146"/>
    <hyperlink r:id="rId1152" ref="B1147"/>
    <hyperlink r:id="rId1153" ref="B1148"/>
    <hyperlink r:id="rId1154" ref="B1149"/>
    <hyperlink r:id="rId1155" ref="B1150"/>
    <hyperlink r:id="rId1156" ref="B1151"/>
    <hyperlink r:id="rId1157" ref="B1152"/>
    <hyperlink r:id="rId1158" ref="B1153"/>
    <hyperlink r:id="rId1159" ref="B1154"/>
    <hyperlink r:id="rId1160" ref="B1155"/>
    <hyperlink r:id="rId1161" ref="B1156"/>
    <hyperlink r:id="rId1162" ref="B1157"/>
    <hyperlink r:id="rId1163" ref="B1158"/>
    <hyperlink r:id="rId1164" ref="B1159"/>
    <hyperlink r:id="rId1165" ref="B1160"/>
    <hyperlink r:id="rId1166" ref="B1161"/>
    <hyperlink r:id="rId1167" ref="B1162"/>
    <hyperlink r:id="rId1168" ref="B1163"/>
    <hyperlink r:id="rId1169" ref="B1164"/>
    <hyperlink r:id="rId1170" ref="B1165"/>
    <hyperlink r:id="rId1171" ref="B1166"/>
    <hyperlink r:id="rId1172" ref="B1167"/>
    <hyperlink r:id="rId1173" ref="B1168"/>
    <hyperlink r:id="rId1174" ref="B1169"/>
    <hyperlink r:id="rId1175" ref="B1170"/>
    <hyperlink r:id="rId1176" ref="B1171"/>
    <hyperlink r:id="rId1177" ref="B1172"/>
    <hyperlink r:id="rId1178" ref="B1173"/>
    <hyperlink r:id="rId1179" ref="B1174"/>
    <hyperlink r:id="rId1180" ref="B1175"/>
    <hyperlink r:id="rId1181" ref="B1176"/>
    <hyperlink r:id="rId1182" ref="B1177"/>
    <hyperlink r:id="rId1183" ref="B1178"/>
    <hyperlink r:id="rId1184" ref="B1179"/>
    <hyperlink r:id="rId1185" ref="B1180"/>
    <hyperlink r:id="rId1186" ref="B1181"/>
    <hyperlink r:id="rId1187" ref="B1182"/>
    <hyperlink r:id="rId1188" ref="B1183"/>
    <hyperlink r:id="rId1189" ref="B1184"/>
    <hyperlink r:id="rId1190" ref="B1185"/>
    <hyperlink r:id="rId1191" ref="B1186"/>
    <hyperlink r:id="rId1192" ref="B1187"/>
    <hyperlink r:id="rId1193" ref="B1188"/>
    <hyperlink r:id="rId1194" ref="B1189"/>
    <hyperlink r:id="rId1195" ref="B1190"/>
    <hyperlink r:id="rId1196" ref="B1191"/>
    <hyperlink r:id="rId1197" ref="B1192"/>
    <hyperlink r:id="rId1198" ref="B1193"/>
    <hyperlink r:id="rId1199" ref="B1194"/>
    <hyperlink r:id="rId1200" ref="B1195"/>
    <hyperlink r:id="rId1201" ref="B1196"/>
    <hyperlink r:id="rId1202" ref="B1197"/>
    <hyperlink r:id="rId1203" ref="B1198"/>
    <hyperlink r:id="rId1204" ref="B1199"/>
    <hyperlink r:id="rId1205" ref="B1200"/>
    <hyperlink r:id="rId1206" ref="B1201"/>
    <hyperlink r:id="rId1207" ref="B1202"/>
    <hyperlink r:id="rId1208" ref="B1203"/>
    <hyperlink r:id="rId1209" ref="B1204"/>
    <hyperlink r:id="rId1210" ref="B1205"/>
    <hyperlink r:id="rId1211" ref="B1206"/>
    <hyperlink r:id="rId1212" ref="B1207"/>
    <hyperlink r:id="rId1213" ref="B1208"/>
    <hyperlink r:id="rId1214" ref="B1209"/>
    <hyperlink r:id="rId1215" ref="B1210"/>
    <hyperlink r:id="rId1216" ref="B1211"/>
    <hyperlink r:id="rId1217" ref="B1212"/>
    <hyperlink r:id="rId1218" ref="B1213"/>
    <hyperlink r:id="rId1219" ref="B1214"/>
    <hyperlink r:id="rId1220" ref="B1215"/>
    <hyperlink r:id="rId1221" ref="B1216"/>
    <hyperlink r:id="rId1222" ref="B1217"/>
    <hyperlink r:id="rId1223" ref="B1218"/>
    <hyperlink r:id="rId1224" ref="B1219"/>
    <hyperlink r:id="rId1225" ref="B1220"/>
    <hyperlink r:id="rId1226" ref="B1221"/>
    <hyperlink r:id="rId1227" ref="B1222"/>
    <hyperlink r:id="rId1228" ref="B1223"/>
    <hyperlink r:id="rId1229" ref="B1224"/>
    <hyperlink r:id="rId1230" ref="B1225"/>
    <hyperlink r:id="rId1231" ref="B1226"/>
    <hyperlink r:id="rId1232" ref="B1227"/>
    <hyperlink r:id="rId1233" ref="B1228"/>
    <hyperlink r:id="rId1234" ref="B1229"/>
    <hyperlink r:id="rId1235" ref="B1230"/>
    <hyperlink r:id="rId1236" ref="B1231"/>
    <hyperlink r:id="rId1237" ref="B1232"/>
    <hyperlink r:id="rId1238" ref="B1233"/>
    <hyperlink r:id="rId1239" ref="B1234"/>
    <hyperlink r:id="rId1240" ref="B1235"/>
    <hyperlink r:id="rId1241" ref="B1236"/>
    <hyperlink r:id="rId1242" ref="B1237"/>
    <hyperlink r:id="rId1243" ref="B1238"/>
    <hyperlink r:id="rId1244" ref="B1239"/>
    <hyperlink r:id="rId1245" ref="B1240"/>
    <hyperlink r:id="rId1246" ref="B1241"/>
    <hyperlink r:id="rId1247" ref="B1242"/>
    <hyperlink r:id="rId1248" ref="B1243"/>
    <hyperlink r:id="rId1249" ref="B1244"/>
    <hyperlink r:id="rId1250" ref="B1245"/>
    <hyperlink r:id="rId1251" ref="B1246"/>
    <hyperlink r:id="rId1252" ref="B1247"/>
    <hyperlink r:id="rId1253" ref="B1248"/>
    <hyperlink r:id="rId1254" ref="B1249"/>
    <hyperlink r:id="rId1255" ref="B1250"/>
    <hyperlink r:id="rId1256" ref="B1251"/>
    <hyperlink r:id="rId1257" ref="B1252"/>
    <hyperlink r:id="rId1258" ref="B1253"/>
    <hyperlink r:id="rId1259" ref="B1254"/>
    <hyperlink r:id="rId1260" ref="B1255"/>
    <hyperlink r:id="rId1261" ref="B1256"/>
    <hyperlink r:id="rId1262" ref="B1257"/>
    <hyperlink r:id="rId1263" ref="B1258"/>
    <hyperlink r:id="rId1264" ref="B1259"/>
    <hyperlink r:id="rId1265" ref="B1260"/>
    <hyperlink r:id="rId1266" ref="B1261"/>
    <hyperlink r:id="rId1267" ref="B1262"/>
    <hyperlink r:id="rId1268" ref="B1263"/>
    <hyperlink r:id="rId1269" ref="B1264"/>
    <hyperlink r:id="rId1270" ref="B1265"/>
    <hyperlink r:id="rId1271" ref="B1266"/>
    <hyperlink r:id="rId1272" ref="B1267"/>
    <hyperlink r:id="rId1273" ref="B1268"/>
    <hyperlink r:id="rId1274" ref="B1269"/>
    <hyperlink r:id="rId1275" ref="B1270"/>
    <hyperlink r:id="rId1276" ref="B1271"/>
    <hyperlink r:id="rId1277" ref="B1272"/>
    <hyperlink r:id="rId1278" ref="B1273"/>
    <hyperlink r:id="rId1279" ref="B1274"/>
    <hyperlink r:id="rId1280" ref="B1275"/>
    <hyperlink r:id="rId1281" ref="B1276"/>
    <hyperlink r:id="rId1282" ref="B1277"/>
    <hyperlink r:id="rId1283" ref="B1278"/>
    <hyperlink r:id="rId1284" ref="B1279"/>
    <hyperlink r:id="rId1285" ref="B1280"/>
    <hyperlink r:id="rId1286" ref="B1281"/>
    <hyperlink r:id="rId1287" ref="B1282"/>
    <hyperlink r:id="rId1288" ref="B1283"/>
    <hyperlink r:id="rId1289" ref="B1284"/>
    <hyperlink r:id="rId1290" ref="B1285"/>
    <hyperlink r:id="rId1291" ref="B1286"/>
    <hyperlink r:id="rId1292" ref="B1287"/>
    <hyperlink r:id="rId1293" ref="B1288"/>
    <hyperlink r:id="rId1294" ref="B1289"/>
    <hyperlink r:id="rId1295" ref="B1290"/>
    <hyperlink r:id="rId1296" ref="B1291"/>
    <hyperlink r:id="rId1297" ref="B1292"/>
    <hyperlink r:id="rId1298" ref="B1293"/>
    <hyperlink r:id="rId1299" ref="B1294"/>
    <hyperlink r:id="rId1300" ref="B1295"/>
    <hyperlink r:id="rId1301" ref="B1296"/>
    <hyperlink r:id="rId1302" ref="B1297"/>
    <hyperlink r:id="rId1303" ref="B1298"/>
    <hyperlink r:id="rId1304" ref="B1299"/>
    <hyperlink r:id="rId1305" ref="B1300"/>
    <hyperlink r:id="rId1306" ref="B1301"/>
    <hyperlink r:id="rId1307" ref="B1302"/>
    <hyperlink r:id="rId1308" ref="B1303"/>
    <hyperlink r:id="rId1309" ref="B1304"/>
    <hyperlink r:id="rId1310" ref="B1305"/>
    <hyperlink r:id="rId1311" ref="B1306"/>
    <hyperlink r:id="rId1312" ref="B1307"/>
    <hyperlink r:id="rId1313" ref="B1308"/>
    <hyperlink r:id="rId1314" ref="B1309"/>
    <hyperlink r:id="rId1315" ref="B1310"/>
    <hyperlink r:id="rId1316" ref="B1311"/>
    <hyperlink r:id="rId1317" ref="B1312"/>
    <hyperlink r:id="rId1318" ref="B1313"/>
    <hyperlink r:id="rId1319" ref="B1314"/>
    <hyperlink r:id="rId1320" ref="B1315"/>
    <hyperlink r:id="rId1321" ref="B1316"/>
    <hyperlink r:id="rId1322" ref="B1317"/>
    <hyperlink r:id="rId1323" ref="B1318"/>
    <hyperlink r:id="rId1324" ref="B1319"/>
    <hyperlink r:id="rId1325" ref="B1320"/>
    <hyperlink r:id="rId1326" ref="B1321"/>
    <hyperlink r:id="rId1327" ref="B1322"/>
    <hyperlink r:id="rId1328" ref="B1323"/>
    <hyperlink r:id="rId1329" ref="B1324"/>
    <hyperlink r:id="rId1330" ref="B1325"/>
    <hyperlink r:id="rId1331" ref="B1326"/>
    <hyperlink r:id="rId1332" ref="B1327"/>
    <hyperlink r:id="rId1333" ref="B1328"/>
    <hyperlink r:id="rId1334" ref="B1329"/>
    <hyperlink r:id="rId1335" ref="B1330"/>
    <hyperlink r:id="rId1336" ref="B1331"/>
    <hyperlink r:id="rId1337" ref="B1332"/>
    <hyperlink r:id="rId1338" ref="B1333"/>
    <hyperlink r:id="rId1339" ref="B1334"/>
    <hyperlink r:id="rId1340" ref="B1335"/>
    <hyperlink r:id="rId1341" ref="B1336"/>
    <hyperlink r:id="rId1342" ref="B1337"/>
    <hyperlink r:id="rId1343" ref="B1338"/>
    <hyperlink r:id="rId1344" ref="B1339"/>
    <hyperlink r:id="rId1345" ref="B1340"/>
    <hyperlink r:id="rId1346" ref="B1341"/>
    <hyperlink r:id="rId1347" ref="B1342"/>
    <hyperlink r:id="rId1348" ref="B1343"/>
    <hyperlink r:id="rId1349" ref="B1344"/>
    <hyperlink r:id="rId1350" ref="B1345"/>
    <hyperlink r:id="rId1351" ref="B1346"/>
    <hyperlink r:id="rId1352" ref="B1347"/>
    <hyperlink r:id="rId1353" ref="B1348"/>
    <hyperlink r:id="rId1354" ref="B1349"/>
    <hyperlink r:id="rId1355" ref="B1350"/>
    <hyperlink r:id="rId1356" ref="B1351"/>
    <hyperlink r:id="rId1357" ref="B1352"/>
    <hyperlink r:id="rId1358" ref="B1353"/>
    <hyperlink r:id="rId1359" ref="B1354"/>
    <hyperlink r:id="rId1360" ref="B1355"/>
    <hyperlink r:id="rId1361" ref="B1356"/>
    <hyperlink r:id="rId1362" ref="B1357"/>
    <hyperlink r:id="rId1363" ref="B1358"/>
    <hyperlink r:id="rId1364" ref="B1359"/>
    <hyperlink r:id="rId1365" ref="B1360"/>
    <hyperlink r:id="rId1366" ref="B1361"/>
    <hyperlink r:id="rId1367" ref="B1362"/>
    <hyperlink r:id="rId1368" ref="B1363"/>
    <hyperlink r:id="rId1369" ref="B1364"/>
    <hyperlink r:id="rId1370" ref="B1365"/>
    <hyperlink r:id="rId1371" ref="B1366"/>
    <hyperlink r:id="rId1372" ref="B1367"/>
    <hyperlink r:id="rId1373" ref="B1368"/>
    <hyperlink r:id="rId1374" ref="B1369"/>
    <hyperlink r:id="rId1375" ref="B1370"/>
    <hyperlink r:id="rId1376" ref="B1371"/>
    <hyperlink r:id="rId1377" ref="B1372"/>
    <hyperlink r:id="rId1378" ref="B1373"/>
    <hyperlink r:id="rId1379" ref="B1374"/>
    <hyperlink r:id="rId1380" ref="B1375"/>
    <hyperlink r:id="rId1381" ref="B1376"/>
    <hyperlink r:id="rId1382" ref="B1377"/>
    <hyperlink r:id="rId1383" ref="B1378"/>
    <hyperlink r:id="rId1384" ref="B1379"/>
    <hyperlink r:id="rId1385" ref="B1380"/>
    <hyperlink r:id="rId1386" ref="B1381"/>
    <hyperlink r:id="rId1387" ref="B1382"/>
    <hyperlink r:id="rId1388" ref="B1383"/>
    <hyperlink r:id="rId1389" ref="B1384"/>
  </hyperlinks>
  <drawing r:id="rId139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75"/>
    <col customWidth="1" min="3" max="3" width="16.13"/>
  </cols>
  <sheetData>
    <row r="1">
      <c r="B1" s="1576" t="s">
        <v>12351</v>
      </c>
    </row>
    <row r="2">
      <c r="B2" s="1577" t="s">
        <v>12352</v>
      </c>
    </row>
    <row r="4">
      <c r="A4" s="234"/>
      <c r="B4" s="1578" t="s">
        <v>181</v>
      </c>
      <c r="C4" s="234"/>
      <c r="D4" s="234"/>
      <c r="E4" s="234"/>
      <c r="F4" s="234"/>
      <c r="G4" s="234"/>
    </row>
    <row r="5">
      <c r="B5" s="41" t="s">
        <v>12353</v>
      </c>
      <c r="C5" s="1463">
        <v>3.75</v>
      </c>
    </row>
    <row r="6">
      <c r="B6" s="41" t="s">
        <v>12354</v>
      </c>
      <c r="C6" s="1463">
        <v>2.23</v>
      </c>
    </row>
    <row r="7">
      <c r="B7" s="41" t="s">
        <v>12355</v>
      </c>
      <c r="C7" s="1463"/>
      <c r="D7" s="1515" t="s">
        <v>12356</v>
      </c>
    </row>
    <row r="9">
      <c r="B9" s="41" t="s">
        <v>12357</v>
      </c>
      <c r="C9" s="1463">
        <v>4.75</v>
      </c>
    </row>
    <row r="10">
      <c r="B10" s="41" t="s">
        <v>12358</v>
      </c>
      <c r="C10" s="1463">
        <v>2.47</v>
      </c>
    </row>
    <row r="11">
      <c r="B11" s="41" t="s">
        <v>12359</v>
      </c>
      <c r="C11" s="1463"/>
    </row>
    <row r="14">
      <c r="B14" s="41" t="s">
        <v>12360</v>
      </c>
      <c r="C14" s="1579" t="str">
        <f>IF(ISBLANK(C7), 
   "=(" &amp; C5 &amp; "-" &amp; C9 &amp; ")/SQRT((" &amp; C6 &amp; "^2+" &amp; C10 &amp; "^2)/2)", 
   "=(" &amp; C5 &amp; "-" &amp; C9 &amp; ")/SQRT(((" &amp; C7 &amp; "-1)*" &amp; C6 &amp; "^2+(" &amp; C11 &amp; "-1)*" &amp; C10 &amp; "^2)/(" &amp; C7 &amp; "+" &amp; C11 &amp; "-2)))"
)
</f>
        <v>=(3.75-4.75)/SQRT((2.23^2+2.47^2)/2)</v>
      </c>
    </row>
    <row r="15">
      <c r="B15" s="41" t="s">
        <v>12361</v>
      </c>
      <c r="C15" s="1580">
        <f>IF(ISBLANK(C7), 
   (C5-C9)/sqrt((C6^2+C10^2)/2), 
   (C5-C9)/SQRT(((C7-1)*C6^2+(C11-1)*C10^2)/(C7+C11-2))
)</f>
        <v>-0.4249782071</v>
      </c>
    </row>
    <row r="16">
      <c r="B16" s="1581"/>
    </row>
    <row r="17">
      <c r="A17" s="234"/>
      <c r="B17" s="1578" t="s">
        <v>12362</v>
      </c>
      <c r="C17" s="234"/>
      <c r="D17" s="234"/>
      <c r="E17" s="234"/>
      <c r="F17" s="234"/>
      <c r="G17" s="234"/>
    </row>
    <row r="18">
      <c r="C18" s="41"/>
      <c r="D18" s="41"/>
    </row>
    <row r="19">
      <c r="B19" s="1582" t="s">
        <v>12363</v>
      </c>
      <c r="C19" s="483"/>
      <c r="D19" s="483"/>
      <c r="E19" s="484"/>
      <c r="F19" s="484"/>
      <c r="G19" s="484"/>
    </row>
    <row r="20">
      <c r="C20" s="41"/>
      <c r="D20" s="41"/>
    </row>
    <row r="21">
      <c r="C21" s="1583" t="s">
        <v>12364</v>
      </c>
      <c r="D21" s="1583" t="s">
        <v>12365</v>
      </c>
    </row>
    <row r="22">
      <c r="B22" s="41" t="s">
        <v>12366</v>
      </c>
      <c r="C22" s="1463">
        <v>2.0</v>
      </c>
      <c r="D22" s="1463">
        <v>2.0</v>
      </c>
    </row>
    <row r="23">
      <c r="B23" s="41" t="s">
        <v>12367</v>
      </c>
      <c r="C23" s="1463">
        <v>3.0</v>
      </c>
      <c r="D23" s="1463">
        <v>1.0</v>
      </c>
    </row>
    <row r="25">
      <c r="B25" s="41" t="s">
        <v>12368</v>
      </c>
      <c r="C25" s="1579" t="str">
        <f> "=(" &amp; C22 &amp; "/" &amp; D22 &amp; ")/(" &amp; C23 &amp; "/" &amp; D23 &amp; ")"
</f>
        <v>=(2/2)/(3/1)</v>
      </c>
    </row>
    <row r="26">
      <c r="B26" s="41" t="s">
        <v>12369</v>
      </c>
      <c r="C26" s="1580">
        <f>(C22/D22)/(C23/D23)</f>
        <v>0.3333333333</v>
      </c>
    </row>
    <row r="28">
      <c r="B28" s="1582" t="s">
        <v>12370</v>
      </c>
      <c r="C28" s="484"/>
      <c r="D28" s="484"/>
      <c r="E28" s="484"/>
      <c r="F28" s="484"/>
      <c r="G28" s="484"/>
    </row>
    <row r="30">
      <c r="B30" s="41" t="s">
        <v>12366</v>
      </c>
      <c r="C30" s="1584">
        <v>0.512</v>
      </c>
    </row>
    <row r="31">
      <c r="B31" s="41" t="s">
        <v>12367</v>
      </c>
      <c r="C31" s="1584">
        <v>0.127</v>
      </c>
    </row>
    <row r="33">
      <c r="B33" s="41" t="s">
        <v>12368</v>
      </c>
      <c r="C33" s="1579" t="str">
        <f> "=(" &amp; C30 &amp; "/(1-" &amp; C30 &amp; "))/(" &amp; C31 &amp; "/(1-" &amp; C31 &amp; "))"
</f>
        <v>=(0.512/(1-0.512))/(0.127/(1-0.127))</v>
      </c>
      <c r="K33" s="1585"/>
    </row>
    <row r="34">
      <c r="B34" s="41" t="s">
        <v>12369</v>
      </c>
      <c r="C34" s="1580">
        <f>(C30/(1-C30))/(C31/(1-C31))</f>
        <v>7.212082096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81" t="s">
        <v>12371</v>
      </c>
      <c r="C1" s="1581" t="s">
        <v>12372</v>
      </c>
      <c r="E1" s="1581" t="s">
        <v>12373</v>
      </c>
      <c r="G1" s="1581" t="s">
        <v>12374</v>
      </c>
      <c r="J1" s="1581" t="s">
        <v>12375</v>
      </c>
      <c r="M1" s="1581" t="s">
        <v>32</v>
      </c>
      <c r="O1" s="1581" t="s">
        <v>33</v>
      </c>
      <c r="Q1" s="1586" t="s">
        <v>12376</v>
      </c>
    </row>
    <row r="2">
      <c r="A2" s="41" t="s">
        <v>1006</v>
      </c>
      <c r="C2" s="41" t="s">
        <v>164</v>
      </c>
      <c r="E2" s="41" t="s">
        <v>211</v>
      </c>
      <c r="G2" s="41" t="s">
        <v>139</v>
      </c>
      <c r="J2" s="41" t="s">
        <v>132</v>
      </c>
      <c r="M2" s="329" t="s">
        <v>279</v>
      </c>
      <c r="O2" s="41" t="s">
        <v>12377</v>
      </c>
      <c r="Q2" s="147" t="s">
        <v>434</v>
      </c>
    </row>
    <row r="3">
      <c r="A3" s="41" t="s">
        <v>357</v>
      </c>
      <c r="C3" s="41" t="s">
        <v>127</v>
      </c>
      <c r="E3" s="41" t="s">
        <v>128</v>
      </c>
      <c r="G3" s="41" t="s">
        <v>582</v>
      </c>
      <c r="J3" s="41" t="s">
        <v>129</v>
      </c>
      <c r="M3" s="329" t="s">
        <v>586</v>
      </c>
      <c r="O3" s="41" t="s">
        <v>107</v>
      </c>
      <c r="Q3" s="147" t="s">
        <v>134</v>
      </c>
    </row>
    <row r="4">
      <c r="A4" s="41" t="s">
        <v>2782</v>
      </c>
      <c r="C4" s="41" t="s">
        <v>329</v>
      </c>
      <c r="E4" s="41" t="s">
        <v>179</v>
      </c>
      <c r="G4" s="41" t="s">
        <v>1610</v>
      </c>
      <c r="J4" s="41" t="s">
        <v>821</v>
      </c>
      <c r="M4" s="115" t="s">
        <v>143</v>
      </c>
      <c r="O4" s="41" t="s">
        <v>12378</v>
      </c>
      <c r="Q4" s="147" t="s">
        <v>142</v>
      </c>
    </row>
    <row r="5">
      <c r="A5" s="41" t="s">
        <v>1275</v>
      </c>
      <c r="C5" s="41" t="s">
        <v>1313</v>
      </c>
      <c r="G5" s="41" t="s">
        <v>1098</v>
      </c>
      <c r="M5" s="115" t="s">
        <v>5350</v>
      </c>
      <c r="Q5" s="41" t="s">
        <v>571</v>
      </c>
    </row>
    <row r="6">
      <c r="A6" s="41" t="s">
        <v>166</v>
      </c>
      <c r="C6" s="41" t="s">
        <v>2210</v>
      </c>
      <c r="G6" s="41" t="s">
        <v>1820</v>
      </c>
      <c r="M6" s="60" t="s">
        <v>106</v>
      </c>
    </row>
    <row r="7">
      <c r="A7" s="25" t="s">
        <v>130</v>
      </c>
      <c r="C7" s="41" t="s">
        <v>165</v>
      </c>
      <c r="G7" s="41" t="s">
        <v>235</v>
      </c>
      <c r="M7" s="41" t="s">
        <v>2021</v>
      </c>
    </row>
    <row r="8">
      <c r="A8" s="41" t="s">
        <v>6995</v>
      </c>
      <c r="G8" s="41" t="s">
        <v>2900</v>
      </c>
      <c r="M8" s="41" t="s">
        <v>520</v>
      </c>
    </row>
    <row r="9">
      <c r="A9" s="25" t="s">
        <v>599</v>
      </c>
      <c r="G9" s="41" t="s">
        <v>156</v>
      </c>
    </row>
    <row r="10">
      <c r="A10" s="41" t="s">
        <v>722</v>
      </c>
      <c r="G10" s="41" t="s">
        <v>203</v>
      </c>
    </row>
    <row r="11">
      <c r="A11" s="41" t="s">
        <v>208</v>
      </c>
      <c r="G11" s="41" t="s">
        <v>287</v>
      </c>
    </row>
    <row r="12">
      <c r="A12" s="41" t="s">
        <v>162</v>
      </c>
      <c r="G12" s="41" t="s">
        <v>1689</v>
      </c>
    </row>
    <row r="13">
      <c r="A13" s="41" t="s">
        <v>5340</v>
      </c>
      <c r="G13" s="41" t="s">
        <v>2083</v>
      </c>
    </row>
    <row r="14">
      <c r="A14" s="41" t="s">
        <v>1785</v>
      </c>
      <c r="G14" s="41" t="s">
        <v>501</v>
      </c>
    </row>
    <row r="15">
      <c r="G15" s="41" t="s">
        <v>849</v>
      </c>
    </row>
    <row r="16">
      <c r="G16" s="41" t="s">
        <v>1585</v>
      </c>
    </row>
    <row r="17">
      <c r="G17" s="41" t="s">
        <v>2052</v>
      </c>
    </row>
    <row r="18">
      <c r="G18" s="41" t="s">
        <v>121</v>
      </c>
    </row>
    <row r="19">
      <c r="G19" s="41" t="s">
        <v>220</v>
      </c>
    </row>
    <row r="20">
      <c r="G20" s="41" t="s">
        <v>1029</v>
      </c>
    </row>
  </sheetData>
  <drawing r:id="rId1"/>
</worksheet>
</file>